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lugg/Documents/NYCHA/Production/DATA/"/>
    </mc:Choice>
  </mc:AlternateContent>
  <xr:revisionPtr revIDLastSave="0" documentId="13_ncr:1_{579305B2-764E-8348-8538-865F4F59992A}" xr6:coauthVersionLast="36" xr6:coauthVersionMax="45" xr10:uidLastSave="{00000000-0000-0000-0000-000000000000}"/>
  <bookViews>
    <workbookView xWindow="0" yWindow="460" windowWidth="25600" windowHeight="14580" activeTab="3" xr2:uid="{00000000-000D-0000-FFFF-FFFF00000000}"/>
  </bookViews>
  <sheets>
    <sheet name="tonnage" sheetId="11" state="hidden" r:id="rId1"/>
    <sheet name="development data" sheetId="12" r:id="rId2"/>
    <sheet name="bulk data" sheetId="13" state="hidden" r:id="rId3"/>
    <sheet name="Overall Calculator" sheetId="4" r:id="rId4"/>
    <sheet name="Standards" sheetId="17" state="hidden" r:id="rId5"/>
    <sheet name="Consolidation" sheetId="15" r:id="rId6"/>
    <sheet name="Recycling Calculator" sheetId="16" r:id="rId7"/>
    <sheet name="exterior estimate" sheetId="1" state="hidden" r:id="rId8"/>
    <sheet name="container info" sheetId="10" r:id="rId9"/>
  </sheets>
  <definedNames>
    <definedName name="Containers">'container info'!$A$3:$A$21</definedName>
    <definedName name="Developments" localSheetId="5">developmentdata2019[DEVELOPMENT]</definedName>
    <definedName name="Developments">developmentdata2019[DEVELOPMENT]</definedName>
    <definedName name="ExternalData_1" localSheetId="2" hidden="1">'bulk data'!$A$1:$C$1502</definedName>
    <definedName name="ExternalData_1" localSheetId="1" hidden="1">'development data'!$A$2:$AY$326</definedName>
    <definedName name="ExternalData_1" localSheetId="0" hidden="1">tonnage!$A$2:$LG$164</definedName>
  </definedNames>
  <calcPr calcId="181029" calcCompleted="0"/>
  <pivotCaches>
    <pivotCache cacheId="0" r:id="rId10"/>
  </pivotCaches>
</workbook>
</file>

<file path=xl/calcChain.xml><?xml version="1.0" encoding="utf-8"?>
<calcChain xmlns="http://schemas.openxmlformats.org/spreadsheetml/2006/main">
  <c r="BP4" i="12" l="1"/>
  <c r="BQ4" i="12"/>
  <c r="BR4" i="12"/>
  <c r="BS4" i="12"/>
  <c r="BT4" i="12"/>
  <c r="BU4" i="12"/>
  <c r="BP5" i="12"/>
  <c r="BQ5" i="12"/>
  <c r="BR5" i="12"/>
  <c r="BS5" i="12"/>
  <c r="BT5" i="12"/>
  <c r="BU5" i="12"/>
  <c r="BP6" i="12"/>
  <c r="BQ6" i="12"/>
  <c r="BR6" i="12"/>
  <c r="BS6" i="12"/>
  <c r="BT6" i="12"/>
  <c r="BU6" i="12"/>
  <c r="BP7" i="12"/>
  <c r="BQ7" i="12"/>
  <c r="BR7" i="12"/>
  <c r="BS7" i="12"/>
  <c r="BT7" i="12"/>
  <c r="BU7" i="12"/>
  <c r="BP8" i="12"/>
  <c r="BQ8" i="12"/>
  <c r="BR8" i="12"/>
  <c r="BS8" i="12"/>
  <c r="BT8" i="12"/>
  <c r="BU8" i="12"/>
  <c r="BP9" i="12"/>
  <c r="BQ9" i="12"/>
  <c r="BR9" i="12"/>
  <c r="BS9" i="12"/>
  <c r="BT9" i="12"/>
  <c r="BU9" i="12"/>
  <c r="BP10" i="12"/>
  <c r="BQ10" i="12"/>
  <c r="BR10" i="12"/>
  <c r="BS10" i="12"/>
  <c r="BT10" i="12"/>
  <c r="BU10" i="12"/>
  <c r="BP11" i="12"/>
  <c r="BQ11" i="12"/>
  <c r="BR11" i="12"/>
  <c r="BS11" i="12"/>
  <c r="BT11" i="12"/>
  <c r="BU11" i="12"/>
  <c r="BP12" i="12"/>
  <c r="BQ12" i="12"/>
  <c r="BR12" i="12"/>
  <c r="BS12" i="12"/>
  <c r="BT12" i="12"/>
  <c r="BU12" i="12"/>
  <c r="BP13" i="12"/>
  <c r="BQ13" i="12"/>
  <c r="BR13" i="12"/>
  <c r="BS13" i="12"/>
  <c r="BT13" i="12"/>
  <c r="BU13" i="12"/>
  <c r="BP14" i="12"/>
  <c r="BQ14" i="12"/>
  <c r="BR14" i="12"/>
  <c r="BS14" i="12"/>
  <c r="BT14" i="12"/>
  <c r="BU14" i="12"/>
  <c r="BP15" i="12"/>
  <c r="BQ15" i="12"/>
  <c r="BR15" i="12"/>
  <c r="BS15" i="12"/>
  <c r="BT15" i="12"/>
  <c r="BU15" i="12"/>
  <c r="BP16" i="12"/>
  <c r="BQ16" i="12"/>
  <c r="BR16" i="12"/>
  <c r="BS16" i="12"/>
  <c r="BT16" i="12"/>
  <c r="BU16" i="12"/>
  <c r="BP17" i="12"/>
  <c r="BQ17" i="12"/>
  <c r="BR17" i="12"/>
  <c r="BS17" i="12"/>
  <c r="BT17" i="12"/>
  <c r="BU17" i="12"/>
  <c r="BP18" i="12"/>
  <c r="BQ18" i="12"/>
  <c r="BR18" i="12"/>
  <c r="BS18" i="12"/>
  <c r="BT18" i="12"/>
  <c r="BU18" i="12"/>
  <c r="BP19" i="12"/>
  <c r="BQ19" i="12"/>
  <c r="BR19" i="12"/>
  <c r="BS19" i="12"/>
  <c r="BT19" i="12"/>
  <c r="BU19" i="12"/>
  <c r="BP20" i="12"/>
  <c r="BQ20" i="12"/>
  <c r="BR20" i="12"/>
  <c r="BS20" i="12"/>
  <c r="BT20" i="12"/>
  <c r="BU20" i="12"/>
  <c r="BP21" i="12"/>
  <c r="BQ21" i="12"/>
  <c r="BR21" i="12"/>
  <c r="BS21" i="12"/>
  <c r="BT21" i="12"/>
  <c r="BU21" i="12"/>
  <c r="BP22" i="12"/>
  <c r="BQ22" i="12"/>
  <c r="BR22" i="12"/>
  <c r="BS22" i="12"/>
  <c r="BT22" i="12"/>
  <c r="BU22" i="12"/>
  <c r="BP23" i="12"/>
  <c r="BQ23" i="12"/>
  <c r="BR23" i="12"/>
  <c r="BS23" i="12"/>
  <c r="BT23" i="12"/>
  <c r="BU23" i="12"/>
  <c r="BP24" i="12"/>
  <c r="BQ24" i="12"/>
  <c r="BR24" i="12"/>
  <c r="BS24" i="12"/>
  <c r="BT24" i="12"/>
  <c r="BU24" i="12"/>
  <c r="BP25" i="12"/>
  <c r="BQ25" i="12"/>
  <c r="BR25" i="12"/>
  <c r="BS25" i="12"/>
  <c r="BT25" i="12"/>
  <c r="BU25" i="12"/>
  <c r="BP26" i="12"/>
  <c r="BQ26" i="12"/>
  <c r="BR26" i="12"/>
  <c r="BS26" i="12"/>
  <c r="BT26" i="12"/>
  <c r="BU26" i="12"/>
  <c r="BP27" i="12"/>
  <c r="BQ27" i="12"/>
  <c r="BR27" i="12"/>
  <c r="BS27" i="12"/>
  <c r="BT27" i="12"/>
  <c r="BU27" i="12"/>
  <c r="BP28" i="12"/>
  <c r="BQ28" i="12"/>
  <c r="BR28" i="12"/>
  <c r="BS28" i="12"/>
  <c r="BT28" i="12"/>
  <c r="BU28" i="12"/>
  <c r="BP29" i="12"/>
  <c r="BQ29" i="12"/>
  <c r="BR29" i="12"/>
  <c r="BS29" i="12"/>
  <c r="BT29" i="12"/>
  <c r="BU29" i="12"/>
  <c r="BP30" i="12"/>
  <c r="BQ30" i="12"/>
  <c r="BR30" i="12"/>
  <c r="BS30" i="12"/>
  <c r="BT30" i="12"/>
  <c r="BU30" i="12"/>
  <c r="BP31" i="12"/>
  <c r="BQ31" i="12"/>
  <c r="BR31" i="12"/>
  <c r="BS31" i="12"/>
  <c r="BT31" i="12"/>
  <c r="BU31" i="12"/>
  <c r="BP32" i="12"/>
  <c r="BQ32" i="12"/>
  <c r="BR32" i="12"/>
  <c r="BS32" i="12"/>
  <c r="BT32" i="12"/>
  <c r="BU32" i="12"/>
  <c r="BP33" i="12"/>
  <c r="BQ33" i="12"/>
  <c r="BR33" i="12"/>
  <c r="BS33" i="12"/>
  <c r="BT33" i="12"/>
  <c r="BU33" i="12"/>
  <c r="BP34" i="12"/>
  <c r="BQ34" i="12"/>
  <c r="BR34" i="12"/>
  <c r="BS34" i="12"/>
  <c r="BT34" i="12"/>
  <c r="BU34" i="12"/>
  <c r="BP35" i="12"/>
  <c r="BQ35" i="12"/>
  <c r="BR35" i="12"/>
  <c r="BS35" i="12"/>
  <c r="BT35" i="12"/>
  <c r="BU35" i="12"/>
  <c r="BP36" i="12"/>
  <c r="BQ36" i="12"/>
  <c r="BR36" i="12"/>
  <c r="BS36" i="12"/>
  <c r="BT36" i="12"/>
  <c r="BU36" i="12"/>
  <c r="BP37" i="12"/>
  <c r="BQ37" i="12"/>
  <c r="BR37" i="12"/>
  <c r="BS37" i="12"/>
  <c r="BT37" i="12"/>
  <c r="BU37" i="12"/>
  <c r="BP38" i="12"/>
  <c r="BQ38" i="12"/>
  <c r="BR38" i="12"/>
  <c r="BS38" i="12"/>
  <c r="BT38" i="12"/>
  <c r="BU38" i="12"/>
  <c r="BP39" i="12"/>
  <c r="BQ39" i="12"/>
  <c r="BR39" i="12"/>
  <c r="BS39" i="12"/>
  <c r="BT39" i="12"/>
  <c r="BU39" i="12"/>
  <c r="BP40" i="12"/>
  <c r="BQ40" i="12"/>
  <c r="BR40" i="12"/>
  <c r="BS40" i="12"/>
  <c r="BT40" i="12"/>
  <c r="BU40" i="12"/>
  <c r="BP41" i="12"/>
  <c r="BQ41" i="12"/>
  <c r="BR41" i="12"/>
  <c r="BS41" i="12"/>
  <c r="BT41" i="12"/>
  <c r="BU41" i="12"/>
  <c r="BP42" i="12"/>
  <c r="BQ42" i="12"/>
  <c r="BR42" i="12"/>
  <c r="BS42" i="12"/>
  <c r="BT42" i="12"/>
  <c r="BU42" i="12"/>
  <c r="BP43" i="12"/>
  <c r="BQ43" i="12"/>
  <c r="BR43" i="12"/>
  <c r="BS43" i="12"/>
  <c r="BT43" i="12"/>
  <c r="BU43" i="12"/>
  <c r="BP44" i="12"/>
  <c r="BQ44" i="12"/>
  <c r="BR44" i="12"/>
  <c r="BS44" i="12"/>
  <c r="BT44" i="12"/>
  <c r="BU44" i="12"/>
  <c r="BP45" i="12"/>
  <c r="BQ45" i="12"/>
  <c r="BR45" i="12"/>
  <c r="BS45" i="12"/>
  <c r="BT45" i="12"/>
  <c r="BU45" i="12"/>
  <c r="BP46" i="12"/>
  <c r="BQ46" i="12"/>
  <c r="BR46" i="12"/>
  <c r="BS46" i="12"/>
  <c r="BT46" i="12"/>
  <c r="BU46" i="12"/>
  <c r="BP47" i="12"/>
  <c r="BQ47" i="12"/>
  <c r="BR47" i="12"/>
  <c r="BS47" i="12"/>
  <c r="BT47" i="12"/>
  <c r="BU47" i="12"/>
  <c r="BP48" i="12"/>
  <c r="BQ48" i="12"/>
  <c r="BR48" i="12"/>
  <c r="BS48" i="12"/>
  <c r="BT48" i="12"/>
  <c r="BU48" i="12"/>
  <c r="BP49" i="12"/>
  <c r="BQ49" i="12"/>
  <c r="BR49" i="12"/>
  <c r="BS49" i="12"/>
  <c r="BT49" i="12"/>
  <c r="BU49" i="12"/>
  <c r="BP50" i="12"/>
  <c r="BQ50" i="12"/>
  <c r="BR50" i="12"/>
  <c r="BS50" i="12"/>
  <c r="BT50" i="12"/>
  <c r="BU50" i="12"/>
  <c r="BP51" i="12"/>
  <c r="BQ51" i="12"/>
  <c r="BR51" i="12"/>
  <c r="BS51" i="12"/>
  <c r="BT51" i="12"/>
  <c r="BU51" i="12"/>
  <c r="BP52" i="12"/>
  <c r="BQ52" i="12"/>
  <c r="BR52" i="12"/>
  <c r="BS52" i="12"/>
  <c r="BT52" i="12"/>
  <c r="BU52" i="12"/>
  <c r="BP53" i="12"/>
  <c r="BQ53" i="12"/>
  <c r="BR53" i="12"/>
  <c r="BS53" i="12"/>
  <c r="BT53" i="12"/>
  <c r="BU53" i="12"/>
  <c r="BP54" i="12"/>
  <c r="BQ54" i="12"/>
  <c r="BR54" i="12"/>
  <c r="BS54" i="12"/>
  <c r="BT54" i="12"/>
  <c r="BU54" i="12"/>
  <c r="BP55" i="12"/>
  <c r="BQ55" i="12"/>
  <c r="BR55" i="12"/>
  <c r="BS55" i="12"/>
  <c r="BT55" i="12"/>
  <c r="BU55" i="12"/>
  <c r="BP56" i="12"/>
  <c r="BQ56" i="12"/>
  <c r="BR56" i="12"/>
  <c r="BS56" i="12"/>
  <c r="BT56" i="12"/>
  <c r="BU56" i="12"/>
  <c r="BP57" i="12"/>
  <c r="BQ57" i="12"/>
  <c r="BR57" i="12"/>
  <c r="BS57" i="12"/>
  <c r="BT57" i="12"/>
  <c r="BU57" i="12"/>
  <c r="BP58" i="12"/>
  <c r="BQ58" i="12"/>
  <c r="BR58" i="12"/>
  <c r="BS58" i="12"/>
  <c r="BT58" i="12"/>
  <c r="BU58" i="12"/>
  <c r="BP59" i="12"/>
  <c r="BQ59" i="12"/>
  <c r="BR59" i="12"/>
  <c r="BS59" i="12"/>
  <c r="BT59" i="12"/>
  <c r="BU59" i="12"/>
  <c r="BP60" i="12"/>
  <c r="BQ60" i="12"/>
  <c r="BR60" i="12"/>
  <c r="BS60" i="12"/>
  <c r="BT60" i="12"/>
  <c r="BU60" i="12"/>
  <c r="BP61" i="12"/>
  <c r="BQ61" i="12"/>
  <c r="BR61" i="12"/>
  <c r="BS61" i="12"/>
  <c r="BT61" i="12"/>
  <c r="BU61" i="12"/>
  <c r="BP62" i="12"/>
  <c r="BQ62" i="12"/>
  <c r="BR62" i="12"/>
  <c r="BS62" i="12"/>
  <c r="BT62" i="12"/>
  <c r="BU62" i="12"/>
  <c r="BP63" i="12"/>
  <c r="BQ63" i="12"/>
  <c r="BR63" i="12"/>
  <c r="BS63" i="12"/>
  <c r="BT63" i="12"/>
  <c r="BU63" i="12"/>
  <c r="BP64" i="12"/>
  <c r="BQ64" i="12"/>
  <c r="BR64" i="12"/>
  <c r="BS64" i="12"/>
  <c r="BT64" i="12"/>
  <c r="BU64" i="12"/>
  <c r="BP65" i="12"/>
  <c r="BQ65" i="12"/>
  <c r="BR65" i="12"/>
  <c r="BS65" i="12"/>
  <c r="BT65" i="12"/>
  <c r="BU65" i="12"/>
  <c r="BP66" i="12"/>
  <c r="BQ66" i="12"/>
  <c r="BR66" i="12"/>
  <c r="BS66" i="12"/>
  <c r="BT66" i="12"/>
  <c r="BU66" i="12"/>
  <c r="BP67" i="12"/>
  <c r="BQ67" i="12"/>
  <c r="BR67" i="12"/>
  <c r="BS67" i="12"/>
  <c r="BT67" i="12"/>
  <c r="BU67" i="12"/>
  <c r="BP68" i="12"/>
  <c r="BQ68" i="12"/>
  <c r="BR68" i="12"/>
  <c r="BS68" i="12"/>
  <c r="BT68" i="12"/>
  <c r="BU68" i="12"/>
  <c r="BP69" i="12"/>
  <c r="BQ69" i="12"/>
  <c r="BR69" i="12"/>
  <c r="BS69" i="12"/>
  <c r="BT69" i="12"/>
  <c r="BU69" i="12"/>
  <c r="BP70" i="12"/>
  <c r="BQ70" i="12"/>
  <c r="BR70" i="12"/>
  <c r="BS70" i="12"/>
  <c r="BT70" i="12"/>
  <c r="BU70" i="12"/>
  <c r="BP71" i="12"/>
  <c r="BQ71" i="12"/>
  <c r="BR71" i="12"/>
  <c r="BS71" i="12"/>
  <c r="BT71" i="12"/>
  <c r="BU71" i="12"/>
  <c r="BP72" i="12"/>
  <c r="BQ72" i="12"/>
  <c r="BR72" i="12"/>
  <c r="BS72" i="12"/>
  <c r="BT72" i="12"/>
  <c r="BU72" i="12"/>
  <c r="BP73" i="12"/>
  <c r="BQ73" i="12"/>
  <c r="BR73" i="12"/>
  <c r="BS73" i="12"/>
  <c r="BT73" i="12"/>
  <c r="BU73" i="12"/>
  <c r="BP74" i="12"/>
  <c r="BQ74" i="12"/>
  <c r="BR74" i="12"/>
  <c r="BS74" i="12"/>
  <c r="BT74" i="12"/>
  <c r="BU74" i="12"/>
  <c r="BP75" i="12"/>
  <c r="BQ75" i="12"/>
  <c r="BR75" i="12"/>
  <c r="BS75" i="12"/>
  <c r="BT75" i="12"/>
  <c r="BU75" i="12"/>
  <c r="BP76" i="12"/>
  <c r="BQ76" i="12"/>
  <c r="BR76" i="12"/>
  <c r="BS76" i="12"/>
  <c r="BT76" i="12"/>
  <c r="BU76" i="12"/>
  <c r="BP77" i="12"/>
  <c r="BQ77" i="12"/>
  <c r="BR77" i="12"/>
  <c r="BS77" i="12"/>
  <c r="BT77" i="12"/>
  <c r="BU77" i="12"/>
  <c r="BP78" i="12"/>
  <c r="BQ78" i="12"/>
  <c r="BR78" i="12"/>
  <c r="BS78" i="12"/>
  <c r="BT78" i="12"/>
  <c r="BU78" i="12"/>
  <c r="BP79" i="12"/>
  <c r="BQ79" i="12"/>
  <c r="BR79" i="12"/>
  <c r="BS79" i="12"/>
  <c r="BT79" i="12"/>
  <c r="BU79" i="12"/>
  <c r="BP80" i="12"/>
  <c r="BQ80" i="12"/>
  <c r="BR80" i="12"/>
  <c r="BS80" i="12"/>
  <c r="BT80" i="12"/>
  <c r="BU80" i="12"/>
  <c r="BP81" i="12"/>
  <c r="BQ81" i="12"/>
  <c r="BR81" i="12"/>
  <c r="BS81" i="12"/>
  <c r="BT81" i="12"/>
  <c r="BU81" i="12"/>
  <c r="BP82" i="12"/>
  <c r="BQ82" i="12"/>
  <c r="BR82" i="12"/>
  <c r="BS82" i="12"/>
  <c r="BT82" i="12"/>
  <c r="BU82" i="12"/>
  <c r="BP83" i="12"/>
  <c r="BQ83" i="12"/>
  <c r="BR83" i="12"/>
  <c r="BS83" i="12"/>
  <c r="BT83" i="12"/>
  <c r="BU83" i="12"/>
  <c r="BP84" i="12"/>
  <c r="BQ84" i="12"/>
  <c r="BR84" i="12"/>
  <c r="BS84" i="12"/>
  <c r="BT84" i="12"/>
  <c r="BU84" i="12"/>
  <c r="BP85" i="12"/>
  <c r="BQ85" i="12"/>
  <c r="BR85" i="12"/>
  <c r="BS85" i="12"/>
  <c r="BT85" i="12"/>
  <c r="BU85" i="12"/>
  <c r="BP86" i="12"/>
  <c r="BQ86" i="12"/>
  <c r="BR86" i="12"/>
  <c r="BS86" i="12"/>
  <c r="BT86" i="12"/>
  <c r="BU86" i="12"/>
  <c r="BP87" i="12"/>
  <c r="BQ87" i="12"/>
  <c r="BR87" i="12"/>
  <c r="BS87" i="12"/>
  <c r="BT87" i="12"/>
  <c r="BU87" i="12"/>
  <c r="BP88" i="12"/>
  <c r="BQ88" i="12"/>
  <c r="BR88" i="12"/>
  <c r="BS88" i="12"/>
  <c r="BT88" i="12"/>
  <c r="BU88" i="12"/>
  <c r="BP89" i="12"/>
  <c r="BQ89" i="12"/>
  <c r="BR89" i="12"/>
  <c r="BS89" i="12"/>
  <c r="BT89" i="12"/>
  <c r="BU89" i="12"/>
  <c r="BP90" i="12"/>
  <c r="BQ90" i="12"/>
  <c r="BR90" i="12"/>
  <c r="BS90" i="12"/>
  <c r="BT90" i="12"/>
  <c r="BU90" i="12"/>
  <c r="BP91" i="12"/>
  <c r="BQ91" i="12"/>
  <c r="BR91" i="12"/>
  <c r="BS91" i="12"/>
  <c r="BT91" i="12"/>
  <c r="BU91" i="12"/>
  <c r="BP92" i="12"/>
  <c r="BQ92" i="12"/>
  <c r="BR92" i="12"/>
  <c r="BS92" i="12"/>
  <c r="BT92" i="12"/>
  <c r="BU92" i="12"/>
  <c r="BP93" i="12"/>
  <c r="BQ93" i="12"/>
  <c r="BR93" i="12"/>
  <c r="BS93" i="12"/>
  <c r="BT93" i="12"/>
  <c r="BU93" i="12"/>
  <c r="BP94" i="12"/>
  <c r="BQ94" i="12"/>
  <c r="BR94" i="12"/>
  <c r="BS94" i="12"/>
  <c r="BT94" i="12"/>
  <c r="BU94" i="12"/>
  <c r="BP95" i="12"/>
  <c r="BQ95" i="12"/>
  <c r="BR95" i="12"/>
  <c r="BS95" i="12"/>
  <c r="BT95" i="12"/>
  <c r="BU95" i="12"/>
  <c r="BP96" i="12"/>
  <c r="BQ96" i="12"/>
  <c r="BR96" i="12"/>
  <c r="BS96" i="12"/>
  <c r="BT96" i="12"/>
  <c r="BU96" i="12"/>
  <c r="BP97" i="12"/>
  <c r="BQ97" i="12"/>
  <c r="BR97" i="12"/>
  <c r="BS97" i="12"/>
  <c r="BT97" i="12"/>
  <c r="BU97" i="12"/>
  <c r="BP98" i="12"/>
  <c r="BQ98" i="12"/>
  <c r="BR98" i="12"/>
  <c r="BS98" i="12"/>
  <c r="BT98" i="12"/>
  <c r="BU98" i="12"/>
  <c r="BP99" i="12"/>
  <c r="BQ99" i="12"/>
  <c r="BR99" i="12"/>
  <c r="BS99" i="12"/>
  <c r="BT99" i="12"/>
  <c r="BU99" i="12"/>
  <c r="BP100" i="12"/>
  <c r="BQ100" i="12"/>
  <c r="BR100" i="12"/>
  <c r="BS100" i="12"/>
  <c r="BT100" i="12"/>
  <c r="BU100" i="12"/>
  <c r="BP101" i="12"/>
  <c r="BQ101" i="12"/>
  <c r="BR101" i="12"/>
  <c r="BS101" i="12"/>
  <c r="BT101" i="12"/>
  <c r="BU101" i="12"/>
  <c r="BP102" i="12"/>
  <c r="BQ102" i="12"/>
  <c r="BR102" i="12"/>
  <c r="BS102" i="12"/>
  <c r="BT102" i="12"/>
  <c r="BU102" i="12"/>
  <c r="BP103" i="12"/>
  <c r="BQ103" i="12"/>
  <c r="BR103" i="12"/>
  <c r="BS103" i="12"/>
  <c r="BT103" i="12"/>
  <c r="BU103" i="12"/>
  <c r="BP104" i="12"/>
  <c r="BQ104" i="12"/>
  <c r="BR104" i="12"/>
  <c r="BS104" i="12"/>
  <c r="BT104" i="12"/>
  <c r="BU104" i="12"/>
  <c r="BP105" i="12"/>
  <c r="BQ105" i="12"/>
  <c r="BR105" i="12"/>
  <c r="BS105" i="12"/>
  <c r="BT105" i="12"/>
  <c r="BU105" i="12"/>
  <c r="BP106" i="12"/>
  <c r="BQ106" i="12"/>
  <c r="BR106" i="12"/>
  <c r="BS106" i="12"/>
  <c r="BT106" i="12"/>
  <c r="BU106" i="12"/>
  <c r="BP107" i="12"/>
  <c r="BQ107" i="12"/>
  <c r="BR107" i="12"/>
  <c r="BS107" i="12"/>
  <c r="BT107" i="12"/>
  <c r="BU107" i="12"/>
  <c r="BP108" i="12"/>
  <c r="BQ108" i="12"/>
  <c r="BR108" i="12"/>
  <c r="BS108" i="12"/>
  <c r="BT108" i="12"/>
  <c r="BU108" i="12"/>
  <c r="BP109" i="12"/>
  <c r="BQ109" i="12"/>
  <c r="BR109" i="12"/>
  <c r="BS109" i="12"/>
  <c r="BT109" i="12"/>
  <c r="BU109" i="12"/>
  <c r="BP110" i="12"/>
  <c r="BQ110" i="12"/>
  <c r="BR110" i="12"/>
  <c r="BS110" i="12"/>
  <c r="BT110" i="12"/>
  <c r="BU110" i="12"/>
  <c r="BP111" i="12"/>
  <c r="BQ111" i="12"/>
  <c r="BR111" i="12"/>
  <c r="BS111" i="12"/>
  <c r="BT111" i="12"/>
  <c r="BU111" i="12"/>
  <c r="BP112" i="12"/>
  <c r="BQ112" i="12"/>
  <c r="BR112" i="12"/>
  <c r="BS112" i="12"/>
  <c r="BT112" i="12"/>
  <c r="BU112" i="12"/>
  <c r="BP113" i="12"/>
  <c r="BQ113" i="12"/>
  <c r="BR113" i="12"/>
  <c r="BS113" i="12"/>
  <c r="BT113" i="12"/>
  <c r="BU113" i="12"/>
  <c r="BP114" i="12"/>
  <c r="BQ114" i="12"/>
  <c r="BR114" i="12"/>
  <c r="BS114" i="12"/>
  <c r="BT114" i="12"/>
  <c r="BU114" i="12"/>
  <c r="BP115" i="12"/>
  <c r="BQ115" i="12"/>
  <c r="BR115" i="12"/>
  <c r="BS115" i="12"/>
  <c r="BT115" i="12"/>
  <c r="BU115" i="12"/>
  <c r="BP116" i="12"/>
  <c r="BQ116" i="12"/>
  <c r="BR116" i="12"/>
  <c r="BS116" i="12"/>
  <c r="BT116" i="12"/>
  <c r="BU116" i="12"/>
  <c r="BP117" i="12"/>
  <c r="BQ117" i="12"/>
  <c r="BR117" i="12"/>
  <c r="BS117" i="12"/>
  <c r="BT117" i="12"/>
  <c r="BU117" i="12"/>
  <c r="BP118" i="12"/>
  <c r="BQ118" i="12"/>
  <c r="BR118" i="12"/>
  <c r="BS118" i="12"/>
  <c r="BT118" i="12"/>
  <c r="BU118" i="12"/>
  <c r="BP119" i="12"/>
  <c r="BQ119" i="12"/>
  <c r="BR119" i="12"/>
  <c r="BS119" i="12"/>
  <c r="BT119" i="12"/>
  <c r="BU119" i="12"/>
  <c r="BP120" i="12"/>
  <c r="BQ120" i="12"/>
  <c r="BR120" i="12"/>
  <c r="BS120" i="12"/>
  <c r="BT120" i="12"/>
  <c r="BU120" i="12"/>
  <c r="BP121" i="12"/>
  <c r="BQ121" i="12"/>
  <c r="BR121" i="12"/>
  <c r="BS121" i="12"/>
  <c r="BT121" i="12"/>
  <c r="BU121" i="12"/>
  <c r="BP122" i="12"/>
  <c r="BQ122" i="12"/>
  <c r="BR122" i="12"/>
  <c r="BS122" i="12"/>
  <c r="BT122" i="12"/>
  <c r="BU122" i="12"/>
  <c r="BP123" i="12"/>
  <c r="BQ123" i="12"/>
  <c r="BR123" i="12"/>
  <c r="BS123" i="12"/>
  <c r="BT123" i="12"/>
  <c r="BU123" i="12"/>
  <c r="BP124" i="12"/>
  <c r="BQ124" i="12"/>
  <c r="BR124" i="12"/>
  <c r="BS124" i="12"/>
  <c r="BT124" i="12"/>
  <c r="BU124" i="12"/>
  <c r="BP125" i="12"/>
  <c r="BQ125" i="12"/>
  <c r="BR125" i="12"/>
  <c r="BS125" i="12"/>
  <c r="BT125" i="12"/>
  <c r="BU125" i="12"/>
  <c r="BP126" i="12"/>
  <c r="BQ126" i="12"/>
  <c r="BR126" i="12"/>
  <c r="BS126" i="12"/>
  <c r="BT126" i="12"/>
  <c r="BU126" i="12"/>
  <c r="BP127" i="12"/>
  <c r="BQ127" i="12"/>
  <c r="BR127" i="12"/>
  <c r="BS127" i="12"/>
  <c r="BT127" i="12"/>
  <c r="BU127" i="12"/>
  <c r="BP128" i="12"/>
  <c r="BQ128" i="12"/>
  <c r="BR128" i="12"/>
  <c r="BS128" i="12"/>
  <c r="BT128" i="12"/>
  <c r="BU128" i="12"/>
  <c r="BP129" i="12"/>
  <c r="BQ129" i="12"/>
  <c r="BR129" i="12"/>
  <c r="BS129" i="12"/>
  <c r="BT129" i="12"/>
  <c r="BU129" i="12"/>
  <c r="BP130" i="12"/>
  <c r="BQ130" i="12"/>
  <c r="BR130" i="12"/>
  <c r="BS130" i="12"/>
  <c r="BT130" i="12"/>
  <c r="BU130" i="12"/>
  <c r="BP131" i="12"/>
  <c r="BQ131" i="12"/>
  <c r="BR131" i="12"/>
  <c r="BS131" i="12"/>
  <c r="BT131" i="12"/>
  <c r="BU131" i="12"/>
  <c r="BP132" i="12"/>
  <c r="BQ132" i="12"/>
  <c r="BR132" i="12"/>
  <c r="BS132" i="12"/>
  <c r="BT132" i="12"/>
  <c r="BU132" i="12"/>
  <c r="BP133" i="12"/>
  <c r="BQ133" i="12"/>
  <c r="BR133" i="12"/>
  <c r="BS133" i="12"/>
  <c r="BT133" i="12"/>
  <c r="BU133" i="12"/>
  <c r="BP134" i="12"/>
  <c r="BQ134" i="12"/>
  <c r="BR134" i="12"/>
  <c r="BS134" i="12"/>
  <c r="BT134" i="12"/>
  <c r="BU134" i="12"/>
  <c r="BP135" i="12"/>
  <c r="BQ135" i="12"/>
  <c r="BR135" i="12"/>
  <c r="BS135" i="12"/>
  <c r="BT135" i="12"/>
  <c r="BU135" i="12"/>
  <c r="BP136" i="12"/>
  <c r="BQ136" i="12"/>
  <c r="BR136" i="12"/>
  <c r="BS136" i="12"/>
  <c r="BT136" i="12"/>
  <c r="BU136" i="12"/>
  <c r="BP137" i="12"/>
  <c r="BQ137" i="12"/>
  <c r="BR137" i="12"/>
  <c r="BS137" i="12"/>
  <c r="BT137" i="12"/>
  <c r="BU137" i="12"/>
  <c r="BP138" i="12"/>
  <c r="BQ138" i="12"/>
  <c r="BR138" i="12"/>
  <c r="BS138" i="12"/>
  <c r="BT138" i="12"/>
  <c r="BU138" i="12"/>
  <c r="BP139" i="12"/>
  <c r="BQ139" i="12"/>
  <c r="BR139" i="12"/>
  <c r="BS139" i="12"/>
  <c r="BT139" i="12"/>
  <c r="BU139" i="12"/>
  <c r="BP140" i="12"/>
  <c r="BQ140" i="12"/>
  <c r="BR140" i="12"/>
  <c r="BS140" i="12"/>
  <c r="BT140" i="12"/>
  <c r="BU140" i="12"/>
  <c r="BP141" i="12"/>
  <c r="BQ141" i="12"/>
  <c r="BR141" i="12"/>
  <c r="BS141" i="12"/>
  <c r="BT141" i="12"/>
  <c r="BU141" i="12"/>
  <c r="BP142" i="12"/>
  <c r="BQ142" i="12"/>
  <c r="BR142" i="12"/>
  <c r="BS142" i="12"/>
  <c r="BT142" i="12"/>
  <c r="BU142" i="12"/>
  <c r="BP143" i="12"/>
  <c r="BQ143" i="12"/>
  <c r="BR143" i="12"/>
  <c r="BS143" i="12"/>
  <c r="BT143" i="12"/>
  <c r="BU143" i="12"/>
  <c r="BP144" i="12"/>
  <c r="BQ144" i="12"/>
  <c r="BR144" i="12"/>
  <c r="BS144" i="12"/>
  <c r="BT144" i="12"/>
  <c r="BU144" i="12"/>
  <c r="BP145" i="12"/>
  <c r="BQ145" i="12"/>
  <c r="BR145" i="12"/>
  <c r="BS145" i="12"/>
  <c r="BT145" i="12"/>
  <c r="BU145" i="12"/>
  <c r="BP146" i="12"/>
  <c r="BQ146" i="12"/>
  <c r="BR146" i="12"/>
  <c r="BS146" i="12"/>
  <c r="BT146" i="12"/>
  <c r="BU146" i="12"/>
  <c r="BP147" i="12"/>
  <c r="BQ147" i="12"/>
  <c r="BR147" i="12"/>
  <c r="BS147" i="12"/>
  <c r="BT147" i="12"/>
  <c r="BU147" i="12"/>
  <c r="BP148" i="12"/>
  <c r="BQ148" i="12"/>
  <c r="BR148" i="12"/>
  <c r="BS148" i="12"/>
  <c r="BT148" i="12"/>
  <c r="BU148" i="12"/>
  <c r="BP149" i="12"/>
  <c r="BQ149" i="12"/>
  <c r="BR149" i="12"/>
  <c r="BS149" i="12"/>
  <c r="BT149" i="12"/>
  <c r="BU149" i="12"/>
  <c r="BP150" i="12"/>
  <c r="BQ150" i="12"/>
  <c r="BR150" i="12"/>
  <c r="BS150" i="12"/>
  <c r="BT150" i="12"/>
  <c r="BU150" i="12"/>
  <c r="BP151" i="12"/>
  <c r="BQ151" i="12"/>
  <c r="BR151" i="12"/>
  <c r="BS151" i="12"/>
  <c r="BT151" i="12"/>
  <c r="BU151" i="12"/>
  <c r="BP152" i="12"/>
  <c r="BQ152" i="12"/>
  <c r="BR152" i="12"/>
  <c r="BS152" i="12"/>
  <c r="BT152" i="12"/>
  <c r="BU152" i="12"/>
  <c r="BP153" i="12"/>
  <c r="BQ153" i="12"/>
  <c r="BR153" i="12"/>
  <c r="BS153" i="12"/>
  <c r="BT153" i="12"/>
  <c r="BU153" i="12"/>
  <c r="BP154" i="12"/>
  <c r="BQ154" i="12"/>
  <c r="BR154" i="12"/>
  <c r="BS154" i="12"/>
  <c r="BT154" i="12"/>
  <c r="BU154" i="12"/>
  <c r="BP155" i="12"/>
  <c r="BQ155" i="12"/>
  <c r="BR155" i="12"/>
  <c r="BS155" i="12"/>
  <c r="BT155" i="12"/>
  <c r="BU155" i="12"/>
  <c r="BP156" i="12"/>
  <c r="BQ156" i="12"/>
  <c r="BR156" i="12"/>
  <c r="BS156" i="12"/>
  <c r="BT156" i="12"/>
  <c r="BU156" i="12"/>
  <c r="BP157" i="12"/>
  <c r="BQ157" i="12"/>
  <c r="BR157" i="12"/>
  <c r="BS157" i="12"/>
  <c r="BT157" i="12"/>
  <c r="BU157" i="12"/>
  <c r="BP158" i="12"/>
  <c r="BQ158" i="12"/>
  <c r="BR158" i="12"/>
  <c r="BS158" i="12"/>
  <c r="BT158" i="12"/>
  <c r="BU158" i="12"/>
  <c r="BP159" i="12"/>
  <c r="BQ159" i="12"/>
  <c r="BR159" i="12"/>
  <c r="BS159" i="12"/>
  <c r="BT159" i="12"/>
  <c r="BU159" i="12"/>
  <c r="BP160" i="12"/>
  <c r="BQ160" i="12"/>
  <c r="BR160" i="12"/>
  <c r="BS160" i="12"/>
  <c r="BT160" i="12"/>
  <c r="BU160" i="12"/>
  <c r="BP161" i="12"/>
  <c r="BQ161" i="12"/>
  <c r="BR161" i="12"/>
  <c r="BS161" i="12"/>
  <c r="BT161" i="12"/>
  <c r="BU161" i="12"/>
  <c r="BP162" i="12"/>
  <c r="BQ162" i="12"/>
  <c r="BR162" i="12"/>
  <c r="BS162" i="12"/>
  <c r="BT162" i="12"/>
  <c r="BU162" i="12"/>
  <c r="BP163" i="12"/>
  <c r="BQ163" i="12"/>
  <c r="BR163" i="12"/>
  <c r="BS163" i="12"/>
  <c r="BT163" i="12"/>
  <c r="BU163" i="12"/>
  <c r="BP164" i="12"/>
  <c r="BQ164" i="12"/>
  <c r="BR164" i="12"/>
  <c r="BS164" i="12"/>
  <c r="BT164" i="12"/>
  <c r="BU164" i="12"/>
  <c r="BP165" i="12"/>
  <c r="BQ165" i="12"/>
  <c r="BR165" i="12"/>
  <c r="BS165" i="12"/>
  <c r="BT165" i="12"/>
  <c r="BU165" i="12"/>
  <c r="BP166" i="12"/>
  <c r="BQ166" i="12"/>
  <c r="BR166" i="12"/>
  <c r="BS166" i="12"/>
  <c r="BT166" i="12"/>
  <c r="BU166" i="12"/>
  <c r="BP167" i="12"/>
  <c r="BQ167" i="12"/>
  <c r="BR167" i="12"/>
  <c r="BS167" i="12"/>
  <c r="BT167" i="12"/>
  <c r="BU167" i="12"/>
  <c r="BP168" i="12"/>
  <c r="BQ168" i="12"/>
  <c r="BR168" i="12"/>
  <c r="BS168" i="12"/>
  <c r="BT168" i="12"/>
  <c r="BU168" i="12"/>
  <c r="BP169" i="12"/>
  <c r="BQ169" i="12"/>
  <c r="BR169" i="12"/>
  <c r="BS169" i="12"/>
  <c r="BT169" i="12"/>
  <c r="BU169" i="12"/>
  <c r="BP170" i="12"/>
  <c r="BQ170" i="12"/>
  <c r="BR170" i="12"/>
  <c r="BS170" i="12"/>
  <c r="BT170" i="12"/>
  <c r="BU170" i="12"/>
  <c r="BP171" i="12"/>
  <c r="BQ171" i="12"/>
  <c r="BR171" i="12"/>
  <c r="BS171" i="12"/>
  <c r="BT171" i="12"/>
  <c r="BU171" i="12"/>
  <c r="BP172" i="12"/>
  <c r="BQ172" i="12"/>
  <c r="BR172" i="12"/>
  <c r="BS172" i="12"/>
  <c r="BT172" i="12"/>
  <c r="BU172" i="12"/>
  <c r="BP173" i="12"/>
  <c r="BQ173" i="12"/>
  <c r="BR173" i="12"/>
  <c r="BS173" i="12"/>
  <c r="BT173" i="12"/>
  <c r="BU173" i="12"/>
  <c r="BP174" i="12"/>
  <c r="BQ174" i="12"/>
  <c r="BR174" i="12"/>
  <c r="BS174" i="12"/>
  <c r="BT174" i="12"/>
  <c r="BU174" i="12"/>
  <c r="BP175" i="12"/>
  <c r="BQ175" i="12"/>
  <c r="BR175" i="12"/>
  <c r="BS175" i="12"/>
  <c r="BT175" i="12"/>
  <c r="BU175" i="12"/>
  <c r="BP176" i="12"/>
  <c r="BQ176" i="12"/>
  <c r="BR176" i="12"/>
  <c r="BS176" i="12"/>
  <c r="BT176" i="12"/>
  <c r="BU176" i="12"/>
  <c r="BP177" i="12"/>
  <c r="BQ177" i="12"/>
  <c r="BR177" i="12"/>
  <c r="BS177" i="12"/>
  <c r="BT177" i="12"/>
  <c r="BU177" i="12"/>
  <c r="BP178" i="12"/>
  <c r="BQ178" i="12"/>
  <c r="BR178" i="12"/>
  <c r="BS178" i="12"/>
  <c r="BT178" i="12"/>
  <c r="BU178" i="12"/>
  <c r="BP179" i="12"/>
  <c r="BQ179" i="12"/>
  <c r="BR179" i="12"/>
  <c r="BS179" i="12"/>
  <c r="BT179" i="12"/>
  <c r="BU179" i="12"/>
  <c r="BP180" i="12"/>
  <c r="BQ180" i="12"/>
  <c r="BR180" i="12"/>
  <c r="BS180" i="12"/>
  <c r="BT180" i="12"/>
  <c r="BU180" i="12"/>
  <c r="BP181" i="12"/>
  <c r="BQ181" i="12"/>
  <c r="BR181" i="12"/>
  <c r="BS181" i="12"/>
  <c r="BT181" i="12"/>
  <c r="BU181" i="12"/>
  <c r="BP182" i="12"/>
  <c r="BQ182" i="12"/>
  <c r="BR182" i="12"/>
  <c r="BS182" i="12"/>
  <c r="BT182" i="12"/>
  <c r="BU182" i="12"/>
  <c r="BP183" i="12"/>
  <c r="BQ183" i="12"/>
  <c r="BR183" i="12"/>
  <c r="BS183" i="12"/>
  <c r="BT183" i="12"/>
  <c r="BU183" i="12"/>
  <c r="BP184" i="12"/>
  <c r="BQ184" i="12"/>
  <c r="BR184" i="12"/>
  <c r="BS184" i="12"/>
  <c r="BT184" i="12"/>
  <c r="BU184" i="12"/>
  <c r="BP185" i="12"/>
  <c r="BQ185" i="12"/>
  <c r="BR185" i="12"/>
  <c r="BS185" i="12"/>
  <c r="BT185" i="12"/>
  <c r="BU185" i="12"/>
  <c r="BP186" i="12"/>
  <c r="BQ186" i="12"/>
  <c r="BR186" i="12"/>
  <c r="BS186" i="12"/>
  <c r="BT186" i="12"/>
  <c r="BU186" i="12"/>
  <c r="BP187" i="12"/>
  <c r="BQ187" i="12"/>
  <c r="BR187" i="12"/>
  <c r="BS187" i="12"/>
  <c r="BT187" i="12"/>
  <c r="BU187" i="12"/>
  <c r="BP188" i="12"/>
  <c r="BQ188" i="12"/>
  <c r="BR188" i="12"/>
  <c r="BS188" i="12"/>
  <c r="BT188" i="12"/>
  <c r="BU188" i="12"/>
  <c r="BP189" i="12"/>
  <c r="BQ189" i="12"/>
  <c r="BR189" i="12"/>
  <c r="BS189" i="12"/>
  <c r="BT189" i="12"/>
  <c r="BU189" i="12"/>
  <c r="BP190" i="12"/>
  <c r="BQ190" i="12"/>
  <c r="BR190" i="12"/>
  <c r="BS190" i="12"/>
  <c r="BT190" i="12"/>
  <c r="BU190" i="12"/>
  <c r="BP191" i="12"/>
  <c r="BQ191" i="12"/>
  <c r="BR191" i="12"/>
  <c r="BS191" i="12"/>
  <c r="BT191" i="12"/>
  <c r="BU191" i="12"/>
  <c r="BP192" i="12"/>
  <c r="BQ192" i="12"/>
  <c r="BR192" i="12"/>
  <c r="BS192" i="12"/>
  <c r="BT192" i="12"/>
  <c r="BU192" i="12"/>
  <c r="BP193" i="12"/>
  <c r="BQ193" i="12"/>
  <c r="BR193" i="12"/>
  <c r="BS193" i="12"/>
  <c r="BT193" i="12"/>
  <c r="BU193" i="12"/>
  <c r="BP194" i="12"/>
  <c r="BQ194" i="12"/>
  <c r="BR194" i="12"/>
  <c r="BS194" i="12"/>
  <c r="BT194" i="12"/>
  <c r="BU194" i="12"/>
  <c r="BP195" i="12"/>
  <c r="BQ195" i="12"/>
  <c r="BR195" i="12"/>
  <c r="BS195" i="12"/>
  <c r="BT195" i="12"/>
  <c r="BU195" i="12"/>
  <c r="BP196" i="12"/>
  <c r="BQ196" i="12"/>
  <c r="BR196" i="12"/>
  <c r="BS196" i="12"/>
  <c r="BT196" i="12"/>
  <c r="BU196" i="12"/>
  <c r="BP197" i="12"/>
  <c r="BQ197" i="12"/>
  <c r="BR197" i="12"/>
  <c r="BS197" i="12"/>
  <c r="BT197" i="12"/>
  <c r="BU197" i="12"/>
  <c r="BP198" i="12"/>
  <c r="BQ198" i="12"/>
  <c r="BR198" i="12"/>
  <c r="BS198" i="12"/>
  <c r="BT198" i="12"/>
  <c r="BU198" i="12"/>
  <c r="BP199" i="12"/>
  <c r="BQ199" i="12"/>
  <c r="BR199" i="12"/>
  <c r="BS199" i="12"/>
  <c r="BT199" i="12"/>
  <c r="BU199" i="12"/>
  <c r="BP200" i="12"/>
  <c r="BQ200" i="12"/>
  <c r="BR200" i="12"/>
  <c r="BS200" i="12"/>
  <c r="BT200" i="12"/>
  <c r="BU200" i="12"/>
  <c r="BP201" i="12"/>
  <c r="BQ201" i="12"/>
  <c r="BR201" i="12"/>
  <c r="BS201" i="12"/>
  <c r="BT201" i="12"/>
  <c r="BU201" i="12"/>
  <c r="BP202" i="12"/>
  <c r="BQ202" i="12"/>
  <c r="BR202" i="12"/>
  <c r="BS202" i="12"/>
  <c r="BT202" i="12"/>
  <c r="BU202" i="12"/>
  <c r="BP203" i="12"/>
  <c r="BQ203" i="12"/>
  <c r="BR203" i="12"/>
  <c r="BS203" i="12"/>
  <c r="BT203" i="12"/>
  <c r="BU203" i="12"/>
  <c r="BP204" i="12"/>
  <c r="BQ204" i="12"/>
  <c r="BR204" i="12"/>
  <c r="BS204" i="12"/>
  <c r="BT204" i="12"/>
  <c r="BU204" i="12"/>
  <c r="BP205" i="12"/>
  <c r="BQ205" i="12"/>
  <c r="BR205" i="12"/>
  <c r="BS205" i="12"/>
  <c r="BT205" i="12"/>
  <c r="BU205" i="12"/>
  <c r="BP206" i="12"/>
  <c r="BQ206" i="12"/>
  <c r="BR206" i="12"/>
  <c r="BS206" i="12"/>
  <c r="BT206" i="12"/>
  <c r="BU206" i="12"/>
  <c r="BP207" i="12"/>
  <c r="BQ207" i="12"/>
  <c r="BR207" i="12"/>
  <c r="BS207" i="12"/>
  <c r="BT207" i="12"/>
  <c r="BU207" i="12"/>
  <c r="BP208" i="12"/>
  <c r="BQ208" i="12"/>
  <c r="BR208" i="12"/>
  <c r="BS208" i="12"/>
  <c r="BT208" i="12"/>
  <c r="BU208" i="12"/>
  <c r="BP209" i="12"/>
  <c r="BQ209" i="12"/>
  <c r="BR209" i="12"/>
  <c r="BS209" i="12"/>
  <c r="BT209" i="12"/>
  <c r="BU209" i="12"/>
  <c r="BP210" i="12"/>
  <c r="BQ210" i="12"/>
  <c r="BR210" i="12"/>
  <c r="BS210" i="12"/>
  <c r="BT210" i="12"/>
  <c r="BU210" i="12"/>
  <c r="BP211" i="12"/>
  <c r="BQ211" i="12"/>
  <c r="BR211" i="12"/>
  <c r="BS211" i="12"/>
  <c r="BT211" i="12"/>
  <c r="BU211" i="12"/>
  <c r="BP212" i="12"/>
  <c r="BQ212" i="12"/>
  <c r="BR212" i="12"/>
  <c r="BS212" i="12"/>
  <c r="BT212" i="12"/>
  <c r="BU212" i="12"/>
  <c r="BP213" i="12"/>
  <c r="BQ213" i="12"/>
  <c r="BR213" i="12"/>
  <c r="BS213" i="12"/>
  <c r="BT213" i="12"/>
  <c r="BU213" i="12"/>
  <c r="BP214" i="12"/>
  <c r="BQ214" i="12"/>
  <c r="BR214" i="12"/>
  <c r="BS214" i="12"/>
  <c r="BT214" i="12"/>
  <c r="BU214" i="12"/>
  <c r="BP215" i="12"/>
  <c r="BQ215" i="12"/>
  <c r="BR215" i="12"/>
  <c r="BS215" i="12"/>
  <c r="BT215" i="12"/>
  <c r="BU215" i="12"/>
  <c r="BP216" i="12"/>
  <c r="BQ216" i="12"/>
  <c r="BR216" i="12"/>
  <c r="BS216" i="12"/>
  <c r="BT216" i="12"/>
  <c r="BU216" i="12"/>
  <c r="BP217" i="12"/>
  <c r="BQ217" i="12"/>
  <c r="BR217" i="12"/>
  <c r="BS217" i="12"/>
  <c r="BT217" i="12"/>
  <c r="BU217" i="12"/>
  <c r="BP218" i="12"/>
  <c r="BQ218" i="12"/>
  <c r="BR218" i="12"/>
  <c r="BS218" i="12"/>
  <c r="BT218" i="12"/>
  <c r="BU218" i="12"/>
  <c r="BP219" i="12"/>
  <c r="BQ219" i="12"/>
  <c r="BR219" i="12"/>
  <c r="BS219" i="12"/>
  <c r="BT219" i="12"/>
  <c r="BU219" i="12"/>
  <c r="BP220" i="12"/>
  <c r="BQ220" i="12"/>
  <c r="BR220" i="12"/>
  <c r="BS220" i="12"/>
  <c r="BT220" i="12"/>
  <c r="BU220" i="12"/>
  <c r="BP221" i="12"/>
  <c r="BQ221" i="12"/>
  <c r="BR221" i="12"/>
  <c r="BS221" i="12"/>
  <c r="BT221" i="12"/>
  <c r="BU221" i="12"/>
  <c r="BP222" i="12"/>
  <c r="BQ222" i="12"/>
  <c r="BR222" i="12"/>
  <c r="BS222" i="12"/>
  <c r="BT222" i="12"/>
  <c r="BU222" i="12"/>
  <c r="BP223" i="12"/>
  <c r="BQ223" i="12"/>
  <c r="BR223" i="12"/>
  <c r="BS223" i="12"/>
  <c r="BT223" i="12"/>
  <c r="BU223" i="12"/>
  <c r="BP224" i="12"/>
  <c r="BQ224" i="12"/>
  <c r="BR224" i="12"/>
  <c r="BS224" i="12"/>
  <c r="BT224" i="12"/>
  <c r="BU224" i="12"/>
  <c r="BP225" i="12"/>
  <c r="BQ225" i="12"/>
  <c r="BR225" i="12"/>
  <c r="BS225" i="12"/>
  <c r="BT225" i="12"/>
  <c r="BU225" i="12"/>
  <c r="BP226" i="12"/>
  <c r="BQ226" i="12"/>
  <c r="BR226" i="12"/>
  <c r="BS226" i="12"/>
  <c r="BT226" i="12"/>
  <c r="BU226" i="12"/>
  <c r="BP227" i="12"/>
  <c r="BQ227" i="12"/>
  <c r="BR227" i="12"/>
  <c r="BS227" i="12"/>
  <c r="BT227" i="12"/>
  <c r="BU227" i="12"/>
  <c r="BP228" i="12"/>
  <c r="BQ228" i="12"/>
  <c r="BR228" i="12"/>
  <c r="BS228" i="12"/>
  <c r="BT228" i="12"/>
  <c r="BU228" i="12"/>
  <c r="BP229" i="12"/>
  <c r="BQ229" i="12"/>
  <c r="BR229" i="12"/>
  <c r="BS229" i="12"/>
  <c r="BT229" i="12"/>
  <c r="BU229" i="12"/>
  <c r="BP230" i="12"/>
  <c r="BQ230" i="12"/>
  <c r="BR230" i="12"/>
  <c r="BS230" i="12"/>
  <c r="BT230" i="12"/>
  <c r="BU230" i="12"/>
  <c r="BP231" i="12"/>
  <c r="BQ231" i="12"/>
  <c r="BR231" i="12"/>
  <c r="BS231" i="12"/>
  <c r="BT231" i="12"/>
  <c r="BU231" i="12"/>
  <c r="BP232" i="12"/>
  <c r="BQ232" i="12"/>
  <c r="BR232" i="12"/>
  <c r="BS232" i="12"/>
  <c r="BT232" i="12"/>
  <c r="BU232" i="12"/>
  <c r="BP233" i="12"/>
  <c r="BQ233" i="12"/>
  <c r="BR233" i="12"/>
  <c r="BS233" i="12"/>
  <c r="BT233" i="12"/>
  <c r="BU233" i="12"/>
  <c r="BP234" i="12"/>
  <c r="BQ234" i="12"/>
  <c r="BR234" i="12"/>
  <c r="BS234" i="12"/>
  <c r="BT234" i="12"/>
  <c r="BU234" i="12"/>
  <c r="BP235" i="12"/>
  <c r="BQ235" i="12"/>
  <c r="BR235" i="12"/>
  <c r="BS235" i="12"/>
  <c r="BT235" i="12"/>
  <c r="BU235" i="12"/>
  <c r="BP236" i="12"/>
  <c r="BQ236" i="12"/>
  <c r="BR236" i="12"/>
  <c r="BS236" i="12"/>
  <c r="BT236" i="12"/>
  <c r="BU236" i="12"/>
  <c r="BP237" i="12"/>
  <c r="BQ237" i="12"/>
  <c r="BR237" i="12"/>
  <c r="BS237" i="12"/>
  <c r="BT237" i="12"/>
  <c r="BU237" i="12"/>
  <c r="BP238" i="12"/>
  <c r="BQ238" i="12"/>
  <c r="BR238" i="12"/>
  <c r="BS238" i="12"/>
  <c r="BT238" i="12"/>
  <c r="BU238" i="12"/>
  <c r="BP239" i="12"/>
  <c r="BQ239" i="12"/>
  <c r="BR239" i="12"/>
  <c r="BS239" i="12"/>
  <c r="BT239" i="12"/>
  <c r="BU239" i="12"/>
  <c r="BP240" i="12"/>
  <c r="BQ240" i="12"/>
  <c r="BR240" i="12"/>
  <c r="BS240" i="12"/>
  <c r="BT240" i="12"/>
  <c r="BU240" i="12"/>
  <c r="BP241" i="12"/>
  <c r="BQ241" i="12"/>
  <c r="BR241" i="12"/>
  <c r="BS241" i="12"/>
  <c r="BT241" i="12"/>
  <c r="BU241" i="12"/>
  <c r="BP242" i="12"/>
  <c r="BQ242" i="12"/>
  <c r="BR242" i="12"/>
  <c r="BS242" i="12"/>
  <c r="BT242" i="12"/>
  <c r="BU242" i="12"/>
  <c r="BP243" i="12"/>
  <c r="BQ243" i="12"/>
  <c r="BR243" i="12"/>
  <c r="BS243" i="12"/>
  <c r="BT243" i="12"/>
  <c r="BU243" i="12"/>
  <c r="BP244" i="12"/>
  <c r="BQ244" i="12"/>
  <c r="BR244" i="12"/>
  <c r="BS244" i="12"/>
  <c r="BT244" i="12"/>
  <c r="BU244" i="12"/>
  <c r="BP245" i="12"/>
  <c r="BQ245" i="12"/>
  <c r="BR245" i="12"/>
  <c r="BS245" i="12"/>
  <c r="BT245" i="12"/>
  <c r="BU245" i="12"/>
  <c r="BP246" i="12"/>
  <c r="BQ246" i="12"/>
  <c r="BR246" i="12"/>
  <c r="BS246" i="12"/>
  <c r="BT246" i="12"/>
  <c r="BU246" i="12"/>
  <c r="BP247" i="12"/>
  <c r="BQ247" i="12"/>
  <c r="BR247" i="12"/>
  <c r="BS247" i="12"/>
  <c r="BT247" i="12"/>
  <c r="BU247" i="12"/>
  <c r="BP248" i="12"/>
  <c r="BQ248" i="12"/>
  <c r="BR248" i="12"/>
  <c r="BS248" i="12"/>
  <c r="BT248" i="12"/>
  <c r="BU248" i="12"/>
  <c r="BP249" i="12"/>
  <c r="BQ249" i="12"/>
  <c r="BR249" i="12"/>
  <c r="BS249" i="12"/>
  <c r="BT249" i="12"/>
  <c r="BU249" i="12"/>
  <c r="BP250" i="12"/>
  <c r="BQ250" i="12"/>
  <c r="BR250" i="12"/>
  <c r="BS250" i="12"/>
  <c r="BT250" i="12"/>
  <c r="BU250" i="12"/>
  <c r="BP251" i="12"/>
  <c r="BQ251" i="12"/>
  <c r="BR251" i="12"/>
  <c r="BS251" i="12"/>
  <c r="BT251" i="12"/>
  <c r="BU251" i="12"/>
  <c r="BP252" i="12"/>
  <c r="BQ252" i="12"/>
  <c r="BR252" i="12"/>
  <c r="BS252" i="12"/>
  <c r="BT252" i="12"/>
  <c r="BU252" i="12"/>
  <c r="BP253" i="12"/>
  <c r="BQ253" i="12"/>
  <c r="BR253" i="12"/>
  <c r="BS253" i="12"/>
  <c r="BT253" i="12"/>
  <c r="BU253" i="12"/>
  <c r="BP254" i="12"/>
  <c r="BQ254" i="12"/>
  <c r="BR254" i="12"/>
  <c r="BS254" i="12"/>
  <c r="BT254" i="12"/>
  <c r="BU254" i="12"/>
  <c r="BP255" i="12"/>
  <c r="BQ255" i="12"/>
  <c r="BR255" i="12"/>
  <c r="BS255" i="12"/>
  <c r="BT255" i="12"/>
  <c r="BU255" i="12"/>
  <c r="BP256" i="12"/>
  <c r="BQ256" i="12"/>
  <c r="BR256" i="12"/>
  <c r="BS256" i="12"/>
  <c r="BT256" i="12"/>
  <c r="BU256" i="12"/>
  <c r="BP257" i="12"/>
  <c r="BQ257" i="12"/>
  <c r="BR257" i="12"/>
  <c r="BS257" i="12"/>
  <c r="BT257" i="12"/>
  <c r="BU257" i="12"/>
  <c r="BP258" i="12"/>
  <c r="BQ258" i="12"/>
  <c r="BR258" i="12"/>
  <c r="BS258" i="12"/>
  <c r="BT258" i="12"/>
  <c r="BU258" i="12"/>
  <c r="BP259" i="12"/>
  <c r="BQ259" i="12"/>
  <c r="BR259" i="12"/>
  <c r="BS259" i="12"/>
  <c r="BT259" i="12"/>
  <c r="BU259" i="12"/>
  <c r="BP260" i="12"/>
  <c r="BQ260" i="12"/>
  <c r="BR260" i="12"/>
  <c r="BS260" i="12"/>
  <c r="BT260" i="12"/>
  <c r="BU260" i="12"/>
  <c r="BP261" i="12"/>
  <c r="BQ261" i="12"/>
  <c r="BR261" i="12"/>
  <c r="BS261" i="12"/>
  <c r="BT261" i="12"/>
  <c r="BU261" i="12"/>
  <c r="BP262" i="12"/>
  <c r="BQ262" i="12"/>
  <c r="BR262" i="12"/>
  <c r="BS262" i="12"/>
  <c r="BT262" i="12"/>
  <c r="BU262" i="12"/>
  <c r="BP263" i="12"/>
  <c r="BQ263" i="12"/>
  <c r="BR263" i="12"/>
  <c r="BS263" i="12"/>
  <c r="BT263" i="12"/>
  <c r="BU263" i="12"/>
  <c r="BP264" i="12"/>
  <c r="BQ264" i="12"/>
  <c r="BR264" i="12"/>
  <c r="BS264" i="12"/>
  <c r="BT264" i="12"/>
  <c r="BU264" i="12"/>
  <c r="BP265" i="12"/>
  <c r="BQ265" i="12"/>
  <c r="BR265" i="12"/>
  <c r="BS265" i="12"/>
  <c r="BT265" i="12"/>
  <c r="BU265" i="12"/>
  <c r="BP266" i="12"/>
  <c r="BQ266" i="12"/>
  <c r="BR266" i="12"/>
  <c r="BS266" i="12"/>
  <c r="BT266" i="12"/>
  <c r="BU266" i="12"/>
  <c r="BP267" i="12"/>
  <c r="BQ267" i="12"/>
  <c r="BR267" i="12"/>
  <c r="BS267" i="12"/>
  <c r="BT267" i="12"/>
  <c r="BU267" i="12"/>
  <c r="BP268" i="12"/>
  <c r="BQ268" i="12"/>
  <c r="BR268" i="12"/>
  <c r="BS268" i="12"/>
  <c r="BT268" i="12"/>
  <c r="BU268" i="12"/>
  <c r="BP269" i="12"/>
  <c r="BQ269" i="12"/>
  <c r="BR269" i="12"/>
  <c r="BS269" i="12"/>
  <c r="BT269" i="12"/>
  <c r="BU269" i="12"/>
  <c r="BP270" i="12"/>
  <c r="BQ270" i="12"/>
  <c r="BR270" i="12"/>
  <c r="BS270" i="12"/>
  <c r="BT270" i="12"/>
  <c r="BU270" i="12"/>
  <c r="BP271" i="12"/>
  <c r="BQ271" i="12"/>
  <c r="BR271" i="12"/>
  <c r="BS271" i="12"/>
  <c r="BT271" i="12"/>
  <c r="BU271" i="12"/>
  <c r="BP272" i="12"/>
  <c r="BQ272" i="12"/>
  <c r="BR272" i="12"/>
  <c r="BS272" i="12"/>
  <c r="BT272" i="12"/>
  <c r="BU272" i="12"/>
  <c r="BP273" i="12"/>
  <c r="BQ273" i="12"/>
  <c r="BR273" i="12"/>
  <c r="BS273" i="12"/>
  <c r="BT273" i="12"/>
  <c r="BU273" i="12"/>
  <c r="BP274" i="12"/>
  <c r="BQ274" i="12"/>
  <c r="BR274" i="12"/>
  <c r="BS274" i="12"/>
  <c r="BT274" i="12"/>
  <c r="BU274" i="12"/>
  <c r="BP275" i="12"/>
  <c r="BQ275" i="12"/>
  <c r="BR275" i="12"/>
  <c r="BS275" i="12"/>
  <c r="BT275" i="12"/>
  <c r="BU275" i="12"/>
  <c r="BP276" i="12"/>
  <c r="BQ276" i="12"/>
  <c r="BR276" i="12"/>
  <c r="BS276" i="12"/>
  <c r="BT276" i="12"/>
  <c r="BU276" i="12"/>
  <c r="BP277" i="12"/>
  <c r="BQ277" i="12"/>
  <c r="BR277" i="12"/>
  <c r="BS277" i="12"/>
  <c r="BT277" i="12"/>
  <c r="BU277" i="12"/>
  <c r="BP278" i="12"/>
  <c r="BQ278" i="12"/>
  <c r="BR278" i="12"/>
  <c r="BS278" i="12"/>
  <c r="BT278" i="12"/>
  <c r="BU278" i="12"/>
  <c r="BP279" i="12"/>
  <c r="BQ279" i="12"/>
  <c r="BR279" i="12"/>
  <c r="BS279" i="12"/>
  <c r="BT279" i="12"/>
  <c r="BU279" i="12"/>
  <c r="BP280" i="12"/>
  <c r="BQ280" i="12"/>
  <c r="BR280" i="12"/>
  <c r="BS280" i="12"/>
  <c r="BT280" i="12"/>
  <c r="BU280" i="12"/>
  <c r="BP281" i="12"/>
  <c r="BQ281" i="12"/>
  <c r="BR281" i="12"/>
  <c r="BS281" i="12"/>
  <c r="BT281" i="12"/>
  <c r="BU281" i="12"/>
  <c r="BP282" i="12"/>
  <c r="BQ282" i="12"/>
  <c r="BR282" i="12"/>
  <c r="BS282" i="12"/>
  <c r="BT282" i="12"/>
  <c r="BU282" i="12"/>
  <c r="BP283" i="12"/>
  <c r="BQ283" i="12"/>
  <c r="BR283" i="12"/>
  <c r="BS283" i="12"/>
  <c r="BT283" i="12"/>
  <c r="BU283" i="12"/>
  <c r="BP284" i="12"/>
  <c r="BQ284" i="12"/>
  <c r="BR284" i="12"/>
  <c r="BS284" i="12"/>
  <c r="BT284" i="12"/>
  <c r="BU284" i="12"/>
  <c r="BP285" i="12"/>
  <c r="BQ285" i="12"/>
  <c r="BR285" i="12"/>
  <c r="BS285" i="12"/>
  <c r="BT285" i="12"/>
  <c r="BU285" i="12"/>
  <c r="BP286" i="12"/>
  <c r="BQ286" i="12"/>
  <c r="BR286" i="12"/>
  <c r="BS286" i="12"/>
  <c r="BT286" i="12"/>
  <c r="BU286" i="12"/>
  <c r="BP287" i="12"/>
  <c r="BQ287" i="12"/>
  <c r="BR287" i="12"/>
  <c r="BS287" i="12"/>
  <c r="BT287" i="12"/>
  <c r="BU287" i="12"/>
  <c r="BP288" i="12"/>
  <c r="BQ288" i="12"/>
  <c r="BR288" i="12"/>
  <c r="BS288" i="12"/>
  <c r="BT288" i="12"/>
  <c r="BU288" i="12"/>
  <c r="BP289" i="12"/>
  <c r="BQ289" i="12"/>
  <c r="BR289" i="12"/>
  <c r="BS289" i="12"/>
  <c r="BT289" i="12"/>
  <c r="BU289" i="12"/>
  <c r="BP290" i="12"/>
  <c r="BQ290" i="12"/>
  <c r="BR290" i="12"/>
  <c r="BS290" i="12"/>
  <c r="BT290" i="12"/>
  <c r="BU290" i="12"/>
  <c r="BP291" i="12"/>
  <c r="BQ291" i="12"/>
  <c r="BR291" i="12"/>
  <c r="BS291" i="12"/>
  <c r="BT291" i="12"/>
  <c r="BU291" i="12"/>
  <c r="BP292" i="12"/>
  <c r="BQ292" i="12"/>
  <c r="BR292" i="12"/>
  <c r="BS292" i="12"/>
  <c r="BT292" i="12"/>
  <c r="BU292" i="12"/>
  <c r="BP293" i="12"/>
  <c r="BQ293" i="12"/>
  <c r="BR293" i="12"/>
  <c r="BS293" i="12"/>
  <c r="BT293" i="12"/>
  <c r="BU293" i="12"/>
  <c r="BP294" i="12"/>
  <c r="BQ294" i="12"/>
  <c r="BR294" i="12"/>
  <c r="BS294" i="12"/>
  <c r="BT294" i="12"/>
  <c r="BU294" i="12"/>
  <c r="BP295" i="12"/>
  <c r="BQ295" i="12"/>
  <c r="BR295" i="12"/>
  <c r="BS295" i="12"/>
  <c r="BT295" i="12"/>
  <c r="BU295" i="12"/>
  <c r="BP296" i="12"/>
  <c r="BQ296" i="12"/>
  <c r="BR296" i="12"/>
  <c r="BS296" i="12"/>
  <c r="BT296" i="12"/>
  <c r="BU296" i="12"/>
  <c r="BP297" i="12"/>
  <c r="BQ297" i="12"/>
  <c r="BR297" i="12"/>
  <c r="BS297" i="12"/>
  <c r="BT297" i="12"/>
  <c r="BU297" i="12"/>
  <c r="BP298" i="12"/>
  <c r="BQ298" i="12"/>
  <c r="BR298" i="12"/>
  <c r="BS298" i="12"/>
  <c r="BT298" i="12"/>
  <c r="BU298" i="12"/>
  <c r="BP299" i="12"/>
  <c r="BQ299" i="12"/>
  <c r="BR299" i="12"/>
  <c r="BS299" i="12"/>
  <c r="BT299" i="12"/>
  <c r="BU299" i="12"/>
  <c r="BP300" i="12"/>
  <c r="BQ300" i="12"/>
  <c r="BR300" i="12"/>
  <c r="BS300" i="12"/>
  <c r="BT300" i="12"/>
  <c r="BU300" i="12"/>
  <c r="BP301" i="12"/>
  <c r="BQ301" i="12"/>
  <c r="BR301" i="12"/>
  <c r="BS301" i="12"/>
  <c r="BT301" i="12"/>
  <c r="BU301" i="12"/>
  <c r="BP302" i="12"/>
  <c r="BQ302" i="12"/>
  <c r="BR302" i="12"/>
  <c r="BS302" i="12"/>
  <c r="BT302" i="12"/>
  <c r="BU302" i="12"/>
  <c r="BP303" i="12"/>
  <c r="BQ303" i="12"/>
  <c r="BR303" i="12"/>
  <c r="BS303" i="12"/>
  <c r="BT303" i="12"/>
  <c r="BU303" i="12"/>
  <c r="BP304" i="12"/>
  <c r="BQ304" i="12"/>
  <c r="BR304" i="12"/>
  <c r="BS304" i="12"/>
  <c r="BT304" i="12"/>
  <c r="BU304" i="12"/>
  <c r="BP305" i="12"/>
  <c r="BQ305" i="12"/>
  <c r="BR305" i="12"/>
  <c r="BS305" i="12"/>
  <c r="BT305" i="12"/>
  <c r="BU305" i="12"/>
  <c r="BP306" i="12"/>
  <c r="BQ306" i="12"/>
  <c r="BR306" i="12"/>
  <c r="BS306" i="12"/>
  <c r="BT306" i="12"/>
  <c r="BU306" i="12"/>
  <c r="BP307" i="12"/>
  <c r="BQ307" i="12"/>
  <c r="BR307" i="12"/>
  <c r="BS307" i="12"/>
  <c r="BT307" i="12"/>
  <c r="BU307" i="12"/>
  <c r="BP308" i="12"/>
  <c r="BQ308" i="12"/>
  <c r="BR308" i="12"/>
  <c r="BS308" i="12"/>
  <c r="BT308" i="12"/>
  <c r="BU308" i="12"/>
  <c r="BP309" i="12"/>
  <c r="BQ309" i="12"/>
  <c r="BR309" i="12"/>
  <c r="BS309" i="12"/>
  <c r="BT309" i="12"/>
  <c r="BU309" i="12"/>
  <c r="BP310" i="12"/>
  <c r="BQ310" i="12"/>
  <c r="BR310" i="12"/>
  <c r="BS310" i="12"/>
  <c r="BT310" i="12"/>
  <c r="BU310" i="12"/>
  <c r="BP311" i="12"/>
  <c r="BQ311" i="12"/>
  <c r="BR311" i="12"/>
  <c r="BS311" i="12"/>
  <c r="BT311" i="12"/>
  <c r="BU311" i="12"/>
  <c r="BP312" i="12"/>
  <c r="BQ312" i="12"/>
  <c r="BR312" i="12"/>
  <c r="BS312" i="12"/>
  <c r="BT312" i="12"/>
  <c r="BU312" i="12"/>
  <c r="BP313" i="12"/>
  <c r="BQ313" i="12"/>
  <c r="BR313" i="12"/>
  <c r="BS313" i="12"/>
  <c r="BT313" i="12"/>
  <c r="BU313" i="12"/>
  <c r="BP314" i="12"/>
  <c r="BQ314" i="12"/>
  <c r="BR314" i="12"/>
  <c r="BS314" i="12"/>
  <c r="BT314" i="12"/>
  <c r="BU314" i="12"/>
  <c r="BP315" i="12"/>
  <c r="BQ315" i="12"/>
  <c r="BR315" i="12"/>
  <c r="BS315" i="12"/>
  <c r="BT315" i="12"/>
  <c r="BU315" i="12"/>
  <c r="BP316" i="12"/>
  <c r="BQ316" i="12"/>
  <c r="BR316" i="12"/>
  <c r="BS316" i="12"/>
  <c r="BT316" i="12"/>
  <c r="BU316" i="12"/>
  <c r="BP317" i="12"/>
  <c r="BQ317" i="12"/>
  <c r="BR317" i="12"/>
  <c r="BS317" i="12"/>
  <c r="BT317" i="12"/>
  <c r="BU317" i="12"/>
  <c r="BP318" i="12"/>
  <c r="BQ318" i="12"/>
  <c r="BR318" i="12"/>
  <c r="BS318" i="12"/>
  <c r="BT318" i="12"/>
  <c r="BU318" i="12"/>
  <c r="BP319" i="12"/>
  <c r="BQ319" i="12"/>
  <c r="BR319" i="12"/>
  <c r="BS319" i="12"/>
  <c r="BT319" i="12"/>
  <c r="BU319" i="12"/>
  <c r="BP320" i="12"/>
  <c r="BQ320" i="12"/>
  <c r="BR320" i="12"/>
  <c r="BS320" i="12"/>
  <c r="BT320" i="12"/>
  <c r="BU320" i="12"/>
  <c r="BP321" i="12"/>
  <c r="BQ321" i="12"/>
  <c r="BR321" i="12"/>
  <c r="BS321" i="12"/>
  <c r="BT321" i="12"/>
  <c r="BU321" i="12"/>
  <c r="BP322" i="12"/>
  <c r="BQ322" i="12"/>
  <c r="BR322" i="12"/>
  <c r="BS322" i="12"/>
  <c r="BT322" i="12"/>
  <c r="BU322" i="12"/>
  <c r="BP323" i="12"/>
  <c r="BQ323" i="12"/>
  <c r="BR323" i="12"/>
  <c r="BS323" i="12"/>
  <c r="BT323" i="12"/>
  <c r="BU323" i="12"/>
  <c r="BP324" i="12"/>
  <c r="BQ324" i="12"/>
  <c r="BR324" i="12"/>
  <c r="BS324" i="12"/>
  <c r="BT324" i="12"/>
  <c r="BU324" i="12"/>
  <c r="BP325" i="12"/>
  <c r="BQ325" i="12"/>
  <c r="BR325" i="12"/>
  <c r="BS325" i="12"/>
  <c r="BT325" i="12"/>
  <c r="BU325" i="12"/>
  <c r="BP326" i="12"/>
  <c r="BQ326" i="12"/>
  <c r="BR326" i="12"/>
  <c r="BS326" i="12"/>
  <c r="BT326" i="12"/>
  <c r="BU326" i="12"/>
  <c r="BP3" i="12"/>
  <c r="BQ3" i="12"/>
  <c r="BR3" i="12"/>
  <c r="BS3" i="12"/>
  <c r="BT3" i="12"/>
  <c r="BU3" i="12"/>
  <c r="AZ3" i="12"/>
  <c r="BA3" i="12" s="1"/>
  <c r="AZ4" i="12"/>
  <c r="BA4" i="12" s="1"/>
  <c r="AZ5" i="12"/>
  <c r="BA5" i="12" s="1"/>
  <c r="BB5" i="12" s="1"/>
  <c r="AZ6" i="12"/>
  <c r="BA6" i="12" s="1"/>
  <c r="BB6" i="12" s="1"/>
  <c r="AZ7" i="12"/>
  <c r="BA7" i="12" s="1"/>
  <c r="AZ8" i="12"/>
  <c r="BA8" i="12" s="1"/>
  <c r="AZ9" i="12"/>
  <c r="BA9" i="12" s="1"/>
  <c r="BB9" i="12" s="1"/>
  <c r="AZ10" i="12"/>
  <c r="BA10" i="12" s="1"/>
  <c r="BB10" i="12" s="1"/>
  <c r="AZ11" i="12"/>
  <c r="BA11" i="12" s="1"/>
  <c r="AZ12" i="12"/>
  <c r="BA12" i="12" s="1"/>
  <c r="AZ13" i="12"/>
  <c r="BA13" i="12" s="1"/>
  <c r="BB13" i="12" s="1"/>
  <c r="AZ14" i="12"/>
  <c r="BA14" i="12" s="1"/>
  <c r="BB14" i="12" s="1"/>
  <c r="AZ15" i="12"/>
  <c r="BA15" i="12" s="1"/>
  <c r="AZ16" i="12"/>
  <c r="BA16" i="12" s="1"/>
  <c r="AZ17" i="12"/>
  <c r="BA17" i="12" s="1"/>
  <c r="BB17" i="12" s="1"/>
  <c r="AZ18" i="12"/>
  <c r="BA18" i="12" s="1"/>
  <c r="BB18" i="12" s="1"/>
  <c r="AZ19" i="12"/>
  <c r="BA19" i="12" s="1"/>
  <c r="AZ20" i="12"/>
  <c r="BA20" i="12" s="1"/>
  <c r="AZ21" i="12"/>
  <c r="BA21" i="12" s="1"/>
  <c r="BB21" i="12" s="1"/>
  <c r="AZ22" i="12"/>
  <c r="BA22" i="12" s="1"/>
  <c r="BB22" i="12" s="1"/>
  <c r="AZ23" i="12"/>
  <c r="BA23" i="12" s="1"/>
  <c r="AZ24" i="12"/>
  <c r="BA24" i="12" s="1"/>
  <c r="AZ25" i="12"/>
  <c r="BA25" i="12" s="1"/>
  <c r="BB25" i="12" s="1"/>
  <c r="AZ26" i="12"/>
  <c r="BA26" i="12" s="1"/>
  <c r="BB26" i="12" s="1"/>
  <c r="AZ27" i="12"/>
  <c r="BA27" i="12" s="1"/>
  <c r="AZ28" i="12"/>
  <c r="BA28" i="12" s="1"/>
  <c r="AZ29" i="12"/>
  <c r="BA29" i="12" s="1"/>
  <c r="BB29" i="12" s="1"/>
  <c r="AZ30" i="12"/>
  <c r="BA30" i="12" s="1"/>
  <c r="BB30" i="12" s="1"/>
  <c r="AZ31" i="12"/>
  <c r="BA31" i="12" s="1"/>
  <c r="AZ32" i="12"/>
  <c r="BA32" i="12" s="1"/>
  <c r="AZ33" i="12"/>
  <c r="BA33" i="12" s="1"/>
  <c r="BB33" i="12" s="1"/>
  <c r="AZ34" i="12"/>
  <c r="BA34" i="12" s="1"/>
  <c r="BB34" i="12" s="1"/>
  <c r="AZ35" i="12"/>
  <c r="BA35" i="12" s="1"/>
  <c r="AZ36" i="12"/>
  <c r="BA36" i="12" s="1"/>
  <c r="AZ37" i="12"/>
  <c r="BA37" i="12" s="1"/>
  <c r="BB37" i="12" s="1"/>
  <c r="AZ38" i="12"/>
  <c r="BA38" i="12" s="1"/>
  <c r="BB38" i="12" s="1"/>
  <c r="AZ39" i="12"/>
  <c r="BA39" i="12" s="1"/>
  <c r="AZ40" i="12"/>
  <c r="BA40" i="12" s="1"/>
  <c r="AZ41" i="12"/>
  <c r="BA41" i="12" s="1"/>
  <c r="BB41" i="12" s="1"/>
  <c r="AZ42" i="12"/>
  <c r="BA42" i="12" s="1"/>
  <c r="BB42" i="12" s="1"/>
  <c r="AZ43" i="12"/>
  <c r="BA43" i="12" s="1"/>
  <c r="AZ44" i="12"/>
  <c r="BA44" i="12" s="1"/>
  <c r="AZ45" i="12"/>
  <c r="BA45" i="12" s="1"/>
  <c r="BB45" i="12" s="1"/>
  <c r="AZ46" i="12"/>
  <c r="BA46" i="12" s="1"/>
  <c r="BB46" i="12" s="1"/>
  <c r="AZ47" i="12"/>
  <c r="BA47" i="12" s="1"/>
  <c r="AZ48" i="12"/>
  <c r="BA48" i="12" s="1"/>
  <c r="AZ49" i="12"/>
  <c r="BA49" i="12" s="1"/>
  <c r="BB49" i="12" s="1"/>
  <c r="AZ50" i="12"/>
  <c r="BA50" i="12" s="1"/>
  <c r="BB50" i="12" s="1"/>
  <c r="AZ51" i="12"/>
  <c r="BA51" i="12" s="1"/>
  <c r="AZ52" i="12"/>
  <c r="BA52" i="12" s="1"/>
  <c r="AZ53" i="12"/>
  <c r="BA53" i="12" s="1"/>
  <c r="BB53" i="12" s="1"/>
  <c r="AZ54" i="12"/>
  <c r="BA54" i="12" s="1"/>
  <c r="BB54" i="12" s="1"/>
  <c r="AZ55" i="12"/>
  <c r="BA55" i="12" s="1"/>
  <c r="AZ56" i="12"/>
  <c r="BA56" i="12" s="1"/>
  <c r="AZ57" i="12"/>
  <c r="BA57" i="12" s="1"/>
  <c r="BB57" i="12" s="1"/>
  <c r="AZ58" i="12"/>
  <c r="BA58" i="12" s="1"/>
  <c r="BB58" i="12" s="1"/>
  <c r="AZ59" i="12"/>
  <c r="BA59" i="12" s="1"/>
  <c r="AZ60" i="12"/>
  <c r="BA60" i="12" s="1"/>
  <c r="AZ61" i="12"/>
  <c r="BA61" i="12" s="1"/>
  <c r="BB61" i="12" s="1"/>
  <c r="AZ62" i="12"/>
  <c r="BA62" i="12" s="1"/>
  <c r="BB62" i="12" s="1"/>
  <c r="AZ63" i="12"/>
  <c r="BA63" i="12" s="1"/>
  <c r="AZ64" i="12"/>
  <c r="BA64" i="12" s="1"/>
  <c r="AZ65" i="12"/>
  <c r="BA65" i="12" s="1"/>
  <c r="BB65" i="12" s="1"/>
  <c r="AZ66" i="12"/>
  <c r="BA66" i="12" s="1"/>
  <c r="BB66" i="12" s="1"/>
  <c r="AZ67" i="12"/>
  <c r="BA67" i="12" s="1"/>
  <c r="AZ68" i="12"/>
  <c r="BA68" i="12" s="1"/>
  <c r="BH68" i="12" s="1"/>
  <c r="BO68" i="12" s="1"/>
  <c r="AZ69" i="12"/>
  <c r="BA69" i="12" s="1"/>
  <c r="BB69" i="12" s="1"/>
  <c r="AZ70" i="12"/>
  <c r="BA70" i="12" s="1"/>
  <c r="BB70" i="12" s="1"/>
  <c r="AZ71" i="12"/>
  <c r="BA71" i="12" s="1"/>
  <c r="AZ72" i="12"/>
  <c r="BA72" i="12" s="1"/>
  <c r="AZ73" i="12"/>
  <c r="BA73" i="12" s="1"/>
  <c r="BB73" i="12" s="1"/>
  <c r="AZ74" i="12"/>
  <c r="BA74" i="12" s="1"/>
  <c r="BB74" i="12" s="1"/>
  <c r="AZ75" i="12"/>
  <c r="BA75" i="12" s="1"/>
  <c r="AZ76" i="12"/>
  <c r="BA76" i="12" s="1"/>
  <c r="AZ77" i="12"/>
  <c r="BA77" i="12" s="1"/>
  <c r="BB77" i="12" s="1"/>
  <c r="AZ78" i="12"/>
  <c r="BA78" i="12" s="1"/>
  <c r="BB78" i="12" s="1"/>
  <c r="BC78" i="12" s="1"/>
  <c r="AZ79" i="12"/>
  <c r="BA79" i="12" s="1"/>
  <c r="AZ80" i="12"/>
  <c r="BA80" i="12" s="1"/>
  <c r="AZ81" i="12"/>
  <c r="BA81" i="12" s="1"/>
  <c r="BB81" i="12" s="1"/>
  <c r="AZ82" i="12"/>
  <c r="BA82" i="12" s="1"/>
  <c r="BB82" i="12" s="1"/>
  <c r="AZ83" i="12"/>
  <c r="BA83" i="12" s="1"/>
  <c r="AZ84" i="12"/>
  <c r="BA84" i="12" s="1"/>
  <c r="AZ85" i="12"/>
  <c r="BA85" i="12" s="1"/>
  <c r="BB85" i="12" s="1"/>
  <c r="AZ86" i="12"/>
  <c r="BA86" i="12" s="1"/>
  <c r="BB86" i="12" s="1"/>
  <c r="AZ87" i="12"/>
  <c r="BA87" i="12" s="1"/>
  <c r="AZ88" i="12"/>
  <c r="BA88" i="12" s="1"/>
  <c r="AZ89" i="12"/>
  <c r="BA89" i="12" s="1"/>
  <c r="BB89" i="12" s="1"/>
  <c r="AZ90" i="12"/>
  <c r="BA90" i="12" s="1"/>
  <c r="BB90" i="12" s="1"/>
  <c r="AZ91" i="12"/>
  <c r="BA91" i="12" s="1"/>
  <c r="AZ92" i="12"/>
  <c r="BA92" i="12" s="1"/>
  <c r="AZ93" i="12"/>
  <c r="BA93" i="12" s="1"/>
  <c r="BB93" i="12" s="1"/>
  <c r="AZ94" i="12"/>
  <c r="BA94" i="12" s="1"/>
  <c r="BB94" i="12" s="1"/>
  <c r="AZ95" i="12"/>
  <c r="BA95" i="12" s="1"/>
  <c r="AZ96" i="12"/>
  <c r="BA96" i="12" s="1"/>
  <c r="AZ97" i="12"/>
  <c r="BA97" i="12" s="1"/>
  <c r="BB97" i="12" s="1"/>
  <c r="AZ98" i="12"/>
  <c r="BA98" i="12" s="1"/>
  <c r="BB98" i="12" s="1"/>
  <c r="AZ99" i="12"/>
  <c r="BA99" i="12" s="1"/>
  <c r="AZ100" i="12"/>
  <c r="BA100" i="12" s="1"/>
  <c r="BH100" i="12" s="1"/>
  <c r="BO100" i="12" s="1"/>
  <c r="AZ101" i="12"/>
  <c r="BA101" i="12" s="1"/>
  <c r="BB101" i="12" s="1"/>
  <c r="AZ102" i="12"/>
  <c r="BA102" i="12" s="1"/>
  <c r="BB102" i="12" s="1"/>
  <c r="AZ103" i="12"/>
  <c r="BA103" i="12" s="1"/>
  <c r="AZ104" i="12"/>
  <c r="BA104" i="12" s="1"/>
  <c r="AZ105" i="12"/>
  <c r="BA105" i="12" s="1"/>
  <c r="BB105" i="12" s="1"/>
  <c r="AZ106" i="12"/>
  <c r="BA106" i="12" s="1"/>
  <c r="BB106" i="12" s="1"/>
  <c r="AZ107" i="12"/>
  <c r="BA107" i="12" s="1"/>
  <c r="AZ108" i="12"/>
  <c r="BA108" i="12" s="1"/>
  <c r="AZ109" i="12"/>
  <c r="BA109" i="12" s="1"/>
  <c r="BB109" i="12" s="1"/>
  <c r="AZ110" i="12"/>
  <c r="BA110" i="12" s="1"/>
  <c r="BB110" i="12" s="1"/>
  <c r="AZ111" i="12"/>
  <c r="BA111" i="12" s="1"/>
  <c r="AZ112" i="12"/>
  <c r="BA112" i="12" s="1"/>
  <c r="AZ113" i="12"/>
  <c r="BA113" i="12" s="1"/>
  <c r="BB113" i="12" s="1"/>
  <c r="AZ114" i="12"/>
  <c r="BA114" i="12" s="1"/>
  <c r="BB114" i="12" s="1"/>
  <c r="AZ115" i="12"/>
  <c r="BA115" i="12" s="1"/>
  <c r="AZ116" i="12"/>
  <c r="BA116" i="12" s="1"/>
  <c r="AZ117" i="12"/>
  <c r="BA117" i="12" s="1"/>
  <c r="BB117" i="12" s="1"/>
  <c r="AZ118" i="12"/>
  <c r="BA118" i="12" s="1"/>
  <c r="BB118" i="12" s="1"/>
  <c r="AZ119" i="12"/>
  <c r="BA119" i="12" s="1"/>
  <c r="AZ120" i="12"/>
  <c r="BA120" i="12" s="1"/>
  <c r="AZ121" i="12"/>
  <c r="BA121" i="12" s="1"/>
  <c r="BB121" i="12" s="1"/>
  <c r="AZ122" i="12"/>
  <c r="BA122" i="12" s="1"/>
  <c r="BB122" i="12" s="1"/>
  <c r="AZ123" i="12"/>
  <c r="BA123" i="12" s="1"/>
  <c r="AZ124" i="12"/>
  <c r="BA124" i="12" s="1"/>
  <c r="AZ125" i="12"/>
  <c r="BA125" i="12" s="1"/>
  <c r="BB125" i="12" s="1"/>
  <c r="AZ126" i="12"/>
  <c r="BA126" i="12" s="1"/>
  <c r="BB126" i="12" s="1"/>
  <c r="AZ127" i="12"/>
  <c r="BA127" i="12" s="1"/>
  <c r="AZ128" i="12"/>
  <c r="BA128" i="12" s="1"/>
  <c r="AZ129" i="12"/>
  <c r="BA129" i="12" s="1"/>
  <c r="BB129" i="12" s="1"/>
  <c r="AZ130" i="12"/>
  <c r="BA130" i="12" s="1"/>
  <c r="BB130" i="12" s="1"/>
  <c r="AZ131" i="12"/>
  <c r="BA131" i="12" s="1"/>
  <c r="AZ132" i="12"/>
  <c r="BA132" i="12" s="1"/>
  <c r="AZ133" i="12"/>
  <c r="BA133" i="12" s="1"/>
  <c r="BB133" i="12" s="1"/>
  <c r="AZ134" i="12"/>
  <c r="BA134" i="12" s="1"/>
  <c r="BB134" i="12" s="1"/>
  <c r="AZ135" i="12"/>
  <c r="BA135" i="12" s="1"/>
  <c r="AZ136" i="12"/>
  <c r="BA136" i="12" s="1"/>
  <c r="AZ137" i="12"/>
  <c r="BA137" i="12" s="1"/>
  <c r="BB137" i="12" s="1"/>
  <c r="AZ138" i="12"/>
  <c r="BA138" i="12" s="1"/>
  <c r="BB138" i="12" s="1"/>
  <c r="AZ139" i="12"/>
  <c r="BA139" i="12" s="1"/>
  <c r="AZ140" i="12"/>
  <c r="BA140" i="12" s="1"/>
  <c r="AZ141" i="12"/>
  <c r="BA141" i="12" s="1"/>
  <c r="BB141" i="12" s="1"/>
  <c r="AZ142" i="12"/>
  <c r="BA142" i="12" s="1"/>
  <c r="BB142" i="12" s="1"/>
  <c r="AZ143" i="12"/>
  <c r="BA143" i="12" s="1"/>
  <c r="AZ144" i="12"/>
  <c r="BA144" i="12" s="1"/>
  <c r="AZ145" i="12"/>
  <c r="BA145" i="12" s="1"/>
  <c r="BB145" i="12" s="1"/>
  <c r="AZ146" i="12"/>
  <c r="BA146" i="12" s="1"/>
  <c r="BB146" i="12" s="1"/>
  <c r="AZ147" i="12"/>
  <c r="BA147" i="12" s="1"/>
  <c r="AZ148" i="12"/>
  <c r="BA148" i="12" s="1"/>
  <c r="AZ149" i="12"/>
  <c r="BA149" i="12" s="1"/>
  <c r="BB149" i="12" s="1"/>
  <c r="AZ150" i="12"/>
  <c r="BA150" i="12" s="1"/>
  <c r="BB150" i="12" s="1"/>
  <c r="AZ151" i="12"/>
  <c r="BA151" i="12" s="1"/>
  <c r="AZ152" i="12"/>
  <c r="BA152" i="12" s="1"/>
  <c r="AZ153" i="12"/>
  <c r="BA153" i="12" s="1"/>
  <c r="BB153" i="12" s="1"/>
  <c r="AZ154" i="12"/>
  <c r="BA154" i="12" s="1"/>
  <c r="BB154" i="12" s="1"/>
  <c r="AZ155" i="12"/>
  <c r="BA155" i="12" s="1"/>
  <c r="AZ156" i="12"/>
  <c r="BA156" i="12" s="1"/>
  <c r="AZ157" i="12"/>
  <c r="BA157" i="12" s="1"/>
  <c r="BB157" i="12" s="1"/>
  <c r="AZ158" i="12"/>
  <c r="BA158" i="12" s="1"/>
  <c r="BB158" i="12" s="1"/>
  <c r="AZ159" i="12"/>
  <c r="BA159" i="12" s="1"/>
  <c r="AZ160" i="12"/>
  <c r="BA160" i="12" s="1"/>
  <c r="AZ161" i="12"/>
  <c r="BA161" i="12" s="1"/>
  <c r="BB161" i="12" s="1"/>
  <c r="AZ162" i="12"/>
  <c r="BA162" i="12" s="1"/>
  <c r="BB162" i="12" s="1"/>
  <c r="AZ163" i="12"/>
  <c r="BA163" i="12" s="1"/>
  <c r="AZ164" i="12"/>
  <c r="BA164" i="12" s="1"/>
  <c r="AZ165" i="12"/>
  <c r="BA165" i="12" s="1"/>
  <c r="BB165" i="12" s="1"/>
  <c r="AZ166" i="12"/>
  <c r="BA166" i="12" s="1"/>
  <c r="BB166" i="12" s="1"/>
  <c r="AZ167" i="12"/>
  <c r="BA167" i="12" s="1"/>
  <c r="AZ168" i="12"/>
  <c r="BA168" i="12" s="1"/>
  <c r="AZ169" i="12"/>
  <c r="BA169" i="12" s="1"/>
  <c r="BB169" i="12" s="1"/>
  <c r="AZ170" i="12"/>
  <c r="BA170" i="12" s="1"/>
  <c r="BB170" i="12" s="1"/>
  <c r="AZ171" i="12"/>
  <c r="BA171" i="12" s="1"/>
  <c r="AZ172" i="12"/>
  <c r="BA172" i="12" s="1"/>
  <c r="AZ173" i="12"/>
  <c r="BA173" i="12" s="1"/>
  <c r="BB173" i="12" s="1"/>
  <c r="AZ174" i="12"/>
  <c r="BA174" i="12" s="1"/>
  <c r="BB174" i="12" s="1"/>
  <c r="AZ175" i="12"/>
  <c r="BA175" i="12" s="1"/>
  <c r="AZ176" i="12"/>
  <c r="BA176" i="12" s="1"/>
  <c r="AZ177" i="12"/>
  <c r="BA177" i="12" s="1"/>
  <c r="AZ178" i="12"/>
  <c r="BA178" i="12" s="1"/>
  <c r="BB178" i="12" s="1"/>
  <c r="AZ179" i="12"/>
  <c r="BA179" i="12" s="1"/>
  <c r="AZ180" i="12"/>
  <c r="BA180" i="12" s="1"/>
  <c r="AZ181" i="12"/>
  <c r="BA181" i="12" s="1"/>
  <c r="BB181" i="12" s="1"/>
  <c r="BC181" i="12" s="1"/>
  <c r="AZ182" i="12"/>
  <c r="BA182" i="12" s="1"/>
  <c r="BB182" i="12" s="1"/>
  <c r="AZ183" i="12"/>
  <c r="BA183" i="12" s="1"/>
  <c r="AZ184" i="12"/>
  <c r="BA184" i="12" s="1"/>
  <c r="AZ185" i="12"/>
  <c r="BA185" i="12" s="1"/>
  <c r="BB185" i="12" s="1"/>
  <c r="BC185" i="12" s="1"/>
  <c r="AZ186" i="12"/>
  <c r="BA186" i="12" s="1"/>
  <c r="BB186" i="12" s="1"/>
  <c r="AZ187" i="12"/>
  <c r="BA187" i="12" s="1"/>
  <c r="AZ188" i="12"/>
  <c r="BA188" i="12" s="1"/>
  <c r="AZ189" i="12"/>
  <c r="BA189" i="12" s="1"/>
  <c r="BB189" i="12" s="1"/>
  <c r="BC189" i="12" s="1"/>
  <c r="AZ190" i="12"/>
  <c r="BA190" i="12" s="1"/>
  <c r="BB190" i="12" s="1"/>
  <c r="AZ191" i="12"/>
  <c r="BA191" i="12" s="1"/>
  <c r="AZ192" i="12"/>
  <c r="BA192" i="12" s="1"/>
  <c r="AZ193" i="12"/>
  <c r="BA193" i="12" s="1"/>
  <c r="BB193" i="12" s="1"/>
  <c r="BC193" i="12" s="1"/>
  <c r="AZ194" i="12"/>
  <c r="BA194" i="12" s="1"/>
  <c r="BB194" i="12" s="1"/>
  <c r="AZ195" i="12"/>
  <c r="BA195" i="12" s="1"/>
  <c r="AZ196" i="12"/>
  <c r="BA196" i="12" s="1"/>
  <c r="AZ197" i="12"/>
  <c r="BA197" i="12" s="1"/>
  <c r="BB197" i="12" s="1"/>
  <c r="BC197" i="12" s="1"/>
  <c r="AZ198" i="12"/>
  <c r="BA198" i="12" s="1"/>
  <c r="BB198" i="12" s="1"/>
  <c r="AZ199" i="12"/>
  <c r="BA199" i="12" s="1"/>
  <c r="AZ200" i="12"/>
  <c r="BA200" i="12" s="1"/>
  <c r="AZ201" i="12"/>
  <c r="BA201" i="12" s="1"/>
  <c r="BB201" i="12" s="1"/>
  <c r="BC201" i="12" s="1"/>
  <c r="AZ202" i="12"/>
  <c r="BA202" i="12" s="1"/>
  <c r="BB202" i="12" s="1"/>
  <c r="AZ203" i="12"/>
  <c r="BA203" i="12" s="1"/>
  <c r="BB203" i="12" s="1"/>
  <c r="AZ204" i="12"/>
  <c r="BA204" i="12" s="1"/>
  <c r="AZ205" i="12"/>
  <c r="BA205" i="12" s="1"/>
  <c r="BB205" i="12" s="1"/>
  <c r="BC205" i="12" s="1"/>
  <c r="AZ206" i="12"/>
  <c r="BA206" i="12" s="1"/>
  <c r="BB206" i="12" s="1"/>
  <c r="AZ207" i="12"/>
  <c r="BA207" i="12" s="1"/>
  <c r="BB207" i="12" s="1"/>
  <c r="AZ208" i="12"/>
  <c r="BA208" i="12" s="1"/>
  <c r="AZ209" i="12"/>
  <c r="BA209" i="12" s="1"/>
  <c r="BB209" i="12" s="1"/>
  <c r="BC209" i="12" s="1"/>
  <c r="AZ210" i="12"/>
  <c r="BA210" i="12" s="1"/>
  <c r="BB210" i="12" s="1"/>
  <c r="AZ211" i="12"/>
  <c r="BA211" i="12" s="1"/>
  <c r="BB211" i="12" s="1"/>
  <c r="AZ212" i="12"/>
  <c r="BA212" i="12" s="1"/>
  <c r="AZ213" i="12"/>
  <c r="BA213" i="12" s="1"/>
  <c r="BB213" i="12" s="1"/>
  <c r="AZ214" i="12"/>
  <c r="BA214" i="12" s="1"/>
  <c r="BB214" i="12" s="1"/>
  <c r="AZ215" i="12"/>
  <c r="BA215" i="12" s="1"/>
  <c r="BB215" i="12" s="1"/>
  <c r="AZ216" i="12"/>
  <c r="BA216" i="12" s="1"/>
  <c r="AZ217" i="12"/>
  <c r="BA217" i="12" s="1"/>
  <c r="BB217" i="12" s="1"/>
  <c r="AZ218" i="12"/>
  <c r="BA218" i="12" s="1"/>
  <c r="BB218" i="12" s="1"/>
  <c r="AZ219" i="12"/>
  <c r="BA219" i="12" s="1"/>
  <c r="BB219" i="12" s="1"/>
  <c r="AZ220" i="12"/>
  <c r="BA220" i="12" s="1"/>
  <c r="AZ221" i="12"/>
  <c r="BA221" i="12" s="1"/>
  <c r="BB221" i="12" s="1"/>
  <c r="AZ222" i="12"/>
  <c r="BA222" i="12" s="1"/>
  <c r="BB222" i="12" s="1"/>
  <c r="AZ223" i="12"/>
  <c r="BA223" i="12" s="1"/>
  <c r="BB223" i="12" s="1"/>
  <c r="AZ224" i="12"/>
  <c r="BA224" i="12" s="1"/>
  <c r="AZ225" i="12"/>
  <c r="BA225" i="12" s="1"/>
  <c r="BB225" i="12" s="1"/>
  <c r="AZ226" i="12"/>
  <c r="BA226" i="12" s="1"/>
  <c r="BB226" i="12" s="1"/>
  <c r="AZ227" i="12"/>
  <c r="BA227" i="12" s="1"/>
  <c r="BB227" i="12" s="1"/>
  <c r="AZ228" i="12"/>
  <c r="BA228" i="12" s="1"/>
  <c r="AZ229" i="12"/>
  <c r="BA229" i="12" s="1"/>
  <c r="BB229" i="12" s="1"/>
  <c r="AZ230" i="12"/>
  <c r="BA230" i="12" s="1"/>
  <c r="BB230" i="12" s="1"/>
  <c r="AZ231" i="12"/>
  <c r="BA231" i="12" s="1"/>
  <c r="BB231" i="12" s="1"/>
  <c r="AZ232" i="12"/>
  <c r="BA232" i="12" s="1"/>
  <c r="AZ233" i="12"/>
  <c r="BA233" i="12" s="1"/>
  <c r="BB233" i="12" s="1"/>
  <c r="AZ234" i="12"/>
  <c r="BA234" i="12" s="1"/>
  <c r="BB234" i="12" s="1"/>
  <c r="AZ235" i="12"/>
  <c r="BA235" i="12" s="1"/>
  <c r="BB235" i="12" s="1"/>
  <c r="AZ236" i="12"/>
  <c r="BA236" i="12" s="1"/>
  <c r="AZ237" i="12"/>
  <c r="BA237" i="12" s="1"/>
  <c r="BB237" i="12" s="1"/>
  <c r="AZ238" i="12"/>
  <c r="BA238" i="12" s="1"/>
  <c r="BB238" i="12" s="1"/>
  <c r="AZ239" i="12"/>
  <c r="BA239" i="12" s="1"/>
  <c r="BB239" i="12" s="1"/>
  <c r="AZ240" i="12"/>
  <c r="BA240" i="12" s="1"/>
  <c r="AZ241" i="12"/>
  <c r="BA241" i="12" s="1"/>
  <c r="BB241" i="12" s="1"/>
  <c r="AZ242" i="12"/>
  <c r="BA242" i="12" s="1"/>
  <c r="BB242" i="12" s="1"/>
  <c r="AZ243" i="12"/>
  <c r="BA243" i="12" s="1"/>
  <c r="BB243" i="12" s="1"/>
  <c r="AZ244" i="12"/>
  <c r="BA244" i="12" s="1"/>
  <c r="AZ245" i="12"/>
  <c r="BA245" i="12" s="1"/>
  <c r="BB245" i="12" s="1"/>
  <c r="AZ246" i="12"/>
  <c r="BA246" i="12" s="1"/>
  <c r="BB246" i="12" s="1"/>
  <c r="AZ247" i="12"/>
  <c r="BA247" i="12" s="1"/>
  <c r="BB247" i="12" s="1"/>
  <c r="AZ248" i="12"/>
  <c r="BA248" i="12" s="1"/>
  <c r="BB248" i="12" s="1"/>
  <c r="AZ249" i="12"/>
  <c r="BA249" i="12" s="1"/>
  <c r="BB249" i="12" s="1"/>
  <c r="AZ250" i="12"/>
  <c r="BA250" i="12" s="1"/>
  <c r="BB250" i="12" s="1"/>
  <c r="AZ251" i="12"/>
  <c r="BA251" i="12" s="1"/>
  <c r="BB251" i="12" s="1"/>
  <c r="AZ252" i="12"/>
  <c r="BA252" i="12" s="1"/>
  <c r="BB252" i="12" s="1"/>
  <c r="AZ253" i="12"/>
  <c r="BA253" i="12" s="1"/>
  <c r="BB253" i="12" s="1"/>
  <c r="AZ254" i="12"/>
  <c r="BA254" i="12" s="1"/>
  <c r="BB254" i="12" s="1"/>
  <c r="AZ255" i="12"/>
  <c r="BA255" i="12" s="1"/>
  <c r="BB255" i="12" s="1"/>
  <c r="AZ256" i="12"/>
  <c r="BA256" i="12" s="1"/>
  <c r="BB256" i="12" s="1"/>
  <c r="AZ257" i="12"/>
  <c r="BA257" i="12" s="1"/>
  <c r="BB257" i="12" s="1"/>
  <c r="AZ258" i="12"/>
  <c r="BA258" i="12" s="1"/>
  <c r="BB258" i="12" s="1"/>
  <c r="AZ259" i="12"/>
  <c r="BA259" i="12" s="1"/>
  <c r="BB259" i="12" s="1"/>
  <c r="AZ260" i="12"/>
  <c r="BA260" i="12" s="1"/>
  <c r="BB260" i="12" s="1"/>
  <c r="AZ261" i="12"/>
  <c r="BA261" i="12" s="1"/>
  <c r="BB261" i="12" s="1"/>
  <c r="AZ262" i="12"/>
  <c r="BA262" i="12" s="1"/>
  <c r="BB262" i="12" s="1"/>
  <c r="AZ263" i="12"/>
  <c r="BA263" i="12" s="1"/>
  <c r="BB263" i="12" s="1"/>
  <c r="AZ264" i="12"/>
  <c r="BA264" i="12" s="1"/>
  <c r="BB264" i="12" s="1"/>
  <c r="AZ265" i="12"/>
  <c r="BA265" i="12" s="1"/>
  <c r="BB265" i="12" s="1"/>
  <c r="AZ266" i="12"/>
  <c r="BA266" i="12" s="1"/>
  <c r="BB266" i="12" s="1"/>
  <c r="AZ267" i="12"/>
  <c r="BA267" i="12" s="1"/>
  <c r="BB267" i="12" s="1"/>
  <c r="AZ268" i="12"/>
  <c r="BA268" i="12" s="1"/>
  <c r="BB268" i="12" s="1"/>
  <c r="AZ269" i="12"/>
  <c r="BA269" i="12" s="1"/>
  <c r="BB269" i="12" s="1"/>
  <c r="AZ270" i="12"/>
  <c r="BA270" i="12" s="1"/>
  <c r="BB270" i="12" s="1"/>
  <c r="AZ271" i="12"/>
  <c r="BA271" i="12" s="1"/>
  <c r="BB271" i="12" s="1"/>
  <c r="AZ272" i="12"/>
  <c r="BA272" i="12" s="1"/>
  <c r="BB272" i="12" s="1"/>
  <c r="AZ273" i="12"/>
  <c r="BA273" i="12" s="1"/>
  <c r="BB273" i="12" s="1"/>
  <c r="AZ274" i="12"/>
  <c r="BA274" i="12" s="1"/>
  <c r="BB274" i="12" s="1"/>
  <c r="AZ275" i="12"/>
  <c r="BA275" i="12" s="1"/>
  <c r="BB275" i="12" s="1"/>
  <c r="AZ276" i="12"/>
  <c r="BA276" i="12" s="1"/>
  <c r="BB276" i="12" s="1"/>
  <c r="AZ277" i="12"/>
  <c r="BA277" i="12" s="1"/>
  <c r="BB277" i="12" s="1"/>
  <c r="AZ278" i="12"/>
  <c r="BA278" i="12" s="1"/>
  <c r="BB278" i="12" s="1"/>
  <c r="BC278" i="12" s="1"/>
  <c r="BD278" i="12" s="1"/>
  <c r="BE278" i="12" s="1"/>
  <c r="BF278" i="12" s="1"/>
  <c r="BG278" i="12" s="1"/>
  <c r="BN278" i="12" s="1"/>
  <c r="AZ279" i="12"/>
  <c r="BA279" i="12" s="1"/>
  <c r="BB279" i="12" s="1"/>
  <c r="AZ280" i="12"/>
  <c r="BA280" i="12" s="1"/>
  <c r="BB280" i="12" s="1"/>
  <c r="AZ281" i="12"/>
  <c r="BA281" i="12" s="1"/>
  <c r="BB281" i="12" s="1"/>
  <c r="BC281" i="12" s="1"/>
  <c r="BD281" i="12" s="1"/>
  <c r="BE281" i="12" s="1"/>
  <c r="BF281" i="12" s="1"/>
  <c r="BG281" i="12" s="1"/>
  <c r="BN281" i="12" s="1"/>
  <c r="AZ282" i="12"/>
  <c r="BA282" i="12" s="1"/>
  <c r="BB282" i="12" s="1"/>
  <c r="BC282" i="12" s="1"/>
  <c r="BD282" i="12" s="1"/>
  <c r="BE282" i="12" s="1"/>
  <c r="BF282" i="12" s="1"/>
  <c r="BG282" i="12" s="1"/>
  <c r="BN282" i="12" s="1"/>
  <c r="AZ283" i="12"/>
  <c r="BA283" i="12" s="1"/>
  <c r="BB283" i="12" s="1"/>
  <c r="AZ284" i="12"/>
  <c r="BA284" i="12" s="1"/>
  <c r="BB284" i="12" s="1"/>
  <c r="AZ285" i="12"/>
  <c r="BA285" i="12" s="1"/>
  <c r="BB285" i="12" s="1"/>
  <c r="BC285" i="12" s="1"/>
  <c r="BD285" i="12" s="1"/>
  <c r="BE285" i="12" s="1"/>
  <c r="BF285" i="12" s="1"/>
  <c r="BG285" i="12" s="1"/>
  <c r="BN285" i="12" s="1"/>
  <c r="AZ286" i="12"/>
  <c r="BA286" i="12" s="1"/>
  <c r="BB286" i="12" s="1"/>
  <c r="BC286" i="12" s="1"/>
  <c r="BD286" i="12" s="1"/>
  <c r="BE286" i="12" s="1"/>
  <c r="BF286" i="12" s="1"/>
  <c r="BG286" i="12" s="1"/>
  <c r="BN286" i="12" s="1"/>
  <c r="AZ287" i="12"/>
  <c r="BA287" i="12" s="1"/>
  <c r="BB287" i="12" s="1"/>
  <c r="AZ288" i="12"/>
  <c r="BA288" i="12" s="1"/>
  <c r="BB288" i="12" s="1"/>
  <c r="AZ289" i="12"/>
  <c r="BA289" i="12" s="1"/>
  <c r="BB289" i="12" s="1"/>
  <c r="BC289" i="12" s="1"/>
  <c r="BD289" i="12" s="1"/>
  <c r="BE289" i="12" s="1"/>
  <c r="BF289" i="12" s="1"/>
  <c r="BG289" i="12" s="1"/>
  <c r="BN289" i="12" s="1"/>
  <c r="AZ290" i="12"/>
  <c r="BA290" i="12" s="1"/>
  <c r="BB290" i="12" s="1"/>
  <c r="BC290" i="12" s="1"/>
  <c r="BD290" i="12" s="1"/>
  <c r="BE290" i="12" s="1"/>
  <c r="BF290" i="12" s="1"/>
  <c r="BG290" i="12" s="1"/>
  <c r="BN290" i="12" s="1"/>
  <c r="AZ291" i="12"/>
  <c r="BA291" i="12" s="1"/>
  <c r="BB291" i="12" s="1"/>
  <c r="AZ292" i="12"/>
  <c r="BA292" i="12" s="1"/>
  <c r="BB292" i="12" s="1"/>
  <c r="AZ293" i="12"/>
  <c r="BA293" i="12" s="1"/>
  <c r="BB293" i="12" s="1"/>
  <c r="BC293" i="12" s="1"/>
  <c r="BD293" i="12" s="1"/>
  <c r="BE293" i="12" s="1"/>
  <c r="BF293" i="12" s="1"/>
  <c r="BG293" i="12" s="1"/>
  <c r="BN293" i="12" s="1"/>
  <c r="AZ294" i="12"/>
  <c r="BA294" i="12" s="1"/>
  <c r="BB294" i="12" s="1"/>
  <c r="BC294" i="12" s="1"/>
  <c r="BD294" i="12" s="1"/>
  <c r="BE294" i="12" s="1"/>
  <c r="BF294" i="12" s="1"/>
  <c r="BG294" i="12" s="1"/>
  <c r="BN294" i="12" s="1"/>
  <c r="AZ295" i="12"/>
  <c r="BA295" i="12" s="1"/>
  <c r="BB295" i="12" s="1"/>
  <c r="AZ296" i="12"/>
  <c r="BA296" i="12" s="1"/>
  <c r="BB296" i="12" s="1"/>
  <c r="AZ297" i="12"/>
  <c r="BA297" i="12" s="1"/>
  <c r="BB297" i="12" s="1"/>
  <c r="BC297" i="12" s="1"/>
  <c r="BD297" i="12" s="1"/>
  <c r="BE297" i="12" s="1"/>
  <c r="BF297" i="12" s="1"/>
  <c r="BG297" i="12" s="1"/>
  <c r="BN297" i="12" s="1"/>
  <c r="AZ298" i="12"/>
  <c r="BA298" i="12" s="1"/>
  <c r="BB298" i="12" s="1"/>
  <c r="BC298" i="12" s="1"/>
  <c r="BD298" i="12" s="1"/>
  <c r="BE298" i="12" s="1"/>
  <c r="BF298" i="12" s="1"/>
  <c r="BG298" i="12" s="1"/>
  <c r="BN298" i="12" s="1"/>
  <c r="AZ299" i="12"/>
  <c r="BA299" i="12" s="1"/>
  <c r="BB299" i="12" s="1"/>
  <c r="AZ300" i="12"/>
  <c r="BA300" i="12" s="1"/>
  <c r="BB300" i="12" s="1"/>
  <c r="AZ301" i="12"/>
  <c r="BA301" i="12" s="1"/>
  <c r="BB301" i="12" s="1"/>
  <c r="BC301" i="12" s="1"/>
  <c r="BD301" i="12" s="1"/>
  <c r="BE301" i="12" s="1"/>
  <c r="BF301" i="12" s="1"/>
  <c r="BG301" i="12" s="1"/>
  <c r="BN301" i="12" s="1"/>
  <c r="AZ302" i="12"/>
  <c r="BA302" i="12" s="1"/>
  <c r="BB302" i="12" s="1"/>
  <c r="BC302" i="12" s="1"/>
  <c r="BD302" i="12" s="1"/>
  <c r="BE302" i="12" s="1"/>
  <c r="BF302" i="12" s="1"/>
  <c r="BG302" i="12" s="1"/>
  <c r="BN302" i="12" s="1"/>
  <c r="AZ303" i="12"/>
  <c r="BA303" i="12" s="1"/>
  <c r="BB303" i="12" s="1"/>
  <c r="AZ304" i="12"/>
  <c r="BA304" i="12" s="1"/>
  <c r="BB304" i="12" s="1"/>
  <c r="AZ305" i="12"/>
  <c r="BA305" i="12" s="1"/>
  <c r="BB305" i="12" s="1"/>
  <c r="BC305" i="12" s="1"/>
  <c r="BD305" i="12" s="1"/>
  <c r="BE305" i="12" s="1"/>
  <c r="BF305" i="12" s="1"/>
  <c r="BG305" i="12" s="1"/>
  <c r="BN305" i="12" s="1"/>
  <c r="AZ306" i="12"/>
  <c r="BA306" i="12" s="1"/>
  <c r="BB306" i="12" s="1"/>
  <c r="BC306" i="12" s="1"/>
  <c r="BD306" i="12" s="1"/>
  <c r="BE306" i="12" s="1"/>
  <c r="BF306" i="12" s="1"/>
  <c r="BG306" i="12" s="1"/>
  <c r="BN306" i="12" s="1"/>
  <c r="AZ307" i="12"/>
  <c r="BA307" i="12" s="1"/>
  <c r="BB307" i="12" s="1"/>
  <c r="AZ308" i="12"/>
  <c r="BA308" i="12" s="1"/>
  <c r="BB308" i="12" s="1"/>
  <c r="AZ309" i="12"/>
  <c r="BA309" i="12" s="1"/>
  <c r="BB309" i="12" s="1"/>
  <c r="BC309" i="12" s="1"/>
  <c r="BD309" i="12" s="1"/>
  <c r="BE309" i="12" s="1"/>
  <c r="BF309" i="12" s="1"/>
  <c r="BG309" i="12" s="1"/>
  <c r="BN309" i="12" s="1"/>
  <c r="AZ310" i="12"/>
  <c r="BA310" i="12" s="1"/>
  <c r="BB310" i="12" s="1"/>
  <c r="BC310" i="12" s="1"/>
  <c r="BD310" i="12" s="1"/>
  <c r="BE310" i="12" s="1"/>
  <c r="BF310" i="12" s="1"/>
  <c r="BG310" i="12" s="1"/>
  <c r="BN310" i="12" s="1"/>
  <c r="AZ311" i="12"/>
  <c r="BA311" i="12" s="1"/>
  <c r="BB311" i="12" s="1"/>
  <c r="AZ312" i="12"/>
  <c r="BA312" i="12" s="1"/>
  <c r="BB312" i="12" s="1"/>
  <c r="AZ313" i="12"/>
  <c r="BA313" i="12" s="1"/>
  <c r="BB313" i="12" s="1"/>
  <c r="BC313" i="12" s="1"/>
  <c r="BD313" i="12" s="1"/>
  <c r="BE313" i="12" s="1"/>
  <c r="BF313" i="12" s="1"/>
  <c r="BG313" i="12" s="1"/>
  <c r="BN313" i="12" s="1"/>
  <c r="AZ314" i="12"/>
  <c r="BA314" i="12" s="1"/>
  <c r="BB314" i="12" s="1"/>
  <c r="BC314" i="12" s="1"/>
  <c r="BD314" i="12" s="1"/>
  <c r="BE314" i="12" s="1"/>
  <c r="BF314" i="12" s="1"/>
  <c r="BG314" i="12" s="1"/>
  <c r="BN314" i="12" s="1"/>
  <c r="AZ315" i="12"/>
  <c r="BA315" i="12" s="1"/>
  <c r="BB315" i="12" s="1"/>
  <c r="AZ316" i="12"/>
  <c r="BA316" i="12" s="1"/>
  <c r="BB316" i="12" s="1"/>
  <c r="AZ317" i="12"/>
  <c r="BA317" i="12" s="1"/>
  <c r="BB317" i="12" s="1"/>
  <c r="BC317" i="12" s="1"/>
  <c r="BD317" i="12" s="1"/>
  <c r="BE317" i="12" s="1"/>
  <c r="BF317" i="12" s="1"/>
  <c r="BG317" i="12" s="1"/>
  <c r="BN317" i="12" s="1"/>
  <c r="AZ318" i="12"/>
  <c r="BA318" i="12" s="1"/>
  <c r="BB318" i="12" s="1"/>
  <c r="BC318" i="12" s="1"/>
  <c r="BD318" i="12" s="1"/>
  <c r="BE318" i="12" s="1"/>
  <c r="BF318" i="12" s="1"/>
  <c r="BG318" i="12" s="1"/>
  <c r="BN318" i="12" s="1"/>
  <c r="AZ319" i="12"/>
  <c r="BA319" i="12" s="1"/>
  <c r="BB319" i="12" s="1"/>
  <c r="AZ320" i="12"/>
  <c r="BA320" i="12" s="1"/>
  <c r="BB320" i="12" s="1"/>
  <c r="AZ321" i="12"/>
  <c r="BA321" i="12" s="1"/>
  <c r="BB321" i="12" s="1"/>
  <c r="BC321" i="12" s="1"/>
  <c r="BD321" i="12" s="1"/>
  <c r="BE321" i="12" s="1"/>
  <c r="BF321" i="12" s="1"/>
  <c r="BG321" i="12" s="1"/>
  <c r="BN321" i="12" s="1"/>
  <c r="AZ322" i="12"/>
  <c r="BA322" i="12" s="1"/>
  <c r="BB322" i="12" s="1"/>
  <c r="BC322" i="12" s="1"/>
  <c r="BD322" i="12" s="1"/>
  <c r="BE322" i="12" s="1"/>
  <c r="BF322" i="12" s="1"/>
  <c r="BG322" i="12" s="1"/>
  <c r="BN322" i="12" s="1"/>
  <c r="AZ323" i="12"/>
  <c r="BA323" i="12" s="1"/>
  <c r="BB323" i="12" s="1"/>
  <c r="AZ324" i="12"/>
  <c r="BA324" i="12" s="1"/>
  <c r="BB324" i="12" s="1"/>
  <c r="AZ325" i="12"/>
  <c r="BA325" i="12" s="1"/>
  <c r="BB325" i="12" s="1"/>
  <c r="BC325" i="12" s="1"/>
  <c r="BD325" i="12" s="1"/>
  <c r="BE325" i="12" s="1"/>
  <c r="BF325" i="12" s="1"/>
  <c r="BG325" i="12" s="1"/>
  <c r="BN325" i="12" s="1"/>
  <c r="AZ326" i="12"/>
  <c r="BA326" i="12" s="1"/>
  <c r="BB326" i="12" s="1"/>
  <c r="BC326" i="12" s="1"/>
  <c r="BD326" i="12" s="1"/>
  <c r="BE326" i="12" s="1"/>
  <c r="BF326" i="12" s="1"/>
  <c r="BG326" i="12" s="1"/>
  <c r="BN326" i="12" s="1"/>
  <c r="BH263" i="12" l="1"/>
  <c r="BO263" i="12" s="1"/>
  <c r="BM294" i="12"/>
  <c r="BK317" i="12"/>
  <c r="BH231" i="12"/>
  <c r="BO231" i="12" s="1"/>
  <c r="BM310" i="12"/>
  <c r="BI290" i="12"/>
  <c r="BM326" i="12"/>
  <c r="BI306" i="12"/>
  <c r="BK285" i="12"/>
  <c r="BH295" i="12"/>
  <c r="BO295" i="12" s="1"/>
  <c r="BI322" i="12"/>
  <c r="BK301" i="12"/>
  <c r="BM278" i="12"/>
  <c r="BB68" i="12"/>
  <c r="BC68" i="12" s="1"/>
  <c r="BH319" i="12"/>
  <c r="BO319" i="12" s="1"/>
  <c r="BH287" i="12"/>
  <c r="BO287" i="12" s="1"/>
  <c r="BH255" i="12"/>
  <c r="BO255" i="12" s="1"/>
  <c r="BH227" i="12"/>
  <c r="BO227" i="12" s="1"/>
  <c r="BI326" i="12"/>
  <c r="BK321" i="12"/>
  <c r="BM314" i="12"/>
  <c r="BI310" i="12"/>
  <c r="BK305" i="12"/>
  <c r="BM298" i="12"/>
  <c r="BI294" i="12"/>
  <c r="BK289" i="12"/>
  <c r="BM282" i="12"/>
  <c r="BI278" i="12"/>
  <c r="BH311" i="12"/>
  <c r="BO311" i="12" s="1"/>
  <c r="BH279" i="12"/>
  <c r="BO279" i="12" s="1"/>
  <c r="BH247" i="12"/>
  <c r="BO247" i="12" s="1"/>
  <c r="BH215" i="12"/>
  <c r="BO215" i="12" s="1"/>
  <c r="BK325" i="12"/>
  <c r="BM318" i="12"/>
  <c r="BI314" i="12"/>
  <c r="BK309" i="12"/>
  <c r="BM302" i="12"/>
  <c r="BI298" i="12"/>
  <c r="BK293" i="12"/>
  <c r="BM286" i="12"/>
  <c r="BI282" i="12"/>
  <c r="BI197" i="12"/>
  <c r="BH303" i="12"/>
  <c r="BO303" i="12" s="1"/>
  <c r="BH271" i="12"/>
  <c r="BO271" i="12" s="1"/>
  <c r="BH243" i="12"/>
  <c r="BO243" i="12" s="1"/>
  <c r="BH211" i="12"/>
  <c r="BO211" i="12" s="1"/>
  <c r="BM322" i="12"/>
  <c r="BI318" i="12"/>
  <c r="BK313" i="12"/>
  <c r="BM306" i="12"/>
  <c r="BI302" i="12"/>
  <c r="BK297" i="12"/>
  <c r="BM290" i="12"/>
  <c r="BI286" i="12"/>
  <c r="BK281" i="12"/>
  <c r="BI78" i="12"/>
  <c r="BB63" i="12"/>
  <c r="BH63" i="12"/>
  <c r="BO63" i="12" s="1"/>
  <c r="BB15" i="12"/>
  <c r="BH15" i="12"/>
  <c r="BO15" i="12" s="1"/>
  <c r="BB177" i="12"/>
  <c r="BH177" i="12"/>
  <c r="BO177" i="12" s="1"/>
  <c r="BB55" i="12"/>
  <c r="BH55" i="12"/>
  <c r="BO55" i="12" s="1"/>
  <c r="BI68" i="12"/>
  <c r="BC324" i="12"/>
  <c r="BI324" i="12"/>
  <c r="BC320" i="12"/>
  <c r="BI320" i="12"/>
  <c r="BC316" i="12"/>
  <c r="BI316" i="12"/>
  <c r="BC312" i="12"/>
  <c r="BI312" i="12"/>
  <c r="BC308" i="12"/>
  <c r="BI308" i="12"/>
  <c r="BC304" i="12"/>
  <c r="BI304" i="12"/>
  <c r="BC300" i="12"/>
  <c r="BI300" i="12"/>
  <c r="BC296" i="12"/>
  <c r="BI296" i="12"/>
  <c r="BC292" i="12"/>
  <c r="BI292" i="12"/>
  <c r="BC288" i="12"/>
  <c r="BI288" i="12"/>
  <c r="BC284" i="12"/>
  <c r="BI284" i="12"/>
  <c r="BC280" i="12"/>
  <c r="BI280" i="12"/>
  <c r="BC276" i="12"/>
  <c r="BI276" i="12"/>
  <c r="BC272" i="12"/>
  <c r="BI272" i="12"/>
  <c r="BC268" i="12"/>
  <c r="BI268" i="12"/>
  <c r="BC264" i="12"/>
  <c r="BI264" i="12"/>
  <c r="BC260" i="12"/>
  <c r="BI260" i="12"/>
  <c r="BC256" i="12"/>
  <c r="BI256" i="12"/>
  <c r="BC252" i="12"/>
  <c r="BI252" i="12"/>
  <c r="BC248" i="12"/>
  <c r="BI248" i="12"/>
  <c r="BB244" i="12"/>
  <c r="BH244" i="12"/>
  <c r="BO244" i="12" s="1"/>
  <c r="BB240" i="12"/>
  <c r="BH240" i="12"/>
  <c r="BO240" i="12" s="1"/>
  <c r="BB236" i="12"/>
  <c r="BH236" i="12"/>
  <c r="BO236" i="12" s="1"/>
  <c r="BB232" i="12"/>
  <c r="BH232" i="12"/>
  <c r="BO232" i="12" s="1"/>
  <c r="BB228" i="12"/>
  <c r="BH228" i="12"/>
  <c r="BO228" i="12" s="1"/>
  <c r="BB224" i="12"/>
  <c r="BH224" i="12"/>
  <c r="BO224" i="12" s="1"/>
  <c r="BB220" i="12"/>
  <c r="BH220" i="12"/>
  <c r="BO220" i="12" s="1"/>
  <c r="BB216" i="12"/>
  <c r="BH216" i="12"/>
  <c r="BO216" i="12" s="1"/>
  <c r="BB212" i="12"/>
  <c r="BH212" i="12"/>
  <c r="BO212" i="12" s="1"/>
  <c r="BB208" i="12"/>
  <c r="BH208" i="12"/>
  <c r="BO208" i="12" s="1"/>
  <c r="BB204" i="12"/>
  <c r="BH204" i="12"/>
  <c r="BO204" i="12" s="1"/>
  <c r="BB200" i="12"/>
  <c r="BH200" i="12"/>
  <c r="BO200" i="12" s="1"/>
  <c r="BB196" i="12"/>
  <c r="BH196" i="12"/>
  <c r="BO196" i="12" s="1"/>
  <c r="BB192" i="12"/>
  <c r="BH192" i="12"/>
  <c r="BO192" i="12" s="1"/>
  <c r="BB188" i="12"/>
  <c r="BH188" i="12"/>
  <c r="BO188" i="12" s="1"/>
  <c r="BB184" i="12"/>
  <c r="BH184" i="12"/>
  <c r="BO184" i="12" s="1"/>
  <c r="BB180" i="12"/>
  <c r="BH180" i="12"/>
  <c r="BO180" i="12" s="1"/>
  <c r="BB176" i="12"/>
  <c r="BH176" i="12"/>
  <c r="BO176" i="12" s="1"/>
  <c r="BB172" i="12"/>
  <c r="BH172" i="12"/>
  <c r="BO172" i="12" s="1"/>
  <c r="BB168" i="12"/>
  <c r="BH168" i="12"/>
  <c r="BO168" i="12" s="1"/>
  <c r="BH164" i="12"/>
  <c r="BO164" i="12" s="1"/>
  <c r="BB164" i="12"/>
  <c r="BB160" i="12"/>
  <c r="BH160" i="12"/>
  <c r="BO160" i="12" s="1"/>
  <c r="BB156" i="12"/>
  <c r="BH156" i="12"/>
  <c r="BO156" i="12" s="1"/>
  <c r="BB152" i="12"/>
  <c r="BH152" i="12"/>
  <c r="BO152" i="12" s="1"/>
  <c r="BB148" i="12"/>
  <c r="BH148" i="12"/>
  <c r="BO148" i="12" s="1"/>
  <c r="BB144" i="12"/>
  <c r="BH144" i="12"/>
  <c r="BO144" i="12" s="1"/>
  <c r="BB140" i="12"/>
  <c r="BH140" i="12"/>
  <c r="BO140" i="12" s="1"/>
  <c r="BB136" i="12"/>
  <c r="BH136" i="12"/>
  <c r="BO136" i="12" s="1"/>
  <c r="BH132" i="12"/>
  <c r="BO132" i="12" s="1"/>
  <c r="BB132" i="12"/>
  <c r="BB128" i="12"/>
  <c r="BH128" i="12"/>
  <c r="BO128" i="12" s="1"/>
  <c r="BB124" i="12"/>
  <c r="BH124" i="12"/>
  <c r="BO124" i="12" s="1"/>
  <c r="BB120" i="12"/>
  <c r="BH120" i="12"/>
  <c r="BO120" i="12" s="1"/>
  <c r="BB116" i="12"/>
  <c r="BH116" i="12"/>
  <c r="BO116" i="12" s="1"/>
  <c r="BB112" i="12"/>
  <c r="BH112" i="12"/>
  <c r="BO112" i="12" s="1"/>
  <c r="BB108" i="12"/>
  <c r="BH108" i="12"/>
  <c r="BO108" i="12" s="1"/>
  <c r="BB104" i="12"/>
  <c r="BH104" i="12"/>
  <c r="BO104" i="12" s="1"/>
  <c r="BB96" i="12"/>
  <c r="BH96" i="12"/>
  <c r="BO96" i="12" s="1"/>
  <c r="BB92" i="12"/>
  <c r="BH92" i="12"/>
  <c r="BO92" i="12" s="1"/>
  <c r="BB88" i="12"/>
  <c r="BH88" i="12"/>
  <c r="BO88" i="12" s="1"/>
  <c r="BB84" i="12"/>
  <c r="BH84" i="12"/>
  <c r="BO84" i="12" s="1"/>
  <c r="BB80" i="12"/>
  <c r="BH80" i="12"/>
  <c r="BO80" i="12" s="1"/>
  <c r="BB76" i="12"/>
  <c r="BH76" i="12"/>
  <c r="BO76" i="12" s="1"/>
  <c r="BB72" i="12"/>
  <c r="BH72" i="12"/>
  <c r="BO72" i="12" s="1"/>
  <c r="BB64" i="12"/>
  <c r="BH64" i="12"/>
  <c r="BO64" i="12" s="1"/>
  <c r="BB60" i="12"/>
  <c r="BH60" i="12"/>
  <c r="BO60" i="12" s="1"/>
  <c r="BB56" i="12"/>
  <c r="BH56" i="12"/>
  <c r="BO56" i="12" s="1"/>
  <c r="BB52" i="12"/>
  <c r="BH52" i="12"/>
  <c r="BO52" i="12" s="1"/>
  <c r="BB48" i="12"/>
  <c r="BH48" i="12"/>
  <c r="BO48" i="12" s="1"/>
  <c r="BB44" i="12"/>
  <c r="BH44" i="12"/>
  <c r="BO44" i="12" s="1"/>
  <c r="BB40" i="12"/>
  <c r="BH40" i="12"/>
  <c r="BO40" i="12" s="1"/>
  <c r="BB36" i="12"/>
  <c r="BH36" i="12"/>
  <c r="BO36" i="12" s="1"/>
  <c r="BB32" i="12"/>
  <c r="BH32" i="12"/>
  <c r="BO32" i="12" s="1"/>
  <c r="BB28" i="12"/>
  <c r="BH28" i="12"/>
  <c r="BO28" i="12" s="1"/>
  <c r="BB24" i="12"/>
  <c r="BH24" i="12"/>
  <c r="BO24" i="12" s="1"/>
  <c r="BB20" i="12"/>
  <c r="BH20" i="12"/>
  <c r="BO20" i="12" s="1"/>
  <c r="BB16" i="12"/>
  <c r="BH16" i="12"/>
  <c r="BO16" i="12" s="1"/>
  <c r="BB12" i="12"/>
  <c r="BH12" i="12"/>
  <c r="BO12" i="12" s="1"/>
  <c r="BB8" i="12"/>
  <c r="BH8" i="12"/>
  <c r="BO8" i="12" s="1"/>
  <c r="BB4" i="12"/>
  <c r="BH4" i="12"/>
  <c r="BO4" i="12" s="1"/>
  <c r="BH316" i="12"/>
  <c r="BO316" i="12" s="1"/>
  <c r="BH308" i="12"/>
  <c r="BO308" i="12" s="1"/>
  <c r="BH300" i="12"/>
  <c r="BO300" i="12" s="1"/>
  <c r="BH292" i="12"/>
  <c r="BO292" i="12" s="1"/>
  <c r="BH284" i="12"/>
  <c r="BO284" i="12" s="1"/>
  <c r="BH276" i="12"/>
  <c r="BO276" i="12" s="1"/>
  <c r="BH268" i="12"/>
  <c r="BO268" i="12" s="1"/>
  <c r="BH260" i="12"/>
  <c r="BO260" i="12" s="1"/>
  <c r="BH252" i="12"/>
  <c r="BO252" i="12" s="1"/>
  <c r="BC323" i="12"/>
  <c r="BI323" i="12"/>
  <c r="BC315" i="12"/>
  <c r="BI315" i="12"/>
  <c r="BC307" i="12"/>
  <c r="BI307" i="12"/>
  <c r="BC299" i="12"/>
  <c r="BI299" i="12"/>
  <c r="BC291" i="12"/>
  <c r="BI291" i="12"/>
  <c r="BC283" i="12"/>
  <c r="BI283" i="12"/>
  <c r="BC275" i="12"/>
  <c r="BI275" i="12"/>
  <c r="BC267" i="12"/>
  <c r="BI267" i="12"/>
  <c r="BC259" i="12"/>
  <c r="BI259" i="12"/>
  <c r="BC251" i="12"/>
  <c r="BI251" i="12"/>
  <c r="BC247" i="12"/>
  <c r="BI247" i="12"/>
  <c r="BC239" i="12"/>
  <c r="BI239" i="12"/>
  <c r="BC231" i="12"/>
  <c r="BI231" i="12"/>
  <c r="BC223" i="12"/>
  <c r="BI223" i="12"/>
  <c r="BC215" i="12"/>
  <c r="BI215" i="12"/>
  <c r="BC207" i="12"/>
  <c r="BI207" i="12"/>
  <c r="BB195" i="12"/>
  <c r="BH195" i="12"/>
  <c r="BO195" i="12" s="1"/>
  <c r="BB187" i="12"/>
  <c r="BH187" i="12"/>
  <c r="BO187" i="12" s="1"/>
  <c r="BB179" i="12"/>
  <c r="BH179" i="12"/>
  <c r="BO179" i="12" s="1"/>
  <c r="BB171" i="12"/>
  <c r="BH171" i="12"/>
  <c r="BO171" i="12" s="1"/>
  <c r="BB163" i="12"/>
  <c r="BH163" i="12"/>
  <c r="BO163" i="12" s="1"/>
  <c r="BB155" i="12"/>
  <c r="BH155" i="12"/>
  <c r="BO155" i="12" s="1"/>
  <c r="BB147" i="12"/>
  <c r="BH147" i="12"/>
  <c r="BO147" i="12" s="1"/>
  <c r="BB139" i="12"/>
  <c r="BH139" i="12"/>
  <c r="BO139" i="12" s="1"/>
  <c r="BB135" i="12"/>
  <c r="BH135" i="12"/>
  <c r="BO135" i="12" s="1"/>
  <c r="BB127" i="12"/>
  <c r="BH127" i="12"/>
  <c r="BO127" i="12" s="1"/>
  <c r="BB123" i="12"/>
  <c r="BH123" i="12"/>
  <c r="BO123" i="12" s="1"/>
  <c r="BB119" i="12"/>
  <c r="BH119" i="12"/>
  <c r="BO119" i="12" s="1"/>
  <c r="BB115" i="12"/>
  <c r="BH115" i="12"/>
  <c r="BO115" i="12" s="1"/>
  <c r="BB111" i="12"/>
  <c r="BH111" i="12"/>
  <c r="BO111" i="12" s="1"/>
  <c r="BB107" i="12"/>
  <c r="BH107" i="12"/>
  <c r="BO107" i="12" s="1"/>
  <c r="BB103" i="12"/>
  <c r="BH103" i="12"/>
  <c r="BO103" i="12" s="1"/>
  <c r="BB99" i="12"/>
  <c r="BH99" i="12"/>
  <c r="BO99" i="12" s="1"/>
  <c r="BB95" i="12"/>
  <c r="BH95" i="12"/>
  <c r="BO95" i="12" s="1"/>
  <c r="BB91" i="12"/>
  <c r="BH91" i="12"/>
  <c r="BO91" i="12" s="1"/>
  <c r="BB87" i="12"/>
  <c r="BH87" i="12"/>
  <c r="BO87" i="12" s="1"/>
  <c r="BB83" i="12"/>
  <c r="BH83" i="12"/>
  <c r="BO83" i="12" s="1"/>
  <c r="BB79" i="12"/>
  <c r="BH79" i="12"/>
  <c r="BO79" i="12" s="1"/>
  <c r="BB75" i="12"/>
  <c r="BH75" i="12"/>
  <c r="BO75" i="12" s="1"/>
  <c r="BB71" i="12"/>
  <c r="BH71" i="12"/>
  <c r="BO71" i="12" s="1"/>
  <c r="BB67" i="12"/>
  <c r="BH67" i="12"/>
  <c r="BO67" i="12" s="1"/>
  <c r="BB59" i="12"/>
  <c r="BH59" i="12"/>
  <c r="BO59" i="12" s="1"/>
  <c r="BB51" i="12"/>
  <c r="BH51" i="12"/>
  <c r="BO51" i="12" s="1"/>
  <c r="BB47" i="12"/>
  <c r="BH47" i="12"/>
  <c r="BO47" i="12" s="1"/>
  <c r="BB43" i="12"/>
  <c r="BH43" i="12"/>
  <c r="BO43" i="12" s="1"/>
  <c r="BB39" i="12"/>
  <c r="BH39" i="12"/>
  <c r="BO39" i="12" s="1"/>
  <c r="BB35" i="12"/>
  <c r="BH35" i="12"/>
  <c r="BO35" i="12" s="1"/>
  <c r="BB31" i="12"/>
  <c r="BH31" i="12"/>
  <c r="BO31" i="12" s="1"/>
  <c r="BB27" i="12"/>
  <c r="BH27" i="12"/>
  <c r="BO27" i="12" s="1"/>
  <c r="BB19" i="12"/>
  <c r="BH19" i="12"/>
  <c r="BO19" i="12" s="1"/>
  <c r="BB11" i="12"/>
  <c r="BH11" i="12"/>
  <c r="BO11" i="12" s="1"/>
  <c r="BB7" i="12"/>
  <c r="BH7" i="12"/>
  <c r="BO7" i="12" s="1"/>
  <c r="BB3" i="12"/>
  <c r="BH3" i="12"/>
  <c r="BO3" i="12" s="1"/>
  <c r="BH323" i="12"/>
  <c r="BO323" i="12" s="1"/>
  <c r="BH315" i="12"/>
  <c r="BO315" i="12" s="1"/>
  <c r="BH307" i="12"/>
  <c r="BO307" i="12" s="1"/>
  <c r="BH299" i="12"/>
  <c r="BO299" i="12" s="1"/>
  <c r="BH291" i="12"/>
  <c r="BO291" i="12" s="1"/>
  <c r="BH283" i="12"/>
  <c r="BO283" i="12" s="1"/>
  <c r="BH275" i="12"/>
  <c r="BO275" i="12" s="1"/>
  <c r="BH267" i="12"/>
  <c r="BO267" i="12" s="1"/>
  <c r="BH259" i="12"/>
  <c r="BO259" i="12" s="1"/>
  <c r="BH251" i="12"/>
  <c r="BO251" i="12" s="1"/>
  <c r="BH239" i="12"/>
  <c r="BO239" i="12" s="1"/>
  <c r="BH223" i="12"/>
  <c r="BO223" i="12" s="1"/>
  <c r="BH207" i="12"/>
  <c r="BO207" i="12" s="1"/>
  <c r="BB23" i="12"/>
  <c r="BH23" i="12"/>
  <c r="BO23" i="12" s="1"/>
  <c r="BH324" i="12"/>
  <c r="BO324" i="12" s="1"/>
  <c r="BC319" i="12"/>
  <c r="BI319" i="12"/>
  <c r="BC311" i="12"/>
  <c r="BI311" i="12"/>
  <c r="BC303" i="12"/>
  <c r="BI303" i="12"/>
  <c r="BC295" i="12"/>
  <c r="BI295" i="12"/>
  <c r="BC287" i="12"/>
  <c r="BI287" i="12"/>
  <c r="BC279" i="12"/>
  <c r="BI279" i="12"/>
  <c r="BC271" i="12"/>
  <c r="BI271" i="12"/>
  <c r="BC263" i="12"/>
  <c r="BI263" i="12"/>
  <c r="BC255" i="12"/>
  <c r="BI255" i="12"/>
  <c r="BC243" i="12"/>
  <c r="BI243" i="12"/>
  <c r="BC235" i="12"/>
  <c r="BI235" i="12"/>
  <c r="BC227" i="12"/>
  <c r="BI227" i="12"/>
  <c r="BC219" i="12"/>
  <c r="BI219" i="12"/>
  <c r="BC211" i="12"/>
  <c r="BI211" i="12"/>
  <c r="BC203" i="12"/>
  <c r="BI203" i="12"/>
  <c r="BB199" i="12"/>
  <c r="BH199" i="12"/>
  <c r="BO199" i="12" s="1"/>
  <c r="BB191" i="12"/>
  <c r="BH191" i="12"/>
  <c r="BO191" i="12" s="1"/>
  <c r="BB183" i="12"/>
  <c r="BH183" i="12"/>
  <c r="BO183" i="12" s="1"/>
  <c r="BB175" i="12"/>
  <c r="BH175" i="12"/>
  <c r="BO175" i="12" s="1"/>
  <c r="BB167" i="12"/>
  <c r="BH167" i="12"/>
  <c r="BO167" i="12" s="1"/>
  <c r="BB159" i="12"/>
  <c r="BH159" i="12"/>
  <c r="BO159" i="12" s="1"/>
  <c r="BB151" i="12"/>
  <c r="BH151" i="12"/>
  <c r="BO151" i="12" s="1"/>
  <c r="BB143" i="12"/>
  <c r="BH143" i="12"/>
  <c r="BO143" i="12" s="1"/>
  <c r="BB131" i="12"/>
  <c r="BH131" i="12"/>
  <c r="BO131" i="12" s="1"/>
  <c r="BB100" i="12"/>
  <c r="BH320" i="12"/>
  <c r="BO320" i="12" s="1"/>
  <c r="BH312" i="12"/>
  <c r="BO312" i="12" s="1"/>
  <c r="BH304" i="12"/>
  <c r="BO304" i="12" s="1"/>
  <c r="BH296" i="12"/>
  <c r="BO296" i="12" s="1"/>
  <c r="BH288" i="12"/>
  <c r="BO288" i="12" s="1"/>
  <c r="BH280" i="12"/>
  <c r="BO280" i="12" s="1"/>
  <c r="BH272" i="12"/>
  <c r="BO272" i="12" s="1"/>
  <c r="BH264" i="12"/>
  <c r="BO264" i="12" s="1"/>
  <c r="BH256" i="12"/>
  <c r="BO256" i="12" s="1"/>
  <c r="BH248" i="12"/>
  <c r="BO248" i="12" s="1"/>
  <c r="BH235" i="12"/>
  <c r="BO235" i="12" s="1"/>
  <c r="BH219" i="12"/>
  <c r="BO219" i="12" s="1"/>
  <c r="BH203" i="12"/>
  <c r="BO203" i="12" s="1"/>
  <c r="BC274" i="12"/>
  <c r="BI274" i="12"/>
  <c r="BC270" i="12"/>
  <c r="BI270" i="12"/>
  <c r="BC266" i="12"/>
  <c r="BI266" i="12"/>
  <c r="BC262" i="12"/>
  <c r="BI262" i="12"/>
  <c r="BC258" i="12"/>
  <c r="BI258" i="12"/>
  <c r="BC254" i="12"/>
  <c r="BI254" i="12"/>
  <c r="BC250" i="12"/>
  <c r="BI250" i="12"/>
  <c r="BC246" i="12"/>
  <c r="BI246" i="12"/>
  <c r="BC242" i="12"/>
  <c r="BI242" i="12"/>
  <c r="BC238" i="12"/>
  <c r="BI238" i="12"/>
  <c r="BC234" i="12"/>
  <c r="BI234" i="12"/>
  <c r="BC230" i="12"/>
  <c r="BI230" i="12"/>
  <c r="BC226" i="12"/>
  <c r="BI226" i="12"/>
  <c r="BC222" i="12"/>
  <c r="BI222" i="12"/>
  <c r="BC218" i="12"/>
  <c r="BI218" i="12"/>
  <c r="BC214" i="12"/>
  <c r="BI214" i="12"/>
  <c r="BC210" i="12"/>
  <c r="BI210" i="12"/>
  <c r="BC206" i="12"/>
  <c r="BI206" i="12"/>
  <c r="BC202" i="12"/>
  <c r="BI202" i="12"/>
  <c r="BC198" i="12"/>
  <c r="BI198" i="12"/>
  <c r="BC194" i="12"/>
  <c r="BI194" i="12"/>
  <c r="BC190" i="12"/>
  <c r="BI190" i="12"/>
  <c r="BC186" i="12"/>
  <c r="BI186" i="12"/>
  <c r="BC182" i="12"/>
  <c r="BI182" i="12"/>
  <c r="BC178" i="12"/>
  <c r="BI178" i="12"/>
  <c r="BC174" i="12"/>
  <c r="BI174" i="12"/>
  <c r="BC170" i="12"/>
  <c r="BI170" i="12"/>
  <c r="BC166" i="12"/>
  <c r="BI166" i="12"/>
  <c r="BC162" i="12"/>
  <c r="BI162" i="12"/>
  <c r="BC158" i="12"/>
  <c r="BI158" i="12"/>
  <c r="BC154" i="12"/>
  <c r="BI154" i="12"/>
  <c r="BC150" i="12"/>
  <c r="BI150" i="12"/>
  <c r="BC146" i="12"/>
  <c r="BI146" i="12"/>
  <c r="BC142" i="12"/>
  <c r="BI142" i="12"/>
  <c r="BC138" i="12"/>
  <c r="BI138" i="12"/>
  <c r="BC134" i="12"/>
  <c r="BI134" i="12"/>
  <c r="BC130" i="12"/>
  <c r="BI130" i="12"/>
  <c r="BC126" i="12"/>
  <c r="BI126" i="12"/>
  <c r="BC122" i="12"/>
  <c r="BI122" i="12"/>
  <c r="BC118" i="12"/>
  <c r="BI118" i="12"/>
  <c r="BC114" i="12"/>
  <c r="BI114" i="12"/>
  <c r="BC110" i="12"/>
  <c r="BI110" i="12"/>
  <c r="BC106" i="12"/>
  <c r="BI106" i="12"/>
  <c r="BC102" i="12"/>
  <c r="BI102" i="12"/>
  <c r="BC98" i="12"/>
  <c r="BI98" i="12"/>
  <c r="BC94" i="12"/>
  <c r="BI94" i="12"/>
  <c r="BC90" i="12"/>
  <c r="BI90" i="12"/>
  <c r="BC86" i="12"/>
  <c r="BI86" i="12"/>
  <c r="BC82" i="12"/>
  <c r="BI82" i="12"/>
  <c r="BD78" i="12"/>
  <c r="BJ78" i="12"/>
  <c r="BC74" i="12"/>
  <c r="BI74" i="12"/>
  <c r="BC70" i="12"/>
  <c r="BI70" i="12"/>
  <c r="BC66" i="12"/>
  <c r="BI66" i="12"/>
  <c r="BC62" i="12"/>
  <c r="BI62" i="12"/>
  <c r="BC58" i="12"/>
  <c r="BI58" i="12"/>
  <c r="BC54" i="12"/>
  <c r="BI54" i="12"/>
  <c r="BC50" i="12"/>
  <c r="BI50" i="12"/>
  <c r="BC46" i="12"/>
  <c r="BI46" i="12"/>
  <c r="BC42" i="12"/>
  <c r="BI42" i="12"/>
  <c r="BC38" i="12"/>
  <c r="BI38" i="12"/>
  <c r="BC34" i="12"/>
  <c r="BI34" i="12"/>
  <c r="BC30" i="12"/>
  <c r="BI30" i="12"/>
  <c r="BC26" i="12"/>
  <c r="BI26" i="12"/>
  <c r="BC22" i="12"/>
  <c r="BI22" i="12"/>
  <c r="BC18" i="12"/>
  <c r="BI18" i="12"/>
  <c r="BC14" i="12"/>
  <c r="BI14" i="12"/>
  <c r="BC10" i="12"/>
  <c r="BI10" i="12"/>
  <c r="BC6" i="12"/>
  <c r="BI6" i="12"/>
  <c r="BH326" i="12"/>
  <c r="BO326" i="12" s="1"/>
  <c r="BH322" i="12"/>
  <c r="BO322" i="12" s="1"/>
  <c r="BH318" i="12"/>
  <c r="BO318" i="12" s="1"/>
  <c r="BH314" i="12"/>
  <c r="BO314" i="12" s="1"/>
  <c r="BH310" i="12"/>
  <c r="BO310" i="12" s="1"/>
  <c r="BH306" i="12"/>
  <c r="BO306" i="12" s="1"/>
  <c r="BH302" i="12"/>
  <c r="BO302" i="12" s="1"/>
  <c r="BH298" i="12"/>
  <c r="BO298" i="12" s="1"/>
  <c r="BH294" i="12"/>
  <c r="BO294" i="12" s="1"/>
  <c r="BH290" i="12"/>
  <c r="BO290" i="12" s="1"/>
  <c r="BH286" i="12"/>
  <c r="BO286" i="12" s="1"/>
  <c r="BH282" i="12"/>
  <c r="BO282" i="12" s="1"/>
  <c r="BH278" i="12"/>
  <c r="BO278" i="12" s="1"/>
  <c r="BH274" i="12"/>
  <c r="BO274" i="12" s="1"/>
  <c r="BH270" i="12"/>
  <c r="BO270" i="12" s="1"/>
  <c r="BH266" i="12"/>
  <c r="BO266" i="12" s="1"/>
  <c r="BH262" i="12"/>
  <c r="BO262" i="12" s="1"/>
  <c r="BH258" i="12"/>
  <c r="BO258" i="12" s="1"/>
  <c r="BH254" i="12"/>
  <c r="BO254" i="12" s="1"/>
  <c r="BH250" i="12"/>
  <c r="BO250" i="12" s="1"/>
  <c r="BH246" i="12"/>
  <c r="BO246" i="12" s="1"/>
  <c r="BH242" i="12"/>
  <c r="BO242" i="12" s="1"/>
  <c r="BH238" i="12"/>
  <c r="BO238" i="12" s="1"/>
  <c r="BH234" i="12"/>
  <c r="BO234" i="12" s="1"/>
  <c r="BH230" i="12"/>
  <c r="BO230" i="12" s="1"/>
  <c r="BH226" i="12"/>
  <c r="BO226" i="12" s="1"/>
  <c r="BH222" i="12"/>
  <c r="BO222" i="12" s="1"/>
  <c r="BH218" i="12"/>
  <c r="BO218" i="12" s="1"/>
  <c r="BH214" i="12"/>
  <c r="BO214" i="12" s="1"/>
  <c r="BH210" i="12"/>
  <c r="BO210" i="12" s="1"/>
  <c r="BH206" i="12"/>
  <c r="BO206" i="12" s="1"/>
  <c r="BH202" i="12"/>
  <c r="BO202" i="12" s="1"/>
  <c r="BH198" i="12"/>
  <c r="BO198" i="12" s="1"/>
  <c r="BH194" i="12"/>
  <c r="BO194" i="12" s="1"/>
  <c r="BH190" i="12"/>
  <c r="BO190" i="12" s="1"/>
  <c r="BH186" i="12"/>
  <c r="BO186" i="12" s="1"/>
  <c r="BH182" i="12"/>
  <c r="BO182" i="12" s="1"/>
  <c r="BH178" i="12"/>
  <c r="BO178" i="12" s="1"/>
  <c r="BH174" i="12"/>
  <c r="BO174" i="12" s="1"/>
  <c r="BH170" i="12"/>
  <c r="BO170" i="12" s="1"/>
  <c r="BH166" i="12"/>
  <c r="BO166" i="12" s="1"/>
  <c r="BH162" i="12"/>
  <c r="BO162" i="12" s="1"/>
  <c r="BH158" i="12"/>
  <c r="BO158" i="12" s="1"/>
  <c r="BH154" i="12"/>
  <c r="BO154" i="12" s="1"/>
  <c r="BH150" i="12"/>
  <c r="BO150" i="12" s="1"/>
  <c r="BH146" i="12"/>
  <c r="BO146" i="12" s="1"/>
  <c r="BH142" i="12"/>
  <c r="BO142" i="12" s="1"/>
  <c r="BH138" i="12"/>
  <c r="BO138" i="12" s="1"/>
  <c r="BH134" i="12"/>
  <c r="BO134" i="12" s="1"/>
  <c r="BH130" i="12"/>
  <c r="BO130" i="12" s="1"/>
  <c r="BH126" i="12"/>
  <c r="BO126" i="12" s="1"/>
  <c r="BH122" i="12"/>
  <c r="BO122" i="12" s="1"/>
  <c r="BH118" i="12"/>
  <c r="BO118" i="12" s="1"/>
  <c r="BH114" i="12"/>
  <c r="BO114" i="12" s="1"/>
  <c r="BH110" i="12"/>
  <c r="BO110" i="12" s="1"/>
  <c r="BH106" i="12"/>
  <c r="BO106" i="12" s="1"/>
  <c r="BH102" i="12"/>
  <c r="BO102" i="12" s="1"/>
  <c r="BH98" i="12"/>
  <c r="BO98" i="12" s="1"/>
  <c r="BH94" i="12"/>
  <c r="BO94" i="12" s="1"/>
  <c r="BH90" i="12"/>
  <c r="BO90" i="12" s="1"/>
  <c r="BH86" i="12"/>
  <c r="BO86" i="12" s="1"/>
  <c r="BH82" i="12"/>
  <c r="BO82" i="12" s="1"/>
  <c r="BH78" i="12"/>
  <c r="BO78" i="12" s="1"/>
  <c r="BH74" i="12"/>
  <c r="BO74" i="12" s="1"/>
  <c r="BH70" i="12"/>
  <c r="BO70" i="12" s="1"/>
  <c r="BH66" i="12"/>
  <c r="BO66" i="12" s="1"/>
  <c r="BH62" i="12"/>
  <c r="BO62" i="12" s="1"/>
  <c r="BH58" i="12"/>
  <c r="BO58" i="12" s="1"/>
  <c r="BH54" i="12"/>
  <c r="BO54" i="12" s="1"/>
  <c r="BH50" i="12"/>
  <c r="BO50" i="12" s="1"/>
  <c r="BH46" i="12"/>
  <c r="BO46" i="12" s="1"/>
  <c r="BH42" i="12"/>
  <c r="BO42" i="12" s="1"/>
  <c r="BH38" i="12"/>
  <c r="BO38" i="12" s="1"/>
  <c r="BH34" i="12"/>
  <c r="BO34" i="12" s="1"/>
  <c r="BH30" i="12"/>
  <c r="BO30" i="12" s="1"/>
  <c r="BH26" i="12"/>
  <c r="BO26" i="12" s="1"/>
  <c r="BH22" i="12"/>
  <c r="BO22" i="12" s="1"/>
  <c r="BH18" i="12"/>
  <c r="BO18" i="12" s="1"/>
  <c r="BH14" i="12"/>
  <c r="BO14" i="12" s="1"/>
  <c r="BH10" i="12"/>
  <c r="BO10" i="12" s="1"/>
  <c r="BH6" i="12"/>
  <c r="BO6" i="12" s="1"/>
  <c r="BL326" i="12"/>
  <c r="BJ325" i="12"/>
  <c r="BL322" i="12"/>
  <c r="BJ321" i="12"/>
  <c r="BL318" i="12"/>
  <c r="BJ317" i="12"/>
  <c r="BL314" i="12"/>
  <c r="BJ313" i="12"/>
  <c r="BL310" i="12"/>
  <c r="BJ309" i="12"/>
  <c r="BL306" i="12"/>
  <c r="BJ305" i="12"/>
  <c r="BL302" i="12"/>
  <c r="BJ301" i="12"/>
  <c r="BL298" i="12"/>
  <c r="BJ297" i="12"/>
  <c r="BL294" i="12"/>
  <c r="BJ293" i="12"/>
  <c r="BL290" i="12"/>
  <c r="BJ289" i="12"/>
  <c r="BL286" i="12"/>
  <c r="BJ285" i="12"/>
  <c r="BL282" i="12"/>
  <c r="BJ281" i="12"/>
  <c r="BL278" i="12"/>
  <c r="BI209" i="12"/>
  <c r="BI193" i="12"/>
  <c r="BC277" i="12"/>
  <c r="BI277" i="12"/>
  <c r="BC273" i="12"/>
  <c r="BI273" i="12"/>
  <c r="BC269" i="12"/>
  <c r="BI269" i="12"/>
  <c r="BC265" i="12"/>
  <c r="BI265" i="12"/>
  <c r="BC261" i="12"/>
  <c r="BI261" i="12"/>
  <c r="BC257" i="12"/>
  <c r="BI257" i="12"/>
  <c r="BC253" i="12"/>
  <c r="BI253" i="12"/>
  <c r="BC249" i="12"/>
  <c r="BI249" i="12"/>
  <c r="BC245" i="12"/>
  <c r="BI245" i="12"/>
  <c r="BC241" i="12"/>
  <c r="BI241" i="12"/>
  <c r="BC237" i="12"/>
  <c r="BI237" i="12"/>
  <c r="BC233" i="12"/>
  <c r="BI233" i="12"/>
  <c r="BC229" i="12"/>
  <c r="BI229" i="12"/>
  <c r="BC225" i="12"/>
  <c r="BI225" i="12"/>
  <c r="BC221" i="12"/>
  <c r="BI221" i="12"/>
  <c r="BC217" i="12"/>
  <c r="BI217" i="12"/>
  <c r="BC213" i="12"/>
  <c r="BI213" i="12"/>
  <c r="BD209" i="12"/>
  <c r="BJ209" i="12"/>
  <c r="BD205" i="12"/>
  <c r="BJ205" i="12"/>
  <c r="BD201" i="12"/>
  <c r="BJ201" i="12"/>
  <c r="BD197" i="12"/>
  <c r="BJ197" i="12"/>
  <c r="BD193" i="12"/>
  <c r="BJ193" i="12"/>
  <c r="BD189" i="12"/>
  <c r="BJ189" i="12"/>
  <c r="BD185" i="12"/>
  <c r="BJ185" i="12"/>
  <c r="BD181" i="12"/>
  <c r="BJ181" i="12"/>
  <c r="BC173" i="12"/>
  <c r="BI173" i="12"/>
  <c r="BC169" i="12"/>
  <c r="BI169" i="12"/>
  <c r="BC165" i="12"/>
  <c r="BI165" i="12"/>
  <c r="BC161" i="12"/>
  <c r="BI161" i="12"/>
  <c r="BC157" i="12"/>
  <c r="BI157" i="12"/>
  <c r="BC153" i="12"/>
  <c r="BI153" i="12"/>
  <c r="BC149" i="12"/>
  <c r="BI149" i="12"/>
  <c r="BC145" i="12"/>
  <c r="BI145" i="12"/>
  <c r="BC141" i="12"/>
  <c r="BI141" i="12"/>
  <c r="BC137" i="12"/>
  <c r="BI137" i="12"/>
  <c r="BC133" i="12"/>
  <c r="BI133" i="12"/>
  <c r="BC129" i="12"/>
  <c r="BI129" i="12"/>
  <c r="BC125" i="12"/>
  <c r="BI125" i="12"/>
  <c r="BC121" i="12"/>
  <c r="BI121" i="12"/>
  <c r="BC117" i="12"/>
  <c r="BI117" i="12"/>
  <c r="BC113" i="12"/>
  <c r="BI113" i="12"/>
  <c r="BC109" i="12"/>
  <c r="BI109" i="12"/>
  <c r="BC105" i="12"/>
  <c r="BI105" i="12"/>
  <c r="BC101" i="12"/>
  <c r="BI101" i="12"/>
  <c r="BC97" i="12"/>
  <c r="BI97" i="12"/>
  <c r="BC93" i="12"/>
  <c r="BI93" i="12"/>
  <c r="BC89" i="12"/>
  <c r="BI89" i="12"/>
  <c r="BC85" i="12"/>
  <c r="BI85" i="12"/>
  <c r="BC81" i="12"/>
  <c r="BI81" i="12"/>
  <c r="BC77" i="12"/>
  <c r="BI77" i="12"/>
  <c r="BC73" i="12"/>
  <c r="BI73" i="12"/>
  <c r="BC69" i="12"/>
  <c r="BI69" i="12"/>
  <c r="BC65" i="12"/>
  <c r="BI65" i="12"/>
  <c r="BC61" i="12"/>
  <c r="BI61" i="12"/>
  <c r="BC57" i="12"/>
  <c r="BI57" i="12"/>
  <c r="BC53" i="12"/>
  <c r="BI53" i="12"/>
  <c r="BC49" i="12"/>
  <c r="BI49" i="12"/>
  <c r="BC45" i="12"/>
  <c r="BI45" i="12"/>
  <c r="BC41" i="12"/>
  <c r="BI41" i="12"/>
  <c r="BC37" i="12"/>
  <c r="BI37" i="12"/>
  <c r="BC33" i="12"/>
  <c r="BI33" i="12"/>
  <c r="BC29" i="12"/>
  <c r="BI29" i="12"/>
  <c r="BC25" i="12"/>
  <c r="BI25" i="12"/>
  <c r="BC21" i="12"/>
  <c r="BI21" i="12"/>
  <c r="BC17" i="12"/>
  <c r="BI17" i="12"/>
  <c r="BC13" i="12"/>
  <c r="BI13" i="12"/>
  <c r="BC9" i="12"/>
  <c r="BI9" i="12"/>
  <c r="BC5" i="12"/>
  <c r="BI5" i="12"/>
  <c r="BH325" i="12"/>
  <c r="BO325" i="12" s="1"/>
  <c r="BH321" i="12"/>
  <c r="BO321" i="12" s="1"/>
  <c r="BH317" i="12"/>
  <c r="BO317" i="12" s="1"/>
  <c r="BH313" i="12"/>
  <c r="BO313" i="12" s="1"/>
  <c r="BH309" i="12"/>
  <c r="BO309" i="12" s="1"/>
  <c r="BH305" i="12"/>
  <c r="BO305" i="12" s="1"/>
  <c r="BH301" i="12"/>
  <c r="BO301" i="12" s="1"/>
  <c r="BH297" i="12"/>
  <c r="BO297" i="12" s="1"/>
  <c r="BH293" i="12"/>
  <c r="BO293" i="12" s="1"/>
  <c r="BH289" i="12"/>
  <c r="BO289" i="12" s="1"/>
  <c r="BH285" i="12"/>
  <c r="BO285" i="12" s="1"/>
  <c r="BH281" i="12"/>
  <c r="BO281" i="12" s="1"/>
  <c r="BH277" i="12"/>
  <c r="BO277" i="12" s="1"/>
  <c r="BH273" i="12"/>
  <c r="BO273" i="12" s="1"/>
  <c r="BH269" i="12"/>
  <c r="BO269" i="12" s="1"/>
  <c r="BH265" i="12"/>
  <c r="BO265" i="12" s="1"/>
  <c r="BH261" i="12"/>
  <c r="BO261" i="12" s="1"/>
  <c r="BH257" i="12"/>
  <c r="BO257" i="12" s="1"/>
  <c r="BH253" i="12"/>
  <c r="BO253" i="12" s="1"/>
  <c r="BH249" i="12"/>
  <c r="BO249" i="12" s="1"/>
  <c r="BH245" i="12"/>
  <c r="BO245" i="12" s="1"/>
  <c r="BH241" i="12"/>
  <c r="BO241" i="12" s="1"/>
  <c r="BH237" i="12"/>
  <c r="BO237" i="12" s="1"/>
  <c r="BH233" i="12"/>
  <c r="BO233" i="12" s="1"/>
  <c r="BH229" i="12"/>
  <c r="BO229" i="12" s="1"/>
  <c r="BH225" i="12"/>
  <c r="BO225" i="12" s="1"/>
  <c r="BH221" i="12"/>
  <c r="BO221" i="12" s="1"/>
  <c r="BH217" i="12"/>
  <c r="BO217" i="12" s="1"/>
  <c r="BH213" i="12"/>
  <c r="BO213" i="12" s="1"/>
  <c r="BH209" i="12"/>
  <c r="BO209" i="12" s="1"/>
  <c r="BH205" i="12"/>
  <c r="BO205" i="12" s="1"/>
  <c r="BH201" i="12"/>
  <c r="BO201" i="12" s="1"/>
  <c r="BH197" i="12"/>
  <c r="BO197" i="12" s="1"/>
  <c r="BH193" i="12"/>
  <c r="BO193" i="12" s="1"/>
  <c r="BH189" i="12"/>
  <c r="BO189" i="12" s="1"/>
  <c r="BH185" i="12"/>
  <c r="BO185" i="12" s="1"/>
  <c r="BH181" i="12"/>
  <c r="BO181" i="12" s="1"/>
  <c r="BH173" i="12"/>
  <c r="BO173" i="12" s="1"/>
  <c r="BH169" i="12"/>
  <c r="BO169" i="12" s="1"/>
  <c r="BH165" i="12"/>
  <c r="BO165" i="12" s="1"/>
  <c r="BH161" i="12"/>
  <c r="BO161" i="12" s="1"/>
  <c r="BH157" i="12"/>
  <c r="BO157" i="12" s="1"/>
  <c r="BH153" i="12"/>
  <c r="BO153" i="12" s="1"/>
  <c r="BH149" i="12"/>
  <c r="BO149" i="12" s="1"/>
  <c r="BH145" i="12"/>
  <c r="BO145" i="12" s="1"/>
  <c r="BH141" i="12"/>
  <c r="BO141" i="12" s="1"/>
  <c r="BH137" i="12"/>
  <c r="BO137" i="12" s="1"/>
  <c r="BH133" i="12"/>
  <c r="BO133" i="12" s="1"/>
  <c r="BH129" i="12"/>
  <c r="BO129" i="12" s="1"/>
  <c r="BH125" i="12"/>
  <c r="BO125" i="12" s="1"/>
  <c r="BH121" i="12"/>
  <c r="BO121" i="12" s="1"/>
  <c r="BH117" i="12"/>
  <c r="BO117" i="12" s="1"/>
  <c r="BH113" i="12"/>
  <c r="BO113" i="12" s="1"/>
  <c r="BH109" i="12"/>
  <c r="BO109" i="12" s="1"/>
  <c r="BH105" i="12"/>
  <c r="BO105" i="12" s="1"/>
  <c r="BH101" i="12"/>
  <c r="BO101" i="12" s="1"/>
  <c r="BH97" i="12"/>
  <c r="BO97" i="12" s="1"/>
  <c r="BH93" i="12"/>
  <c r="BO93" i="12" s="1"/>
  <c r="BH89" i="12"/>
  <c r="BO89" i="12" s="1"/>
  <c r="BH85" i="12"/>
  <c r="BO85" i="12" s="1"/>
  <c r="BH81" i="12"/>
  <c r="BO81" i="12" s="1"/>
  <c r="BH77" i="12"/>
  <c r="BO77" i="12" s="1"/>
  <c r="BH73" i="12"/>
  <c r="BO73" i="12" s="1"/>
  <c r="BH69" i="12"/>
  <c r="BO69" i="12" s="1"/>
  <c r="BH65" i="12"/>
  <c r="BO65" i="12" s="1"/>
  <c r="BH61" i="12"/>
  <c r="BO61" i="12" s="1"/>
  <c r="BH57" i="12"/>
  <c r="BO57" i="12" s="1"/>
  <c r="BH53" i="12"/>
  <c r="BO53" i="12" s="1"/>
  <c r="BH49" i="12"/>
  <c r="BO49" i="12" s="1"/>
  <c r="BH45" i="12"/>
  <c r="BO45" i="12" s="1"/>
  <c r="BH41" i="12"/>
  <c r="BO41" i="12" s="1"/>
  <c r="BH37" i="12"/>
  <c r="BO37" i="12" s="1"/>
  <c r="BH33" i="12"/>
  <c r="BO33" i="12" s="1"/>
  <c r="BH29" i="12"/>
  <c r="BO29" i="12" s="1"/>
  <c r="BH25" i="12"/>
  <c r="BO25" i="12" s="1"/>
  <c r="BH21" i="12"/>
  <c r="BO21" i="12" s="1"/>
  <c r="BH17" i="12"/>
  <c r="BO17" i="12" s="1"/>
  <c r="BH13" i="12"/>
  <c r="BO13" i="12" s="1"/>
  <c r="BH9" i="12"/>
  <c r="BO9" i="12" s="1"/>
  <c r="BH5" i="12"/>
  <c r="BO5" i="12" s="1"/>
  <c r="BK326" i="12"/>
  <c r="BM325" i="12"/>
  <c r="BI325" i="12"/>
  <c r="BK322" i="12"/>
  <c r="BM321" i="12"/>
  <c r="BI321" i="12"/>
  <c r="BK318" i="12"/>
  <c r="BM317" i="12"/>
  <c r="BI317" i="12"/>
  <c r="BK314" i="12"/>
  <c r="BM313" i="12"/>
  <c r="BI313" i="12"/>
  <c r="BK310" i="12"/>
  <c r="BM309" i="12"/>
  <c r="BI309" i="12"/>
  <c r="BK306" i="12"/>
  <c r="BM305" i="12"/>
  <c r="BI305" i="12"/>
  <c r="BK302" i="12"/>
  <c r="BM301" i="12"/>
  <c r="BI301" i="12"/>
  <c r="BK298" i="12"/>
  <c r="BM297" i="12"/>
  <c r="BI297" i="12"/>
  <c r="BK294" i="12"/>
  <c r="BM293" i="12"/>
  <c r="BI293" i="12"/>
  <c r="BK290" i="12"/>
  <c r="BM289" i="12"/>
  <c r="BI289" i="12"/>
  <c r="BK286" i="12"/>
  <c r="BM285" i="12"/>
  <c r="BI285" i="12"/>
  <c r="BK282" i="12"/>
  <c r="BM281" i="12"/>
  <c r="BI281" i="12"/>
  <c r="BK278" i="12"/>
  <c r="BI205" i="12"/>
  <c r="BI189" i="12"/>
  <c r="BJ326" i="12"/>
  <c r="BL325" i="12"/>
  <c r="BJ322" i="12"/>
  <c r="BL321" i="12"/>
  <c r="BJ318" i="12"/>
  <c r="BL317" i="12"/>
  <c r="BJ314" i="12"/>
  <c r="BL313" i="12"/>
  <c r="BJ310" i="12"/>
  <c r="BL309" i="12"/>
  <c r="BJ306" i="12"/>
  <c r="BL305" i="12"/>
  <c r="BJ302" i="12"/>
  <c r="BL301" i="12"/>
  <c r="BJ298" i="12"/>
  <c r="BL297" i="12"/>
  <c r="BJ294" i="12"/>
  <c r="BL293" i="12"/>
  <c r="BJ290" i="12"/>
  <c r="BL289" i="12"/>
  <c r="BJ286" i="12"/>
  <c r="BL285" i="12"/>
  <c r="BJ282" i="12"/>
  <c r="BL281" i="12"/>
  <c r="BJ278" i="12"/>
  <c r="BI201" i="12"/>
  <c r="BI185" i="12"/>
  <c r="BI181" i="12"/>
  <c r="W15" i="4"/>
  <c r="A4" i="4"/>
  <c r="A25" i="15"/>
  <c r="G21" i="10"/>
  <c r="F3" i="10"/>
  <c r="E5" i="10"/>
  <c r="C4" i="10"/>
  <c r="D4" i="10"/>
  <c r="D3" i="10"/>
  <c r="B48" i="4"/>
  <c r="BC4" i="12" l="1"/>
  <c r="BI4" i="12"/>
  <c r="BC12" i="12"/>
  <c r="BI12" i="12"/>
  <c r="BC20" i="12"/>
  <c r="BI20" i="12"/>
  <c r="BC28" i="12"/>
  <c r="BI28" i="12"/>
  <c r="BC36" i="12"/>
  <c r="BI36" i="12"/>
  <c r="BC44" i="12"/>
  <c r="BI44" i="12"/>
  <c r="BC52" i="12"/>
  <c r="BI52" i="12"/>
  <c r="BC60" i="12"/>
  <c r="BI60" i="12"/>
  <c r="BC72" i="12"/>
  <c r="BI72" i="12"/>
  <c r="BC80" i="12"/>
  <c r="BI80" i="12"/>
  <c r="BC88" i="12"/>
  <c r="BI88" i="12"/>
  <c r="BC96" i="12"/>
  <c r="BI96" i="12"/>
  <c r="BC108" i="12"/>
  <c r="BI108" i="12"/>
  <c r="BC116" i="12"/>
  <c r="BI116" i="12"/>
  <c r="BC124" i="12"/>
  <c r="BI124" i="12"/>
  <c r="BC140" i="12"/>
  <c r="BI140" i="12"/>
  <c r="BC148" i="12"/>
  <c r="BI148" i="12"/>
  <c r="BC156" i="12"/>
  <c r="BI156" i="12"/>
  <c r="BC172" i="12"/>
  <c r="BI172" i="12"/>
  <c r="BC180" i="12"/>
  <c r="BI180" i="12"/>
  <c r="BC188" i="12"/>
  <c r="BI188" i="12"/>
  <c r="BC196" i="12"/>
  <c r="BI196" i="12"/>
  <c r="BC204" i="12"/>
  <c r="BI204" i="12"/>
  <c r="BC212" i="12"/>
  <c r="BI212" i="12"/>
  <c r="BC220" i="12"/>
  <c r="BI220" i="12"/>
  <c r="BC228" i="12"/>
  <c r="BI228" i="12"/>
  <c r="BC236" i="12"/>
  <c r="BI236" i="12"/>
  <c r="BC244" i="12"/>
  <c r="BI244" i="12"/>
  <c r="BD252" i="12"/>
  <c r="BJ252" i="12"/>
  <c r="BD260" i="12"/>
  <c r="BJ260" i="12"/>
  <c r="BD268" i="12"/>
  <c r="BJ268" i="12"/>
  <c r="BD276" i="12"/>
  <c r="BJ276" i="12"/>
  <c r="BD284" i="12"/>
  <c r="BJ284" i="12"/>
  <c r="BD292" i="12"/>
  <c r="BJ292" i="12"/>
  <c r="BD300" i="12"/>
  <c r="BJ300" i="12"/>
  <c r="BD308" i="12"/>
  <c r="BJ308" i="12"/>
  <c r="BD316" i="12"/>
  <c r="BJ316" i="12"/>
  <c r="BD324" i="12"/>
  <c r="BJ324" i="12"/>
  <c r="BC55" i="12"/>
  <c r="BI55" i="12"/>
  <c r="BC15" i="12"/>
  <c r="BI15" i="12"/>
  <c r="BD13" i="12"/>
  <c r="BJ13" i="12"/>
  <c r="BD37" i="12"/>
  <c r="BJ37" i="12"/>
  <c r="BD53" i="12"/>
  <c r="BJ53" i="12"/>
  <c r="BD69" i="12"/>
  <c r="BJ69" i="12"/>
  <c r="BD85" i="12"/>
  <c r="BJ85" i="12"/>
  <c r="BD101" i="12"/>
  <c r="BJ101" i="12"/>
  <c r="BD117" i="12"/>
  <c r="BJ117" i="12"/>
  <c r="BD133" i="12"/>
  <c r="BJ133" i="12"/>
  <c r="BD149" i="12"/>
  <c r="BJ149" i="12"/>
  <c r="BD165" i="12"/>
  <c r="BJ165" i="12"/>
  <c r="BE185" i="12"/>
  <c r="BK185" i="12"/>
  <c r="BE201" i="12"/>
  <c r="BK201" i="12"/>
  <c r="BD217" i="12"/>
  <c r="BJ217" i="12"/>
  <c r="BD233" i="12"/>
  <c r="BJ233" i="12"/>
  <c r="BD257" i="12"/>
  <c r="BJ257" i="12"/>
  <c r="BD273" i="12"/>
  <c r="BJ273" i="12"/>
  <c r="BD6" i="12"/>
  <c r="BJ6" i="12"/>
  <c r="BD22" i="12"/>
  <c r="BJ22" i="12"/>
  <c r="BD38" i="12"/>
  <c r="BJ38" i="12"/>
  <c r="BD54" i="12"/>
  <c r="BJ54" i="12"/>
  <c r="BD70" i="12"/>
  <c r="BJ70" i="12"/>
  <c r="BD86" i="12"/>
  <c r="BJ86" i="12"/>
  <c r="BD102" i="12"/>
  <c r="BJ102" i="12"/>
  <c r="BD118" i="12"/>
  <c r="BJ118" i="12"/>
  <c r="BD134" i="12"/>
  <c r="BJ134" i="12"/>
  <c r="BD150" i="12"/>
  <c r="BJ150" i="12"/>
  <c r="BD166" i="12"/>
  <c r="BJ166" i="12"/>
  <c r="BD190" i="12"/>
  <c r="BJ190" i="12"/>
  <c r="BD206" i="12"/>
  <c r="BJ206" i="12"/>
  <c r="BD222" i="12"/>
  <c r="BJ222" i="12"/>
  <c r="BD238" i="12"/>
  <c r="BJ238" i="12"/>
  <c r="BD254" i="12"/>
  <c r="BJ254" i="12"/>
  <c r="BC143" i="12"/>
  <c r="BI143" i="12"/>
  <c r="BC175" i="12"/>
  <c r="BI175" i="12"/>
  <c r="BD203" i="12"/>
  <c r="BJ203" i="12"/>
  <c r="BD235" i="12"/>
  <c r="BJ235" i="12"/>
  <c r="BD271" i="12"/>
  <c r="BJ271" i="12"/>
  <c r="BD303" i="12"/>
  <c r="BJ303" i="12"/>
  <c r="BC7" i="12"/>
  <c r="BI7" i="12"/>
  <c r="BC31" i="12"/>
  <c r="BI31" i="12"/>
  <c r="BC47" i="12"/>
  <c r="BI47" i="12"/>
  <c r="BC71" i="12"/>
  <c r="BI71" i="12"/>
  <c r="BC87" i="12"/>
  <c r="BI87" i="12"/>
  <c r="BC103" i="12"/>
  <c r="BI103" i="12"/>
  <c r="BC119" i="12"/>
  <c r="BI119" i="12"/>
  <c r="BC139" i="12"/>
  <c r="BI139" i="12"/>
  <c r="BC171" i="12"/>
  <c r="BI171" i="12"/>
  <c r="BD207" i="12"/>
  <c r="BJ207" i="12"/>
  <c r="BD239" i="12"/>
  <c r="BJ239" i="12"/>
  <c r="BD267" i="12"/>
  <c r="BJ267" i="12"/>
  <c r="BD299" i="12"/>
  <c r="BJ299" i="12"/>
  <c r="BC132" i="12"/>
  <c r="BI132" i="12"/>
  <c r="BD9" i="12"/>
  <c r="BJ9" i="12"/>
  <c r="BD17" i="12"/>
  <c r="BJ17" i="12"/>
  <c r="BD25" i="12"/>
  <c r="BJ25" i="12"/>
  <c r="BD33" i="12"/>
  <c r="BJ33" i="12"/>
  <c r="BD41" i="12"/>
  <c r="BJ41" i="12"/>
  <c r="BD49" i="12"/>
  <c r="BJ49" i="12"/>
  <c r="BD57" i="12"/>
  <c r="BJ57" i="12"/>
  <c r="BD65" i="12"/>
  <c r="BJ65" i="12"/>
  <c r="BD73" i="12"/>
  <c r="BJ73" i="12"/>
  <c r="BD81" i="12"/>
  <c r="BJ81" i="12"/>
  <c r="BD89" i="12"/>
  <c r="BJ89" i="12"/>
  <c r="BD97" i="12"/>
  <c r="BJ97" i="12"/>
  <c r="BD105" i="12"/>
  <c r="BJ105" i="12"/>
  <c r="BD113" i="12"/>
  <c r="BJ113" i="12"/>
  <c r="BD121" i="12"/>
  <c r="BJ121" i="12"/>
  <c r="BD129" i="12"/>
  <c r="BJ129" i="12"/>
  <c r="BD137" i="12"/>
  <c r="BJ137" i="12"/>
  <c r="BD145" i="12"/>
  <c r="BJ145" i="12"/>
  <c r="BD153" i="12"/>
  <c r="BJ153" i="12"/>
  <c r="BD161" i="12"/>
  <c r="BJ161" i="12"/>
  <c r="BD169" i="12"/>
  <c r="BJ169" i="12"/>
  <c r="BE181" i="12"/>
  <c r="BK181" i="12"/>
  <c r="BE189" i="12"/>
  <c r="BK189" i="12"/>
  <c r="BE197" i="12"/>
  <c r="BK197" i="12"/>
  <c r="BE205" i="12"/>
  <c r="BK205" i="12"/>
  <c r="BD213" i="12"/>
  <c r="BJ213" i="12"/>
  <c r="BD221" i="12"/>
  <c r="BJ221" i="12"/>
  <c r="BD229" i="12"/>
  <c r="BJ229" i="12"/>
  <c r="BD237" i="12"/>
  <c r="BJ237" i="12"/>
  <c r="BD245" i="12"/>
  <c r="BJ245" i="12"/>
  <c r="BD253" i="12"/>
  <c r="BJ253" i="12"/>
  <c r="BD261" i="12"/>
  <c r="BJ261" i="12"/>
  <c r="BD269" i="12"/>
  <c r="BJ269" i="12"/>
  <c r="BD277" i="12"/>
  <c r="BJ277" i="12"/>
  <c r="BD10" i="12"/>
  <c r="BJ10" i="12"/>
  <c r="BD18" i="12"/>
  <c r="BJ18" i="12"/>
  <c r="BD26" i="12"/>
  <c r="BJ26" i="12"/>
  <c r="BD34" i="12"/>
  <c r="BJ34" i="12"/>
  <c r="BD42" i="12"/>
  <c r="BJ42" i="12"/>
  <c r="BD50" i="12"/>
  <c r="BJ50" i="12"/>
  <c r="BD58" i="12"/>
  <c r="BJ58" i="12"/>
  <c r="BD66" i="12"/>
  <c r="BJ66" i="12"/>
  <c r="BD74" i="12"/>
  <c r="BJ74" i="12"/>
  <c r="BD82" i="12"/>
  <c r="BJ82" i="12"/>
  <c r="BD90" i="12"/>
  <c r="BJ90" i="12"/>
  <c r="BD98" i="12"/>
  <c r="BJ98" i="12"/>
  <c r="BD106" i="12"/>
  <c r="BJ106" i="12"/>
  <c r="BD114" i="12"/>
  <c r="BJ114" i="12"/>
  <c r="BD122" i="12"/>
  <c r="BJ122" i="12"/>
  <c r="BD130" i="12"/>
  <c r="BJ130" i="12"/>
  <c r="BD138" i="12"/>
  <c r="BJ138" i="12"/>
  <c r="BD146" i="12"/>
  <c r="BJ146" i="12"/>
  <c r="BD154" i="12"/>
  <c r="BJ154" i="12"/>
  <c r="BD162" i="12"/>
  <c r="BJ162" i="12"/>
  <c r="BD170" i="12"/>
  <c r="BJ170" i="12"/>
  <c r="BD178" i="12"/>
  <c r="BJ178" i="12"/>
  <c r="BD186" i="12"/>
  <c r="BJ186" i="12"/>
  <c r="BD194" i="12"/>
  <c r="BJ194" i="12"/>
  <c r="BD202" i="12"/>
  <c r="BJ202" i="12"/>
  <c r="BD210" i="12"/>
  <c r="BJ210" i="12"/>
  <c r="BD218" i="12"/>
  <c r="BJ218" i="12"/>
  <c r="BD226" i="12"/>
  <c r="BJ226" i="12"/>
  <c r="BD234" i="12"/>
  <c r="BJ234" i="12"/>
  <c r="BD242" i="12"/>
  <c r="BJ242" i="12"/>
  <c r="BD250" i="12"/>
  <c r="BJ250" i="12"/>
  <c r="BD258" i="12"/>
  <c r="BJ258" i="12"/>
  <c r="BD266" i="12"/>
  <c r="BJ266" i="12"/>
  <c r="BD274" i="12"/>
  <c r="BJ274" i="12"/>
  <c r="BC131" i="12"/>
  <c r="BI131" i="12"/>
  <c r="BC151" i="12"/>
  <c r="BI151" i="12"/>
  <c r="BC167" i="12"/>
  <c r="BI167" i="12"/>
  <c r="BC183" i="12"/>
  <c r="BI183" i="12"/>
  <c r="BC199" i="12"/>
  <c r="BI199" i="12"/>
  <c r="BD211" i="12"/>
  <c r="BJ211" i="12"/>
  <c r="BD227" i="12"/>
  <c r="BJ227" i="12"/>
  <c r="BD243" i="12"/>
  <c r="BJ243" i="12"/>
  <c r="BD263" i="12"/>
  <c r="BJ263" i="12"/>
  <c r="BD279" i="12"/>
  <c r="BJ279" i="12"/>
  <c r="BD295" i="12"/>
  <c r="BJ295" i="12"/>
  <c r="BD311" i="12"/>
  <c r="BJ311" i="12"/>
  <c r="BC3" i="12"/>
  <c r="BI3" i="12"/>
  <c r="BC11" i="12"/>
  <c r="BI11" i="12"/>
  <c r="BC27" i="12"/>
  <c r="BI27" i="12"/>
  <c r="BC35" i="12"/>
  <c r="BI35" i="12"/>
  <c r="BC43" i="12"/>
  <c r="BI43" i="12"/>
  <c r="BC51" i="12"/>
  <c r="BI51" i="12"/>
  <c r="BC67" i="12"/>
  <c r="BI67" i="12"/>
  <c r="BC75" i="12"/>
  <c r="BI75" i="12"/>
  <c r="BC83" i="12"/>
  <c r="BI83" i="12"/>
  <c r="BC91" i="12"/>
  <c r="BI91" i="12"/>
  <c r="BC99" i="12"/>
  <c r="BI99" i="12"/>
  <c r="BC107" i="12"/>
  <c r="BI107" i="12"/>
  <c r="BC115" i="12"/>
  <c r="BI115" i="12"/>
  <c r="BC123" i="12"/>
  <c r="BI123" i="12"/>
  <c r="BC135" i="12"/>
  <c r="BI135" i="12"/>
  <c r="BC147" i="12"/>
  <c r="BI147" i="12"/>
  <c r="BC163" i="12"/>
  <c r="BI163" i="12"/>
  <c r="BC179" i="12"/>
  <c r="BI179" i="12"/>
  <c r="BC195" i="12"/>
  <c r="BI195" i="12"/>
  <c r="BD215" i="12"/>
  <c r="BJ215" i="12"/>
  <c r="BD231" i="12"/>
  <c r="BJ231" i="12"/>
  <c r="BD247" i="12"/>
  <c r="BJ247" i="12"/>
  <c r="BD259" i="12"/>
  <c r="BJ259" i="12"/>
  <c r="BD275" i="12"/>
  <c r="BJ275" i="12"/>
  <c r="BD291" i="12"/>
  <c r="BJ291" i="12"/>
  <c r="BD307" i="12"/>
  <c r="BJ307" i="12"/>
  <c r="BD323" i="12"/>
  <c r="BJ323" i="12"/>
  <c r="BD5" i="12"/>
  <c r="BJ5" i="12"/>
  <c r="BD21" i="12"/>
  <c r="BJ21" i="12"/>
  <c r="BD29" i="12"/>
  <c r="BJ29" i="12"/>
  <c r="BD45" i="12"/>
  <c r="BJ45" i="12"/>
  <c r="BD61" i="12"/>
  <c r="BJ61" i="12"/>
  <c r="BD77" i="12"/>
  <c r="BJ77" i="12"/>
  <c r="BD93" i="12"/>
  <c r="BJ93" i="12"/>
  <c r="BD109" i="12"/>
  <c r="BJ109" i="12"/>
  <c r="BD125" i="12"/>
  <c r="BJ125" i="12"/>
  <c r="BD141" i="12"/>
  <c r="BJ141" i="12"/>
  <c r="BD157" i="12"/>
  <c r="BJ157" i="12"/>
  <c r="BD173" i="12"/>
  <c r="BJ173" i="12"/>
  <c r="BE193" i="12"/>
  <c r="BK193" i="12"/>
  <c r="BE209" i="12"/>
  <c r="BK209" i="12"/>
  <c r="BD225" i="12"/>
  <c r="BJ225" i="12"/>
  <c r="BD241" i="12"/>
  <c r="BJ241" i="12"/>
  <c r="BD249" i="12"/>
  <c r="BJ249" i="12"/>
  <c r="BD265" i="12"/>
  <c r="BJ265" i="12"/>
  <c r="BD14" i="12"/>
  <c r="BJ14" i="12"/>
  <c r="BD30" i="12"/>
  <c r="BJ30" i="12"/>
  <c r="BD46" i="12"/>
  <c r="BJ46" i="12"/>
  <c r="BD62" i="12"/>
  <c r="BJ62" i="12"/>
  <c r="BE78" i="12"/>
  <c r="BK78" i="12"/>
  <c r="BD94" i="12"/>
  <c r="BJ94" i="12"/>
  <c r="BD110" i="12"/>
  <c r="BJ110" i="12"/>
  <c r="BD126" i="12"/>
  <c r="BJ126" i="12"/>
  <c r="BD142" i="12"/>
  <c r="BJ142" i="12"/>
  <c r="BD158" i="12"/>
  <c r="BJ158" i="12"/>
  <c r="BD174" i="12"/>
  <c r="BJ174" i="12"/>
  <c r="BD182" i="12"/>
  <c r="BJ182" i="12"/>
  <c r="BD198" i="12"/>
  <c r="BJ198" i="12"/>
  <c r="BD214" i="12"/>
  <c r="BJ214" i="12"/>
  <c r="BD230" i="12"/>
  <c r="BJ230" i="12"/>
  <c r="BD246" i="12"/>
  <c r="BJ246" i="12"/>
  <c r="BD262" i="12"/>
  <c r="BJ262" i="12"/>
  <c r="BD270" i="12"/>
  <c r="BJ270" i="12"/>
  <c r="BC100" i="12"/>
  <c r="BI100" i="12"/>
  <c r="BC159" i="12"/>
  <c r="BI159" i="12"/>
  <c r="BC191" i="12"/>
  <c r="BI191" i="12"/>
  <c r="BD219" i="12"/>
  <c r="BJ219" i="12"/>
  <c r="BD255" i="12"/>
  <c r="BJ255" i="12"/>
  <c r="BD287" i="12"/>
  <c r="BJ287" i="12"/>
  <c r="BD319" i="12"/>
  <c r="BJ319" i="12"/>
  <c r="BC19" i="12"/>
  <c r="BI19" i="12"/>
  <c r="BC39" i="12"/>
  <c r="BI39" i="12"/>
  <c r="BC59" i="12"/>
  <c r="BI59" i="12"/>
  <c r="BC79" i="12"/>
  <c r="BI79" i="12"/>
  <c r="BC95" i="12"/>
  <c r="BI95" i="12"/>
  <c r="BC111" i="12"/>
  <c r="BI111" i="12"/>
  <c r="BC127" i="12"/>
  <c r="BI127" i="12"/>
  <c r="BC155" i="12"/>
  <c r="BI155" i="12"/>
  <c r="BC187" i="12"/>
  <c r="BI187" i="12"/>
  <c r="BD223" i="12"/>
  <c r="BJ223" i="12"/>
  <c r="BD251" i="12"/>
  <c r="BJ251" i="12"/>
  <c r="BD283" i="12"/>
  <c r="BJ283" i="12"/>
  <c r="BD315" i="12"/>
  <c r="BJ315" i="12"/>
  <c r="BC164" i="12"/>
  <c r="BI164" i="12"/>
  <c r="BC23" i="12"/>
  <c r="BI23" i="12"/>
  <c r="BC8" i="12"/>
  <c r="BI8" i="12"/>
  <c r="BC16" i="12"/>
  <c r="BI16" i="12"/>
  <c r="BC24" i="12"/>
  <c r="BI24" i="12"/>
  <c r="BC32" i="12"/>
  <c r="BI32" i="12"/>
  <c r="BC40" i="12"/>
  <c r="BI40" i="12"/>
  <c r="BC48" i="12"/>
  <c r="BI48" i="12"/>
  <c r="BC56" i="12"/>
  <c r="BI56" i="12"/>
  <c r="BC64" i="12"/>
  <c r="BI64" i="12"/>
  <c r="BC76" i="12"/>
  <c r="BI76" i="12"/>
  <c r="BC84" i="12"/>
  <c r="BI84" i="12"/>
  <c r="BC92" i="12"/>
  <c r="BI92" i="12"/>
  <c r="BC104" i="12"/>
  <c r="BI104" i="12"/>
  <c r="BC112" i="12"/>
  <c r="BI112" i="12"/>
  <c r="BC120" i="12"/>
  <c r="BI120" i="12"/>
  <c r="BC128" i="12"/>
  <c r="BI128" i="12"/>
  <c r="BC136" i="12"/>
  <c r="BI136" i="12"/>
  <c r="BC144" i="12"/>
  <c r="BI144" i="12"/>
  <c r="BC152" i="12"/>
  <c r="BI152" i="12"/>
  <c r="BC160" i="12"/>
  <c r="BI160" i="12"/>
  <c r="BC168" i="12"/>
  <c r="BI168" i="12"/>
  <c r="BC176" i="12"/>
  <c r="BI176" i="12"/>
  <c r="BC184" i="12"/>
  <c r="BI184" i="12"/>
  <c r="BC192" i="12"/>
  <c r="BI192" i="12"/>
  <c r="BC200" i="12"/>
  <c r="BI200" i="12"/>
  <c r="BC208" i="12"/>
  <c r="BI208" i="12"/>
  <c r="BC216" i="12"/>
  <c r="BI216" i="12"/>
  <c r="BC224" i="12"/>
  <c r="BI224" i="12"/>
  <c r="BC232" i="12"/>
  <c r="BI232" i="12"/>
  <c r="BC240" i="12"/>
  <c r="BI240" i="12"/>
  <c r="BD248" i="12"/>
  <c r="BJ248" i="12"/>
  <c r="BD256" i="12"/>
  <c r="BJ256" i="12"/>
  <c r="BD264" i="12"/>
  <c r="BJ264" i="12"/>
  <c r="BD272" i="12"/>
  <c r="BJ272" i="12"/>
  <c r="BD280" i="12"/>
  <c r="BJ280" i="12"/>
  <c r="BD288" i="12"/>
  <c r="BJ288" i="12"/>
  <c r="BD296" i="12"/>
  <c r="BJ296" i="12"/>
  <c r="BD304" i="12"/>
  <c r="BJ304" i="12"/>
  <c r="BD312" i="12"/>
  <c r="BJ312" i="12"/>
  <c r="BD320" i="12"/>
  <c r="BJ320" i="12"/>
  <c r="BD68" i="12"/>
  <c r="BJ68" i="12"/>
  <c r="BC177" i="12"/>
  <c r="BI177" i="12"/>
  <c r="BC63" i="12"/>
  <c r="BI63" i="12"/>
  <c r="B1" i="16"/>
  <c r="BD177" i="12" l="1"/>
  <c r="BJ177" i="12"/>
  <c r="BD240" i="12"/>
  <c r="BJ240" i="12"/>
  <c r="BD144" i="12"/>
  <c r="BJ144" i="12"/>
  <c r="BD56" i="12"/>
  <c r="BJ56" i="12"/>
  <c r="BD155" i="12"/>
  <c r="BJ155" i="12"/>
  <c r="BE255" i="12"/>
  <c r="BK255" i="12"/>
  <c r="BE198" i="12"/>
  <c r="BK198" i="12"/>
  <c r="BE46" i="12"/>
  <c r="BK46" i="12"/>
  <c r="BE157" i="12"/>
  <c r="BK157" i="12"/>
  <c r="BE29" i="12"/>
  <c r="BK29" i="12"/>
  <c r="BE307" i="12"/>
  <c r="BK307" i="12"/>
  <c r="BE275" i="12"/>
  <c r="BK275" i="12"/>
  <c r="BD179" i="12"/>
  <c r="BJ179" i="12"/>
  <c r="BD147" i="12"/>
  <c r="BJ147" i="12"/>
  <c r="BD123" i="12"/>
  <c r="BJ123" i="12"/>
  <c r="BD107" i="12"/>
  <c r="BJ107" i="12"/>
  <c r="BD91" i="12"/>
  <c r="BJ91" i="12"/>
  <c r="BD75" i="12"/>
  <c r="BJ75" i="12"/>
  <c r="BD51" i="12"/>
  <c r="BJ51" i="12"/>
  <c r="BD35" i="12"/>
  <c r="BJ35" i="12"/>
  <c r="BD11" i="12"/>
  <c r="BJ11" i="12"/>
  <c r="BE311" i="12"/>
  <c r="BK311" i="12"/>
  <c r="BE279" i="12"/>
  <c r="BK279" i="12"/>
  <c r="BE243" i="12"/>
  <c r="BK243" i="12"/>
  <c r="BE211" i="12"/>
  <c r="BK211" i="12"/>
  <c r="BD183" i="12"/>
  <c r="BJ183" i="12"/>
  <c r="BD151" i="12"/>
  <c r="BJ151" i="12"/>
  <c r="BE274" i="12"/>
  <c r="BK274" i="12"/>
  <c r="BE258" i="12"/>
  <c r="BK258" i="12"/>
  <c r="BE242" i="12"/>
  <c r="BK242" i="12"/>
  <c r="BE226" i="12"/>
  <c r="BK226" i="12"/>
  <c r="BE210" i="12"/>
  <c r="BK210" i="12"/>
  <c r="BE194" i="12"/>
  <c r="BK194" i="12"/>
  <c r="BE178" i="12"/>
  <c r="BK178" i="12"/>
  <c r="BE162" i="12"/>
  <c r="BK162" i="12"/>
  <c r="BE146" i="12"/>
  <c r="BK146" i="12"/>
  <c r="BE130" i="12"/>
  <c r="BK130" i="12"/>
  <c r="BE114" i="12"/>
  <c r="BK114" i="12"/>
  <c r="BE98" i="12"/>
  <c r="BK98" i="12"/>
  <c r="BE82" i="12"/>
  <c r="BK82" i="12"/>
  <c r="BE66" i="12"/>
  <c r="BK66" i="12"/>
  <c r="BE50" i="12"/>
  <c r="BK50" i="12"/>
  <c r="BE34" i="12"/>
  <c r="BK34" i="12"/>
  <c r="BE18" i="12"/>
  <c r="BK18" i="12"/>
  <c r="BE277" i="12"/>
  <c r="BK277" i="12"/>
  <c r="BE261" i="12"/>
  <c r="BK261" i="12"/>
  <c r="BE245" i="12"/>
  <c r="BK245" i="12"/>
  <c r="BE229" i="12"/>
  <c r="BK229" i="12"/>
  <c r="BE213" i="12"/>
  <c r="BK213" i="12"/>
  <c r="BF197" i="12"/>
  <c r="BL197" i="12"/>
  <c r="BF181" i="12"/>
  <c r="BL181" i="12"/>
  <c r="BE161" i="12"/>
  <c r="BK161" i="12"/>
  <c r="BE145" i="12"/>
  <c r="BK145" i="12"/>
  <c r="BE129" i="12"/>
  <c r="BK129" i="12"/>
  <c r="BE113" i="12"/>
  <c r="BK113" i="12"/>
  <c r="BE97" i="12"/>
  <c r="BK97" i="12"/>
  <c r="BE81" i="12"/>
  <c r="BK81" i="12"/>
  <c r="BE65" i="12"/>
  <c r="BK65" i="12"/>
  <c r="BE49" i="12"/>
  <c r="BK49" i="12"/>
  <c r="BE33" i="12"/>
  <c r="BK33" i="12"/>
  <c r="BE17" i="12"/>
  <c r="BK17" i="12"/>
  <c r="BD132" i="12"/>
  <c r="BJ132" i="12"/>
  <c r="BE267" i="12"/>
  <c r="BK267" i="12"/>
  <c r="BE207" i="12"/>
  <c r="BK207" i="12"/>
  <c r="BD139" i="12"/>
  <c r="BJ139" i="12"/>
  <c r="BD103" i="12"/>
  <c r="BJ103" i="12"/>
  <c r="BD71" i="12"/>
  <c r="BJ71" i="12"/>
  <c r="BD31" i="12"/>
  <c r="BJ31" i="12"/>
  <c r="BE303" i="12"/>
  <c r="BK303" i="12"/>
  <c r="BE235" i="12"/>
  <c r="BK235" i="12"/>
  <c r="BD175" i="12"/>
  <c r="BJ175" i="12"/>
  <c r="BE254" i="12"/>
  <c r="BK254" i="12"/>
  <c r="BE222" i="12"/>
  <c r="BK222" i="12"/>
  <c r="BE190" i="12"/>
  <c r="BK190" i="12"/>
  <c r="BE150" i="12"/>
  <c r="BK150" i="12"/>
  <c r="BE118" i="12"/>
  <c r="BK118" i="12"/>
  <c r="BE86" i="12"/>
  <c r="BK86" i="12"/>
  <c r="BE54" i="12"/>
  <c r="BK54" i="12"/>
  <c r="BE22" i="12"/>
  <c r="BK22" i="12"/>
  <c r="BE273" i="12"/>
  <c r="BK273" i="12"/>
  <c r="BE233" i="12"/>
  <c r="BK233" i="12"/>
  <c r="BF201" i="12"/>
  <c r="BL201" i="12"/>
  <c r="BE165" i="12"/>
  <c r="BK165" i="12"/>
  <c r="BE133" i="12"/>
  <c r="BK133" i="12"/>
  <c r="BE101" i="12"/>
  <c r="BK101" i="12"/>
  <c r="BE69" i="12"/>
  <c r="BK69" i="12"/>
  <c r="BE37" i="12"/>
  <c r="BK37" i="12"/>
  <c r="BD15" i="12"/>
  <c r="BJ15" i="12"/>
  <c r="BE324" i="12"/>
  <c r="BK324" i="12"/>
  <c r="BE308" i="12"/>
  <c r="BK308" i="12"/>
  <c r="BE292" i="12"/>
  <c r="BK292" i="12"/>
  <c r="BE276" i="12"/>
  <c r="BK276" i="12"/>
  <c r="BE260" i="12"/>
  <c r="BK260" i="12"/>
  <c r="BD244" i="12"/>
  <c r="BJ244" i="12"/>
  <c r="BD228" i="12"/>
  <c r="BJ228" i="12"/>
  <c r="BD212" i="12"/>
  <c r="BJ212" i="12"/>
  <c r="BD196" i="12"/>
  <c r="BJ196" i="12"/>
  <c r="BD180" i="12"/>
  <c r="BJ180" i="12"/>
  <c r="BD156" i="12"/>
  <c r="BJ156" i="12"/>
  <c r="BD140" i="12"/>
  <c r="BJ140" i="12"/>
  <c r="BD116" i="12"/>
  <c r="BJ116" i="12"/>
  <c r="BD96" i="12"/>
  <c r="BJ96" i="12"/>
  <c r="BD80" i="12"/>
  <c r="BJ80" i="12"/>
  <c r="BD60" i="12"/>
  <c r="BJ60" i="12"/>
  <c r="BD44" i="12"/>
  <c r="BJ44" i="12"/>
  <c r="BD28" i="12"/>
  <c r="BJ28" i="12"/>
  <c r="BD12" i="12"/>
  <c r="BJ12" i="12"/>
  <c r="BE320" i="12"/>
  <c r="BK320" i="12"/>
  <c r="BE288" i="12"/>
  <c r="BK288" i="12"/>
  <c r="BE256" i="12"/>
  <c r="BK256" i="12"/>
  <c r="BD208" i="12"/>
  <c r="BJ208" i="12"/>
  <c r="BD176" i="12"/>
  <c r="BJ176" i="12"/>
  <c r="BD128" i="12"/>
  <c r="BJ128" i="12"/>
  <c r="BD92" i="12"/>
  <c r="BJ92" i="12"/>
  <c r="BD24" i="12"/>
  <c r="BJ24" i="12"/>
  <c r="BD164" i="12"/>
  <c r="BJ164" i="12"/>
  <c r="BE223" i="12"/>
  <c r="BK223" i="12"/>
  <c r="BD79" i="12"/>
  <c r="BJ79" i="12"/>
  <c r="BE319" i="12"/>
  <c r="BK319" i="12"/>
  <c r="BD100" i="12"/>
  <c r="BJ100" i="12"/>
  <c r="BE230" i="12"/>
  <c r="BK230" i="12"/>
  <c r="BE142" i="12"/>
  <c r="BK142" i="12"/>
  <c r="BF78" i="12"/>
  <c r="BL78" i="12"/>
  <c r="BE249" i="12"/>
  <c r="BK249" i="12"/>
  <c r="BE225" i="12"/>
  <c r="BK225" i="12"/>
  <c r="BE125" i="12"/>
  <c r="BK125" i="12"/>
  <c r="BE61" i="12"/>
  <c r="BK61" i="12"/>
  <c r="BE215" i="12"/>
  <c r="BK215" i="12"/>
  <c r="BE304" i="12"/>
  <c r="BK304" i="12"/>
  <c r="BE272" i="12"/>
  <c r="BK272" i="12"/>
  <c r="BD224" i="12"/>
  <c r="BJ224" i="12"/>
  <c r="BD192" i="12"/>
  <c r="BJ192" i="12"/>
  <c r="BD160" i="12"/>
  <c r="BJ160" i="12"/>
  <c r="BD112" i="12"/>
  <c r="BJ112" i="12"/>
  <c r="BD76" i="12"/>
  <c r="BJ76" i="12"/>
  <c r="BD40" i="12"/>
  <c r="BJ40" i="12"/>
  <c r="BD8" i="12"/>
  <c r="BJ8" i="12"/>
  <c r="BE283" i="12"/>
  <c r="BK283" i="12"/>
  <c r="BD111" i="12"/>
  <c r="BJ111" i="12"/>
  <c r="BD39" i="12"/>
  <c r="BJ39" i="12"/>
  <c r="BD191" i="12"/>
  <c r="BJ191" i="12"/>
  <c r="BE262" i="12"/>
  <c r="BK262" i="12"/>
  <c r="BE174" i="12"/>
  <c r="BK174" i="12"/>
  <c r="BE110" i="12"/>
  <c r="BK110" i="12"/>
  <c r="BE14" i="12"/>
  <c r="BK14" i="12"/>
  <c r="BF193" i="12"/>
  <c r="BL193" i="12"/>
  <c r="BE93" i="12"/>
  <c r="BK93" i="12"/>
  <c r="BE5" i="12"/>
  <c r="BK5" i="12"/>
  <c r="BE247" i="12"/>
  <c r="BK247" i="12"/>
  <c r="BD63" i="12"/>
  <c r="BJ63" i="12"/>
  <c r="BE68" i="12"/>
  <c r="BK68" i="12"/>
  <c r="BE312" i="12"/>
  <c r="BK312" i="12"/>
  <c r="BE296" i="12"/>
  <c r="BK296" i="12"/>
  <c r="BE280" i="12"/>
  <c r="BK280" i="12"/>
  <c r="BE264" i="12"/>
  <c r="BK264" i="12"/>
  <c r="BE248" i="12"/>
  <c r="BK248" i="12"/>
  <c r="BD232" i="12"/>
  <c r="BJ232" i="12"/>
  <c r="BD216" i="12"/>
  <c r="BJ216" i="12"/>
  <c r="BD200" i="12"/>
  <c r="BJ200" i="12"/>
  <c r="BD184" i="12"/>
  <c r="BJ184" i="12"/>
  <c r="BD168" i="12"/>
  <c r="BJ168" i="12"/>
  <c r="BD152" i="12"/>
  <c r="BJ152" i="12"/>
  <c r="BD136" i="12"/>
  <c r="BJ136" i="12"/>
  <c r="BD120" i="12"/>
  <c r="BJ120" i="12"/>
  <c r="BD104" i="12"/>
  <c r="BJ104" i="12"/>
  <c r="BD84" i="12"/>
  <c r="BJ84" i="12"/>
  <c r="BD64" i="12"/>
  <c r="BJ64" i="12"/>
  <c r="BD48" i="12"/>
  <c r="BJ48" i="12"/>
  <c r="BD32" i="12"/>
  <c r="BJ32" i="12"/>
  <c r="BD16" i="12"/>
  <c r="BJ16" i="12"/>
  <c r="BD23" i="12"/>
  <c r="BJ23" i="12"/>
  <c r="BE315" i="12"/>
  <c r="BK315" i="12"/>
  <c r="BE251" i="12"/>
  <c r="BK251" i="12"/>
  <c r="BD187" i="12"/>
  <c r="BJ187" i="12"/>
  <c r="BD127" i="12"/>
  <c r="BJ127" i="12"/>
  <c r="BD95" i="12"/>
  <c r="BJ95" i="12"/>
  <c r="BD59" i="12"/>
  <c r="BJ59" i="12"/>
  <c r="BD19" i="12"/>
  <c r="BJ19" i="12"/>
  <c r="BE287" i="12"/>
  <c r="BK287" i="12"/>
  <c r="BE219" i="12"/>
  <c r="BK219" i="12"/>
  <c r="BD159" i="12"/>
  <c r="BJ159" i="12"/>
  <c r="BE270" i="12"/>
  <c r="BK270" i="12"/>
  <c r="BE246" i="12"/>
  <c r="BK246" i="12"/>
  <c r="BE214" i="12"/>
  <c r="BK214" i="12"/>
  <c r="BE182" i="12"/>
  <c r="BK182" i="12"/>
  <c r="BE158" i="12"/>
  <c r="BK158" i="12"/>
  <c r="BE126" i="12"/>
  <c r="BK126" i="12"/>
  <c r="BE94" i="12"/>
  <c r="BK94" i="12"/>
  <c r="BE62" i="12"/>
  <c r="BK62" i="12"/>
  <c r="BE30" i="12"/>
  <c r="BK30" i="12"/>
  <c r="BE265" i="12"/>
  <c r="BK265" i="12"/>
  <c r="BE241" i="12"/>
  <c r="BK241" i="12"/>
  <c r="BF209" i="12"/>
  <c r="BL209" i="12"/>
  <c r="BE173" i="12"/>
  <c r="BK173" i="12"/>
  <c r="BE141" i="12"/>
  <c r="BK141" i="12"/>
  <c r="BE109" i="12"/>
  <c r="BK109" i="12"/>
  <c r="BE77" i="12"/>
  <c r="BK77" i="12"/>
  <c r="BE45" i="12"/>
  <c r="BK45" i="12"/>
  <c r="BE21" i="12"/>
  <c r="BK21" i="12"/>
  <c r="BE323" i="12"/>
  <c r="BK323" i="12"/>
  <c r="BE291" i="12"/>
  <c r="BK291" i="12"/>
  <c r="BE259" i="12"/>
  <c r="BK259" i="12"/>
  <c r="BE231" i="12"/>
  <c r="BK231" i="12"/>
  <c r="BD195" i="12"/>
  <c r="BJ195" i="12"/>
  <c r="BD163" i="12"/>
  <c r="BJ163" i="12"/>
  <c r="BD135" i="12"/>
  <c r="BJ135" i="12"/>
  <c r="BD115" i="12"/>
  <c r="BJ115" i="12"/>
  <c r="BD99" i="12"/>
  <c r="BJ99" i="12"/>
  <c r="BD83" i="12"/>
  <c r="BJ83" i="12"/>
  <c r="BD67" i="12"/>
  <c r="BJ67" i="12"/>
  <c r="BD43" i="12"/>
  <c r="BJ43" i="12"/>
  <c r="BD27" i="12"/>
  <c r="BJ27" i="12"/>
  <c r="BD3" i="12"/>
  <c r="BJ3" i="12"/>
  <c r="BE295" i="12"/>
  <c r="BK295" i="12"/>
  <c r="BE263" i="12"/>
  <c r="BK263" i="12"/>
  <c r="BE227" i="12"/>
  <c r="BK227" i="12"/>
  <c r="BD199" i="12"/>
  <c r="BJ199" i="12"/>
  <c r="BD167" i="12"/>
  <c r="BJ167" i="12"/>
  <c r="BD131" i="12"/>
  <c r="BJ131" i="12"/>
  <c r="BE266" i="12"/>
  <c r="BK266" i="12"/>
  <c r="BE250" i="12"/>
  <c r="BK250" i="12"/>
  <c r="BE234" i="12"/>
  <c r="BK234" i="12"/>
  <c r="BE218" i="12"/>
  <c r="BK218" i="12"/>
  <c r="BE202" i="12"/>
  <c r="BK202" i="12"/>
  <c r="BE186" i="12"/>
  <c r="BK186" i="12"/>
  <c r="BE170" i="12"/>
  <c r="BK170" i="12"/>
  <c r="BE154" i="12"/>
  <c r="BK154" i="12"/>
  <c r="BE138" i="12"/>
  <c r="BK138" i="12"/>
  <c r="BE122" i="12"/>
  <c r="BK122" i="12"/>
  <c r="BE106" i="12"/>
  <c r="BK106" i="12"/>
  <c r="BE90" i="12"/>
  <c r="BK90" i="12"/>
  <c r="BE74" i="12"/>
  <c r="BK74" i="12"/>
  <c r="BE58" i="12"/>
  <c r="BK58" i="12"/>
  <c r="BE42" i="12"/>
  <c r="BK42" i="12"/>
  <c r="BE26" i="12"/>
  <c r="BK26" i="12"/>
  <c r="BE10" i="12"/>
  <c r="BK10" i="12"/>
  <c r="BE269" i="12"/>
  <c r="BK269" i="12"/>
  <c r="BE253" i="12"/>
  <c r="BK253" i="12"/>
  <c r="BE237" i="12"/>
  <c r="BK237" i="12"/>
  <c r="BE221" i="12"/>
  <c r="BK221" i="12"/>
  <c r="BF205" i="12"/>
  <c r="BL205" i="12"/>
  <c r="BF189" i="12"/>
  <c r="BL189" i="12"/>
  <c r="BE169" i="12"/>
  <c r="BK169" i="12"/>
  <c r="BE153" i="12"/>
  <c r="BK153" i="12"/>
  <c r="BE137" i="12"/>
  <c r="BK137" i="12"/>
  <c r="BE121" i="12"/>
  <c r="BK121" i="12"/>
  <c r="BE105" i="12"/>
  <c r="BK105" i="12"/>
  <c r="BE89" i="12"/>
  <c r="BK89" i="12"/>
  <c r="BE73" i="12"/>
  <c r="BK73" i="12"/>
  <c r="BE57" i="12"/>
  <c r="BK57" i="12"/>
  <c r="BE41" i="12"/>
  <c r="BK41" i="12"/>
  <c r="BE25" i="12"/>
  <c r="BK25" i="12"/>
  <c r="BE9" i="12"/>
  <c r="BK9" i="12"/>
  <c r="BE299" i="12"/>
  <c r="BK299" i="12"/>
  <c r="BE239" i="12"/>
  <c r="BK239" i="12"/>
  <c r="BD171" i="12"/>
  <c r="BJ171" i="12"/>
  <c r="BD119" i="12"/>
  <c r="BJ119" i="12"/>
  <c r="BD87" i="12"/>
  <c r="BJ87" i="12"/>
  <c r="BD47" i="12"/>
  <c r="BJ47" i="12"/>
  <c r="BD7" i="12"/>
  <c r="BJ7" i="12"/>
  <c r="BE271" i="12"/>
  <c r="BK271" i="12"/>
  <c r="BE203" i="12"/>
  <c r="BK203" i="12"/>
  <c r="BD143" i="12"/>
  <c r="BJ143" i="12"/>
  <c r="BE238" i="12"/>
  <c r="BK238" i="12"/>
  <c r="BE206" i="12"/>
  <c r="BK206" i="12"/>
  <c r="BE166" i="12"/>
  <c r="BK166" i="12"/>
  <c r="BE134" i="12"/>
  <c r="BK134" i="12"/>
  <c r="BE102" i="12"/>
  <c r="BK102" i="12"/>
  <c r="BE70" i="12"/>
  <c r="BK70" i="12"/>
  <c r="BE38" i="12"/>
  <c r="BK38" i="12"/>
  <c r="BE6" i="12"/>
  <c r="BK6" i="12"/>
  <c r="BE257" i="12"/>
  <c r="BK257" i="12"/>
  <c r="BE217" i="12"/>
  <c r="BK217" i="12"/>
  <c r="BF185" i="12"/>
  <c r="BL185" i="12"/>
  <c r="BE149" i="12"/>
  <c r="BK149" i="12"/>
  <c r="BE117" i="12"/>
  <c r="BK117" i="12"/>
  <c r="BE85" i="12"/>
  <c r="BK85" i="12"/>
  <c r="BE53" i="12"/>
  <c r="BK53" i="12"/>
  <c r="BE13" i="12"/>
  <c r="BK13" i="12"/>
  <c r="BD55" i="12"/>
  <c r="BJ55" i="12"/>
  <c r="BE316" i="12"/>
  <c r="BK316" i="12"/>
  <c r="BE300" i="12"/>
  <c r="BK300" i="12"/>
  <c r="BE284" i="12"/>
  <c r="BK284" i="12"/>
  <c r="BE268" i="12"/>
  <c r="BK268" i="12"/>
  <c r="BE252" i="12"/>
  <c r="BK252" i="12"/>
  <c r="BD236" i="12"/>
  <c r="BJ236" i="12"/>
  <c r="BD220" i="12"/>
  <c r="BJ220" i="12"/>
  <c r="BD204" i="12"/>
  <c r="BJ204" i="12"/>
  <c r="BD188" i="12"/>
  <c r="BJ188" i="12"/>
  <c r="BD172" i="12"/>
  <c r="BJ172" i="12"/>
  <c r="BD148" i="12"/>
  <c r="BJ148" i="12"/>
  <c r="BD124" i="12"/>
  <c r="BJ124" i="12"/>
  <c r="BD108" i="12"/>
  <c r="BJ108" i="12"/>
  <c r="BD88" i="12"/>
  <c r="BJ88" i="12"/>
  <c r="BD72" i="12"/>
  <c r="BJ72" i="12"/>
  <c r="BD52" i="12"/>
  <c r="BJ52" i="12"/>
  <c r="BD36" i="12"/>
  <c r="BJ36" i="12"/>
  <c r="BD20" i="12"/>
  <c r="BJ20" i="12"/>
  <c r="BD4" i="12"/>
  <c r="BJ4" i="12"/>
  <c r="B8" i="4"/>
  <c r="BF70" i="12" l="1"/>
  <c r="BL70" i="12"/>
  <c r="BE36" i="12"/>
  <c r="BK36" i="12"/>
  <c r="BE108" i="12"/>
  <c r="BK108" i="12"/>
  <c r="BE188" i="12"/>
  <c r="BK188" i="12"/>
  <c r="BE220" i="12"/>
  <c r="BK220" i="12"/>
  <c r="BF284" i="12"/>
  <c r="BL284" i="12"/>
  <c r="BF13" i="12"/>
  <c r="BL13" i="12"/>
  <c r="BF149" i="12"/>
  <c r="BL149" i="12"/>
  <c r="BF134" i="12"/>
  <c r="BL134" i="12"/>
  <c r="BE20" i="12"/>
  <c r="BK20" i="12"/>
  <c r="BE52" i="12"/>
  <c r="BK52" i="12"/>
  <c r="BE88" i="12"/>
  <c r="BK88" i="12"/>
  <c r="BE124" i="12"/>
  <c r="BK124" i="12"/>
  <c r="BE172" i="12"/>
  <c r="BK172" i="12"/>
  <c r="BE204" i="12"/>
  <c r="BK204" i="12"/>
  <c r="BE236" i="12"/>
  <c r="BK236" i="12"/>
  <c r="BF268" i="12"/>
  <c r="BL268" i="12"/>
  <c r="BF300" i="12"/>
  <c r="BL300" i="12"/>
  <c r="BE55" i="12"/>
  <c r="BK55" i="12"/>
  <c r="BF53" i="12"/>
  <c r="BL53" i="12"/>
  <c r="BF117" i="12"/>
  <c r="BL117" i="12"/>
  <c r="BG185" i="12"/>
  <c r="BN185" i="12" s="1"/>
  <c r="BM185" i="12"/>
  <c r="BF257" i="12"/>
  <c r="BL257" i="12"/>
  <c r="BF38" i="12"/>
  <c r="BL38" i="12"/>
  <c r="BF102" i="12"/>
  <c r="BL102" i="12"/>
  <c r="BF166" i="12"/>
  <c r="BL166" i="12"/>
  <c r="BF238" i="12"/>
  <c r="BL238" i="12"/>
  <c r="BF203" i="12"/>
  <c r="BL203" i="12"/>
  <c r="BE7" i="12"/>
  <c r="BK7" i="12"/>
  <c r="BE87" i="12"/>
  <c r="BK87" i="12"/>
  <c r="BE171" i="12"/>
  <c r="BK171" i="12"/>
  <c r="BF299" i="12"/>
  <c r="BL299" i="12"/>
  <c r="BF25" i="12"/>
  <c r="BL25" i="12"/>
  <c r="BF57" i="12"/>
  <c r="BL57" i="12"/>
  <c r="BF89" i="12"/>
  <c r="BL89" i="12"/>
  <c r="BF121" i="12"/>
  <c r="BL121" i="12"/>
  <c r="BF153" i="12"/>
  <c r="BL153" i="12"/>
  <c r="BG189" i="12"/>
  <c r="BN189" i="12" s="1"/>
  <c r="BM189" i="12"/>
  <c r="BF221" i="12"/>
  <c r="BL221" i="12"/>
  <c r="BF253" i="12"/>
  <c r="BL253" i="12"/>
  <c r="BF10" i="12"/>
  <c r="BL10" i="12"/>
  <c r="BF42" i="12"/>
  <c r="BL42" i="12"/>
  <c r="BF74" i="12"/>
  <c r="BL74" i="12"/>
  <c r="BF106" i="12"/>
  <c r="BL106" i="12"/>
  <c r="BF138" i="12"/>
  <c r="BL138" i="12"/>
  <c r="BF170" i="12"/>
  <c r="BL170" i="12"/>
  <c r="BF202" i="12"/>
  <c r="BL202" i="12"/>
  <c r="BF234" i="12"/>
  <c r="BL234" i="12"/>
  <c r="BF266" i="12"/>
  <c r="BL266" i="12"/>
  <c r="BE167" i="12"/>
  <c r="BK167" i="12"/>
  <c r="BF227" i="12"/>
  <c r="BL227" i="12"/>
  <c r="BF295" i="12"/>
  <c r="BL295" i="12"/>
  <c r="BE27" i="12"/>
  <c r="BK27" i="12"/>
  <c r="BE67" i="12"/>
  <c r="BK67" i="12"/>
  <c r="BE99" i="12"/>
  <c r="BK99" i="12"/>
  <c r="BE135" i="12"/>
  <c r="BK135" i="12"/>
  <c r="BE195" i="12"/>
  <c r="BK195" i="12"/>
  <c r="BF259" i="12"/>
  <c r="BL259" i="12"/>
  <c r="BF323" i="12"/>
  <c r="BL323" i="12"/>
  <c r="BF45" i="12"/>
  <c r="BL45" i="12"/>
  <c r="BF109" i="12"/>
  <c r="BL109" i="12"/>
  <c r="BF173" i="12"/>
  <c r="BL173" i="12"/>
  <c r="BF241" i="12"/>
  <c r="BL241" i="12"/>
  <c r="BF30" i="12"/>
  <c r="BL30" i="12"/>
  <c r="BF94" i="12"/>
  <c r="BL94" i="12"/>
  <c r="BF158" i="12"/>
  <c r="BL158" i="12"/>
  <c r="BF214" i="12"/>
  <c r="BL214" i="12"/>
  <c r="BF270" i="12"/>
  <c r="BL270" i="12"/>
  <c r="BF219" i="12"/>
  <c r="BL219" i="12"/>
  <c r="BE19" i="12"/>
  <c r="BK19" i="12"/>
  <c r="BE95" i="12"/>
  <c r="BK95" i="12"/>
  <c r="BE187" i="12"/>
  <c r="BK187" i="12"/>
  <c r="BF315" i="12"/>
  <c r="BL315" i="12"/>
  <c r="BE16" i="12"/>
  <c r="BK16" i="12"/>
  <c r="BE48" i="12"/>
  <c r="BK48" i="12"/>
  <c r="BE84" i="12"/>
  <c r="BK84" i="12"/>
  <c r="BE120" i="12"/>
  <c r="BK120" i="12"/>
  <c r="BE152" i="12"/>
  <c r="BK152" i="12"/>
  <c r="BE184" i="12"/>
  <c r="BK184" i="12"/>
  <c r="BE216" i="12"/>
  <c r="BK216" i="12"/>
  <c r="BF248" i="12"/>
  <c r="BL248" i="12"/>
  <c r="BF280" i="12"/>
  <c r="BL280" i="12"/>
  <c r="BF312" i="12"/>
  <c r="BL312" i="12"/>
  <c r="BE63" i="12"/>
  <c r="BK63" i="12"/>
  <c r="BF5" i="12"/>
  <c r="BL5" i="12"/>
  <c r="BG193" i="12"/>
  <c r="BN193" i="12" s="1"/>
  <c r="BM193" i="12"/>
  <c r="BF110" i="12"/>
  <c r="BL110" i="12"/>
  <c r="BF262" i="12"/>
  <c r="BL262" i="12"/>
  <c r="BE39" i="12"/>
  <c r="BK39" i="12"/>
  <c r="BF283" i="12"/>
  <c r="BL283" i="12"/>
  <c r="BE40" i="12"/>
  <c r="BK40" i="12"/>
  <c r="BE112" i="12"/>
  <c r="BK112" i="12"/>
  <c r="BE192" i="12"/>
  <c r="BK192" i="12"/>
  <c r="BF272" i="12"/>
  <c r="BL272" i="12"/>
  <c r="BF215" i="12"/>
  <c r="BL215" i="12"/>
  <c r="BF125" i="12"/>
  <c r="BL125" i="12"/>
  <c r="BF249" i="12"/>
  <c r="BL249" i="12"/>
  <c r="BF142" i="12"/>
  <c r="BL142" i="12"/>
  <c r="BE100" i="12"/>
  <c r="BK100" i="12"/>
  <c r="BE79" i="12"/>
  <c r="BK79" i="12"/>
  <c r="BE164" i="12"/>
  <c r="BK164" i="12"/>
  <c r="BE92" i="12"/>
  <c r="BK92" i="12"/>
  <c r="BE176" i="12"/>
  <c r="BK176" i="12"/>
  <c r="BF256" i="12"/>
  <c r="BL256" i="12"/>
  <c r="BF320" i="12"/>
  <c r="BL320" i="12"/>
  <c r="BE28" i="12"/>
  <c r="BK28" i="12"/>
  <c r="BE60" i="12"/>
  <c r="BK60" i="12"/>
  <c r="BE96" i="12"/>
  <c r="BK96" i="12"/>
  <c r="BE140" i="12"/>
  <c r="BK140" i="12"/>
  <c r="BE180" i="12"/>
  <c r="BK180" i="12"/>
  <c r="BE212" i="12"/>
  <c r="BK212" i="12"/>
  <c r="BE244" i="12"/>
  <c r="BK244" i="12"/>
  <c r="BF276" i="12"/>
  <c r="BL276" i="12"/>
  <c r="BF308" i="12"/>
  <c r="BL308" i="12"/>
  <c r="BE15" i="12"/>
  <c r="BK15" i="12"/>
  <c r="BF69" i="12"/>
  <c r="BL69" i="12"/>
  <c r="BF133" i="12"/>
  <c r="BL133" i="12"/>
  <c r="BG201" i="12"/>
  <c r="BN201" i="12" s="1"/>
  <c r="BM201" i="12"/>
  <c r="BF273" i="12"/>
  <c r="BL273" i="12"/>
  <c r="BF54" i="12"/>
  <c r="BL54" i="12"/>
  <c r="BF118" i="12"/>
  <c r="BL118" i="12"/>
  <c r="BF190" i="12"/>
  <c r="BL190" i="12"/>
  <c r="BF254" i="12"/>
  <c r="BL254" i="12"/>
  <c r="BF235" i="12"/>
  <c r="BL235" i="12"/>
  <c r="BE31" i="12"/>
  <c r="BK31" i="12"/>
  <c r="BE103" i="12"/>
  <c r="BK103" i="12"/>
  <c r="BF207" i="12"/>
  <c r="BL207" i="12"/>
  <c r="BE132" i="12"/>
  <c r="BK132" i="12"/>
  <c r="BF33" i="12"/>
  <c r="BL33" i="12"/>
  <c r="BF65" i="12"/>
  <c r="BL65" i="12"/>
  <c r="BF97" i="12"/>
  <c r="BL97" i="12"/>
  <c r="BF129" i="12"/>
  <c r="BL129" i="12"/>
  <c r="BF161" i="12"/>
  <c r="BL161" i="12"/>
  <c r="BG197" i="12"/>
  <c r="BN197" i="12" s="1"/>
  <c r="BM197" i="12"/>
  <c r="BF229" i="12"/>
  <c r="BL229" i="12"/>
  <c r="BF261" i="12"/>
  <c r="BL261" i="12"/>
  <c r="BF18" i="12"/>
  <c r="BL18" i="12"/>
  <c r="BF50" i="12"/>
  <c r="BL50" i="12"/>
  <c r="BF82" i="12"/>
  <c r="BL82" i="12"/>
  <c r="BF114" i="12"/>
  <c r="BL114" i="12"/>
  <c r="BF146" i="12"/>
  <c r="BL146" i="12"/>
  <c r="BF178" i="12"/>
  <c r="BL178" i="12"/>
  <c r="BF210" i="12"/>
  <c r="BL210" i="12"/>
  <c r="BF242" i="12"/>
  <c r="BL242" i="12"/>
  <c r="BF274" i="12"/>
  <c r="BL274" i="12"/>
  <c r="BE183" i="12"/>
  <c r="BK183" i="12"/>
  <c r="BF243" i="12"/>
  <c r="BL243" i="12"/>
  <c r="BF311" i="12"/>
  <c r="BL311" i="12"/>
  <c r="BE35" i="12"/>
  <c r="BK35" i="12"/>
  <c r="BE75" i="12"/>
  <c r="BK75" i="12"/>
  <c r="BE107" i="12"/>
  <c r="BK107" i="12"/>
  <c r="BE147" i="12"/>
  <c r="BK147" i="12"/>
  <c r="BF275" i="12"/>
  <c r="BL275" i="12"/>
  <c r="BF29" i="12"/>
  <c r="BL29" i="12"/>
  <c r="BF46" i="12"/>
  <c r="BL46" i="12"/>
  <c r="BF255" i="12"/>
  <c r="BL255" i="12"/>
  <c r="BE56" i="12"/>
  <c r="BK56" i="12"/>
  <c r="BE240" i="12"/>
  <c r="BK240" i="12"/>
  <c r="BE4" i="12"/>
  <c r="BK4" i="12"/>
  <c r="BE72" i="12"/>
  <c r="BK72" i="12"/>
  <c r="BE148" i="12"/>
  <c r="BK148" i="12"/>
  <c r="BF252" i="12"/>
  <c r="BL252" i="12"/>
  <c r="BF316" i="12"/>
  <c r="BL316" i="12"/>
  <c r="BF85" i="12"/>
  <c r="BL85" i="12"/>
  <c r="BF217" i="12"/>
  <c r="BL217" i="12"/>
  <c r="BF6" i="12"/>
  <c r="BL6" i="12"/>
  <c r="BF206" i="12"/>
  <c r="BL206" i="12"/>
  <c r="BE143" i="12"/>
  <c r="BK143" i="12"/>
  <c r="BF271" i="12"/>
  <c r="BL271" i="12"/>
  <c r="BE47" i="12"/>
  <c r="BK47" i="12"/>
  <c r="BE119" i="12"/>
  <c r="BK119" i="12"/>
  <c r="BF239" i="12"/>
  <c r="BL239" i="12"/>
  <c r="BF9" i="12"/>
  <c r="BL9" i="12"/>
  <c r="BF41" i="12"/>
  <c r="BL41" i="12"/>
  <c r="BF73" i="12"/>
  <c r="BL73" i="12"/>
  <c r="BF105" i="12"/>
  <c r="BL105" i="12"/>
  <c r="BF137" i="12"/>
  <c r="BL137" i="12"/>
  <c r="BF169" i="12"/>
  <c r="BL169" i="12"/>
  <c r="BG205" i="12"/>
  <c r="BN205" i="12" s="1"/>
  <c r="BM205" i="12"/>
  <c r="BF237" i="12"/>
  <c r="BL237" i="12"/>
  <c r="BF269" i="12"/>
  <c r="BL269" i="12"/>
  <c r="BF26" i="12"/>
  <c r="BL26" i="12"/>
  <c r="BF58" i="12"/>
  <c r="BL58" i="12"/>
  <c r="BF90" i="12"/>
  <c r="BL90" i="12"/>
  <c r="BF122" i="12"/>
  <c r="BL122" i="12"/>
  <c r="BF154" i="12"/>
  <c r="BL154" i="12"/>
  <c r="BF186" i="12"/>
  <c r="BL186" i="12"/>
  <c r="BF218" i="12"/>
  <c r="BL218" i="12"/>
  <c r="BF250" i="12"/>
  <c r="BL250" i="12"/>
  <c r="BE131" i="12"/>
  <c r="BK131" i="12"/>
  <c r="BE199" i="12"/>
  <c r="BK199" i="12"/>
  <c r="BF263" i="12"/>
  <c r="BL263" i="12"/>
  <c r="BE3" i="12"/>
  <c r="BK3" i="12"/>
  <c r="BE43" i="12"/>
  <c r="BK43" i="12"/>
  <c r="BE83" i="12"/>
  <c r="BK83" i="12"/>
  <c r="BE115" i="12"/>
  <c r="BK115" i="12"/>
  <c r="BE163" i="12"/>
  <c r="BK163" i="12"/>
  <c r="BF231" i="12"/>
  <c r="BL231" i="12"/>
  <c r="BF291" i="12"/>
  <c r="BL291" i="12"/>
  <c r="BF21" i="12"/>
  <c r="BL21" i="12"/>
  <c r="BF77" i="12"/>
  <c r="BL77" i="12"/>
  <c r="BF141" i="12"/>
  <c r="BL141" i="12"/>
  <c r="BG209" i="12"/>
  <c r="BN209" i="12" s="1"/>
  <c r="BM209" i="12"/>
  <c r="BF265" i="12"/>
  <c r="BL265" i="12"/>
  <c r="BF62" i="12"/>
  <c r="BL62" i="12"/>
  <c r="BF126" i="12"/>
  <c r="BL126" i="12"/>
  <c r="BF182" i="12"/>
  <c r="BL182" i="12"/>
  <c r="BF246" i="12"/>
  <c r="BL246" i="12"/>
  <c r="BE159" i="12"/>
  <c r="BK159" i="12"/>
  <c r="BF287" i="12"/>
  <c r="BL287" i="12"/>
  <c r="BE59" i="12"/>
  <c r="BK59" i="12"/>
  <c r="BE127" i="12"/>
  <c r="BK127" i="12"/>
  <c r="BF251" i="12"/>
  <c r="BL251" i="12"/>
  <c r="BE23" i="12"/>
  <c r="BK23" i="12"/>
  <c r="BE32" i="12"/>
  <c r="BK32" i="12"/>
  <c r="BE64" i="12"/>
  <c r="BK64" i="12"/>
  <c r="BE104" i="12"/>
  <c r="BK104" i="12"/>
  <c r="BE136" i="12"/>
  <c r="BK136" i="12"/>
  <c r="BE168" i="12"/>
  <c r="BK168" i="12"/>
  <c r="BE200" i="12"/>
  <c r="BK200" i="12"/>
  <c r="BE232" i="12"/>
  <c r="BK232" i="12"/>
  <c r="BF264" i="12"/>
  <c r="BL264" i="12"/>
  <c r="BF296" i="12"/>
  <c r="BL296" i="12"/>
  <c r="BF68" i="12"/>
  <c r="BL68" i="12"/>
  <c r="BF247" i="12"/>
  <c r="BL247" i="12"/>
  <c r="BF93" i="12"/>
  <c r="BL93" i="12"/>
  <c r="BF14" i="12"/>
  <c r="BL14" i="12"/>
  <c r="BF174" i="12"/>
  <c r="BL174" i="12"/>
  <c r="BE191" i="12"/>
  <c r="BK191" i="12"/>
  <c r="BE111" i="12"/>
  <c r="BK111" i="12"/>
  <c r="BE8" i="12"/>
  <c r="BK8" i="12"/>
  <c r="BE76" i="12"/>
  <c r="BK76" i="12"/>
  <c r="BE160" i="12"/>
  <c r="BK160" i="12"/>
  <c r="BE224" i="12"/>
  <c r="BK224" i="12"/>
  <c r="BF304" i="12"/>
  <c r="BL304" i="12"/>
  <c r="BF61" i="12"/>
  <c r="BL61" i="12"/>
  <c r="BF225" i="12"/>
  <c r="BL225" i="12"/>
  <c r="BG78" i="12"/>
  <c r="BN78" i="12" s="1"/>
  <c r="BM78" i="12"/>
  <c r="BF230" i="12"/>
  <c r="BL230" i="12"/>
  <c r="BF319" i="12"/>
  <c r="BL319" i="12"/>
  <c r="BF223" i="12"/>
  <c r="BL223" i="12"/>
  <c r="BE24" i="12"/>
  <c r="BK24" i="12"/>
  <c r="BE128" i="12"/>
  <c r="BK128" i="12"/>
  <c r="BE208" i="12"/>
  <c r="BK208" i="12"/>
  <c r="BF288" i="12"/>
  <c r="BL288" i="12"/>
  <c r="BE12" i="12"/>
  <c r="BK12" i="12"/>
  <c r="BE44" i="12"/>
  <c r="BK44" i="12"/>
  <c r="BE80" i="12"/>
  <c r="BK80" i="12"/>
  <c r="BE116" i="12"/>
  <c r="BK116" i="12"/>
  <c r="BE156" i="12"/>
  <c r="BK156" i="12"/>
  <c r="BE196" i="12"/>
  <c r="BK196" i="12"/>
  <c r="BE228" i="12"/>
  <c r="BK228" i="12"/>
  <c r="BF260" i="12"/>
  <c r="BL260" i="12"/>
  <c r="BF292" i="12"/>
  <c r="BL292" i="12"/>
  <c r="BF324" i="12"/>
  <c r="BL324" i="12"/>
  <c r="BF37" i="12"/>
  <c r="BL37" i="12"/>
  <c r="BF101" i="12"/>
  <c r="BL101" i="12"/>
  <c r="BF165" i="12"/>
  <c r="BL165" i="12"/>
  <c r="BF233" i="12"/>
  <c r="BL233" i="12"/>
  <c r="BF22" i="12"/>
  <c r="BL22" i="12"/>
  <c r="BF86" i="12"/>
  <c r="BL86" i="12"/>
  <c r="BF150" i="12"/>
  <c r="BL150" i="12"/>
  <c r="BF222" i="12"/>
  <c r="BL222" i="12"/>
  <c r="BE175" i="12"/>
  <c r="BK175" i="12"/>
  <c r="BF303" i="12"/>
  <c r="BL303" i="12"/>
  <c r="BE71" i="12"/>
  <c r="BK71" i="12"/>
  <c r="BE139" i="12"/>
  <c r="BK139" i="12"/>
  <c r="BF267" i="12"/>
  <c r="BL267" i="12"/>
  <c r="BF17" i="12"/>
  <c r="BL17" i="12"/>
  <c r="BF49" i="12"/>
  <c r="BL49" i="12"/>
  <c r="BF81" i="12"/>
  <c r="BL81" i="12"/>
  <c r="BF113" i="12"/>
  <c r="BL113" i="12"/>
  <c r="BF145" i="12"/>
  <c r="BL145" i="12"/>
  <c r="BG181" i="12"/>
  <c r="BN181" i="12" s="1"/>
  <c r="BM181" i="12"/>
  <c r="BF213" i="12"/>
  <c r="BL213" i="12"/>
  <c r="BF245" i="12"/>
  <c r="BL245" i="12"/>
  <c r="BF277" i="12"/>
  <c r="BL277" i="12"/>
  <c r="BF34" i="12"/>
  <c r="BL34" i="12"/>
  <c r="BF66" i="12"/>
  <c r="BL66" i="12"/>
  <c r="BF98" i="12"/>
  <c r="BL98" i="12"/>
  <c r="BF130" i="12"/>
  <c r="BL130" i="12"/>
  <c r="BF162" i="12"/>
  <c r="BL162" i="12"/>
  <c r="BF194" i="12"/>
  <c r="BL194" i="12"/>
  <c r="BF226" i="12"/>
  <c r="BL226" i="12"/>
  <c r="BF258" i="12"/>
  <c r="BL258" i="12"/>
  <c r="BE151" i="12"/>
  <c r="BK151" i="12"/>
  <c r="BF211" i="12"/>
  <c r="BL211" i="12"/>
  <c r="BF279" i="12"/>
  <c r="BL279" i="12"/>
  <c r="BE11" i="12"/>
  <c r="BK11" i="12"/>
  <c r="BE51" i="12"/>
  <c r="BK51" i="12"/>
  <c r="BE91" i="12"/>
  <c r="BK91" i="12"/>
  <c r="BE123" i="12"/>
  <c r="BK123" i="12"/>
  <c r="BE179" i="12"/>
  <c r="BK179" i="12"/>
  <c r="BF307" i="12"/>
  <c r="BL307" i="12"/>
  <c r="BF157" i="12"/>
  <c r="BL157" i="12"/>
  <c r="BF198" i="12"/>
  <c r="BL198" i="12"/>
  <c r="BE155" i="12"/>
  <c r="BK155" i="12"/>
  <c r="BE144" i="12"/>
  <c r="BK144" i="12"/>
  <c r="BE177" i="12"/>
  <c r="BK177" i="12"/>
  <c r="D8" i="4"/>
  <c r="B6" i="4"/>
  <c r="B7" i="4" s="1"/>
  <c r="F10" i="16"/>
  <c r="F9" i="16"/>
  <c r="F8" i="16"/>
  <c r="F7" i="16"/>
  <c r="F6" i="16"/>
  <c r="F5" i="16"/>
  <c r="A33" i="15"/>
  <c r="A41" i="15"/>
  <c r="D81" i="15"/>
  <c r="D91" i="15"/>
  <c r="N47" i="15"/>
  <c r="N46" i="15"/>
  <c r="F45" i="15"/>
  <c r="N45" i="15" s="1"/>
  <c r="T44" i="15"/>
  <c r="N44" i="15"/>
  <c r="W43" i="15"/>
  <c r="X43" i="15" s="1"/>
  <c r="Y43" i="15" s="1"/>
  <c r="Z43" i="15" s="1"/>
  <c r="T43" i="15"/>
  <c r="N43" i="15"/>
  <c r="W42" i="15"/>
  <c r="X42" i="15" s="1"/>
  <c r="Y42" i="15" s="1"/>
  <c r="Z42" i="15" s="1"/>
  <c r="T42" i="15"/>
  <c r="N42" i="15"/>
  <c r="N41" i="15"/>
  <c r="N39" i="15"/>
  <c r="N38" i="15"/>
  <c r="F37" i="15"/>
  <c r="N37" i="15" s="1"/>
  <c r="T36" i="15"/>
  <c r="N36" i="15"/>
  <c r="W35" i="15"/>
  <c r="X35" i="15" s="1"/>
  <c r="Y35" i="15" s="1"/>
  <c r="Z35" i="15" s="1"/>
  <c r="T35" i="15"/>
  <c r="N35" i="15"/>
  <c r="W34" i="15"/>
  <c r="X34" i="15" s="1"/>
  <c r="Y34" i="15" s="1"/>
  <c r="Z34" i="15" s="1"/>
  <c r="T34" i="15"/>
  <c r="AA34" i="15" s="1"/>
  <c r="N34" i="15"/>
  <c r="N33" i="15"/>
  <c r="A83" i="15"/>
  <c r="A73" i="15"/>
  <c r="A63" i="15"/>
  <c r="B102" i="15"/>
  <c r="B101" i="15"/>
  <c r="B99" i="15"/>
  <c r="D71" i="15"/>
  <c r="B61" i="15"/>
  <c r="N31" i="15"/>
  <c r="N30" i="15"/>
  <c r="F29" i="15"/>
  <c r="N29" i="15" s="1"/>
  <c r="T28" i="15"/>
  <c r="N28" i="15"/>
  <c r="T27" i="15"/>
  <c r="N27" i="15"/>
  <c r="T26" i="15"/>
  <c r="N26" i="15"/>
  <c r="N25" i="15"/>
  <c r="B21" i="15"/>
  <c r="B20" i="15"/>
  <c r="B18" i="15" s="1"/>
  <c r="B19" i="15" s="1"/>
  <c r="C86" i="15" s="1"/>
  <c r="C43" i="15" s="1"/>
  <c r="D43" i="15" s="1"/>
  <c r="Y19" i="15"/>
  <c r="X19" i="15"/>
  <c r="Y16" i="15"/>
  <c r="W27" i="15" s="1"/>
  <c r="X27" i="15" s="1"/>
  <c r="Y27" i="15" s="1"/>
  <c r="Z27" i="15" s="1"/>
  <c r="X16" i="15"/>
  <c r="W26" i="15" s="1"/>
  <c r="X26" i="15" s="1"/>
  <c r="Y26" i="15" s="1"/>
  <c r="Z26" i="15" s="1"/>
  <c r="A16" i="15"/>
  <c r="Y15" i="15"/>
  <c r="X15" i="15"/>
  <c r="B15" i="15"/>
  <c r="B14" i="15"/>
  <c r="B12" i="15" s="1"/>
  <c r="B13" i="15" s="1"/>
  <c r="C78" i="15" s="1"/>
  <c r="C37" i="15" s="1"/>
  <c r="D37" i="15" s="1"/>
  <c r="A10" i="15"/>
  <c r="B9" i="15"/>
  <c r="B8" i="15"/>
  <c r="B6" i="15" s="1"/>
  <c r="B7" i="15" s="1"/>
  <c r="C65" i="15" s="1"/>
  <c r="A4" i="15"/>
  <c r="M14" i="4"/>
  <c r="M15" i="4"/>
  <c r="BF155" i="12" l="1"/>
  <c r="BL155" i="12"/>
  <c r="BF179" i="12"/>
  <c r="BL179" i="12"/>
  <c r="BF11" i="12"/>
  <c r="BL11" i="12"/>
  <c r="BG258" i="12"/>
  <c r="BN258" i="12" s="1"/>
  <c r="BM258" i="12"/>
  <c r="BG130" i="12"/>
  <c r="BN130" i="12" s="1"/>
  <c r="BM130" i="12"/>
  <c r="BG277" i="12"/>
  <c r="BN277" i="12" s="1"/>
  <c r="BM277" i="12"/>
  <c r="BG213" i="12"/>
  <c r="BN213" i="12" s="1"/>
  <c r="BM213" i="12"/>
  <c r="BG81" i="12"/>
  <c r="BN81" i="12" s="1"/>
  <c r="BM81" i="12"/>
  <c r="BF139" i="12"/>
  <c r="BL139" i="12"/>
  <c r="BG222" i="12"/>
  <c r="BN222" i="12" s="1"/>
  <c r="BM222" i="12"/>
  <c r="BG86" i="12"/>
  <c r="BN86" i="12" s="1"/>
  <c r="BM86" i="12"/>
  <c r="BG101" i="12"/>
  <c r="BN101" i="12" s="1"/>
  <c r="BM101" i="12"/>
  <c r="BG260" i="12"/>
  <c r="BN260" i="12" s="1"/>
  <c r="BM260" i="12"/>
  <c r="BF116" i="12"/>
  <c r="BL116" i="12"/>
  <c r="BG288" i="12"/>
  <c r="BN288" i="12" s="1"/>
  <c r="BM288" i="12"/>
  <c r="BG223" i="12"/>
  <c r="BN223" i="12" s="1"/>
  <c r="BM223" i="12"/>
  <c r="BG225" i="12"/>
  <c r="BN225" i="12" s="1"/>
  <c r="BM225" i="12"/>
  <c r="BG304" i="12"/>
  <c r="BN304" i="12" s="1"/>
  <c r="BM304" i="12"/>
  <c r="BF8" i="12"/>
  <c r="BL8" i="12"/>
  <c r="BG14" i="12"/>
  <c r="BN14" i="12" s="1"/>
  <c r="BM14" i="12"/>
  <c r="BG296" i="12"/>
  <c r="BN296" i="12" s="1"/>
  <c r="BM296" i="12"/>
  <c r="BF168" i="12"/>
  <c r="BL168" i="12"/>
  <c r="BF104" i="12"/>
  <c r="BL104" i="12"/>
  <c r="BG251" i="12"/>
  <c r="BN251" i="12" s="1"/>
  <c r="BM251" i="12"/>
  <c r="BF59" i="12"/>
  <c r="BL59" i="12"/>
  <c r="BG182" i="12"/>
  <c r="BN182" i="12" s="1"/>
  <c r="BM182" i="12"/>
  <c r="BG62" i="12"/>
  <c r="BN62" i="12" s="1"/>
  <c r="BM62" i="12"/>
  <c r="BG77" i="12"/>
  <c r="BN77" i="12" s="1"/>
  <c r="BM77" i="12"/>
  <c r="BG291" i="12"/>
  <c r="BN291" i="12" s="1"/>
  <c r="BM291" i="12"/>
  <c r="BF83" i="12"/>
  <c r="BL83" i="12"/>
  <c r="BF199" i="12"/>
  <c r="BL199" i="12"/>
  <c r="BG186" i="12"/>
  <c r="BN186" i="12" s="1"/>
  <c r="BM186" i="12"/>
  <c r="BG58" i="12"/>
  <c r="BN58" i="12" s="1"/>
  <c r="BM58" i="12"/>
  <c r="BG269" i="12"/>
  <c r="BN269" i="12" s="1"/>
  <c r="BM269" i="12"/>
  <c r="BG137" i="12"/>
  <c r="BN137" i="12" s="1"/>
  <c r="BM137" i="12"/>
  <c r="BG73" i="12"/>
  <c r="BN73" i="12" s="1"/>
  <c r="BM73" i="12"/>
  <c r="BF119" i="12"/>
  <c r="BL119" i="12"/>
  <c r="BG206" i="12"/>
  <c r="BN206" i="12" s="1"/>
  <c r="BM206" i="12"/>
  <c r="BG316" i="12"/>
  <c r="BN316" i="12" s="1"/>
  <c r="BM316" i="12"/>
  <c r="BF4" i="12"/>
  <c r="BL4" i="12"/>
  <c r="BG46" i="12"/>
  <c r="BN46" i="12" s="1"/>
  <c r="BM46" i="12"/>
  <c r="BG161" i="12"/>
  <c r="BN161" i="12" s="1"/>
  <c r="BM161" i="12"/>
  <c r="BF144" i="12"/>
  <c r="BL144" i="12"/>
  <c r="BG198" i="12"/>
  <c r="BN198" i="12" s="1"/>
  <c r="BM198" i="12"/>
  <c r="BG307" i="12"/>
  <c r="BN307" i="12" s="1"/>
  <c r="BM307" i="12"/>
  <c r="BF123" i="12"/>
  <c r="BL123" i="12"/>
  <c r="BF51" i="12"/>
  <c r="BL51" i="12"/>
  <c r="BG279" i="12"/>
  <c r="BN279" i="12" s="1"/>
  <c r="BM279" i="12"/>
  <c r="BF151" i="12"/>
  <c r="BL151" i="12"/>
  <c r="BG226" i="12"/>
  <c r="BN226" i="12" s="1"/>
  <c r="BM226" i="12"/>
  <c r="BG162" i="12"/>
  <c r="BN162" i="12" s="1"/>
  <c r="BM162" i="12"/>
  <c r="BG98" i="12"/>
  <c r="BN98" i="12" s="1"/>
  <c r="BM98" i="12"/>
  <c r="BG34" i="12"/>
  <c r="BN34" i="12" s="1"/>
  <c r="BM34" i="12"/>
  <c r="BG245" i="12"/>
  <c r="BN245" i="12" s="1"/>
  <c r="BM245" i="12"/>
  <c r="BG113" i="12"/>
  <c r="BN113" i="12" s="1"/>
  <c r="BM113" i="12"/>
  <c r="BG49" i="12"/>
  <c r="BN49" i="12" s="1"/>
  <c r="BM49" i="12"/>
  <c r="BG267" i="12"/>
  <c r="BN267" i="12" s="1"/>
  <c r="BM267" i="12"/>
  <c r="BF71" i="12"/>
  <c r="BL71" i="12"/>
  <c r="BF175" i="12"/>
  <c r="BL175" i="12"/>
  <c r="BG150" i="12"/>
  <c r="BN150" i="12" s="1"/>
  <c r="BM150" i="12"/>
  <c r="BG22" i="12"/>
  <c r="BN22" i="12" s="1"/>
  <c r="BM22" i="12"/>
  <c r="BG165" i="12"/>
  <c r="BN165" i="12" s="1"/>
  <c r="BM165" i="12"/>
  <c r="BG37" i="12"/>
  <c r="BN37" i="12" s="1"/>
  <c r="BM37" i="12"/>
  <c r="BG292" i="12"/>
  <c r="BN292" i="12" s="1"/>
  <c r="BM292" i="12"/>
  <c r="BF228" i="12"/>
  <c r="BL228" i="12"/>
  <c r="BF156" i="12"/>
  <c r="BL156" i="12"/>
  <c r="BF80" i="12"/>
  <c r="BL80" i="12"/>
  <c r="BF12" i="12"/>
  <c r="BL12" i="12"/>
  <c r="BF208" i="12"/>
  <c r="BL208" i="12"/>
  <c r="BF24" i="12"/>
  <c r="BL24" i="12"/>
  <c r="BG319" i="12"/>
  <c r="BN319" i="12" s="1"/>
  <c r="BM319" i="12"/>
  <c r="BG61" i="12"/>
  <c r="BN61" i="12" s="1"/>
  <c r="BM61" i="12"/>
  <c r="BF224" i="12"/>
  <c r="BL224" i="12"/>
  <c r="BF76" i="12"/>
  <c r="BL76" i="12"/>
  <c r="BF111" i="12"/>
  <c r="BL111" i="12"/>
  <c r="BG174" i="12"/>
  <c r="BN174" i="12" s="1"/>
  <c r="BM174" i="12"/>
  <c r="BG93" i="12"/>
  <c r="BN93" i="12" s="1"/>
  <c r="BM93" i="12"/>
  <c r="BG68" i="12"/>
  <c r="BN68" i="12" s="1"/>
  <c r="BM68" i="12"/>
  <c r="BG264" i="12"/>
  <c r="BN264" i="12" s="1"/>
  <c r="BM264" i="12"/>
  <c r="BF200" i="12"/>
  <c r="BL200" i="12"/>
  <c r="BF136" i="12"/>
  <c r="BL136" i="12"/>
  <c r="BF64" i="12"/>
  <c r="BL64" i="12"/>
  <c r="BF23" i="12"/>
  <c r="BL23" i="12"/>
  <c r="BF127" i="12"/>
  <c r="BL127" i="12"/>
  <c r="BG287" i="12"/>
  <c r="BN287" i="12" s="1"/>
  <c r="BM287" i="12"/>
  <c r="BG246" i="12"/>
  <c r="BN246" i="12" s="1"/>
  <c r="BM246" i="12"/>
  <c r="BG126" i="12"/>
  <c r="BN126" i="12" s="1"/>
  <c r="BM126" i="12"/>
  <c r="BG265" i="12"/>
  <c r="BN265" i="12" s="1"/>
  <c r="BM265" i="12"/>
  <c r="BG141" i="12"/>
  <c r="BN141" i="12" s="1"/>
  <c r="BM141" i="12"/>
  <c r="BG21" i="12"/>
  <c r="BN21" i="12" s="1"/>
  <c r="BM21" i="12"/>
  <c r="BG231" i="12"/>
  <c r="BN231" i="12" s="1"/>
  <c r="BM231" i="12"/>
  <c r="BF115" i="12"/>
  <c r="BL115" i="12"/>
  <c r="BF43" i="12"/>
  <c r="BL43" i="12"/>
  <c r="BG263" i="12"/>
  <c r="BN263" i="12" s="1"/>
  <c r="BM263" i="12"/>
  <c r="BF131" i="12"/>
  <c r="BL131" i="12"/>
  <c r="BG218" i="12"/>
  <c r="BN218" i="12" s="1"/>
  <c r="BM218" i="12"/>
  <c r="BG154" i="12"/>
  <c r="BN154" i="12" s="1"/>
  <c r="BM154" i="12"/>
  <c r="BG90" i="12"/>
  <c r="BN90" i="12" s="1"/>
  <c r="BM90" i="12"/>
  <c r="BG26" i="12"/>
  <c r="BN26" i="12" s="1"/>
  <c r="BM26" i="12"/>
  <c r="BG237" i="12"/>
  <c r="BN237" i="12" s="1"/>
  <c r="BM237" i="12"/>
  <c r="BG169" i="12"/>
  <c r="BN169" i="12" s="1"/>
  <c r="BM169" i="12"/>
  <c r="BG105" i="12"/>
  <c r="BN105" i="12" s="1"/>
  <c r="BM105" i="12"/>
  <c r="BG41" i="12"/>
  <c r="BN41" i="12" s="1"/>
  <c r="BM41" i="12"/>
  <c r="BG239" i="12"/>
  <c r="BN239" i="12" s="1"/>
  <c r="BM239" i="12"/>
  <c r="BF47" i="12"/>
  <c r="BL47" i="12"/>
  <c r="BF143" i="12"/>
  <c r="BL143" i="12"/>
  <c r="BG6" i="12"/>
  <c r="BN6" i="12" s="1"/>
  <c r="BM6" i="12"/>
  <c r="BG85" i="12"/>
  <c r="BN85" i="12" s="1"/>
  <c r="BM85" i="12"/>
  <c r="BG252" i="12"/>
  <c r="BN252" i="12" s="1"/>
  <c r="BM252" i="12"/>
  <c r="BF72" i="12"/>
  <c r="BL72" i="12"/>
  <c r="BF240" i="12"/>
  <c r="BL240" i="12"/>
  <c r="BG255" i="12"/>
  <c r="BN255" i="12" s="1"/>
  <c r="BM255" i="12"/>
  <c r="BG29" i="12"/>
  <c r="BN29" i="12" s="1"/>
  <c r="BM29" i="12"/>
  <c r="BF147" i="12"/>
  <c r="BL147" i="12"/>
  <c r="BF75" i="12"/>
  <c r="BL75" i="12"/>
  <c r="BG311" i="12"/>
  <c r="BN311" i="12" s="1"/>
  <c r="BM311" i="12"/>
  <c r="BF183" i="12"/>
  <c r="BL183" i="12"/>
  <c r="BG242" i="12"/>
  <c r="BN242" i="12" s="1"/>
  <c r="BM242" i="12"/>
  <c r="BG178" i="12"/>
  <c r="BN178" i="12" s="1"/>
  <c r="BM178" i="12"/>
  <c r="BG114" i="12"/>
  <c r="BN114" i="12" s="1"/>
  <c r="BM114" i="12"/>
  <c r="BG50" i="12"/>
  <c r="BN50" i="12" s="1"/>
  <c r="BM50" i="12"/>
  <c r="BG261" i="12"/>
  <c r="BN261" i="12" s="1"/>
  <c r="BM261" i="12"/>
  <c r="BG129" i="12"/>
  <c r="BN129" i="12" s="1"/>
  <c r="BM129" i="12"/>
  <c r="BG65" i="12"/>
  <c r="BN65" i="12" s="1"/>
  <c r="BM65" i="12"/>
  <c r="BF132" i="12"/>
  <c r="BL132" i="12"/>
  <c r="BF103" i="12"/>
  <c r="BL103" i="12"/>
  <c r="BG235" i="12"/>
  <c r="BN235" i="12" s="1"/>
  <c r="BM235" i="12"/>
  <c r="BG190" i="12"/>
  <c r="BN190" i="12" s="1"/>
  <c r="BM190" i="12"/>
  <c r="BG54" i="12"/>
  <c r="BN54" i="12" s="1"/>
  <c r="BM54" i="12"/>
  <c r="BG69" i="12"/>
  <c r="BN69" i="12" s="1"/>
  <c r="BM69" i="12"/>
  <c r="BG308" i="12"/>
  <c r="BN308" i="12" s="1"/>
  <c r="BM308" i="12"/>
  <c r="BF244" i="12"/>
  <c r="BL244" i="12"/>
  <c r="BF180" i="12"/>
  <c r="BL180" i="12"/>
  <c r="BF96" i="12"/>
  <c r="BL96" i="12"/>
  <c r="BF28" i="12"/>
  <c r="BL28" i="12"/>
  <c r="BG256" i="12"/>
  <c r="BN256" i="12" s="1"/>
  <c r="BM256" i="12"/>
  <c r="BF92" i="12"/>
  <c r="BL92" i="12"/>
  <c r="BF79" i="12"/>
  <c r="BL79" i="12"/>
  <c r="BG142" i="12"/>
  <c r="BN142" i="12" s="1"/>
  <c r="BM142" i="12"/>
  <c r="BG125" i="12"/>
  <c r="BN125" i="12" s="1"/>
  <c r="BM125" i="12"/>
  <c r="BG272" i="12"/>
  <c r="BN272" i="12" s="1"/>
  <c r="BM272" i="12"/>
  <c r="BF112" i="12"/>
  <c r="BL112" i="12"/>
  <c r="BG283" i="12"/>
  <c r="BN283" i="12" s="1"/>
  <c r="BM283" i="12"/>
  <c r="BG262" i="12"/>
  <c r="BN262" i="12" s="1"/>
  <c r="BM262" i="12"/>
  <c r="BF63" i="12"/>
  <c r="BL63" i="12"/>
  <c r="BG280" i="12"/>
  <c r="BN280" i="12" s="1"/>
  <c r="BM280" i="12"/>
  <c r="BF216" i="12"/>
  <c r="BL216" i="12"/>
  <c r="BF152" i="12"/>
  <c r="BL152" i="12"/>
  <c r="BF84" i="12"/>
  <c r="BL84" i="12"/>
  <c r="BF16" i="12"/>
  <c r="BL16" i="12"/>
  <c r="BF187" i="12"/>
  <c r="BL187" i="12"/>
  <c r="BF19" i="12"/>
  <c r="BL19" i="12"/>
  <c r="BG270" i="12"/>
  <c r="BN270" i="12" s="1"/>
  <c r="BM270" i="12"/>
  <c r="BG158" i="12"/>
  <c r="BN158" i="12" s="1"/>
  <c r="BM158" i="12"/>
  <c r="BG30" i="12"/>
  <c r="BN30" i="12" s="1"/>
  <c r="BM30" i="12"/>
  <c r="BG173" i="12"/>
  <c r="BN173" i="12" s="1"/>
  <c r="BM173" i="12"/>
  <c r="BG45" i="12"/>
  <c r="BN45" i="12" s="1"/>
  <c r="BM45" i="12"/>
  <c r="BG259" i="12"/>
  <c r="BN259" i="12" s="1"/>
  <c r="BM259" i="12"/>
  <c r="BF135" i="12"/>
  <c r="BL135" i="12"/>
  <c r="BF67" i="12"/>
  <c r="BL67" i="12"/>
  <c r="BG295" i="12"/>
  <c r="BN295" i="12" s="1"/>
  <c r="BM295" i="12"/>
  <c r="BF167" i="12"/>
  <c r="BL167" i="12"/>
  <c r="BG234" i="12"/>
  <c r="BN234" i="12" s="1"/>
  <c r="BM234" i="12"/>
  <c r="BG170" i="12"/>
  <c r="BN170" i="12" s="1"/>
  <c r="BM170" i="12"/>
  <c r="BG106" i="12"/>
  <c r="BN106" i="12" s="1"/>
  <c r="BM106" i="12"/>
  <c r="BG42" i="12"/>
  <c r="BN42" i="12" s="1"/>
  <c r="BM42" i="12"/>
  <c r="BG253" i="12"/>
  <c r="BN253" i="12" s="1"/>
  <c r="BM253" i="12"/>
  <c r="BG121" i="12"/>
  <c r="BN121" i="12" s="1"/>
  <c r="BM121" i="12"/>
  <c r="BG57" i="12"/>
  <c r="BN57" i="12" s="1"/>
  <c r="BM57" i="12"/>
  <c r="BG299" i="12"/>
  <c r="BN299" i="12" s="1"/>
  <c r="BM299" i="12"/>
  <c r="BF87" i="12"/>
  <c r="BL87" i="12"/>
  <c r="BG203" i="12"/>
  <c r="BN203" i="12" s="1"/>
  <c r="BM203" i="12"/>
  <c r="BG166" i="12"/>
  <c r="BN166" i="12" s="1"/>
  <c r="BM166" i="12"/>
  <c r="BG38" i="12"/>
  <c r="BN38" i="12" s="1"/>
  <c r="BM38" i="12"/>
  <c r="BG53" i="12"/>
  <c r="BN53" i="12" s="1"/>
  <c r="BM53" i="12"/>
  <c r="BG300" i="12"/>
  <c r="BN300" i="12" s="1"/>
  <c r="BM300" i="12"/>
  <c r="BF236" i="12"/>
  <c r="BL236" i="12"/>
  <c r="BF172" i="12"/>
  <c r="BL172" i="12"/>
  <c r="BF88" i="12"/>
  <c r="BL88" i="12"/>
  <c r="BF20" i="12"/>
  <c r="BL20" i="12"/>
  <c r="BG149" i="12"/>
  <c r="BN149" i="12" s="1"/>
  <c r="BM149" i="12"/>
  <c r="BG284" i="12"/>
  <c r="BN284" i="12" s="1"/>
  <c r="BM284" i="12"/>
  <c r="BF188" i="12"/>
  <c r="BL188" i="12"/>
  <c r="BF36" i="12"/>
  <c r="BL36" i="12"/>
  <c r="BF177" i="12"/>
  <c r="BL177" i="12"/>
  <c r="BG157" i="12"/>
  <c r="BN157" i="12" s="1"/>
  <c r="BM157" i="12"/>
  <c r="BF91" i="12"/>
  <c r="BL91" i="12"/>
  <c r="BG211" i="12"/>
  <c r="BN211" i="12" s="1"/>
  <c r="BM211" i="12"/>
  <c r="BG194" i="12"/>
  <c r="BN194" i="12" s="1"/>
  <c r="BM194" i="12"/>
  <c r="BG66" i="12"/>
  <c r="BN66" i="12" s="1"/>
  <c r="BM66" i="12"/>
  <c r="BG145" i="12"/>
  <c r="BN145" i="12" s="1"/>
  <c r="BM145" i="12"/>
  <c r="BG17" i="12"/>
  <c r="BN17" i="12" s="1"/>
  <c r="BM17" i="12"/>
  <c r="BG303" i="12"/>
  <c r="BN303" i="12" s="1"/>
  <c r="BM303" i="12"/>
  <c r="BG233" i="12"/>
  <c r="BN233" i="12" s="1"/>
  <c r="BM233" i="12"/>
  <c r="BG324" i="12"/>
  <c r="BN324" i="12" s="1"/>
  <c r="BM324" i="12"/>
  <c r="BF196" i="12"/>
  <c r="BL196" i="12"/>
  <c r="BF44" i="12"/>
  <c r="BL44" i="12"/>
  <c r="BF128" i="12"/>
  <c r="BL128" i="12"/>
  <c r="BG230" i="12"/>
  <c r="BN230" i="12" s="1"/>
  <c r="BM230" i="12"/>
  <c r="BF160" i="12"/>
  <c r="BL160" i="12"/>
  <c r="BF191" i="12"/>
  <c r="BL191" i="12"/>
  <c r="BG247" i="12"/>
  <c r="BN247" i="12" s="1"/>
  <c r="BM247" i="12"/>
  <c r="BF232" i="12"/>
  <c r="BL232" i="12"/>
  <c r="BF32" i="12"/>
  <c r="BL32" i="12"/>
  <c r="BF159" i="12"/>
  <c r="BL159" i="12"/>
  <c r="BF163" i="12"/>
  <c r="BL163" i="12"/>
  <c r="BF3" i="12"/>
  <c r="BL3" i="12"/>
  <c r="BG250" i="12"/>
  <c r="BN250" i="12" s="1"/>
  <c r="BM250" i="12"/>
  <c r="BG122" i="12"/>
  <c r="BN122" i="12" s="1"/>
  <c r="BM122" i="12"/>
  <c r="BG9" i="12"/>
  <c r="BN9" i="12" s="1"/>
  <c r="BM9" i="12"/>
  <c r="BG271" i="12"/>
  <c r="BN271" i="12" s="1"/>
  <c r="BM271" i="12"/>
  <c r="BG217" i="12"/>
  <c r="BN217" i="12" s="1"/>
  <c r="BM217" i="12"/>
  <c r="BF148" i="12"/>
  <c r="BL148" i="12"/>
  <c r="BF56" i="12"/>
  <c r="BL56" i="12"/>
  <c r="BG275" i="12"/>
  <c r="BN275" i="12" s="1"/>
  <c r="BM275" i="12"/>
  <c r="BF107" i="12"/>
  <c r="BL107" i="12"/>
  <c r="BF35" i="12"/>
  <c r="BL35" i="12"/>
  <c r="BG243" i="12"/>
  <c r="BN243" i="12" s="1"/>
  <c r="BM243" i="12"/>
  <c r="BG274" i="12"/>
  <c r="BN274" i="12" s="1"/>
  <c r="BM274" i="12"/>
  <c r="BG210" i="12"/>
  <c r="BN210" i="12" s="1"/>
  <c r="BM210" i="12"/>
  <c r="BG146" i="12"/>
  <c r="BN146" i="12" s="1"/>
  <c r="BM146" i="12"/>
  <c r="BG82" i="12"/>
  <c r="BN82" i="12" s="1"/>
  <c r="BM82" i="12"/>
  <c r="BG18" i="12"/>
  <c r="BN18" i="12" s="1"/>
  <c r="BM18" i="12"/>
  <c r="BG229" i="12"/>
  <c r="BN229" i="12" s="1"/>
  <c r="BM229" i="12"/>
  <c r="BG97" i="12"/>
  <c r="BN97" i="12" s="1"/>
  <c r="BM97" i="12"/>
  <c r="BG33" i="12"/>
  <c r="BN33" i="12" s="1"/>
  <c r="BM33" i="12"/>
  <c r="BG207" i="12"/>
  <c r="BN207" i="12" s="1"/>
  <c r="BM207" i="12"/>
  <c r="BF31" i="12"/>
  <c r="BL31" i="12"/>
  <c r="BG254" i="12"/>
  <c r="BN254" i="12" s="1"/>
  <c r="BM254" i="12"/>
  <c r="BG118" i="12"/>
  <c r="BN118" i="12" s="1"/>
  <c r="BM118" i="12"/>
  <c r="BG273" i="12"/>
  <c r="BN273" i="12" s="1"/>
  <c r="BM273" i="12"/>
  <c r="BG133" i="12"/>
  <c r="BN133" i="12" s="1"/>
  <c r="BM133" i="12"/>
  <c r="BF15" i="12"/>
  <c r="BL15" i="12"/>
  <c r="BG276" i="12"/>
  <c r="BN276" i="12" s="1"/>
  <c r="BM276" i="12"/>
  <c r="BF212" i="12"/>
  <c r="BL212" i="12"/>
  <c r="BF140" i="12"/>
  <c r="BL140" i="12"/>
  <c r="BF60" i="12"/>
  <c r="BL60" i="12"/>
  <c r="BG320" i="12"/>
  <c r="BN320" i="12" s="1"/>
  <c r="BM320" i="12"/>
  <c r="BF176" i="12"/>
  <c r="BL176" i="12"/>
  <c r="BF164" i="12"/>
  <c r="BL164" i="12"/>
  <c r="BF100" i="12"/>
  <c r="BL100" i="12"/>
  <c r="BG249" i="12"/>
  <c r="BN249" i="12" s="1"/>
  <c r="BM249" i="12"/>
  <c r="BG215" i="12"/>
  <c r="BN215" i="12" s="1"/>
  <c r="BM215" i="12"/>
  <c r="BF192" i="12"/>
  <c r="BL192" i="12"/>
  <c r="BF40" i="12"/>
  <c r="BL40" i="12"/>
  <c r="BF39" i="12"/>
  <c r="BL39" i="12"/>
  <c r="BG110" i="12"/>
  <c r="BN110" i="12" s="1"/>
  <c r="BM110" i="12"/>
  <c r="BG5" i="12"/>
  <c r="BN5" i="12" s="1"/>
  <c r="BM5" i="12"/>
  <c r="BG312" i="12"/>
  <c r="BN312" i="12" s="1"/>
  <c r="BM312" i="12"/>
  <c r="BG248" i="12"/>
  <c r="BN248" i="12" s="1"/>
  <c r="BM248" i="12"/>
  <c r="BF184" i="12"/>
  <c r="BL184" i="12"/>
  <c r="BF120" i="12"/>
  <c r="BL120" i="12"/>
  <c r="BF48" i="12"/>
  <c r="BL48" i="12"/>
  <c r="BG315" i="12"/>
  <c r="BN315" i="12" s="1"/>
  <c r="BM315" i="12"/>
  <c r="BF95" i="12"/>
  <c r="BL95" i="12"/>
  <c r="BG219" i="12"/>
  <c r="BN219" i="12" s="1"/>
  <c r="BM219" i="12"/>
  <c r="BG214" i="12"/>
  <c r="BN214" i="12" s="1"/>
  <c r="BM214" i="12"/>
  <c r="BG94" i="12"/>
  <c r="BN94" i="12" s="1"/>
  <c r="BM94" i="12"/>
  <c r="BG241" i="12"/>
  <c r="BN241" i="12" s="1"/>
  <c r="BM241" i="12"/>
  <c r="BG109" i="12"/>
  <c r="BN109" i="12" s="1"/>
  <c r="BM109" i="12"/>
  <c r="BG323" i="12"/>
  <c r="BN323" i="12" s="1"/>
  <c r="BM323" i="12"/>
  <c r="BF195" i="12"/>
  <c r="BL195" i="12"/>
  <c r="BF99" i="12"/>
  <c r="BL99" i="12"/>
  <c r="BF27" i="12"/>
  <c r="BL27" i="12"/>
  <c r="BG227" i="12"/>
  <c r="BN227" i="12" s="1"/>
  <c r="BM227" i="12"/>
  <c r="BG266" i="12"/>
  <c r="BN266" i="12" s="1"/>
  <c r="BM266" i="12"/>
  <c r="BG202" i="12"/>
  <c r="BN202" i="12" s="1"/>
  <c r="BM202" i="12"/>
  <c r="BG138" i="12"/>
  <c r="BN138" i="12" s="1"/>
  <c r="BM138" i="12"/>
  <c r="BG74" i="12"/>
  <c r="BN74" i="12" s="1"/>
  <c r="BM74" i="12"/>
  <c r="BG10" i="12"/>
  <c r="BN10" i="12" s="1"/>
  <c r="BM10" i="12"/>
  <c r="BG221" i="12"/>
  <c r="BN221" i="12" s="1"/>
  <c r="BM221" i="12"/>
  <c r="BG153" i="12"/>
  <c r="BN153" i="12" s="1"/>
  <c r="BM153" i="12"/>
  <c r="BG89" i="12"/>
  <c r="BN89" i="12" s="1"/>
  <c r="BM89" i="12"/>
  <c r="BG25" i="12"/>
  <c r="BN25" i="12" s="1"/>
  <c r="BM25" i="12"/>
  <c r="BF171" i="12"/>
  <c r="BL171" i="12"/>
  <c r="BF7" i="12"/>
  <c r="BL7" i="12"/>
  <c r="BG238" i="12"/>
  <c r="BN238" i="12" s="1"/>
  <c r="BM238" i="12"/>
  <c r="BG102" i="12"/>
  <c r="BN102" i="12" s="1"/>
  <c r="BM102" i="12"/>
  <c r="BG257" i="12"/>
  <c r="BN257" i="12" s="1"/>
  <c r="BM257" i="12"/>
  <c r="BG117" i="12"/>
  <c r="BN117" i="12" s="1"/>
  <c r="BM117" i="12"/>
  <c r="BF55" i="12"/>
  <c r="BL55" i="12"/>
  <c r="BG268" i="12"/>
  <c r="BN268" i="12" s="1"/>
  <c r="BM268" i="12"/>
  <c r="BF204" i="12"/>
  <c r="BL204" i="12"/>
  <c r="BF124" i="12"/>
  <c r="BL124" i="12"/>
  <c r="BF52" i="12"/>
  <c r="BL52" i="12"/>
  <c r="BG134" i="12"/>
  <c r="BN134" i="12" s="1"/>
  <c r="BM134" i="12"/>
  <c r="BG13" i="12"/>
  <c r="BN13" i="12" s="1"/>
  <c r="BM13" i="12"/>
  <c r="BF220" i="12"/>
  <c r="BL220" i="12"/>
  <c r="BF108" i="12"/>
  <c r="BL108" i="12"/>
  <c r="BG70" i="12"/>
  <c r="BN70" i="12" s="1"/>
  <c r="BM70" i="12"/>
  <c r="B51" i="4"/>
  <c r="B14" i="4" s="1"/>
  <c r="B52" i="4"/>
  <c r="B15" i="4" s="1"/>
  <c r="C89" i="15"/>
  <c r="C46" i="15" s="1"/>
  <c r="E46" i="15" s="1"/>
  <c r="C85" i="15"/>
  <c r="C42" i="15" s="1"/>
  <c r="D42" i="15" s="1"/>
  <c r="C74" i="15"/>
  <c r="C33" i="15" s="1"/>
  <c r="C77" i="15"/>
  <c r="C80" i="15"/>
  <c r="C39" i="15" s="1"/>
  <c r="C76" i="15"/>
  <c r="C35" i="15" s="1"/>
  <c r="E35" i="15" s="1"/>
  <c r="S35" i="15" s="1"/>
  <c r="C88" i="15"/>
  <c r="C45" i="15" s="1"/>
  <c r="C90" i="15"/>
  <c r="C47" i="15" s="1"/>
  <c r="G47" i="15" s="1"/>
  <c r="E43" i="15"/>
  <c r="S43" i="15" s="1"/>
  <c r="AA43" i="15"/>
  <c r="C64" i="15"/>
  <c r="C25" i="15" s="1"/>
  <c r="C79" i="15"/>
  <c r="C38" i="15" s="1"/>
  <c r="G38" i="15" s="1"/>
  <c r="C75" i="15"/>
  <c r="C34" i="15" s="1"/>
  <c r="C87" i="15"/>
  <c r="C44" i="15" s="1"/>
  <c r="C84" i="15"/>
  <c r="C41" i="15" s="1"/>
  <c r="AA35" i="15"/>
  <c r="AA42" i="15"/>
  <c r="E37" i="15"/>
  <c r="G43" i="15"/>
  <c r="G37" i="15"/>
  <c r="AA26" i="15"/>
  <c r="AA27" i="15"/>
  <c r="C67" i="15"/>
  <c r="C28" i="15" s="1"/>
  <c r="D28" i="15" s="1"/>
  <c r="C70" i="15"/>
  <c r="C31" i="15" s="1"/>
  <c r="D31" i="15" s="1"/>
  <c r="C66" i="15"/>
  <c r="C27" i="15" s="1"/>
  <c r="D27" i="15" s="1"/>
  <c r="C69" i="15"/>
  <c r="C30" i="15" s="1"/>
  <c r="D30" i="15" s="1"/>
  <c r="C26" i="15"/>
  <c r="C68" i="15"/>
  <c r="C29" i="15" s="1"/>
  <c r="D29" i="15" s="1"/>
  <c r="D18" i="10"/>
  <c r="BG204" i="12" l="1"/>
  <c r="BN204" i="12" s="1"/>
  <c r="BM204" i="12"/>
  <c r="BG212" i="12"/>
  <c r="BN212" i="12" s="1"/>
  <c r="BM212" i="12"/>
  <c r="BG108" i="12"/>
  <c r="BN108" i="12" s="1"/>
  <c r="BM108" i="12"/>
  <c r="BG48" i="12"/>
  <c r="BN48" i="12" s="1"/>
  <c r="BM48" i="12"/>
  <c r="BG7" i="12"/>
  <c r="BN7" i="12" s="1"/>
  <c r="BM7" i="12"/>
  <c r="BG195" i="12"/>
  <c r="BN195" i="12" s="1"/>
  <c r="BM195" i="12"/>
  <c r="BG39" i="12"/>
  <c r="BN39" i="12" s="1"/>
  <c r="BM39" i="12"/>
  <c r="BG192" i="12"/>
  <c r="BN192" i="12" s="1"/>
  <c r="BM192" i="12"/>
  <c r="BG31" i="12"/>
  <c r="BN31" i="12" s="1"/>
  <c r="BM31" i="12"/>
  <c r="BG107" i="12"/>
  <c r="BN107" i="12" s="1"/>
  <c r="BM107" i="12"/>
  <c r="BG56" i="12"/>
  <c r="BN56" i="12" s="1"/>
  <c r="BM56" i="12"/>
  <c r="BG163" i="12"/>
  <c r="BN163" i="12" s="1"/>
  <c r="BM163" i="12"/>
  <c r="BG32" i="12"/>
  <c r="BN32" i="12" s="1"/>
  <c r="BM32" i="12"/>
  <c r="BG160" i="12"/>
  <c r="BN160" i="12" s="1"/>
  <c r="BM160" i="12"/>
  <c r="BG128" i="12"/>
  <c r="BN128" i="12" s="1"/>
  <c r="BM128" i="12"/>
  <c r="BG196" i="12"/>
  <c r="BN196" i="12" s="1"/>
  <c r="BM196" i="12"/>
  <c r="BG36" i="12"/>
  <c r="BN36" i="12" s="1"/>
  <c r="BM36" i="12"/>
  <c r="BG20" i="12"/>
  <c r="BN20" i="12" s="1"/>
  <c r="BM20" i="12"/>
  <c r="BG172" i="12"/>
  <c r="BN172" i="12" s="1"/>
  <c r="BM172" i="12"/>
  <c r="BG167" i="12"/>
  <c r="BN167" i="12" s="1"/>
  <c r="BM167" i="12"/>
  <c r="BG67" i="12"/>
  <c r="BN67" i="12" s="1"/>
  <c r="BM67" i="12"/>
  <c r="BG19" i="12"/>
  <c r="BN19" i="12" s="1"/>
  <c r="BM19" i="12"/>
  <c r="BG16" i="12"/>
  <c r="BN16" i="12" s="1"/>
  <c r="BM16" i="12"/>
  <c r="BG152" i="12"/>
  <c r="BN152" i="12" s="1"/>
  <c r="BM152" i="12"/>
  <c r="BG112" i="12"/>
  <c r="BN112" i="12" s="1"/>
  <c r="BM112" i="12"/>
  <c r="BG79" i="12"/>
  <c r="BN79" i="12" s="1"/>
  <c r="BM79" i="12"/>
  <c r="BG96" i="12"/>
  <c r="BN96" i="12" s="1"/>
  <c r="BM96" i="12"/>
  <c r="BG244" i="12"/>
  <c r="BN244" i="12" s="1"/>
  <c r="BM244" i="12"/>
  <c r="BG103" i="12"/>
  <c r="BN103" i="12" s="1"/>
  <c r="BM103" i="12"/>
  <c r="BG147" i="12"/>
  <c r="BN147" i="12" s="1"/>
  <c r="BM147" i="12"/>
  <c r="BG72" i="12"/>
  <c r="BN72" i="12" s="1"/>
  <c r="BM72" i="12"/>
  <c r="BG143" i="12"/>
  <c r="BN143" i="12" s="1"/>
  <c r="BM143" i="12"/>
  <c r="BG115" i="12"/>
  <c r="BN115" i="12" s="1"/>
  <c r="BM115" i="12"/>
  <c r="BG127" i="12"/>
  <c r="BN127" i="12" s="1"/>
  <c r="BM127" i="12"/>
  <c r="BG64" i="12"/>
  <c r="BN64" i="12" s="1"/>
  <c r="BM64" i="12"/>
  <c r="BG200" i="12"/>
  <c r="BN200" i="12" s="1"/>
  <c r="BM200" i="12"/>
  <c r="BG76" i="12"/>
  <c r="BN76" i="12" s="1"/>
  <c r="BM76" i="12"/>
  <c r="BG24" i="12"/>
  <c r="BN24" i="12" s="1"/>
  <c r="BM24" i="12"/>
  <c r="BG12" i="12"/>
  <c r="BN12" i="12" s="1"/>
  <c r="BM12" i="12"/>
  <c r="BG156" i="12"/>
  <c r="BN156" i="12" s="1"/>
  <c r="BM156" i="12"/>
  <c r="BG71" i="12"/>
  <c r="BN71" i="12" s="1"/>
  <c r="BM71" i="12"/>
  <c r="BG123" i="12"/>
  <c r="BN123" i="12" s="1"/>
  <c r="BM123" i="12"/>
  <c r="BG4" i="12"/>
  <c r="BN4" i="12" s="1"/>
  <c r="BM4" i="12"/>
  <c r="BG83" i="12"/>
  <c r="BN83" i="12" s="1"/>
  <c r="BM83" i="12"/>
  <c r="BG168" i="12"/>
  <c r="BN168" i="12" s="1"/>
  <c r="BM168" i="12"/>
  <c r="BG116" i="12"/>
  <c r="BN116" i="12" s="1"/>
  <c r="BM116" i="12"/>
  <c r="BG179" i="12"/>
  <c r="BN179" i="12" s="1"/>
  <c r="BM179" i="12"/>
  <c r="BG55" i="12"/>
  <c r="BN55" i="12" s="1"/>
  <c r="BM55" i="12"/>
  <c r="BG171" i="12"/>
  <c r="BN171" i="12" s="1"/>
  <c r="BM171" i="12"/>
  <c r="BG99" i="12"/>
  <c r="BN99" i="12" s="1"/>
  <c r="BM99" i="12"/>
  <c r="BG95" i="12"/>
  <c r="BN95" i="12" s="1"/>
  <c r="BM95" i="12"/>
  <c r="BG176" i="12"/>
  <c r="BN176" i="12" s="1"/>
  <c r="BM176" i="12"/>
  <c r="BG15" i="12"/>
  <c r="BN15" i="12" s="1"/>
  <c r="BM15" i="12"/>
  <c r="BG220" i="12"/>
  <c r="BN220" i="12" s="1"/>
  <c r="BM220" i="12"/>
  <c r="BG124" i="12"/>
  <c r="BN124" i="12" s="1"/>
  <c r="BM124" i="12"/>
  <c r="BG27" i="12"/>
  <c r="BN27" i="12" s="1"/>
  <c r="BM27" i="12"/>
  <c r="BG120" i="12"/>
  <c r="BN120" i="12" s="1"/>
  <c r="BM120" i="12"/>
  <c r="BG164" i="12"/>
  <c r="BN164" i="12" s="1"/>
  <c r="BM164" i="12"/>
  <c r="BG140" i="12"/>
  <c r="BN140" i="12" s="1"/>
  <c r="BM140" i="12"/>
  <c r="BG52" i="12"/>
  <c r="BN52" i="12" s="1"/>
  <c r="BM52" i="12"/>
  <c r="BG184" i="12"/>
  <c r="BN184" i="12" s="1"/>
  <c r="BM184" i="12"/>
  <c r="BG40" i="12"/>
  <c r="BN40" i="12" s="1"/>
  <c r="BM40" i="12"/>
  <c r="BG100" i="12"/>
  <c r="BN100" i="12" s="1"/>
  <c r="BM100" i="12"/>
  <c r="BG60" i="12"/>
  <c r="BN60" i="12" s="1"/>
  <c r="BM60" i="12"/>
  <c r="BG35" i="12"/>
  <c r="BN35" i="12" s="1"/>
  <c r="BM35" i="12"/>
  <c r="BG148" i="12"/>
  <c r="BN148" i="12" s="1"/>
  <c r="BM148" i="12"/>
  <c r="BG3" i="12"/>
  <c r="BN3" i="12" s="1"/>
  <c r="BM3" i="12"/>
  <c r="BG159" i="12"/>
  <c r="BN159" i="12" s="1"/>
  <c r="BM159" i="12"/>
  <c r="BG232" i="12"/>
  <c r="BN232" i="12" s="1"/>
  <c r="BM232" i="12"/>
  <c r="BG191" i="12"/>
  <c r="BN191" i="12" s="1"/>
  <c r="BM191" i="12"/>
  <c r="BG44" i="12"/>
  <c r="BN44" i="12" s="1"/>
  <c r="BM44" i="12"/>
  <c r="BG91" i="12"/>
  <c r="BN91" i="12" s="1"/>
  <c r="BM91" i="12"/>
  <c r="BG177" i="12"/>
  <c r="BN177" i="12" s="1"/>
  <c r="BM177" i="12"/>
  <c r="BG188" i="12"/>
  <c r="BN188" i="12" s="1"/>
  <c r="BM188" i="12"/>
  <c r="BG88" i="12"/>
  <c r="BN88" i="12" s="1"/>
  <c r="BM88" i="12"/>
  <c r="BG236" i="12"/>
  <c r="BN236" i="12" s="1"/>
  <c r="BM236" i="12"/>
  <c r="BG87" i="12"/>
  <c r="BN87" i="12" s="1"/>
  <c r="BM87" i="12"/>
  <c r="BG135" i="12"/>
  <c r="BN135" i="12" s="1"/>
  <c r="BM135" i="12"/>
  <c r="BG187" i="12"/>
  <c r="BN187" i="12" s="1"/>
  <c r="BM187" i="12"/>
  <c r="BG84" i="12"/>
  <c r="BN84" i="12" s="1"/>
  <c r="BM84" i="12"/>
  <c r="BG216" i="12"/>
  <c r="BN216" i="12" s="1"/>
  <c r="BM216" i="12"/>
  <c r="BG63" i="12"/>
  <c r="BN63" i="12" s="1"/>
  <c r="BM63" i="12"/>
  <c r="BG92" i="12"/>
  <c r="BN92" i="12" s="1"/>
  <c r="BM92" i="12"/>
  <c r="BG28" i="12"/>
  <c r="BN28" i="12" s="1"/>
  <c r="BM28" i="12"/>
  <c r="BG180" i="12"/>
  <c r="BN180" i="12" s="1"/>
  <c r="BM180" i="12"/>
  <c r="BG132" i="12"/>
  <c r="BN132" i="12" s="1"/>
  <c r="BM132" i="12"/>
  <c r="BG183" i="12"/>
  <c r="BN183" i="12" s="1"/>
  <c r="BM183" i="12"/>
  <c r="BG75" i="12"/>
  <c r="BN75" i="12" s="1"/>
  <c r="BM75" i="12"/>
  <c r="BG240" i="12"/>
  <c r="BN240" i="12" s="1"/>
  <c r="BM240" i="12"/>
  <c r="BG47" i="12"/>
  <c r="BN47" i="12" s="1"/>
  <c r="BM47" i="12"/>
  <c r="BG131" i="12"/>
  <c r="BN131" i="12" s="1"/>
  <c r="BM131" i="12"/>
  <c r="BG43" i="12"/>
  <c r="BN43" i="12" s="1"/>
  <c r="BM43" i="12"/>
  <c r="BG23" i="12"/>
  <c r="BN23" i="12" s="1"/>
  <c r="BM23" i="12"/>
  <c r="BG136" i="12"/>
  <c r="BN136" i="12" s="1"/>
  <c r="BM136" i="12"/>
  <c r="BG111" i="12"/>
  <c r="BN111" i="12" s="1"/>
  <c r="BM111" i="12"/>
  <c r="BG224" i="12"/>
  <c r="BN224" i="12" s="1"/>
  <c r="BM224" i="12"/>
  <c r="BG208" i="12"/>
  <c r="BN208" i="12" s="1"/>
  <c r="BM208" i="12"/>
  <c r="BG80" i="12"/>
  <c r="BN80" i="12" s="1"/>
  <c r="BM80" i="12"/>
  <c r="BG228" i="12"/>
  <c r="BN228" i="12" s="1"/>
  <c r="BM228" i="12"/>
  <c r="BG175" i="12"/>
  <c r="BN175" i="12" s="1"/>
  <c r="BM175" i="12"/>
  <c r="BG151" i="12"/>
  <c r="BN151" i="12" s="1"/>
  <c r="BM151" i="12"/>
  <c r="BG51" i="12"/>
  <c r="BN51" i="12" s="1"/>
  <c r="BM51" i="12"/>
  <c r="BG144" i="12"/>
  <c r="BN144" i="12" s="1"/>
  <c r="BM144" i="12"/>
  <c r="BG119" i="12"/>
  <c r="BN119" i="12" s="1"/>
  <c r="BM119" i="12"/>
  <c r="BG199" i="12"/>
  <c r="BN199" i="12" s="1"/>
  <c r="BM199" i="12"/>
  <c r="BG59" i="12"/>
  <c r="BN59" i="12" s="1"/>
  <c r="BM59" i="12"/>
  <c r="BG104" i="12"/>
  <c r="BN104" i="12" s="1"/>
  <c r="BM104" i="12"/>
  <c r="BG8" i="12"/>
  <c r="BN8" i="12" s="1"/>
  <c r="BM8" i="12"/>
  <c r="BG139" i="12"/>
  <c r="BN139" i="12" s="1"/>
  <c r="BM139" i="12"/>
  <c r="BG11" i="12"/>
  <c r="BN11" i="12" s="1"/>
  <c r="BM11" i="12"/>
  <c r="BG155" i="12"/>
  <c r="BN155" i="12" s="1"/>
  <c r="BM155" i="12"/>
  <c r="E47" i="15"/>
  <c r="D26" i="15"/>
  <c r="G26" i="15"/>
  <c r="D25" i="15"/>
  <c r="C32" i="15"/>
  <c r="E41" i="15"/>
  <c r="D41" i="15"/>
  <c r="E45" i="15"/>
  <c r="D45" i="15"/>
  <c r="H45" i="15" s="1"/>
  <c r="O45" i="15" s="1"/>
  <c r="E44" i="15"/>
  <c r="D44" i="15"/>
  <c r="E42" i="15"/>
  <c r="G45" i="15"/>
  <c r="D47" i="15"/>
  <c r="H47" i="15" s="1"/>
  <c r="G42" i="15"/>
  <c r="G46" i="15"/>
  <c r="D46" i="15"/>
  <c r="H46" i="15" s="1"/>
  <c r="P46" i="15" s="1"/>
  <c r="E39" i="15"/>
  <c r="D39" i="15"/>
  <c r="H39" i="15" s="1"/>
  <c r="E38" i="15"/>
  <c r="D38" i="15"/>
  <c r="H38" i="15" s="1"/>
  <c r="E34" i="15"/>
  <c r="D34" i="15"/>
  <c r="H34" i="15" s="1"/>
  <c r="C36" i="15"/>
  <c r="C40" i="15" s="1"/>
  <c r="G39" i="15"/>
  <c r="D35" i="15"/>
  <c r="H35" i="15" s="1"/>
  <c r="E33" i="15"/>
  <c r="D33" i="15"/>
  <c r="C48" i="15"/>
  <c r="G44" i="15"/>
  <c r="H44" i="15"/>
  <c r="O44" i="15" s="1"/>
  <c r="G34" i="15"/>
  <c r="G35" i="15"/>
  <c r="C81" i="15"/>
  <c r="C91" i="15"/>
  <c r="H42" i="15"/>
  <c r="P42" i="15" s="1"/>
  <c r="H37" i="15"/>
  <c r="G30" i="15"/>
  <c r="E30" i="15"/>
  <c r="C71" i="15"/>
  <c r="H43" i="15" s="1"/>
  <c r="E27" i="15"/>
  <c r="S27" i="15" s="1"/>
  <c r="G27" i="15"/>
  <c r="E29" i="15"/>
  <c r="G29" i="15"/>
  <c r="E31" i="15"/>
  <c r="G31" i="15"/>
  <c r="E26" i="15"/>
  <c r="G28" i="15"/>
  <c r="E28" i="15"/>
  <c r="L17" i="10"/>
  <c r="K17" i="10"/>
  <c r="K16" i="10"/>
  <c r="D16" i="10"/>
  <c r="B16" i="10"/>
  <c r="D32" i="15" l="1"/>
  <c r="O46" i="15"/>
  <c r="U44" i="15"/>
  <c r="P44" i="15"/>
  <c r="AF44" i="15" s="1"/>
  <c r="AG44" i="15" s="1"/>
  <c r="G25" i="15"/>
  <c r="C49" i="15"/>
  <c r="U34" i="15"/>
  <c r="V34" i="15" s="1"/>
  <c r="O34" i="15"/>
  <c r="P47" i="15"/>
  <c r="O47" i="15"/>
  <c r="P45" i="15"/>
  <c r="Q45" i="15" s="1"/>
  <c r="G41" i="15"/>
  <c r="E48" i="15"/>
  <c r="O38" i="15"/>
  <c r="P38" i="15"/>
  <c r="R38" i="15" s="1"/>
  <c r="E36" i="15"/>
  <c r="E40" i="15" s="1"/>
  <c r="U35" i="15"/>
  <c r="O35" i="15"/>
  <c r="P35" i="15"/>
  <c r="P34" i="15"/>
  <c r="Q34" i="15" s="1"/>
  <c r="D36" i="15"/>
  <c r="H36" i="15" s="1"/>
  <c r="O36" i="15" s="1"/>
  <c r="G36" i="15"/>
  <c r="G33" i="15" s="1"/>
  <c r="U42" i="15"/>
  <c r="V42" i="15" s="1"/>
  <c r="D48" i="15"/>
  <c r="H41" i="15" s="1"/>
  <c r="O37" i="15"/>
  <c r="P37" i="15"/>
  <c r="O42" i="15"/>
  <c r="P43" i="15"/>
  <c r="O43" i="15"/>
  <c r="U43" i="15"/>
  <c r="O39" i="15"/>
  <c r="P39" i="15"/>
  <c r="AC42" i="15"/>
  <c r="AD42" i="15" s="1"/>
  <c r="R42" i="15"/>
  <c r="AF42" i="15"/>
  <c r="AG42" i="15" s="1"/>
  <c r="Q42" i="15"/>
  <c r="R46" i="15"/>
  <c r="AC46" i="15"/>
  <c r="AD46" i="15" s="1"/>
  <c r="AF46" i="15"/>
  <c r="AG46" i="15" s="1"/>
  <c r="Q46" i="15"/>
  <c r="H26" i="15"/>
  <c r="E53" i="15"/>
  <c r="E58" i="15"/>
  <c r="H31" i="15"/>
  <c r="E55" i="15"/>
  <c r="H28" i="15"/>
  <c r="E54" i="15"/>
  <c r="H27" i="15"/>
  <c r="H30" i="15"/>
  <c r="E57" i="15"/>
  <c r="H29" i="15"/>
  <c r="E56" i="15"/>
  <c r="E25" i="15"/>
  <c r="E32" i="15" s="1"/>
  <c r="C14" i="4"/>
  <c r="D14" i="4"/>
  <c r="I8" i="10"/>
  <c r="Q44" i="15" l="1"/>
  <c r="AC44" i="15"/>
  <c r="AD44" i="15" s="1"/>
  <c r="AF34" i="15"/>
  <c r="AG34" i="15" s="1"/>
  <c r="R44" i="15"/>
  <c r="AF38" i="15"/>
  <c r="AG38" i="15" s="1"/>
  <c r="V43" i="15"/>
  <c r="AC38" i="15"/>
  <c r="AD38" i="15" s="1"/>
  <c r="AF45" i="15"/>
  <c r="AG45" i="15" s="1"/>
  <c r="Q38" i="15"/>
  <c r="H25" i="15"/>
  <c r="AC45" i="15"/>
  <c r="AD45" i="15" s="1"/>
  <c r="AC34" i="15"/>
  <c r="AD34" i="15" s="1"/>
  <c r="H49" i="15"/>
  <c r="R34" i="15"/>
  <c r="E49" i="15"/>
  <c r="R45" i="15"/>
  <c r="J41" i="15"/>
  <c r="L41" i="15"/>
  <c r="P41" i="15"/>
  <c r="AC41" i="15" s="1"/>
  <c r="AD41" i="15" s="1"/>
  <c r="K41" i="15"/>
  <c r="R47" i="15"/>
  <c r="AF47" i="15"/>
  <c r="AG47" i="15" s="1"/>
  <c r="AC47" i="15"/>
  <c r="AD47" i="15" s="1"/>
  <c r="Q47" i="15"/>
  <c r="U36" i="15"/>
  <c r="V35" i="15" s="1"/>
  <c r="P36" i="15"/>
  <c r="AC36" i="15" s="1"/>
  <c r="AD36" i="15" s="1"/>
  <c r="R35" i="15"/>
  <c r="AC35" i="15"/>
  <c r="AD35" i="15" s="1"/>
  <c r="AF35" i="15"/>
  <c r="AG35" i="15" s="1"/>
  <c r="Q35" i="15"/>
  <c r="D40" i="15"/>
  <c r="O41" i="15"/>
  <c r="AC39" i="15"/>
  <c r="AD39" i="15" s="1"/>
  <c r="Q39" i="15"/>
  <c r="R39" i="15"/>
  <c r="AF39" i="15"/>
  <c r="AG39" i="15" s="1"/>
  <c r="Q43" i="15"/>
  <c r="R43" i="15"/>
  <c r="AC43" i="15"/>
  <c r="AD43" i="15" s="1"/>
  <c r="AF43" i="15"/>
  <c r="AG43" i="15" s="1"/>
  <c r="AC37" i="15"/>
  <c r="AD37" i="15" s="1"/>
  <c r="AF37" i="15"/>
  <c r="AG37" i="15" s="1"/>
  <c r="Q37" i="15"/>
  <c r="R37" i="15"/>
  <c r="O27" i="15"/>
  <c r="U27" i="15"/>
  <c r="P27" i="15"/>
  <c r="O31" i="15"/>
  <c r="P31" i="15"/>
  <c r="E52" i="15"/>
  <c r="O29" i="15"/>
  <c r="P29" i="15"/>
  <c r="U28" i="15"/>
  <c r="P28" i="15"/>
  <c r="O28" i="15"/>
  <c r="P30" i="15"/>
  <c r="O30" i="15"/>
  <c r="U26" i="15"/>
  <c r="V26" i="15" s="1"/>
  <c r="P26" i="15"/>
  <c r="AC26" i="15" s="1"/>
  <c r="O26" i="15"/>
  <c r="E39" i="4"/>
  <c r="B12" i="10"/>
  <c r="B11" i="10"/>
  <c r="F5" i="10"/>
  <c r="C5" i="10"/>
  <c r="D5" i="10" s="1"/>
  <c r="D17" i="10"/>
  <c r="B14" i="10"/>
  <c r="B17" i="10"/>
  <c r="B15" i="10"/>
  <c r="B13" i="10"/>
  <c r="B68" i="4"/>
  <c r="B69" i="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2" i="13"/>
  <c r="B9" i="4"/>
  <c r="Q41" i="15" l="1"/>
  <c r="R36" i="15"/>
  <c r="AF36" i="15"/>
  <c r="AG36" i="15" s="1"/>
  <c r="M41" i="15"/>
  <c r="L48" i="15"/>
  <c r="H33" i="15"/>
  <c r="K33" i="15" s="1"/>
  <c r="D49" i="15"/>
  <c r="Q36" i="15"/>
  <c r="K25" i="15"/>
  <c r="L25" i="15"/>
  <c r="M25" i="15" s="1"/>
  <c r="R41" i="15"/>
  <c r="AF26" i="15"/>
  <c r="AG26" i="15" s="1"/>
  <c r="Q26" i="15"/>
  <c r="AD26" i="15"/>
  <c r="R26" i="15"/>
  <c r="AF28" i="15"/>
  <c r="AG28" i="15" s="1"/>
  <c r="R28" i="15"/>
  <c r="AC28" i="15"/>
  <c r="AD28" i="15" s="1"/>
  <c r="Q28" i="15"/>
  <c r="P25" i="15"/>
  <c r="O25" i="15"/>
  <c r="J25" i="15"/>
  <c r="AF27" i="15"/>
  <c r="AG27" i="15" s="1"/>
  <c r="R27" i="15"/>
  <c r="Q27" i="15"/>
  <c r="AC27" i="15"/>
  <c r="AD27" i="15" s="1"/>
  <c r="V27" i="15"/>
  <c r="AF30" i="15"/>
  <c r="AG30" i="15" s="1"/>
  <c r="Q30" i="15"/>
  <c r="AC30" i="15"/>
  <c r="AD30" i="15" s="1"/>
  <c r="R30" i="15"/>
  <c r="AC29" i="15"/>
  <c r="AD29" i="15" s="1"/>
  <c r="R29" i="15"/>
  <c r="AF29" i="15"/>
  <c r="AG29" i="15" s="1"/>
  <c r="Q29" i="15"/>
  <c r="AC31" i="15"/>
  <c r="AD31" i="15" s="1"/>
  <c r="R31" i="15"/>
  <c r="AF31" i="15"/>
  <c r="AG31" i="15" s="1"/>
  <c r="Q31" i="15"/>
  <c r="G5" i="10"/>
  <c r="C36" i="1"/>
  <c r="B13" i="1"/>
  <c r="B14" i="1" s="1"/>
  <c r="B15" i="1" s="1"/>
  <c r="B30" i="1" s="1"/>
  <c r="B4" i="1" s="1"/>
  <c r="C4" i="1" s="1"/>
  <c r="E4" i="1" s="1"/>
  <c r="F4" i="1" s="1"/>
  <c r="G4" i="1" s="1"/>
  <c r="D7" i="1"/>
  <c r="O21" i="10"/>
  <c r="P21" i="10" s="1"/>
  <c r="C21" i="10" s="1"/>
  <c r="B21" i="10" s="1"/>
  <c r="O20" i="10"/>
  <c r="P20" i="10" s="1"/>
  <c r="D20" i="10" s="1"/>
  <c r="G20" i="10"/>
  <c r="O19" i="10"/>
  <c r="P19" i="10" s="1"/>
  <c r="G19" i="10"/>
  <c r="O18" i="10"/>
  <c r="P18" i="10" s="1"/>
  <c r="G18" i="10"/>
  <c r="G16" i="10"/>
  <c r="G15" i="10"/>
  <c r="D15" i="10"/>
  <c r="K15" i="10" s="1"/>
  <c r="L15" i="10" s="1"/>
  <c r="G14" i="10"/>
  <c r="D14" i="10"/>
  <c r="K14" i="10" s="1"/>
  <c r="L14" i="10" s="1"/>
  <c r="D13" i="10"/>
  <c r="K13" i="10" s="1"/>
  <c r="L13" i="10" s="1"/>
  <c r="C12" i="10"/>
  <c r="D12" i="10" s="1"/>
  <c r="K12" i="10" s="1"/>
  <c r="L12" i="10" s="1"/>
  <c r="C11" i="10"/>
  <c r="D11" i="10" s="1"/>
  <c r="K11" i="10" s="1"/>
  <c r="L11" i="10" s="1"/>
  <c r="I10" i="10"/>
  <c r="F10" i="10"/>
  <c r="E10" i="10"/>
  <c r="O10" i="10" s="1"/>
  <c r="P10" i="10" s="1"/>
  <c r="C10" i="10" s="1"/>
  <c r="I9" i="10"/>
  <c r="F9" i="10"/>
  <c r="E9" i="10"/>
  <c r="F8" i="10"/>
  <c r="E8" i="10"/>
  <c r="F7" i="10"/>
  <c r="E7" i="10"/>
  <c r="C7" i="10"/>
  <c r="D7" i="10" s="1"/>
  <c r="F6" i="10"/>
  <c r="E6" i="10"/>
  <c r="C6" i="10"/>
  <c r="D6" i="10" s="1"/>
  <c r="F4" i="10"/>
  <c r="E4" i="10"/>
  <c r="E3" i="10"/>
  <c r="C3" i="10"/>
  <c r="B66" i="4"/>
  <c r="C58" i="4"/>
  <c r="M20" i="4"/>
  <c r="M19" i="4"/>
  <c r="E18" i="4"/>
  <c r="M18" i="4" s="1"/>
  <c r="M17" i="4"/>
  <c r="M16" i="4"/>
  <c r="L33" i="15" l="1"/>
  <c r="M33" i="15" s="1"/>
  <c r="J33" i="15"/>
  <c r="AG49" i="15"/>
  <c r="O33" i="15"/>
  <c r="P33" i="15"/>
  <c r="R33" i="15" s="1"/>
  <c r="L32" i="15"/>
  <c r="Q25" i="15"/>
  <c r="AC25" i="15"/>
  <c r="AD25" i="15" s="1"/>
  <c r="R25" i="15"/>
  <c r="O8" i="10"/>
  <c r="P8" i="10" s="1"/>
  <c r="G3" i="10"/>
  <c r="G4" i="10"/>
  <c r="G6" i="10"/>
  <c r="K6" i="10" s="1"/>
  <c r="L6" i="10" s="1"/>
  <c r="G7" i="10"/>
  <c r="K7" i="10" s="1"/>
  <c r="L7" i="10" s="1"/>
  <c r="G8" i="10"/>
  <c r="J8" i="10" s="1"/>
  <c r="O9" i="10"/>
  <c r="P9" i="10" s="1"/>
  <c r="C9" i="10" s="1"/>
  <c r="B9" i="10" s="1"/>
  <c r="G9" i="10"/>
  <c r="J9" i="10" s="1"/>
  <c r="B10" i="10"/>
  <c r="G10" i="10"/>
  <c r="J10" i="10" s="1"/>
  <c r="K10" i="10" s="1"/>
  <c r="L10" i="10" s="1"/>
  <c r="M10" i="10" s="1"/>
  <c r="G17" i="10"/>
  <c r="L16" i="10"/>
  <c r="K20" i="10"/>
  <c r="L20" i="10" s="1"/>
  <c r="C15" i="4"/>
  <c r="G15" i="4" s="1"/>
  <c r="O15" i="4" s="1"/>
  <c r="B54" i="4"/>
  <c r="B17" i="4" s="1"/>
  <c r="B57" i="4"/>
  <c r="B53" i="4"/>
  <c r="B16" i="4" s="1"/>
  <c r="B55" i="4"/>
  <c r="K3" i="10"/>
  <c r="L3" i="10" s="1"/>
  <c r="K4" i="10"/>
  <c r="L4" i="10" s="1"/>
  <c r="C8" i="10"/>
  <c r="D19" i="10"/>
  <c r="K19" i="10" s="1"/>
  <c r="L19" i="10" s="1"/>
  <c r="C19" i="10"/>
  <c r="B19" i="10" s="1"/>
  <c r="B33" i="1"/>
  <c r="B7" i="1" s="1"/>
  <c r="C7" i="1" s="1"/>
  <c r="E7" i="1" s="1"/>
  <c r="F7" i="1" s="1"/>
  <c r="G7" i="1" s="1"/>
  <c r="B29" i="1"/>
  <c r="B32" i="1"/>
  <c r="B6" i="1" s="1"/>
  <c r="C6" i="1" s="1"/>
  <c r="E6" i="1" s="1"/>
  <c r="F6" i="1" s="1"/>
  <c r="G6" i="1" s="1"/>
  <c r="B16" i="1"/>
  <c r="B35" i="1"/>
  <c r="B9" i="1" s="1"/>
  <c r="C9" i="1" s="1"/>
  <c r="E9" i="1" s="1"/>
  <c r="F9" i="1" s="1"/>
  <c r="G9" i="1" s="1"/>
  <c r="B31" i="1"/>
  <c r="B5" i="1" s="1"/>
  <c r="C5" i="1" s="1"/>
  <c r="E5" i="1" s="1"/>
  <c r="F5" i="1" s="1"/>
  <c r="G5" i="1" s="1"/>
  <c r="B56" i="4"/>
  <c r="K9" i="10"/>
  <c r="L9" i="10" s="1"/>
  <c r="M9" i="10" s="1"/>
  <c r="K18" i="10"/>
  <c r="L18" i="10" s="1"/>
  <c r="C18" i="10"/>
  <c r="B18" i="10" s="1"/>
  <c r="C20" i="10"/>
  <c r="B20" i="10" s="1"/>
  <c r="D21" i="10"/>
  <c r="K21" i="10" s="1"/>
  <c r="L21" i="10" s="1"/>
  <c r="B34" i="1"/>
  <c r="B8" i="1" s="1"/>
  <c r="C8" i="1" s="1"/>
  <c r="E8" i="1" s="1"/>
  <c r="F8" i="1" s="1"/>
  <c r="G8" i="1" s="1"/>
  <c r="L40" i="15" l="1"/>
  <c r="AC33" i="15"/>
  <c r="AD33" i="15" s="1"/>
  <c r="AD49" i="15" s="1"/>
  <c r="B20" i="4"/>
  <c r="F20" i="4" s="1"/>
  <c r="B19" i="4"/>
  <c r="F19" i="4" s="1"/>
  <c r="B18" i="4"/>
  <c r="D18" i="4" s="1"/>
  <c r="C26" i="4"/>
  <c r="Q15" i="4"/>
  <c r="AB15" i="4"/>
  <c r="AC15" i="4" s="1"/>
  <c r="Q33" i="15"/>
  <c r="F17" i="4"/>
  <c r="F15" i="4"/>
  <c r="F16" i="4"/>
  <c r="K8" i="10"/>
  <c r="L8" i="10" s="1"/>
  <c r="M8" i="10" s="1"/>
  <c r="B8" i="10"/>
  <c r="D15" i="4"/>
  <c r="B58" i="4"/>
  <c r="B36" i="1"/>
  <c r="B3" i="1"/>
  <c r="C3" i="1" s="1"/>
  <c r="C10" i="1" s="1"/>
  <c r="E3" i="1" s="1"/>
  <c r="F3" i="1" s="1"/>
  <c r="G3" i="1" s="1"/>
  <c r="D16" i="4"/>
  <c r="R16" i="4" s="1"/>
  <c r="C16" i="4"/>
  <c r="D17" i="4"/>
  <c r="C17" i="4"/>
  <c r="C19" i="4" l="1"/>
  <c r="E44" i="4" s="1"/>
  <c r="D20" i="4"/>
  <c r="D19" i="4"/>
  <c r="C20" i="4"/>
  <c r="E45" i="4" s="1"/>
  <c r="B21" i="4"/>
  <c r="C18" i="4"/>
  <c r="E43" i="4" s="1"/>
  <c r="F18" i="4"/>
  <c r="G16" i="4"/>
  <c r="O16" i="4" s="1"/>
  <c r="AB16" i="4" s="1"/>
  <c r="AC16" i="4" s="1"/>
  <c r="E40" i="4"/>
  <c r="E41" i="4"/>
  <c r="G17" i="4"/>
  <c r="O17" i="4" s="1"/>
  <c r="C28" i="4" s="1"/>
  <c r="D28" i="4" s="1"/>
  <c r="E42" i="4"/>
  <c r="G19" i="4" l="1"/>
  <c r="N19" i="4" s="1"/>
  <c r="D21" i="4"/>
  <c r="F14" i="4"/>
  <c r="G20" i="4"/>
  <c r="O20" i="4" s="1"/>
  <c r="Q20" i="4" s="1"/>
  <c r="G18" i="4"/>
  <c r="O18" i="4" s="1"/>
  <c r="C29" i="4" s="1"/>
  <c r="D29" i="4" s="1"/>
  <c r="C21" i="4"/>
  <c r="N15" i="4"/>
  <c r="N16" i="4"/>
  <c r="O19" i="4"/>
  <c r="C30" i="4" s="1"/>
  <c r="D30" i="4" s="1"/>
  <c r="Q17" i="4"/>
  <c r="N17" i="4"/>
  <c r="T16" i="4"/>
  <c r="T15" i="4"/>
  <c r="U15" i="4" s="1"/>
  <c r="T17" i="4"/>
  <c r="C27" i="4"/>
  <c r="P16" i="4"/>
  <c r="Q16" i="4"/>
  <c r="S17" i="4"/>
  <c r="V15" i="4"/>
  <c r="X15" i="4" s="1"/>
  <c r="Y15" i="4" s="1"/>
  <c r="S15" i="4"/>
  <c r="Z15" i="4" s="1"/>
  <c r="N20" i="4" l="1"/>
  <c r="N18" i="4"/>
  <c r="G14" i="4"/>
  <c r="P18" i="4"/>
  <c r="P17" i="4"/>
  <c r="P19" i="4"/>
  <c r="D27" i="4"/>
  <c r="P15" i="4"/>
  <c r="AB17" i="4"/>
  <c r="AC17" i="4" s="1"/>
  <c r="AB19" i="4"/>
  <c r="AC19" i="4" s="1"/>
  <c r="C31" i="4"/>
  <c r="D31" i="4" s="1"/>
  <c r="P20" i="4"/>
  <c r="AB20" i="4"/>
  <c r="AC20" i="4" s="1"/>
  <c r="Q19" i="4"/>
  <c r="Q18" i="4"/>
  <c r="AB18" i="4"/>
  <c r="AC18" i="4" s="1"/>
  <c r="U16" i="4"/>
  <c r="V16" i="4"/>
  <c r="W16" i="4" s="1"/>
  <c r="X16" i="4" s="1"/>
  <c r="Y16" i="4" s="1"/>
  <c r="S16" i="4"/>
  <c r="Z16" i="4" s="1"/>
  <c r="N14" i="4" l="1"/>
  <c r="K14" i="4"/>
  <c r="K21" i="4" s="1"/>
  <c r="I14" i="4"/>
  <c r="J14" i="4"/>
  <c r="O14" i="4"/>
  <c r="AB14" i="4" s="1"/>
  <c r="AC14" i="4" s="1"/>
  <c r="D26" i="4"/>
  <c r="P14" i="4" l="1"/>
  <c r="Q14" i="4"/>
  <c r="Q21" i="4" s="1"/>
  <c r="L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tc={A092B7D8-7ED9-0B4B-B5FD-4F89F9ADF4D9}</author>
    <author>tc={8FC23715-B404-8F4E-A64F-C651F33BD43D}</author>
    <author>tc={7C9F2D54-4D04-C94D-BFF8-729914164ACE}</author>
  </authors>
  <commentList>
    <comment ref="E15" authorId="0" shapeId="0" xr:uid="{A092B7D8-7ED9-0B4B-B5FD-4F89F9ADF4D9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min. 30%</t>
        </r>
      </text>
    </comment>
    <comment ref="E16" authorId="1" shapeId="0" xr:uid="{8FC23715-B404-8F4E-A64F-C651F33BD43D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min. 50%</t>
        </r>
      </text>
    </comment>
    <comment ref="E17" authorId="2" shapeId="0" xr:uid="{7C9F2D54-4D04-C94D-BFF8-729914164ACE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min. 20%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tc={61133409-8325-4046-9AE5-A345475A7B8B}</author>
    <author>tc={12208E59-75D5-F54F-B433-E3E6414E3C74}</author>
    <author>tc={9D3F55E5-6F53-2F46-BD56-0DDBAA4C5A5F}</author>
    <author>tc={2351353D-E132-794F-9176-0650F3708821}</author>
    <author>tc={39108EBB-8108-0F44-9DE6-8EF6D4B52E04}</author>
    <author>tc={CB69C581-162A-984F-AEE8-1D6BB0526123}</author>
    <author>tc={233F87FC-1DC7-1A4D-915E-57C001FB2A0A}</author>
    <author>tc={91164E40-690D-374C-B803-0610164981AB}</author>
    <author>tc={8A215692-7C11-8E4F-9442-AAFE014AF26D}</author>
  </authors>
  <commentList>
    <comment ref="F26" authorId="0" shapeId="0" xr:uid="{61133409-8325-4046-9AE5-A345475A7B8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30%</t>
        </r>
      </text>
    </comment>
    <comment ref="F27" authorId="1" shapeId="0" xr:uid="{12208E59-75D5-F54F-B433-E3E6414E3C7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50%</t>
        </r>
      </text>
    </comment>
    <comment ref="F28" authorId="2" shapeId="0" xr:uid="{9D3F55E5-6F53-2F46-BD56-0DDBAA4C5A5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20%</t>
        </r>
      </text>
    </comment>
    <comment ref="F34" authorId="3" shapeId="0" xr:uid="{2351353D-E132-794F-9176-0650F37088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30%</t>
        </r>
      </text>
    </comment>
    <comment ref="F35" authorId="4" shapeId="0" xr:uid="{39108EBB-8108-0F44-9DE6-8EF6D4B52E0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50%</t>
        </r>
      </text>
    </comment>
    <comment ref="F36" authorId="5" shapeId="0" xr:uid="{CB69C581-162A-984F-AEE8-1D6BB05261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20%</t>
        </r>
      </text>
    </comment>
    <comment ref="F42" authorId="6" shapeId="0" xr:uid="{233F87FC-1DC7-1A4D-915E-57C001FB2A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30%</t>
        </r>
      </text>
    </comment>
    <comment ref="F43" authorId="7" shapeId="0" xr:uid="{91164E40-690D-374C-B803-0610164981A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50%</t>
        </r>
      </text>
    </comment>
    <comment ref="F44" authorId="8" shapeId="0" xr:uid="{8A215692-7C11-8E4F-9442-AAFE014AF26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min. 20%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4AB173-62FE-4CAD-B6E1-ACA43C261DD7}" keepAlive="1" name="Query - 2017tonnage" description="Connection to the '2017tonnage' query in the workbook." type="5" refreshedVersion="6" background="1" saveData="1">
    <dbPr connection="Provider=Microsoft.Mashup.OleDb.1;Data Source=$Workbook$;Location=2017tonnage;Extended Properties=&quot;&quot;" command="SELECT * FROM [2017tonnage]"/>
  </connection>
  <connection id="2" xr16:uid="{D85AFAA0-2F44-415F-A5F8-6F72035B3452}" keepAlive="1" name="Query - 2019bulk" description="Connection to the '2019bulk' query in the workbook." type="5" refreshedVersion="6" background="1" saveData="1">
    <dbPr connection="Provider=Microsoft.Mashup.OleDb.1;Data Source=$Workbook$;Location=2019bulk;Extended Properties=&quot;&quot;" command="SELECT * FROM [2019bulk]"/>
  </connection>
  <connection id="3" xr16:uid="{C63B7752-B20E-4D93-90DA-91B3B4A7203D}" keepAlive="1" name="Query - developmentdata2019" description="Connection to the 'developmentdata2019' query in the workbook." type="5" refreshedVersion="6" background="1" saveData="1">
    <dbPr connection="Provider=Microsoft.Mashup.OleDb.1;Data Source=$Workbook$;Location=developmentdata2019;Extended Properties=&quot;&quot;" command="SELECT * FROM [developmentdata2019]"/>
  </connection>
</connections>
</file>

<file path=xl/sharedStrings.xml><?xml version="1.0" encoding="utf-8"?>
<sst xmlns="http://schemas.openxmlformats.org/spreadsheetml/2006/main" count="6784" uniqueCount="2200">
  <si>
    <t>Development</t>
  </si>
  <si>
    <t>Year Sum</t>
  </si>
  <si>
    <t>Weekly Average</t>
  </si>
  <si>
    <t>Borough</t>
  </si>
  <si>
    <t>District</t>
  </si>
  <si>
    <t>1/9/2017</t>
  </si>
  <si>
    <t>1/10/2017</t>
  </si>
  <si>
    <t>1/11/2017</t>
  </si>
  <si>
    <t>1/12/2017</t>
  </si>
  <si>
    <t>1/13/2017</t>
  </si>
  <si>
    <t>1/14/2017</t>
  </si>
  <si>
    <t>1/16/2017</t>
  </si>
  <si>
    <t>1/17/2017</t>
  </si>
  <si>
    <t>1/18/2017</t>
  </si>
  <si>
    <t>1/19/2017</t>
  </si>
  <si>
    <t>1/20/2017</t>
  </si>
  <si>
    <t>1/21/2017</t>
  </si>
  <si>
    <t>1/23/2017</t>
  </si>
  <si>
    <t>1/24/2017</t>
  </si>
  <si>
    <t>1/25/2017</t>
  </si>
  <si>
    <t>1/26/2017</t>
  </si>
  <si>
    <t>1/27/2017</t>
  </si>
  <si>
    <t>1/28/2017</t>
  </si>
  <si>
    <t>1/2/2017</t>
  </si>
  <si>
    <t>1/3/2017</t>
  </si>
  <si>
    <t>1/4/2017</t>
  </si>
  <si>
    <t>1/5/2017</t>
  </si>
  <si>
    <t>1/6/2017</t>
  </si>
  <si>
    <t>1/7/2017</t>
  </si>
  <si>
    <t>10/9/2017</t>
  </si>
  <si>
    <t>10/10/2017</t>
  </si>
  <si>
    <t>10/11/2017</t>
  </si>
  <si>
    <t>10/12/2017</t>
  </si>
  <si>
    <t>10/13/2017</t>
  </si>
  <si>
    <t>10/14/2017</t>
  </si>
  <si>
    <t>10/16/2017</t>
  </si>
  <si>
    <t>10/17/2017</t>
  </si>
  <si>
    <t>10/18/2017</t>
  </si>
  <si>
    <t>10/19/2017</t>
  </si>
  <si>
    <t>10/20/2017</t>
  </si>
  <si>
    <t>10/21/2017</t>
  </si>
  <si>
    <t>10/23/2017</t>
  </si>
  <si>
    <t>10/24/2017</t>
  </si>
  <si>
    <t>10/25/2017</t>
  </si>
  <si>
    <t>10/26/2017</t>
  </si>
  <si>
    <t>10/27/2017</t>
  </si>
  <si>
    <t>10/28/2017</t>
  </si>
  <si>
    <t>10/2/2017</t>
  </si>
  <si>
    <t>10/3/2017</t>
  </si>
  <si>
    <t>10/4/2017</t>
  </si>
  <si>
    <t>10/5/2017</t>
  </si>
  <si>
    <t>10/6/2017</t>
  </si>
  <si>
    <t>10/7/2017</t>
  </si>
  <si>
    <t>11/6/2017</t>
  </si>
  <si>
    <t>11/7/2017</t>
  </si>
  <si>
    <t>11/8/2017</t>
  </si>
  <si>
    <t>11/9/2017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</si>
  <si>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</si>
  <si>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</si>
  <si>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</si>
  <si>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</si>
  <si>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</si>
  <si>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</si>
  <si>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</si>
  <si>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</si>
  <si>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11/20/2017</t>
  </si>
  <si>
    <t>11/21/2017</t>
  </si>
  <si>
    <t>11/22/2017</t>
  </si>
  <si>
    <t>11/23/2017</t>
  </si>
  <si>
    <t>11/24/2017</t>
  </si>
  <si>
    <t>11/25/2017</t>
  </si>
  <si>
    <t>10/30/2017</t>
  </si>
  <si>
    <t>10/31/2017</t>
  </si>
  <si>
    <t>11/1/2017</t>
  </si>
  <si>
    <t>11/2/2017</t>
  </si>
  <si>
    <t>11/3/2017</t>
  </si>
  <si>
    <t>11/4/2017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</si>
  <si>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</si>
  <si>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</si>
  <si>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</si>
  <si>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</si>
  <si>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</si>
  <si>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</si>
  <si>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</si>
  <si>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11/27/2017</t>
  </si>
  <si>
    <t>11/28/2017</t>
  </si>
  <si>
    <t>11/29/2017</t>
  </si>
  <si>
    <t>11/30/2017</t>
  </si>
  <si>
    <t>12/1/2017</t>
  </si>
  <si>
    <t>12/2/2017</t>
  </si>
  <si>
    <t>12/18/2017</t>
  </si>
  <si>
    <t>12/19/2017</t>
  </si>
  <si>
    <t>12/20/2017</t>
  </si>
  <si>
    <t>12/21/2017</t>
  </si>
  <si>
    <t>12/22/2017</t>
  </si>
  <si>
    <t>12/23/2017</t>
  </si>
  <si>
    <t>12/25/2017</t>
  </si>
  <si>
    <t>12/26/2017</t>
  </si>
  <si>
    <t>12/27/2017</t>
  </si>
  <si>
    <t>12/28/2017</t>
  </si>
  <si>
    <t>12/29/2017</t>
  </si>
  <si>
    <t>12/30/2017</t>
  </si>
  <si>
    <t>12/4/2017</t>
  </si>
  <si>
    <t>12/5/2017</t>
  </si>
  <si>
    <t>12/6/2017</t>
  </si>
  <si>
    <t>12/7/2017</t>
  </si>
  <si>
    <t>12/8/2017</t>
  </si>
  <si>
    <t>12/9/2017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</si>
  <si>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</si>
  <si>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</si>
  <si>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</si>
  <si>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</si>
  <si>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</si>
  <si>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</si>
  <si>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</si>
  <si>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</si>
  <si>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</si>
  <si>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</si>
  <si>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</si>
  <si>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</si>
  <si>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</si>
  <si>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2/20/2017</t>
  </si>
  <si>
    <t>2/21/2017</t>
  </si>
  <si>
    <t>2/22/2017</t>
  </si>
  <si>
    <t>2/23/2017</t>
  </si>
  <si>
    <t>2/24/2017</t>
  </si>
  <si>
    <t>2/25/2017</t>
  </si>
  <si>
    <t>1/30/2017</t>
  </si>
  <si>
    <t>1/31/2017</t>
  </si>
  <si>
    <t>2/1/2017</t>
  </si>
  <si>
    <t>2/2/2017</t>
  </si>
  <si>
    <t>2/3/2017</t>
  </si>
  <si>
    <t>2/4/2017</t>
  </si>
  <si>
    <t>3/6/2017</t>
  </si>
  <si>
    <t>3/7/2017</t>
  </si>
  <si>
    <t>3/8/2017</t>
  </si>
  <si>
    <t>3/9/2017</t>
  </si>
  <si>
    <t>3/10/2017</t>
  </si>
  <si>
    <t>3/11/2017</t>
  </si>
  <si>
    <t>3/13/2017</t>
  </si>
  <si>
    <t>3/14/2017</t>
  </si>
  <si>
    <t>3/15/2017</t>
  </si>
  <si>
    <t>3/16/2017</t>
  </si>
  <si>
    <t>3/17/2017</t>
  </si>
  <si>
    <t>3/18/2017</t>
  </si>
  <si>
    <t>3/20/2017</t>
  </si>
  <si>
    <t>3/21/2017</t>
  </si>
  <si>
    <t>3/22/2017</t>
  </si>
  <si>
    <t>3/23/2017</t>
  </si>
  <si>
    <t>3/24/2017</t>
  </si>
  <si>
    <t>3/25/2017</t>
  </si>
  <si>
    <t>2/27/2017</t>
  </si>
  <si>
    <t>2/28/2017</t>
  </si>
  <si>
    <t>3/1/2017</t>
  </si>
  <si>
    <t>3/2/2017</t>
  </si>
  <si>
    <t>3/3/2017</t>
  </si>
  <si>
    <t>3/4/2017</t>
  </si>
  <si>
    <t>3/27/2017</t>
  </si>
  <si>
    <t>3/28/2017</t>
  </si>
  <si>
    <t>3/29/2017</t>
  </si>
  <si>
    <t>3/30/2017</t>
  </si>
  <si>
    <t>3/31/2017</t>
  </si>
  <si>
    <t>4/1/2017</t>
  </si>
  <si>
    <t>4/10/2017</t>
  </si>
  <si>
    <t>4/11/2017</t>
  </si>
  <si>
    <t>4/12/2017</t>
  </si>
  <si>
    <t>4/13/2017</t>
  </si>
  <si>
    <t>4/14/2017</t>
  </si>
  <si>
    <t>4/15/2017</t>
  </si>
  <si>
    <t>4/17/2017</t>
  </si>
  <si>
    <t>4/18/2017</t>
  </si>
  <si>
    <t>4/19/2017</t>
  </si>
  <si>
    <t>4/20/2017</t>
  </si>
  <si>
    <t>4/21/2017</t>
  </si>
  <si>
    <t>4/22/2017</t>
  </si>
  <si>
    <t>4/24/2017</t>
  </si>
  <si>
    <t>4/25/2017</t>
  </si>
  <si>
    <t>4/26/2017</t>
  </si>
  <si>
    <t>4/27/2017</t>
  </si>
  <si>
    <t>4/28/2017</t>
  </si>
  <si>
    <t>4/29/2017</t>
  </si>
  <si>
    <t>4/3/2017</t>
  </si>
  <si>
    <t>4/4/2017</t>
  </si>
  <si>
    <t>4/5/2017</t>
  </si>
  <si>
    <t>4/6/2017</t>
  </si>
  <si>
    <t>4/7/2017</t>
  </si>
  <si>
    <t>4/8/2017</t>
  </si>
  <si>
    <t>5/8/2017</t>
  </si>
  <si>
    <t>5/9/2017</t>
  </si>
  <si>
    <t>5/10/2017</t>
  </si>
  <si>
    <t>5/11/2017</t>
  </si>
  <si>
    <t>5/12/2017</t>
  </si>
  <si>
    <t>5/13/2017</t>
  </si>
  <si>
    <t>5/15/2017</t>
  </si>
  <si>
    <t>5/16/2017</t>
  </si>
  <si>
    <t>5/17/2017</t>
  </si>
  <si>
    <t>5/18/2017</t>
  </si>
  <si>
    <t>5/19/2017</t>
  </si>
  <si>
    <t>5/20/2017</t>
  </si>
  <si>
    <t>5/22/2017</t>
  </si>
  <si>
    <t>5/23/2017</t>
  </si>
  <si>
    <t>5/24/2017</t>
  </si>
  <si>
    <t>5/25/2017</t>
  </si>
  <si>
    <t>5/26/2017</t>
  </si>
  <si>
    <t>5/27/2017</t>
  </si>
  <si>
    <t>5/1/2017</t>
  </si>
  <si>
    <t>5/2/2017</t>
  </si>
  <si>
    <t>5/3/2017</t>
  </si>
  <si>
    <t>5/4/2017</t>
  </si>
  <si>
    <t>5/5/2017</t>
  </si>
  <si>
    <t>5/6/2017</t>
  </si>
  <si>
    <t>6/5/2017</t>
  </si>
  <si>
    <t>6/6/2017</t>
  </si>
  <si>
    <t>6/7/2017</t>
  </si>
  <si>
    <t>6/8/2017</t>
  </si>
  <si>
    <t>6/9/2017</t>
  </si>
  <si>
    <t>6/10/2017</t>
  </si>
  <si>
    <t>6/12/2017</t>
  </si>
  <si>
    <t>6/13/2017</t>
  </si>
  <si>
    <t>6/14/2017</t>
  </si>
  <si>
    <t>6/15/2017</t>
  </si>
  <si>
    <t>6/16/2017</t>
  </si>
  <si>
    <t>6/17/2017</t>
  </si>
  <si>
    <t>6/19/2017</t>
  </si>
  <si>
    <t>6/20/2017</t>
  </si>
  <si>
    <t>6/21/2017</t>
  </si>
  <si>
    <t>6/22/2017</t>
  </si>
  <si>
    <t>6/23/2017</t>
  </si>
  <si>
    <t>6/24/2017</t>
  </si>
  <si>
    <t>5/29/2017</t>
  </si>
  <si>
    <t>5/30/2017</t>
  </si>
  <si>
    <t>5/31/2017</t>
  </si>
  <si>
    <t>6/1/2017</t>
  </si>
  <si>
    <t>6/2/2017</t>
  </si>
  <si>
    <t>6/3/2017</t>
  </si>
  <si>
    <t>6/26/2017</t>
  </si>
  <si>
    <t>6/27/2017</t>
  </si>
  <si>
    <t>6/28/2017</t>
  </si>
  <si>
    <t>6/29/2017</t>
  </si>
  <si>
    <t>6/30/2017</t>
  </si>
  <si>
    <t>7/1/2017</t>
  </si>
  <si>
    <t>7/10/2017</t>
  </si>
  <si>
    <t>7/11/2017</t>
  </si>
  <si>
    <t>7/12/2017</t>
  </si>
  <si>
    <t>7/13/2017</t>
  </si>
  <si>
    <t>7/14/2017</t>
  </si>
  <si>
    <t>7/15/2017</t>
  </si>
  <si>
    <t>7/17/2017</t>
  </si>
  <si>
    <t>7/18/2017</t>
  </si>
  <si>
    <t>7/19/2017</t>
  </si>
  <si>
    <t>7/20/2017</t>
  </si>
  <si>
    <t>7/21/2017</t>
  </si>
  <si>
    <t>7/22/2017</t>
  </si>
  <si>
    <t>7/24/2017</t>
  </si>
  <si>
    <t>7/25/2017</t>
  </si>
  <si>
    <t>7/26/2017</t>
  </si>
  <si>
    <t>7/27/2017</t>
  </si>
  <si>
    <t>7/28/2017</t>
  </si>
  <si>
    <t>7/29/2017</t>
  </si>
  <si>
    <t>7/3/2017</t>
  </si>
  <si>
    <t>7/4/2017</t>
  </si>
  <si>
    <t>7/5/2017</t>
  </si>
  <si>
    <t>7/6/2017</t>
  </si>
  <si>
    <t>7/7/2017</t>
  </si>
  <si>
    <t>7/8/2017</t>
  </si>
  <si>
    <t>8/7/2017</t>
  </si>
  <si>
    <t>8/8/2017</t>
  </si>
  <si>
    <t>8/9/2017</t>
  </si>
  <si>
    <t>8/10/2017</t>
  </si>
  <si>
    <t>8/11/2017</t>
  </si>
  <si>
    <t>8/12/2017</t>
  </si>
  <si>
    <t>8/14/2017</t>
  </si>
  <si>
    <t>8/15/2017</t>
  </si>
  <si>
    <t>8/16/2017</t>
  </si>
  <si>
    <t>8/17/2017</t>
  </si>
  <si>
    <t>8/18/2017</t>
  </si>
  <si>
    <t>8/19/2017</t>
  </si>
  <si>
    <t>8/21/2017</t>
  </si>
  <si>
    <t>8/22/2017</t>
  </si>
  <si>
    <t>8/23/2017</t>
  </si>
  <si>
    <t>8/24/2017</t>
  </si>
  <si>
    <t>8/25/2017</t>
  </si>
  <si>
    <t>8/26/2017</t>
  </si>
  <si>
    <t>7/31/2017</t>
  </si>
  <si>
    <t>8/1/2017</t>
  </si>
  <si>
    <t>8/2/2017</t>
  </si>
  <si>
    <t>8/3/2017</t>
  </si>
  <si>
    <t>8/4/2017</t>
  </si>
  <si>
    <t>8/5/2017</t>
  </si>
  <si>
    <t>9/11/2017</t>
  </si>
  <si>
    <t>9/12/2017</t>
  </si>
  <si>
    <t>9/13/2017</t>
  </si>
  <si>
    <t>9/14/2017</t>
  </si>
  <si>
    <t>9/15/2017</t>
  </si>
  <si>
    <t>9/16/2017</t>
  </si>
  <si>
    <t>8/28/2017</t>
  </si>
  <si>
    <t>8/29/2017</t>
  </si>
  <si>
    <t>8/30/2017</t>
  </si>
  <si>
    <t>8/31/2017</t>
  </si>
  <si>
    <t>9/1/2017</t>
  </si>
  <si>
    <t>9/2/2017</t>
  </si>
  <si>
    <t>9/18/2017</t>
  </si>
  <si>
    <t>9/19/2017</t>
  </si>
  <si>
    <t>9/20/2017</t>
  </si>
  <si>
    <t>9/21/2017</t>
  </si>
  <si>
    <t>9/22/2017</t>
  </si>
  <si>
    <t>9/23/2017</t>
  </si>
  <si>
    <t>9/25/2017</t>
  </si>
  <si>
    <t>9/26/2017</t>
  </si>
  <si>
    <t>9/27/2017</t>
  </si>
  <si>
    <t>9/28/2017</t>
  </si>
  <si>
    <t>9/29/2017</t>
  </si>
  <si>
    <t>9/30/2017</t>
  </si>
  <si>
    <t>9/4/2017</t>
  </si>
  <si>
    <t>9/5/2017</t>
  </si>
  <si>
    <t>9/6/2017</t>
  </si>
  <si>
    <t>9/7/2017</t>
  </si>
  <si>
    <t>9/8/2017</t>
  </si>
  <si>
    <t>9/9/2017</t>
  </si>
  <si>
    <t>BARUCH</t>
  </si>
  <si>
    <t>MAN</t>
  </si>
  <si>
    <t>M03</t>
  </si>
  <si>
    <t>BARUCH HOUSES ADDITION</t>
  </si>
  <si>
    <t>CAMPOS PLAZA I</t>
  </si>
  <si>
    <t>CAMPOS PLAZA II</t>
  </si>
  <si>
    <t>GOMPERS</t>
  </si>
  <si>
    <t>45 ALLEN STREET</t>
  </si>
  <si>
    <t>LA GUARDIA</t>
  </si>
  <si>
    <t>LA GUARDIA ADDITION</t>
  </si>
  <si>
    <t>RIIS</t>
  </si>
  <si>
    <t>RIIS II</t>
  </si>
  <si>
    <t>RUTGERS</t>
  </si>
  <si>
    <t>SEWARD PARK EXTENSION</t>
  </si>
  <si>
    <t>SMITH</t>
  </si>
  <si>
    <t>WALD</t>
  </si>
  <si>
    <t>CHELSEA</t>
  </si>
  <si>
    <t>M04</t>
  </si>
  <si>
    <t>CHELSEA ADDITION</t>
  </si>
  <si>
    <t>FULTON</t>
  </si>
  <si>
    <t>HARBORVIEW TERRACE</t>
  </si>
  <si>
    <t>ELLIOTT</t>
  </si>
  <si>
    <t>DOUGLASS</t>
  </si>
  <si>
    <t>M07</t>
  </si>
  <si>
    <t>DOUGLASS ADDITION</t>
  </si>
  <si>
    <t>AMSTERDAM</t>
  </si>
  <si>
    <t>AMSTERDAM ADDITION</t>
  </si>
  <si>
    <t>ISAACS</t>
  </si>
  <si>
    <t>M08</t>
  </si>
  <si>
    <t>AUDUBON</t>
  </si>
  <si>
    <t>M09</t>
  </si>
  <si>
    <t>GRANT</t>
  </si>
  <si>
    <t>MANHATTANVILLE</t>
  </si>
  <si>
    <t>MANHATTANVILLE REHAB (GROUP 2)</t>
  </si>
  <si>
    <t>MANHATTANVILLE REHAB (GROUP 3)</t>
  </si>
  <si>
    <t>DREW-HAMILTON</t>
  </si>
  <si>
    <t>M10</t>
  </si>
  <si>
    <t>HARLEM RIVER</t>
  </si>
  <si>
    <t>HARLEM RIVER II</t>
  </si>
  <si>
    <t>KING TOWERS</t>
  </si>
  <si>
    <t>POLO GROUNDS TOWERS</t>
  </si>
  <si>
    <t>RANGEL</t>
  </si>
  <si>
    <t>SAINT NICHOLAS</t>
  </si>
  <si>
    <t>CARVER</t>
  </si>
  <si>
    <t>M11</t>
  </si>
  <si>
    <t>CLINTON</t>
  </si>
  <si>
    <t>EAST RIVER</t>
  </si>
  <si>
    <t>JEFFERSON</t>
  </si>
  <si>
    <t>JOHNSON</t>
  </si>
  <si>
    <t>LEHMAN VILLAGE</t>
  </si>
  <si>
    <t>LINCOLN</t>
  </si>
  <si>
    <t>ROBINSON</t>
  </si>
  <si>
    <t>TAFT</t>
  </si>
  <si>
    <t>UPACA (SITE 5)</t>
  </si>
  <si>
    <t>UPACA (SITE 6)</t>
  </si>
  <si>
    <t>WAGNER</t>
  </si>
  <si>
    <t>WASHINGTON</t>
  </si>
  <si>
    <t>WILSON</t>
  </si>
  <si>
    <t>BETHUNE GARDENS</t>
  </si>
  <si>
    <t>M12</t>
  </si>
  <si>
    <t>DYCKMAN</t>
  </si>
  <si>
    <t>BETANCES II, 9A</t>
  </si>
  <si>
    <t>BX</t>
  </si>
  <si>
    <t>BX01</t>
  </si>
  <si>
    <t>EAST 152ND STREET-COURTLANDT AVENUE</t>
  </si>
  <si>
    <t>ADAMS</t>
  </si>
  <si>
    <t>BETANCES V</t>
  </si>
  <si>
    <t>JACKSON</t>
  </si>
  <si>
    <t>MILL BROOK</t>
  </si>
  <si>
    <t>MILL BROOK EXTENSION</t>
  </si>
  <si>
    <t>MITCHEL</t>
  </si>
  <si>
    <t>MOORE</t>
  </si>
  <si>
    <t>MOTT HAVEN</t>
  </si>
  <si>
    <t>PATTERSON</t>
  </si>
  <si>
    <t>SAINT MARY'S PARK</t>
  </si>
  <si>
    <t>MELROSE</t>
  </si>
  <si>
    <t>CLAREMONT PARKWAY</t>
  </si>
  <si>
    <t>BX03</t>
  </si>
  <si>
    <t>DAVIDSON</t>
  </si>
  <si>
    <t>FOREST</t>
  </si>
  <si>
    <t>MORRIS</t>
  </si>
  <si>
    <t>BUTLER</t>
  </si>
  <si>
    <t>MCKINLEY</t>
  </si>
  <si>
    <t>WEBSTER</t>
  </si>
  <si>
    <t>MORRISANIA AIR RIGHTS</t>
  </si>
  <si>
    <t>CLAREMONT CONSOLIDATED</t>
  </si>
  <si>
    <t>BX04</t>
  </si>
  <si>
    <t>SEDGWICK</t>
  </si>
  <si>
    <t>BX05</t>
  </si>
  <si>
    <t>TWIN PARKS WEST (SITES 1 &amp; 2)</t>
  </si>
  <si>
    <t>WEST TREMONT AVENUE-SEDGWICK AVENUE AREA</t>
  </si>
  <si>
    <t>EAST 180TH STREET-MONTEREY AVENUE</t>
  </si>
  <si>
    <t>BX06</t>
  </si>
  <si>
    <t>MURPHY</t>
  </si>
  <si>
    <t>BAILEY AVENUE-WEST 193RD STREET</t>
  </si>
  <si>
    <t>BX07</t>
  </si>
  <si>
    <t>FORT INDEPENDENCE STREET-HEATH AVENUE</t>
  </si>
  <si>
    <t>BX08</t>
  </si>
  <si>
    <t>MARBLE HILL</t>
  </si>
  <si>
    <t>BRONX RIVER</t>
  </si>
  <si>
    <t>BX09</t>
  </si>
  <si>
    <t>BRONX DALE</t>
  </si>
  <si>
    <t>CASTLE HILL</t>
  </si>
  <si>
    <t>MONROE</t>
  </si>
  <si>
    <t>SOUNDVIEW</t>
  </si>
  <si>
    <t>THROGGS NECK</t>
  </si>
  <si>
    <t>BX10</t>
  </si>
  <si>
    <t>EASTCHESTER GARDENS</t>
  </si>
  <si>
    <t>BX11</t>
  </si>
  <si>
    <t>PARKSIDE</t>
  </si>
  <si>
    <t>PELHAM PARKWAY</t>
  </si>
  <si>
    <t>BAYCHESTER</t>
  </si>
  <si>
    <t>BOSTON SECOR</t>
  </si>
  <si>
    <t>GUN HILL</t>
  </si>
  <si>
    <t>EDENWALD</t>
  </si>
  <si>
    <t>BERRY STREET-SOUTH 9TH STREET</t>
  </si>
  <si>
    <t>BKN</t>
  </si>
  <si>
    <t>BKN01</t>
  </si>
  <si>
    <t>WILLIAMS PLAZA</t>
  </si>
  <si>
    <t xml:space="preserve">ATLANTIC TERMINAL </t>
  </si>
  <si>
    <t>BKN02</t>
  </si>
  <si>
    <t>FARRAGUT</t>
  </si>
  <si>
    <t>INGERSOLL</t>
  </si>
  <si>
    <t>WHITMAN</t>
  </si>
  <si>
    <t>BREVOORT</t>
  </si>
  <si>
    <t>BKN03</t>
  </si>
  <si>
    <t>BORINQUEN</t>
  </si>
  <si>
    <t>LAFAYETTE</t>
  </si>
  <si>
    <t>MARCY</t>
  </si>
  <si>
    <t>ROOSEVELT I</t>
  </si>
  <si>
    <t>COOPER</t>
  </si>
  <si>
    <t>STUYVESANT GARDENS I</t>
  </si>
  <si>
    <t>SUMNER</t>
  </si>
  <si>
    <t>TOMPKINS</t>
  </si>
  <si>
    <t xml:space="preserve">BUSHWICK </t>
  </si>
  <si>
    <t>TAYLOR</t>
  </si>
  <si>
    <t>ALBANY</t>
  </si>
  <si>
    <t>BKN08</t>
  </si>
  <si>
    <t>HOPE GARDENS</t>
  </si>
  <si>
    <t>BKN04</t>
  </si>
  <si>
    <t xml:space="preserve">CYPRESS HILLS </t>
  </si>
  <si>
    <t>BKN05</t>
  </si>
  <si>
    <t>PINK</t>
  </si>
  <si>
    <t>LINDEN</t>
  </si>
  <si>
    <t>PENNSYLVANIA AVENUE-WORTMAN AVENUE</t>
  </si>
  <si>
    <t>ALBANY II</t>
  </si>
  <si>
    <t>GOWANUS</t>
  </si>
  <si>
    <t>BKS</t>
  </si>
  <si>
    <t>BKS06</t>
  </si>
  <si>
    <t>572  STREET</t>
  </si>
  <si>
    <t>RED HOOK I</t>
  </si>
  <si>
    <t>RED HOOK EAST</t>
  </si>
  <si>
    <t>RED HOOK WEST</t>
  </si>
  <si>
    <t>RED HOOK II</t>
  </si>
  <si>
    <t>WYCKOFF GARDENS</t>
  </si>
  <si>
    <t>CAREY GARDENS</t>
  </si>
  <si>
    <t>BKS13</t>
  </si>
  <si>
    <t>MARLBORO</t>
  </si>
  <si>
    <t>SURFSIDE GARDENS</t>
  </si>
  <si>
    <t>NOSTRAND</t>
  </si>
  <si>
    <t>BKS15</t>
  </si>
  <si>
    <t>SHEEPSHEAD BAY</t>
  </si>
  <si>
    <t>BAY VIEW</t>
  </si>
  <si>
    <t>BKS18</t>
  </si>
  <si>
    <t>BREUKELEN</t>
  </si>
  <si>
    <t>GLENWOOD</t>
  </si>
  <si>
    <t>BROWNSVILLE</t>
  </si>
  <si>
    <t>BKN16</t>
  </si>
  <si>
    <t>LANGSTON HUGHES APARTMENTS</t>
  </si>
  <si>
    <t>TILDEN</t>
  </si>
  <si>
    <t>VAN DYKE I</t>
  </si>
  <si>
    <t>HOWARD</t>
  </si>
  <si>
    <t>BEACH 41ST STREET-BEACH CHANNEL DRIVE</t>
  </si>
  <si>
    <t>QE14</t>
  </si>
  <si>
    <t>CARLETON MANOR</t>
  </si>
  <si>
    <t>HAMMEL</t>
  </si>
  <si>
    <t>OCEAN BAY APARTMENTS (BAYSIDE)</t>
  </si>
  <si>
    <t>ASTORIA</t>
  </si>
  <si>
    <t>QNS</t>
  </si>
  <si>
    <t>QW01</t>
  </si>
  <si>
    <t>QUEENSBRIDGE</t>
  </si>
  <si>
    <t>RAVENSWOOD</t>
  </si>
  <si>
    <t>WOODSIDE</t>
  </si>
  <si>
    <t>LATIMER GARDENS</t>
  </si>
  <si>
    <t>QE07</t>
  </si>
  <si>
    <t>POMONOK</t>
  </si>
  <si>
    <t>QE08</t>
  </si>
  <si>
    <t>BAISLEY PARK</t>
  </si>
  <si>
    <t>QE12</t>
  </si>
  <si>
    <t>SOUTH JAMAICA (Box #1 /#2)</t>
  </si>
  <si>
    <t>SOUTH JAMAICA (Box #3 /#4)</t>
  </si>
  <si>
    <t xml:space="preserve">Conlon Life </t>
  </si>
  <si>
    <t>REDFERN</t>
  </si>
  <si>
    <t>CASSIDY-LAFAYETTE</t>
  </si>
  <si>
    <t>SI</t>
  </si>
  <si>
    <t>SI01</t>
  </si>
  <si>
    <t>MARINER'S HARBOR</t>
  </si>
  <si>
    <t>RICHMOND TERRACE</t>
  </si>
  <si>
    <t>STAPLETON</t>
  </si>
  <si>
    <t>WEST BRIGHTON I</t>
  </si>
  <si>
    <t>WEST BRIGHTON II</t>
  </si>
  <si>
    <t>BERRY</t>
  </si>
  <si>
    <t>SI02</t>
  </si>
  <si>
    <t>SOUTH BEACH</t>
  </si>
  <si>
    <t>DEVELOPMENT</t>
  </si>
  <si>
    <t>DATA AS OF</t>
  </si>
  <si>
    <t>HUD AMP#</t>
  </si>
  <si>
    <t>TDS#</t>
  </si>
  <si>
    <t>CONSOLIDATED TDS#</t>
  </si>
  <si>
    <t>DEVELOPMENT EDP#</t>
  </si>
  <si>
    <t>OPERATING EDP#</t>
  </si>
  <si>
    <t>HUD #</t>
  </si>
  <si>
    <t>PROGRAM</t>
  </si>
  <si>
    <t>METHOD</t>
  </si>
  <si>
    <t>TYPE</t>
  </si>
  <si>
    <t>NUMBER OF SECTION 8 TRANSITION APARTMENTS</t>
  </si>
  <si>
    <t>NUMBER OF CURRENT APARTMENTS</t>
  </si>
  <si>
    <t>TOTAL NUMBER OF APARTMENTS</t>
  </si>
  <si>
    <t>NUMBER OF RENTAL ROOMS</t>
  </si>
  <si>
    <t>AVG NO R/R PER APARTMENT</t>
  </si>
  <si>
    <t>POPULATION SECTION 8 TRANSITION</t>
  </si>
  <si>
    <t>POPULATION PUBLIC HOUSING</t>
  </si>
  <si>
    <t>TOTAL POPULATION</t>
  </si>
  <si>
    <t>TOTAL # OF FIXED INCOME HOUSEHOLD</t>
  </si>
  <si>
    <t>PERCENT FIXED INCOME HOUSEHOLDS</t>
  </si>
  <si>
    <t>NUMBER OF RESIDENTIAL BLDGS</t>
  </si>
  <si>
    <t>NUMBER OF NON-RESIDENTIAL BLDGS</t>
  </si>
  <si>
    <t>NUMBER OF STAIRHALLS</t>
  </si>
  <si>
    <t>NUMBER OF STORIES</t>
  </si>
  <si>
    <t>TOTAL AREA SQ FT</t>
  </si>
  <si>
    <t>ACRES</t>
  </si>
  <si>
    <t>NET DEV AREA SQ FT</t>
  </si>
  <si>
    <t>EXCLUDING PARK ACRES</t>
  </si>
  <si>
    <t>BLDG COVERAGE SQ FT</t>
  </si>
  <si>
    <t>CUBAGE CU FT</t>
  </si>
  <si>
    <t>BLDG COVERAGE %</t>
  </si>
  <si>
    <t>DENSITY</t>
  </si>
  <si>
    <t>DEVELOPMENT COST</t>
  </si>
  <si>
    <t>PER RENTAL ROOM</t>
  </si>
  <si>
    <t>AVG MONTHLY GROSS RENT</t>
  </si>
  <si>
    <t>LOCATION STREET A</t>
  </si>
  <si>
    <t>LOCATION STREET B</t>
  </si>
  <si>
    <t>LOCATION STREET C</t>
  </si>
  <si>
    <t>LOCATION STREET D</t>
  </si>
  <si>
    <t>BOROUGH</t>
  </si>
  <si>
    <t>COMMUNITY DISTIRCT</t>
  </si>
  <si>
    <t>US CONGRESSIONAL DISTRICT</t>
  </si>
  <si>
    <t>NY STATE SENATE DISTRICT</t>
  </si>
  <si>
    <t>NY STATE ASSEMBLY DISTRICT</t>
  </si>
  <si>
    <t>NY CITY COUNCIL DISTRICT</t>
  </si>
  <si>
    <t>COMPLETION DATE</t>
  </si>
  <si>
    <t>FEDERALIZED DEVELOPMENT</t>
  </si>
  <si>
    <t>SENIOR DEVELOPMENT</t>
  </si>
  <si>
    <t>ELECTRICITY PAID BY RESIDENTS</t>
  </si>
  <si>
    <t>PRIVATE MANAGEMENT</t>
  </si>
  <si>
    <t>1010 EAST 178TH STREET</t>
  </si>
  <si>
    <t>NY005011330</t>
  </si>
  <si>
    <t>NY005090</t>
  </si>
  <si>
    <t>FEDERAL</t>
  </si>
  <si>
    <t>CONVENTIONAL</t>
  </si>
  <si>
    <t>NEW CONST</t>
  </si>
  <si>
    <t>E TREMONT AVE</t>
  </si>
  <si>
    <t>BRYANT AVE</t>
  </si>
  <si>
    <t>E 178TH ST</t>
  </si>
  <si>
    <t>BOSTON RD</t>
  </si>
  <si>
    <t>BRONX</t>
  </si>
  <si>
    <t>104-14 TAPSCOTT STREET</t>
  </si>
  <si>
    <t>NY005011670</t>
  </si>
  <si>
    <t>NY005174</t>
  </si>
  <si>
    <t>TURNKEY</t>
  </si>
  <si>
    <t>TAPSCOTT ST</t>
  </si>
  <si>
    <t>UNION ST</t>
  </si>
  <si>
    <t>SUTTER AVE</t>
  </si>
  <si>
    <t>BLAKE AVE</t>
  </si>
  <si>
    <t>BROOKLYN</t>
  </si>
  <si>
    <t>1162-1176 WASHINGTON AVENUE</t>
  </si>
  <si>
    <t>NY005013080</t>
  </si>
  <si>
    <t>NY005138</t>
  </si>
  <si>
    <t>REHAB</t>
  </si>
  <si>
    <t>E 167TH ST</t>
  </si>
  <si>
    <t>E 168TH ST</t>
  </si>
  <si>
    <t>THIRD AVE</t>
  </si>
  <si>
    <t>WASHINGTON AVE</t>
  </si>
  <si>
    <t>131 SAINT NICHOLAS AVENUE</t>
  </si>
  <si>
    <t>NY005010970</t>
  </si>
  <si>
    <t>NY005065</t>
  </si>
  <si>
    <t>SAINT NICHOLAS AVE</t>
  </si>
  <si>
    <t>W 116TH ST</t>
  </si>
  <si>
    <t>W 117TH ST</t>
  </si>
  <si>
    <t>MANHATTAN</t>
  </si>
  <si>
    <t>1471 WATSON AVENUE</t>
  </si>
  <si>
    <t>NY005010670</t>
  </si>
  <si>
    <t>NY005162</t>
  </si>
  <si>
    <t>WATSON AVE</t>
  </si>
  <si>
    <t>COLGATE AVE</t>
  </si>
  <si>
    <t>EVERGREEN AVE</t>
  </si>
  <si>
    <t>154 WEST 84TH STREET</t>
  </si>
  <si>
    <t>NY005013590</t>
  </si>
  <si>
    <t>NY005270</t>
  </si>
  <si>
    <t>AMSTERDAM AVE</t>
  </si>
  <si>
    <t>W 84TH ST</t>
  </si>
  <si>
    <t>COLUMBUS AVE</t>
  </si>
  <si>
    <t>YES</t>
  </si>
  <si>
    <t>303 VERNON AVENUE</t>
  </si>
  <si>
    <t>NY005010730</t>
  </si>
  <si>
    <t>NY005068</t>
  </si>
  <si>
    <t>VERNON AVE</t>
  </si>
  <si>
    <t>MARCUS GARVEY BLVD</t>
  </si>
  <si>
    <t>MYRTLE AVE</t>
  </si>
  <si>
    <t>335 EAST 111TH STREET</t>
  </si>
  <si>
    <t>NY005010640</t>
  </si>
  <si>
    <t>NY005126</t>
  </si>
  <si>
    <t>SECOND AVE</t>
  </si>
  <si>
    <t>E 111TH ST</t>
  </si>
  <si>
    <t>FIRST AVE</t>
  </si>
  <si>
    <t>E 112TH ST</t>
  </si>
  <si>
    <t>344 EAST 28TH STREET</t>
  </si>
  <si>
    <t>NY005021850</t>
  </si>
  <si>
    <t>NY005374</t>
  </si>
  <si>
    <t>MIXED FINANCE/LLC2</t>
  </si>
  <si>
    <t>E 27TH ST</t>
  </si>
  <si>
    <t>NEW ST</t>
  </si>
  <si>
    <t>E 28TH ST</t>
  </si>
  <si>
    <t>NY005011000</t>
  </si>
  <si>
    <t>NY005186</t>
  </si>
  <si>
    <t>GRAND ST</t>
  </si>
  <si>
    <t>ALLEN ST</t>
  </si>
  <si>
    <t>HESTER ST</t>
  </si>
  <si>
    <t>ELDRIDGE ST</t>
  </si>
  <si>
    <t>572 WARREN STREET</t>
  </si>
  <si>
    <t>NY005011630</t>
  </si>
  <si>
    <t>NY005103</t>
  </si>
  <si>
    <t>WARREN ST</t>
  </si>
  <si>
    <t>BALTIC ST</t>
  </si>
  <si>
    <t>FOURTH AVE</t>
  </si>
  <si>
    <t>830 AMSTERDAM AVENUE</t>
  </si>
  <si>
    <t>NY005010820</t>
  </si>
  <si>
    <t>NY005059</t>
  </si>
  <si>
    <t>W 101ST ST</t>
  </si>
  <si>
    <t>W 100TH ST</t>
  </si>
  <si>
    <t>NY005001180</t>
  </si>
  <si>
    <t>NY005049</t>
  </si>
  <si>
    <t>15-21</t>
  </si>
  <si>
    <t>WESTCHESTER AVE</t>
  </si>
  <si>
    <t>UNION AVE</t>
  </si>
  <si>
    <t>E 152ND ST</t>
  </si>
  <si>
    <t>NY005010310</t>
  </si>
  <si>
    <t>NY005216C</t>
  </si>
  <si>
    <t>ALBANY AVE</t>
  </si>
  <si>
    <t>SAINT MARKS AVE</t>
  </si>
  <si>
    <t>TROY AVE</t>
  </si>
  <si>
    <t>PARK PL</t>
  </si>
  <si>
    <t>1978/02/01-ATP 2</t>
  </si>
  <si>
    <t>13-14</t>
  </si>
  <si>
    <t>BERGEN ST</t>
  </si>
  <si>
    <t>ALBANY HOUSES</t>
  </si>
  <si>
    <t>NY005010220</t>
  </si>
  <si>
    <t>NY005220A</t>
  </si>
  <si>
    <t>W 61ST ST</t>
  </si>
  <si>
    <t>W 64TH ST</t>
  </si>
  <si>
    <t>WEST END AVE</t>
  </si>
  <si>
    <t>1978/07/01-ATP 3</t>
  </si>
  <si>
    <t>NY005021870</t>
  </si>
  <si>
    <t>NY005366</t>
  </si>
  <si>
    <t>MIXED FINANCE/LLC1</t>
  </si>
  <si>
    <t>W 65TH ST</t>
  </si>
  <si>
    <t>ARMSTRONG I</t>
  </si>
  <si>
    <t>NY005012100</t>
  </si>
  <si>
    <t>NY005120</t>
  </si>
  <si>
    <t>CLIFTON PL</t>
  </si>
  <si>
    <t>MARCY AVE</t>
  </si>
  <si>
    <t>GATES AVE</t>
  </si>
  <si>
    <t>BEDFORD AVE</t>
  </si>
  <si>
    <t>56, 57</t>
  </si>
  <si>
    <t>PARTIALLY</t>
  </si>
  <si>
    <t>ARMSTRONG II</t>
  </si>
  <si>
    <t>NY005116</t>
  </si>
  <si>
    <t>GREENE AVE</t>
  </si>
  <si>
    <t>TOMPKINS AVE</t>
  </si>
  <si>
    <t>NY005000260</t>
  </si>
  <si>
    <t>NY005213I</t>
  </si>
  <si>
    <t>27TH AVE</t>
  </si>
  <si>
    <t>8TH ST</t>
  </si>
  <si>
    <t>HALLET'S COVE</t>
  </si>
  <si>
    <t>QUEENS</t>
  </si>
  <si>
    <t>1977/07/01-ATP 1</t>
  </si>
  <si>
    <t>ATLANTIC TERMINAL SITE 4B</t>
  </si>
  <si>
    <t>NY005189</t>
  </si>
  <si>
    <t>CLERMONT AVE</t>
  </si>
  <si>
    <t>ATLANTIC AVE</t>
  </si>
  <si>
    <t>CARLTON AVE</t>
  </si>
  <si>
    <t>FULTON ST</t>
  </si>
  <si>
    <t>NY005010030</t>
  </si>
  <si>
    <t>NY005365</t>
  </si>
  <si>
    <t>W 154TH ST</t>
  </si>
  <si>
    <t>W 155TH ST</t>
  </si>
  <si>
    <t>1995/07/13-PTA</t>
  </si>
  <si>
    <t>NY005012020</t>
  </si>
  <si>
    <t>NY005106</t>
  </si>
  <si>
    <t>BAILEY AVE</t>
  </si>
  <si>
    <t>W 193RD ST</t>
  </si>
  <si>
    <t>HEATH AVE</t>
  </si>
  <si>
    <t>NY005010910</t>
  </si>
  <si>
    <t>NY005038</t>
  </si>
  <si>
    <t>LIRR</t>
  </si>
  <si>
    <t>FOCH BLVD</t>
  </si>
  <si>
    <t>116TH AVE</t>
  </si>
  <si>
    <t>GUY BREWER BLVD</t>
  </si>
  <si>
    <t>10, 14</t>
  </si>
  <si>
    <t>NY005010600</t>
  </si>
  <si>
    <t>NY005012</t>
  </si>
  <si>
    <t>E HOUSTON ST</t>
  </si>
  <si>
    <t>FDR DRIVE</t>
  </si>
  <si>
    <t>DELANCEY ST</t>
  </si>
  <si>
    <t>COLUMBIA ST</t>
  </si>
  <si>
    <t>NY005111</t>
  </si>
  <si>
    <t>NEW CONST (ELD)</t>
  </si>
  <si>
    <t>EXCLUSIVELY</t>
  </si>
  <si>
    <t>NY005020920</t>
  </si>
  <si>
    <t>NY005368</t>
  </si>
  <si>
    <t>SEAVIEW AVE</t>
  </si>
  <si>
    <t>E 102ND ST</t>
  </si>
  <si>
    <t>ROCKAWAY PKWY</t>
  </si>
  <si>
    <t>SHORE PKWY</t>
  </si>
  <si>
    <t>NY005001650</t>
  </si>
  <si>
    <t>NY005086</t>
  </si>
  <si>
    <t>B 38TH ST</t>
  </si>
  <si>
    <t>B 41ST ST</t>
  </si>
  <si>
    <t>NORTON AVE</t>
  </si>
  <si>
    <t>B CHANNEL DR</t>
  </si>
  <si>
    <t>BEDFORD-STUYVESANT REHAB</t>
  </si>
  <si>
    <t>NY005255</t>
  </si>
  <si>
    <t>THROOP AVE</t>
  </si>
  <si>
    <t>HART ST</t>
  </si>
  <si>
    <t>BELMONT-SUTTER AREA</t>
  </si>
  <si>
    <t>NY005010460</t>
  </si>
  <si>
    <t>NY005282</t>
  </si>
  <si>
    <t>BELMONT AVE</t>
  </si>
  <si>
    <t>JEROME ST</t>
  </si>
  <si>
    <t>BARBEY ST</t>
  </si>
  <si>
    <t>NY005000520</t>
  </si>
  <si>
    <t>NY005271B</t>
  </si>
  <si>
    <t>RICHMOND RD</t>
  </si>
  <si>
    <t>DONGAN HILLS AVE</t>
  </si>
  <si>
    <t>SEAVER AVE</t>
  </si>
  <si>
    <t>JEFFERSON ST</t>
  </si>
  <si>
    <t>STATEN ISLAND</t>
  </si>
  <si>
    <t>1980/10/01-ATP 7</t>
  </si>
  <si>
    <t>NY005011310</t>
  </si>
  <si>
    <t>NY005288</t>
  </si>
  <si>
    <t>SOUTH 9TH ST</t>
  </si>
  <si>
    <t>BEDFORD &amp; DIVISION AVES</t>
  </si>
  <si>
    <t>SOUTH 11TH ST</t>
  </si>
  <si>
    <t>WYTHE AVE</t>
  </si>
  <si>
    <t>NY005070</t>
  </si>
  <si>
    <t>W 156TH ST</t>
  </si>
  <si>
    <t>BLAND</t>
  </si>
  <si>
    <t>NY005011860</t>
  </si>
  <si>
    <t>NY005213K</t>
  </si>
  <si>
    <t>ROOSEVELT AVE</t>
  </si>
  <si>
    <t>PRINCE ST</t>
  </si>
  <si>
    <t>COLLEGE POINT BLVD</t>
  </si>
  <si>
    <t>BORINQUEN PLAZA I</t>
  </si>
  <si>
    <t>NY005012430</t>
  </si>
  <si>
    <t>NY005175</t>
  </si>
  <si>
    <t>MANHATTAN AVE</t>
  </si>
  <si>
    <t>BOERUM ST</t>
  </si>
  <si>
    <t>BUSHWICK AVE</t>
  </si>
  <si>
    <t>VARET ST</t>
  </si>
  <si>
    <t>BORINQUEN PLAZA II</t>
  </si>
  <si>
    <t>NY005195</t>
  </si>
  <si>
    <t>HUMBOLDT ST</t>
  </si>
  <si>
    <t>SEIGEL ST</t>
  </si>
  <si>
    <t>BOSTON ROAD PLAZA</t>
  </si>
  <si>
    <t>NY005010390</t>
  </si>
  <si>
    <t>NY005095</t>
  </si>
  <si>
    <t>MACE AVE</t>
  </si>
  <si>
    <t>HOLLAND AVE</t>
  </si>
  <si>
    <t>WARING AVE</t>
  </si>
  <si>
    <t>NY005011380</t>
  </si>
  <si>
    <t>NY005060</t>
  </si>
  <si>
    <t>13-14-17-18</t>
  </si>
  <si>
    <t>IRT-DYRE AVE LINE</t>
  </si>
  <si>
    <t>STEENWICK AVE</t>
  </si>
  <si>
    <t>BOULEVARD</t>
  </si>
  <si>
    <t>NY005020460</t>
  </si>
  <si>
    <t>NY005369</t>
  </si>
  <si>
    <t>LINDEN BLVD</t>
  </si>
  <si>
    <t>ASHFORD ST</t>
  </si>
  <si>
    <t>WORTMAN AVE</t>
  </si>
  <si>
    <t>SCHENCK AVE</t>
  </si>
  <si>
    <t>BOYNTON AVENUE REHAB</t>
  </si>
  <si>
    <t>NY005010320</t>
  </si>
  <si>
    <t>NY005249</t>
  </si>
  <si>
    <t>WARD AVE</t>
  </si>
  <si>
    <t>BRUCKNER BLVD</t>
  </si>
  <si>
    <t>ELDER AVE</t>
  </si>
  <si>
    <t>BRACETTI PLAZA</t>
  </si>
  <si>
    <t>NY005012920</t>
  </si>
  <si>
    <t>NY005185</t>
  </si>
  <si>
    <t>E 3RD ST</t>
  </si>
  <si>
    <t>AVENUE C</t>
  </si>
  <si>
    <t>E 4TH ST</t>
  </si>
  <si>
    <t>AVENUE B</t>
  </si>
  <si>
    <t>NY005000560</t>
  </si>
  <si>
    <t>NY005011</t>
  </si>
  <si>
    <t>STANLEY AVE</t>
  </si>
  <si>
    <t>FLATLANDS AVE</t>
  </si>
  <si>
    <t>E 103RD ST</t>
  </si>
  <si>
    <t>WILLIAMS AVE</t>
  </si>
  <si>
    <t>58, 60</t>
  </si>
  <si>
    <t>NY005000650</t>
  </si>
  <si>
    <t>NY005017</t>
  </si>
  <si>
    <t>BAINBRIDGE ST</t>
  </si>
  <si>
    <t>RALPH AVE</t>
  </si>
  <si>
    <t>PATCHEN AVE</t>
  </si>
  <si>
    <t>NY005220D</t>
  </si>
  <si>
    <t>BRONX RIVER AVE</t>
  </si>
  <si>
    <t>HARROD AVE</t>
  </si>
  <si>
    <t>E 174TH ST</t>
  </si>
  <si>
    <t>BRONX RIVER ADDITION</t>
  </si>
  <si>
    <t>E 172ND ST</t>
  </si>
  <si>
    <t>MANOR AVE</t>
  </si>
  <si>
    <t>BROWN</t>
  </si>
  <si>
    <t>NY005012520</t>
  </si>
  <si>
    <t>NY005277</t>
  </si>
  <si>
    <t>EASTERN PKWY</t>
  </si>
  <si>
    <t>PROSPECT PL</t>
  </si>
  <si>
    <t>HOPKINSON AVE</t>
  </si>
  <si>
    <t>NY005000160</t>
  </si>
  <si>
    <t>NY005213D</t>
  </si>
  <si>
    <t>DUMONT AVE</t>
  </si>
  <si>
    <t>MOTHER GASTON BLVD</t>
  </si>
  <si>
    <t>ROCKAWAY AVE</t>
  </si>
  <si>
    <t>BRYANT AVENUE-EAST 174TH STREET</t>
  </si>
  <si>
    <t>NY005015300</t>
  </si>
  <si>
    <t>NY005145</t>
  </si>
  <si>
    <t>E 173RD ST</t>
  </si>
  <si>
    <t>VYSE AVE</t>
  </si>
  <si>
    <t>BUSHWICK</t>
  </si>
  <si>
    <t>NY005020860</t>
  </si>
  <si>
    <t>NY005370</t>
  </si>
  <si>
    <t>13-20</t>
  </si>
  <si>
    <t>MOORE ST</t>
  </si>
  <si>
    <t>FLUSHING AVE</t>
  </si>
  <si>
    <t>BUSHWICK II (GROUPS A &amp; C)</t>
  </si>
  <si>
    <t>NY005012470</t>
  </si>
  <si>
    <t>NY005222</t>
  </si>
  <si>
    <t>CENTRAL AVE</t>
  </si>
  <si>
    <t>HARMAN AVE</t>
  </si>
  <si>
    <t>GREEN AVE</t>
  </si>
  <si>
    <t>HALSEY ST</t>
  </si>
  <si>
    <t>7, 8</t>
  </si>
  <si>
    <t>53, 54</t>
  </si>
  <si>
    <t>34, 37</t>
  </si>
  <si>
    <t>BUSHWICK II (GROUPS B &amp; D)</t>
  </si>
  <si>
    <t>NY005240</t>
  </si>
  <si>
    <t>WILSON AVE</t>
  </si>
  <si>
    <t>MADISON AVE</t>
  </si>
  <si>
    <t>BUSHWICK II CDA (GROUP E)</t>
  </si>
  <si>
    <t>NY005263</t>
  </si>
  <si>
    <t>KNICKERBOCKER AVE</t>
  </si>
  <si>
    <t>MENAHAN ST</t>
  </si>
  <si>
    <t>NY005001130</t>
  </si>
  <si>
    <t>NY005362</t>
  </si>
  <si>
    <t>E 169TH ST</t>
  </si>
  <si>
    <t>E 171ST ST</t>
  </si>
  <si>
    <t>WEBSTER AVE</t>
  </si>
  <si>
    <t>PARK AVE</t>
  </si>
  <si>
    <t>NY005012570</t>
  </si>
  <si>
    <t>NY005264</t>
  </si>
  <si>
    <t>E 14TH ST</t>
  </si>
  <si>
    <t>E 13TH ST</t>
  </si>
  <si>
    <t>NY005011660</t>
  </si>
  <si>
    <t>NY005088</t>
  </si>
  <si>
    <t>15-17</t>
  </si>
  <si>
    <t>W 24TH ST</t>
  </si>
  <si>
    <t>NEPTUNE AVE</t>
  </si>
  <si>
    <t>W 22ND ST</t>
  </si>
  <si>
    <t>SURF AVE</t>
  </si>
  <si>
    <t>NY005010750</t>
  </si>
  <si>
    <t>NY005073</t>
  </si>
  <si>
    <t>ROCKAWAY FRWY</t>
  </si>
  <si>
    <t>BEACH CHANNEL DR</t>
  </si>
  <si>
    <t>NY005000580</t>
  </si>
  <si>
    <t>NY005220E</t>
  </si>
  <si>
    <t>E 99TH ST</t>
  </si>
  <si>
    <t>E 106TH ST</t>
  </si>
  <si>
    <t>NY005011170</t>
  </si>
  <si>
    <t>NY005122</t>
  </si>
  <si>
    <t>CASSIDY PL</t>
  </si>
  <si>
    <t>FILLMORE ST</t>
  </si>
  <si>
    <t>LAFAYETTE AVE</t>
  </si>
  <si>
    <t>CLINTON AVE</t>
  </si>
  <si>
    <t>NY005020800</t>
  </si>
  <si>
    <t>NY005371</t>
  </si>
  <si>
    <t>OLMSTEAD AVE</t>
  </si>
  <si>
    <t>HAVEMEYER AVE</t>
  </si>
  <si>
    <t>LACOMBE AVE</t>
  </si>
  <si>
    <t>CINCINNATUS AVE</t>
  </si>
  <si>
    <t>NY005021340</t>
  </si>
  <si>
    <t>NY005372</t>
  </si>
  <si>
    <t>W 25TH ST</t>
  </si>
  <si>
    <t>W 26TH ST</t>
  </si>
  <si>
    <t>NINTH AVE</t>
  </si>
  <si>
    <t>NY005011340</t>
  </si>
  <si>
    <t>NY005361</t>
  </si>
  <si>
    <t>CHELSEA PARK</t>
  </si>
  <si>
    <t>TENTH AVE</t>
  </si>
  <si>
    <t>CLAREMONT PARKWAY-FRANKLIN AVENUE</t>
  </si>
  <si>
    <t>NY005013420</t>
  </si>
  <si>
    <t>NY005253</t>
  </si>
  <si>
    <t>CLAREMONT PKWY</t>
  </si>
  <si>
    <t>FULTON AVE</t>
  </si>
  <si>
    <t>CLAREMONT REHAB (GROUP 2)</t>
  </si>
  <si>
    <t>NY005246</t>
  </si>
  <si>
    <t>CLAY AVE</t>
  </si>
  <si>
    <t>E 166TH ST</t>
  </si>
  <si>
    <t>CLAREMONT REHAB (GROUP 3)</t>
  </si>
  <si>
    <t>NY005223</t>
  </si>
  <si>
    <t>TELLER AVE</t>
  </si>
  <si>
    <t>E 165TH ST</t>
  </si>
  <si>
    <t>FINDLAY AVE</t>
  </si>
  <si>
    <t>CLAREMONT REHAB (GROUP 4)</t>
  </si>
  <si>
    <t>NY005273</t>
  </si>
  <si>
    <t>CLAREMONT REHAB (GROUP 5)</t>
  </si>
  <si>
    <t>NY005274</t>
  </si>
  <si>
    <t>COLLEGE AVE</t>
  </si>
  <si>
    <t>CLASON POINT GARDENS</t>
  </si>
  <si>
    <t>NY005012800</t>
  </si>
  <si>
    <t>NY005007</t>
  </si>
  <si>
    <t>STORY AVE</t>
  </si>
  <si>
    <t>SEWARD AVE</t>
  </si>
  <si>
    <t>NOBLE AVE</t>
  </si>
  <si>
    <t>METCALF AVE</t>
  </si>
  <si>
    <t>NY005001230</t>
  </si>
  <si>
    <t>NY005045</t>
  </si>
  <si>
    <t>PARK &amp; LEX AVES</t>
  </si>
  <si>
    <t>E 104TH,106TH STS</t>
  </si>
  <si>
    <t>E 108TH ST</t>
  </si>
  <si>
    <t>E 110TH ST</t>
  </si>
  <si>
    <t>COLLEGE AVENUE-EAST 165TH STREET</t>
  </si>
  <si>
    <t>NY005148</t>
  </si>
  <si>
    <t>CONEY ISLAND</t>
  </si>
  <si>
    <t>NY005011700</t>
  </si>
  <si>
    <t>NY005363</t>
  </si>
  <si>
    <t>W 32ND ST</t>
  </si>
  <si>
    <t>RIEGELMANN BRDWK</t>
  </si>
  <si>
    <t>W 29TH ST</t>
  </si>
  <si>
    <t>CONEY ISLAND I (SITE 1B)</t>
  </si>
  <si>
    <t>NY005161</t>
  </si>
  <si>
    <t>W 20TH ST</t>
  </si>
  <si>
    <t>W 21ST ST</t>
  </si>
  <si>
    <t>MERMAID AVE</t>
  </si>
  <si>
    <t>CONEY ISLAND I (SITE 8)</t>
  </si>
  <si>
    <t>NY005011720</t>
  </si>
  <si>
    <t>NY005157</t>
  </si>
  <si>
    <t>W 35TH ST</t>
  </si>
  <si>
    <t>W 36TH ST</t>
  </si>
  <si>
    <t>CONEY ISLAND I (SITES 4 &amp; 5)</t>
  </si>
  <si>
    <t>NY005123</t>
  </si>
  <si>
    <t>W 28TH ST</t>
  </si>
  <si>
    <t>CONLON LIHFE TOWER</t>
  </si>
  <si>
    <t>NY005137</t>
  </si>
  <si>
    <t>170TH ST</t>
  </si>
  <si>
    <t>172ND ST</t>
  </si>
  <si>
    <t>JAMAICA AVE</t>
  </si>
  <si>
    <t>93RD AVE</t>
  </si>
  <si>
    <t>COOPER PARK</t>
  </si>
  <si>
    <t>NY005000690</t>
  </si>
  <si>
    <t>NY005023</t>
  </si>
  <si>
    <t>FROST ST</t>
  </si>
  <si>
    <t>MORGAN AVE</t>
  </si>
  <si>
    <t>KINGSLAND AVE</t>
  </si>
  <si>
    <t>MASPETH AVE</t>
  </si>
  <si>
    <t>CORSI HOUSES</t>
  </si>
  <si>
    <t>NY005149</t>
  </si>
  <si>
    <t>E 116TH ST</t>
  </si>
  <si>
    <t>E 117TH ST</t>
  </si>
  <si>
    <t>CROWN HEIGHTS</t>
  </si>
  <si>
    <t>NY005013510</t>
  </si>
  <si>
    <t>NY005258</t>
  </si>
  <si>
    <t>BUFFALO AVE</t>
  </si>
  <si>
    <t>SAINT JOHNS PL</t>
  </si>
  <si>
    <t>8, 9</t>
  </si>
  <si>
    <t>20, 25</t>
  </si>
  <si>
    <t>55, 56</t>
  </si>
  <si>
    <t>CYPRESS HILLS</t>
  </si>
  <si>
    <t>NY005010700</t>
  </si>
  <si>
    <t>NY005220G</t>
  </si>
  <si>
    <t>EUCLID AVE</t>
  </si>
  <si>
    <t>FOUNTAIN AVE</t>
  </si>
  <si>
    <t>18, 19</t>
  </si>
  <si>
    <t>NY005096A</t>
  </si>
  <si>
    <t>PROSPECT AVE</t>
  </si>
  <si>
    <t>HOME ST</t>
  </si>
  <si>
    <t>167TH ST</t>
  </si>
  <si>
    <t>DE HOSTOS APARTMENTS</t>
  </si>
  <si>
    <t>NY005011270</t>
  </si>
  <si>
    <t>NY005066</t>
  </si>
  <si>
    <t>W 93RD ST</t>
  </si>
  <si>
    <t>BROADWAY</t>
  </si>
  <si>
    <t>W 94TH ST</t>
  </si>
  <si>
    <t>082, 582</t>
  </si>
  <si>
    <t>NY005244B</t>
  </si>
  <si>
    <t>5-9-12-17-18-20</t>
  </si>
  <si>
    <t>W 104TH ST</t>
  </si>
  <si>
    <t>1979/08/01-ATP 4</t>
  </si>
  <si>
    <t>W 102ND ST</t>
  </si>
  <si>
    <t>W 103RD ST</t>
  </si>
  <si>
    <t>DOUGLASS I</t>
  </si>
  <si>
    <t>5-9-12-17-20</t>
  </si>
  <si>
    <t>DOUGLASS II</t>
  </si>
  <si>
    <t>9-12-17-18-20</t>
  </si>
  <si>
    <t>NY005021110</t>
  </si>
  <si>
    <t>NY005373</t>
  </si>
  <si>
    <t>W 141ST ST</t>
  </si>
  <si>
    <t>W 144TH ST</t>
  </si>
  <si>
    <t>POWELL BLVD</t>
  </si>
  <si>
    <t>DOUGLASS BLVD</t>
  </si>
  <si>
    <t>NY005000410</t>
  </si>
  <si>
    <t>NY005183A</t>
  </si>
  <si>
    <t>DYCKMAN ST</t>
  </si>
  <si>
    <t>NAGLE AVE</t>
  </si>
  <si>
    <t>W 204TH ST</t>
  </si>
  <si>
    <t>1972/06/29-FED TRAN</t>
  </si>
  <si>
    <t>EAGLE AVENUE-EAST 163RD STREET</t>
  </si>
  <si>
    <t>NY005000590</t>
  </si>
  <si>
    <t>NY005165</t>
  </si>
  <si>
    <t>EAGLE AVE</t>
  </si>
  <si>
    <t>E 163RD ST</t>
  </si>
  <si>
    <t>E 161ST ST</t>
  </si>
  <si>
    <t>NY005010280</t>
  </si>
  <si>
    <t>NY005154</t>
  </si>
  <si>
    <t>E 151ST ST</t>
  </si>
  <si>
    <t>E 153RD ST</t>
  </si>
  <si>
    <t>COURTLANDT AVE</t>
  </si>
  <si>
    <t>MELROSE AVE</t>
  </si>
  <si>
    <t>EAST 165TH STREET-BRYANT AVENUE</t>
  </si>
  <si>
    <t>NY005226</t>
  </si>
  <si>
    <t>LONGFELLOW AVE</t>
  </si>
  <si>
    <t>ALDUS ST</t>
  </si>
  <si>
    <t>HOE AVE</t>
  </si>
  <si>
    <t>EAST 173RD STREET-VYSE AVENUE</t>
  </si>
  <si>
    <t>NY005252</t>
  </si>
  <si>
    <t>SOUTHERN BLVD</t>
  </si>
  <si>
    <t>JENNINGS ST</t>
  </si>
  <si>
    <t>NY005012270</t>
  </si>
  <si>
    <t>NY005124</t>
  </si>
  <si>
    <t>E 180TH ST</t>
  </si>
  <si>
    <t>E 181ST ST</t>
  </si>
  <si>
    <t>LAFONTAINE AVE</t>
  </si>
  <si>
    <t>QUARRY RD</t>
  </si>
  <si>
    <t>EAST NEW YORK CITY LINE</t>
  </si>
  <si>
    <t>NY005171</t>
  </si>
  <si>
    <t>HEGEMAN AVE</t>
  </si>
  <si>
    <t>LOGAN ST</t>
  </si>
  <si>
    <t>NY005010090</t>
  </si>
  <si>
    <t>NY005005</t>
  </si>
  <si>
    <t>E 105TH ST</t>
  </si>
  <si>
    <t>NY005010340</t>
  </si>
  <si>
    <t>NY005114A</t>
  </si>
  <si>
    <t>BURKE AVE</t>
  </si>
  <si>
    <t>BOUCK AVE</t>
  </si>
  <si>
    <t>ADEE AVE</t>
  </si>
  <si>
    <t>YATES AVE</t>
  </si>
  <si>
    <t>1968/08/29-FED TRAN</t>
  </si>
  <si>
    <t>NY005000570</t>
  </si>
  <si>
    <t>NY005019</t>
  </si>
  <si>
    <t>GRENADA PL</t>
  </si>
  <si>
    <t>BAYCHESTER AVE</t>
  </si>
  <si>
    <t>E 225TH ST</t>
  </si>
  <si>
    <t>LACONIA AVE</t>
  </si>
  <si>
    <t>NY005181C</t>
  </si>
  <si>
    <t>27, 31</t>
  </si>
  <si>
    <t>NY005000290</t>
  </si>
  <si>
    <t>NY005220C</t>
  </si>
  <si>
    <t>YORK ST</t>
  </si>
  <si>
    <t>NASSAU ST</t>
  </si>
  <si>
    <t>NAVY ST</t>
  </si>
  <si>
    <t>BRIDGE ST</t>
  </si>
  <si>
    <t>FENIMORE-LEFFERTS</t>
  </si>
  <si>
    <t>NY005129</t>
  </si>
  <si>
    <t>FENIMORE ST</t>
  </si>
  <si>
    <t>LEFFERTS AVE</t>
  </si>
  <si>
    <t>NOSTRAND AVE</t>
  </si>
  <si>
    <t>40, 41</t>
  </si>
  <si>
    <t>FHA REPOSSESSED HOUSES (GROUP I)</t>
  </si>
  <si>
    <t>NY005012090</t>
  </si>
  <si>
    <t>NY005140</t>
  </si>
  <si>
    <t>26 QUEENS</t>
  </si>
  <si>
    <t>FHA REPOSSESSED HOUSES (GROUP II)</t>
  </si>
  <si>
    <t>NY005155</t>
  </si>
  <si>
    <t>11 QUEENS</t>
  </si>
  <si>
    <t>1 BRONX</t>
  </si>
  <si>
    <t>FHA REPOSSESSED HOUSES (GROUP III)</t>
  </si>
  <si>
    <t>NY005158</t>
  </si>
  <si>
    <t>FHA REPOSSESSED HOUSES (GROUP IV)</t>
  </si>
  <si>
    <t>NY005159</t>
  </si>
  <si>
    <t>12 QUEENS</t>
  </si>
  <si>
    <t>FHA REPOSSESSED HOUSES (GROUP IX)</t>
  </si>
  <si>
    <t>NY005206</t>
  </si>
  <si>
    <t>1-1.5-2-2.5-3</t>
  </si>
  <si>
    <t>2 QUEENS</t>
  </si>
  <si>
    <t>14 BROOKLYN</t>
  </si>
  <si>
    <t>FHA REPOSSESSED HOUSES (GROUP V)</t>
  </si>
  <si>
    <t>NY005182</t>
  </si>
  <si>
    <t>30 QUEENS</t>
  </si>
  <si>
    <t>1 BROOKLYN</t>
  </si>
  <si>
    <t>FHA REPOSSESSED HOUSES (GROUP VI)</t>
  </si>
  <si>
    <t>NY005199</t>
  </si>
  <si>
    <t>1-1.5-2-2.5</t>
  </si>
  <si>
    <t>7 QUEENS</t>
  </si>
  <si>
    <t>FHA REPOSSESSED HOUSES (GROUP VII)</t>
  </si>
  <si>
    <t>NY005197</t>
  </si>
  <si>
    <t>8 QUEENS</t>
  </si>
  <si>
    <t>FHA REPOSSESSED HOUSES (GROUP VIII)</t>
  </si>
  <si>
    <t>NY005198</t>
  </si>
  <si>
    <t>9 QUEENS</t>
  </si>
  <si>
    <t>FHA REPOSSESSED HOUSES (GROUP X)</t>
  </si>
  <si>
    <t>NY005212</t>
  </si>
  <si>
    <t>20 QUEENS</t>
  </si>
  <si>
    <t>FIORENTINO PLAZA</t>
  </si>
  <si>
    <t>NY005012610</t>
  </si>
  <si>
    <t>NY005188</t>
  </si>
  <si>
    <t>GLENMORE AVE</t>
  </si>
  <si>
    <t>VAN SICLEN AVE</t>
  </si>
  <si>
    <t>PITKIN AVE</t>
  </si>
  <si>
    <t>WYONA ST</t>
  </si>
  <si>
    <t>FIRST HOUSES</t>
  </si>
  <si>
    <t>NY005181A</t>
  </si>
  <si>
    <t>E 2ND ST</t>
  </si>
  <si>
    <t>AVENUE A</t>
  </si>
  <si>
    <t>NY005220F</t>
  </si>
  <si>
    <t>TINTON AVE</t>
  </si>
  <si>
    <t>TRINITY AVE</t>
  </si>
  <si>
    <t>NY005110</t>
  </si>
  <si>
    <t>FT INDEPENDENCE ST</t>
  </si>
  <si>
    <t>SUMMIT PL</t>
  </si>
  <si>
    <t>FORT WASHINGTON AVENUE REHAB</t>
  </si>
  <si>
    <t>NY005013090</t>
  </si>
  <si>
    <t>NY005266</t>
  </si>
  <si>
    <t>REHAB (ELD)</t>
  </si>
  <si>
    <t>RIVERSIDE DR</t>
  </si>
  <si>
    <t>W 163RD ST</t>
  </si>
  <si>
    <t>FT WASHINGTON AVE</t>
  </si>
  <si>
    <t>W 165TH ST</t>
  </si>
  <si>
    <t>NY005001360</t>
  </si>
  <si>
    <t>NY005053</t>
  </si>
  <si>
    <t>W 16TH ST</t>
  </si>
  <si>
    <t>W 19TH ST</t>
  </si>
  <si>
    <t>GARVEY (GROUP A)</t>
  </si>
  <si>
    <t>NY005166</t>
  </si>
  <si>
    <t>2, 6-14</t>
  </si>
  <si>
    <t>EAST NEW YORK AVE</t>
  </si>
  <si>
    <t>AMBOY ST</t>
  </si>
  <si>
    <t>GLEBE AVENUE-WESTCHESTER AVENUE</t>
  </si>
  <si>
    <t>NY005147</t>
  </si>
  <si>
    <t>GLEBE AVE</t>
  </si>
  <si>
    <t>CASTLE HILL AVE</t>
  </si>
  <si>
    <t>LYON AVE</t>
  </si>
  <si>
    <t>GLENMORE PLAZA</t>
  </si>
  <si>
    <t>NY005011690</t>
  </si>
  <si>
    <t>NY005267C</t>
  </si>
  <si>
    <t>WATKINS ST</t>
  </si>
  <si>
    <t>POWELL ST</t>
  </si>
  <si>
    <t>1980/07/01-ATP 5</t>
  </si>
  <si>
    <t>NY005000440</t>
  </si>
  <si>
    <t>NY005268B</t>
  </si>
  <si>
    <t>E 56TH ST</t>
  </si>
  <si>
    <t>FARRAGUT RD</t>
  </si>
  <si>
    <t>AVENUE H</t>
  </si>
  <si>
    <t>1980/07/01-ATP 6</t>
  </si>
  <si>
    <t>NY005032</t>
  </si>
  <si>
    <t>DELANCY ST</t>
  </si>
  <si>
    <t>PITT ST</t>
  </si>
  <si>
    <t>STANTON ST</t>
  </si>
  <si>
    <t>NY005000250</t>
  </si>
  <si>
    <t>NY005213G</t>
  </si>
  <si>
    <t>4-6-9-13-14</t>
  </si>
  <si>
    <t>WYCKOFF ST</t>
  </si>
  <si>
    <t>DOUGLASS ST</t>
  </si>
  <si>
    <t>BOND ST</t>
  </si>
  <si>
    <t>HOYT ST</t>
  </si>
  <si>
    <t>GRAMPION</t>
  </si>
  <si>
    <t>NY005010300</t>
  </si>
  <si>
    <t>NY005210</t>
  </si>
  <si>
    <t>W 119TH ST</t>
  </si>
  <si>
    <t>NY005000870</t>
  </si>
  <si>
    <t>NY005030</t>
  </si>
  <si>
    <t>13-21</t>
  </si>
  <si>
    <t>W 125TH ST</t>
  </si>
  <si>
    <t>MORNINGSIDE AVE</t>
  </si>
  <si>
    <t>W 123RD ST</t>
  </si>
  <si>
    <t>GRAVESEND</t>
  </si>
  <si>
    <t>NY005025</t>
  </si>
  <si>
    <t>BAYVIEW AVE</t>
  </si>
  <si>
    <t>W 33RD ST</t>
  </si>
  <si>
    <t>NY005010470</t>
  </si>
  <si>
    <t>NY005267A</t>
  </si>
  <si>
    <t>WHITE PLAINS RD</t>
  </si>
  <si>
    <t>GUN HILL RD</t>
  </si>
  <si>
    <t>MAGENTA ST</t>
  </si>
  <si>
    <t>HABER</t>
  </si>
  <si>
    <t>NY005271D</t>
  </si>
  <si>
    <t>REIGELMANN BRDWLK</t>
  </si>
  <si>
    <t>NY005027</t>
  </si>
  <si>
    <t>B 86TH ST</t>
  </si>
  <si>
    <t>HAMMELS BLVD</t>
  </si>
  <si>
    <t>B 81ST ST</t>
  </si>
  <si>
    <t>ROCKAWAY BCH BLVD</t>
  </si>
  <si>
    <t>NY005168</t>
  </si>
  <si>
    <t>14-15</t>
  </si>
  <si>
    <t>W 54TH ST</t>
  </si>
  <si>
    <t>W 56TH ST</t>
  </si>
  <si>
    <t>ELEVENTH AVE</t>
  </si>
  <si>
    <t>NY005042</t>
  </si>
  <si>
    <t>MACOMBS PL</t>
  </si>
  <si>
    <t>HARLEM RIVER DR</t>
  </si>
  <si>
    <t>W 151ST ST</t>
  </si>
  <si>
    <t>W 153RD ST</t>
  </si>
  <si>
    <t>NY005051</t>
  </si>
  <si>
    <t>W 152ND ST</t>
  </si>
  <si>
    <t>HARRISON AVENUE REHAB (GROUP A)</t>
  </si>
  <si>
    <t>NY005013410</t>
  </si>
  <si>
    <t>NY005231</t>
  </si>
  <si>
    <t>HARRISON AVE</t>
  </si>
  <si>
    <t>W BURNSIDE AVE</t>
  </si>
  <si>
    <t>GRAND AVE</t>
  </si>
  <si>
    <t>KINGSLAND PL</t>
  </si>
  <si>
    <t>HARRISON AVENUE REHAB (GROUP B)</t>
  </si>
  <si>
    <t>NY005287</t>
  </si>
  <si>
    <t>UNIVERSITY PL</t>
  </si>
  <si>
    <t>HERNANDEZ</t>
  </si>
  <si>
    <t>NY005085</t>
  </si>
  <si>
    <t>HIGHBRIDGE GARDENS</t>
  </si>
  <si>
    <t>NY005000780</t>
  </si>
  <si>
    <t>NY005026</t>
  </si>
  <si>
    <t>SEDGWICK AVE</t>
  </si>
  <si>
    <t>W 167TH ST</t>
  </si>
  <si>
    <t>UNIVERSITY AVE</t>
  </si>
  <si>
    <t>HOE AVENUE-EAST 173RD STREET</t>
  </si>
  <si>
    <t>NY005164</t>
  </si>
  <si>
    <t>HOLMES TOWERS</t>
  </si>
  <si>
    <t>NY005011390</t>
  </si>
  <si>
    <t>NY005069</t>
  </si>
  <si>
    <t>ISAACS HOUSES</t>
  </si>
  <si>
    <t>E 92ND ST</t>
  </si>
  <si>
    <t>NY005218</t>
  </si>
  <si>
    <t>LINDEN ST</t>
  </si>
  <si>
    <t>GROVE ST</t>
  </si>
  <si>
    <t>NY005000720</t>
  </si>
  <si>
    <t>NY005244A</t>
  </si>
  <si>
    <t>HOWARD AVENUE</t>
  </si>
  <si>
    <t>NY005261</t>
  </si>
  <si>
    <t>GRAFTON ST</t>
  </si>
  <si>
    <t>HOWARD AVENUE-PARK PLACE</t>
  </si>
  <si>
    <t>NY005225</t>
  </si>
  <si>
    <t>HOWARD AVE</t>
  </si>
  <si>
    <t>STERLING PL</t>
  </si>
  <si>
    <t>HUGHES APARTMENTS</t>
  </si>
  <si>
    <t>NY005011680</t>
  </si>
  <si>
    <t>NY005081</t>
  </si>
  <si>
    <t>HUNTS POINT AVENUE REHAB</t>
  </si>
  <si>
    <t>NY005299</t>
  </si>
  <si>
    <t>HUNTS POINT AVE</t>
  </si>
  <si>
    <t>SENECA AVE</t>
  </si>
  <si>
    <t>IRVINE ST</t>
  </si>
  <si>
    <t>32, 34</t>
  </si>
  <si>
    <t>HYLAN</t>
  </si>
  <si>
    <t>NY005010860</t>
  </si>
  <si>
    <t>NY005364</t>
  </si>
  <si>
    <t>INDEPENDENCE</t>
  </si>
  <si>
    <t>NY005021400</t>
  </si>
  <si>
    <t>NY005376</t>
  </si>
  <si>
    <t>CLYMER ST</t>
  </si>
  <si>
    <t>WILSON ST</t>
  </si>
  <si>
    <t>NY005000140</t>
  </si>
  <si>
    <t>NY005213B</t>
  </si>
  <si>
    <t>SAINT EDWARDS ST</t>
  </si>
  <si>
    <t>INTERNATIONAL TOWER</t>
  </si>
  <si>
    <t>NY005241</t>
  </si>
  <si>
    <t>90TH AVE</t>
  </si>
  <si>
    <t>169TH ST</t>
  </si>
  <si>
    <t>NY005057</t>
  </si>
  <si>
    <t>E 93RD ST</t>
  </si>
  <si>
    <t>NY005012670</t>
  </si>
  <si>
    <t>NY005043</t>
  </si>
  <si>
    <t>E 158TH ST</t>
  </si>
  <si>
    <t>E 156TH ST</t>
  </si>
  <si>
    <t>NY005016</t>
  </si>
  <si>
    <t>E 115TH ST</t>
  </si>
  <si>
    <t>NY005000170</t>
  </si>
  <si>
    <t>NY005213H</t>
  </si>
  <si>
    <t>NY005213J</t>
  </si>
  <si>
    <t>W 112TH ST</t>
  </si>
  <si>
    <t>LENOX AVE</t>
  </si>
  <si>
    <t>W 115TH ST</t>
  </si>
  <si>
    <t>FIFTH AVE</t>
  </si>
  <si>
    <t>KINGSBOROUGH</t>
  </si>
  <si>
    <t>NY005010100</t>
  </si>
  <si>
    <t>NY005006</t>
  </si>
  <si>
    <t>PACIFIC ST</t>
  </si>
  <si>
    <t>ROCHESTER AVE</t>
  </si>
  <si>
    <t>8, 16</t>
  </si>
  <si>
    <t>KINGSBOROUGH EXTENSION</t>
  </si>
  <si>
    <t>NY005071</t>
  </si>
  <si>
    <t>NY005010760</t>
  </si>
  <si>
    <t>NY005021</t>
  </si>
  <si>
    <t>RUTGERS ST</t>
  </si>
  <si>
    <t>MADISON ST</t>
  </si>
  <si>
    <t>MONTGOMERY ST</t>
  </si>
  <si>
    <t>CHERRY ST</t>
  </si>
  <si>
    <t>NY005061</t>
  </si>
  <si>
    <t>NY005001220</t>
  </si>
  <si>
    <t>NY005047</t>
  </si>
  <si>
    <t>13-15-20</t>
  </si>
  <si>
    <t>CLASSON AVE</t>
  </si>
  <si>
    <t>DEKALB AVE</t>
  </si>
  <si>
    <t>FRANKLIN AVE</t>
  </si>
  <si>
    <t>NY005093</t>
  </si>
  <si>
    <t>34TH, 35TH AVES</t>
  </si>
  <si>
    <t>LINDEN PL</t>
  </si>
  <si>
    <t>LEAVITT ST</t>
  </si>
  <si>
    <t>137TH ST</t>
  </si>
  <si>
    <t>LAVANBURG HOMES</t>
  </si>
  <si>
    <t>NY005003100</t>
  </si>
  <si>
    <t>NY005248</t>
  </si>
  <si>
    <t>BARUCH PL</t>
  </si>
  <si>
    <t>A NEW ST</t>
  </si>
  <si>
    <t>MANGIN ST</t>
  </si>
  <si>
    <t>LEAVITT STREET-34TH AVENUE</t>
  </si>
  <si>
    <t>NY005191</t>
  </si>
  <si>
    <t>34TH AVE</t>
  </si>
  <si>
    <t>34TH RD</t>
  </si>
  <si>
    <t>NY005001010</t>
  </si>
  <si>
    <t>NY005033</t>
  </si>
  <si>
    <t>LENOX ROAD-ROCKAWAY PARKWAY</t>
  </si>
  <si>
    <t>NY005292</t>
  </si>
  <si>
    <t>KINGS HIGHWAY</t>
  </si>
  <si>
    <t>E 98TH ST</t>
  </si>
  <si>
    <t>WILIMOHR ST</t>
  </si>
  <si>
    <t>E 97TH ST</t>
  </si>
  <si>
    <t>55, 58</t>
  </si>
  <si>
    <t>LEXINGTON</t>
  </si>
  <si>
    <t>NY005010620</t>
  </si>
  <si>
    <t>NY005183C</t>
  </si>
  <si>
    <t>NY005000200</t>
  </si>
  <si>
    <t>NY005213E</t>
  </si>
  <si>
    <t>E 132ND ST</t>
  </si>
  <si>
    <t>E 135TH ST</t>
  </si>
  <si>
    <t>NY005020950</t>
  </si>
  <si>
    <t>NY005377</t>
  </si>
  <si>
    <t>VERMONT ST</t>
  </si>
  <si>
    <t>COZINE AVE</t>
  </si>
  <si>
    <t>LONG ISLAND BAPTIST HOUSES</t>
  </si>
  <si>
    <t>NY005201</t>
  </si>
  <si>
    <t>SHEFFIELD AVE</t>
  </si>
  <si>
    <t>HINSDALE ST</t>
  </si>
  <si>
    <t>LONGFELLOW AVENUE REHAB</t>
  </si>
  <si>
    <t>NY005295</t>
  </si>
  <si>
    <t>WHITLOCK AVE</t>
  </si>
  <si>
    <t>LOW HOUSES</t>
  </si>
  <si>
    <t>NY005082</t>
  </si>
  <si>
    <t>17-18</t>
  </si>
  <si>
    <t>SACKMAN ST</t>
  </si>
  <si>
    <t>CHRISTOPHER ST</t>
  </si>
  <si>
    <t>19, 20</t>
  </si>
  <si>
    <t>LOWER EAST SIDE I INFILL</t>
  </si>
  <si>
    <t>NY005259</t>
  </si>
  <si>
    <t>RIVINGTON ST</t>
  </si>
  <si>
    <t>FORSYTHE ST</t>
  </si>
  <si>
    <t>LOWER EAST SIDE II</t>
  </si>
  <si>
    <t>NY005262</t>
  </si>
  <si>
    <t>E 4TH &amp; 5TH STS</t>
  </si>
  <si>
    <t>E 6TH ST</t>
  </si>
  <si>
    <t>AVENUES B &amp; C</t>
  </si>
  <si>
    <t>AVENUE D</t>
  </si>
  <si>
    <t>LOWER EAST SIDE III</t>
  </si>
  <si>
    <t>NY005215</t>
  </si>
  <si>
    <t>E 9TH ST</t>
  </si>
  <si>
    <t>E 8TH ST</t>
  </si>
  <si>
    <t>LOWER EAST SIDE REHAB (GROUP 5)</t>
  </si>
  <si>
    <t>NY005233</t>
  </si>
  <si>
    <t>E 7TH ST</t>
  </si>
  <si>
    <t>NY005020810</t>
  </si>
  <si>
    <t>NY005378</t>
  </si>
  <si>
    <t>W 133RD ST</t>
  </si>
  <si>
    <t>W 129TH ST</t>
  </si>
  <si>
    <t>30, 31</t>
  </si>
  <si>
    <t>NY005010810</t>
  </si>
  <si>
    <t>NY005235</t>
  </si>
  <si>
    <t>W 134TH ST</t>
  </si>
  <si>
    <t>W 135TH ST</t>
  </si>
  <si>
    <t>NY005236</t>
  </si>
  <si>
    <t>NY005020490</t>
  </si>
  <si>
    <t>NY005379</t>
  </si>
  <si>
    <t>EXTERIOR ST</t>
  </si>
  <si>
    <t>W 225TH ST</t>
  </si>
  <si>
    <t>W 230TH ST</t>
  </si>
  <si>
    <t>31, 33</t>
  </si>
  <si>
    <t>72, 81</t>
  </si>
  <si>
    <t>10, 11, 14</t>
  </si>
  <si>
    <t>NY005000210</t>
  </si>
  <si>
    <t>NY005213F</t>
  </si>
  <si>
    <t>MARCY AVENUE-GREENE AVENUE SITE A</t>
  </si>
  <si>
    <t>NY005300</t>
  </si>
  <si>
    <t>LEXINGTON AVE</t>
  </si>
  <si>
    <t>MARCY AVENUE-GREENE AVENUE SITE B</t>
  </si>
  <si>
    <t>NY005293</t>
  </si>
  <si>
    <t>NY005000770</t>
  </si>
  <si>
    <t>NY005020</t>
  </si>
  <si>
    <t>GRAND VIEW AVE</t>
  </si>
  <si>
    <t>ROXBURY ST</t>
  </si>
  <si>
    <t>LOCKMAN AVE</t>
  </si>
  <si>
    <t>CONTINENTAL PL</t>
  </si>
  <si>
    <t>NY005020830</t>
  </si>
  <si>
    <t>NY005380</t>
  </si>
  <si>
    <t>STILLWELL AVE</t>
  </si>
  <si>
    <t>AVENUE V</t>
  </si>
  <si>
    <t>86TH ST</t>
  </si>
  <si>
    <t>AVENUE X</t>
  </si>
  <si>
    <t>45, 47</t>
  </si>
  <si>
    <t>MARSHALL PLAZA</t>
  </si>
  <si>
    <t>NY005265</t>
  </si>
  <si>
    <t>W 158TH ST</t>
  </si>
  <si>
    <t>W 157TH ST</t>
  </si>
  <si>
    <t>NY005031</t>
  </si>
  <si>
    <t>NY005216B</t>
  </si>
  <si>
    <t>MORRIS AVE</t>
  </si>
  <si>
    <t>79, 84</t>
  </si>
  <si>
    <t>MELTZER TOWER</t>
  </si>
  <si>
    <t>E 1ST ST</t>
  </si>
  <si>
    <t>METRO NORTH PLAZA</t>
  </si>
  <si>
    <t>NY005092</t>
  </si>
  <si>
    <t>E 101ST ST</t>
  </si>
  <si>
    <t>MIDDLETOWN PLAZA</t>
  </si>
  <si>
    <t>NY005096B</t>
  </si>
  <si>
    <t>ROBERTS AVE</t>
  </si>
  <si>
    <t>JARVIS AVE</t>
  </si>
  <si>
    <t>MIDDLETOWN RD</t>
  </si>
  <si>
    <t>HOBART AVE</t>
  </si>
  <si>
    <t>NY005010840</t>
  </si>
  <si>
    <t>NY005244C</t>
  </si>
  <si>
    <t>BROOK AVE</t>
  </si>
  <si>
    <t>E 137TH ST</t>
  </si>
  <si>
    <t>CYPRESS AVE</t>
  </si>
  <si>
    <t>NY005011450</t>
  </si>
  <si>
    <t>NY005050</t>
  </si>
  <si>
    <t>17-19-20</t>
  </si>
  <si>
    <t>LINCOLN AVE</t>
  </si>
  <si>
    <t>E 138TH ST</t>
  </si>
  <si>
    <t>WILLIS AVE</t>
  </si>
  <si>
    <t>NY005000880</t>
  </si>
  <si>
    <t>NY005036</t>
  </si>
  <si>
    <t>SOUNDVIEW AVE</t>
  </si>
  <si>
    <t>TAYLOR AVE</t>
  </si>
  <si>
    <t>NY005010930</t>
  </si>
  <si>
    <t>NY005080</t>
  </si>
  <si>
    <t>E 147TH ST</t>
  </si>
  <si>
    <t>E 149TH ST</t>
  </si>
  <si>
    <t>JACKSON AVE</t>
  </si>
  <si>
    <t>MORRIS I</t>
  </si>
  <si>
    <t>NY005011020</t>
  </si>
  <si>
    <t>NY005037</t>
  </si>
  <si>
    <t>16-20</t>
  </si>
  <si>
    <t>E 170TH ST</t>
  </si>
  <si>
    <t>MORRIS II</t>
  </si>
  <si>
    <t>NY005079</t>
  </si>
  <si>
    <t>MORRIS PARK SENIOR CITIZENS HOME</t>
  </si>
  <si>
    <t>NY005012410</t>
  </si>
  <si>
    <t>NY005200</t>
  </si>
  <si>
    <t>E 124TH ST</t>
  </si>
  <si>
    <t>MORRISANIA</t>
  </si>
  <si>
    <t>NY005011410</t>
  </si>
  <si>
    <t>NY005048</t>
  </si>
  <si>
    <t>NY005190</t>
  </si>
  <si>
    <t>19-23-29</t>
  </si>
  <si>
    <t>3, 4</t>
  </si>
  <si>
    <t>16, 17</t>
  </si>
  <si>
    <t>NY005001210</t>
  </si>
  <si>
    <t>NY005044</t>
  </si>
  <si>
    <t>20-22</t>
  </si>
  <si>
    <t>E 140TH ST</t>
  </si>
  <si>
    <t>E 144TH ST</t>
  </si>
  <si>
    <t>ALEXANDER AVE</t>
  </si>
  <si>
    <t>NEW LANE AREA</t>
  </si>
  <si>
    <t>NY005010350</t>
  </si>
  <si>
    <t>NY005242</t>
  </si>
  <si>
    <t>NEW LANE</t>
  </si>
  <si>
    <t>WATER FRONT TRACT</t>
  </si>
  <si>
    <t>NY005010360</t>
  </si>
  <si>
    <t>NY005268C</t>
  </si>
  <si>
    <t>BRAGG ST</t>
  </si>
  <si>
    <t>BATCHELDER ST</t>
  </si>
  <si>
    <t>OCEAN BAY APARTMENTS (OCEANSIDE)</t>
  </si>
  <si>
    <t>NY005010980</t>
  </si>
  <si>
    <t>NY005244F</t>
  </si>
  <si>
    <t>ARVERNE BLVD</t>
  </si>
  <si>
    <t>B 56TH ST</t>
  </si>
  <si>
    <t>B 54TH ST</t>
  </si>
  <si>
    <t>OCEAN HILL APARTMENTS</t>
  </si>
  <si>
    <t>NY005011620</t>
  </si>
  <si>
    <t>NY005072</t>
  </si>
  <si>
    <t>MACDOUGAL ST</t>
  </si>
  <si>
    <t>OCEAN HILL-BROWNSVILLE</t>
  </si>
  <si>
    <t>NY005257</t>
  </si>
  <si>
    <t>SARATOGA AVE</t>
  </si>
  <si>
    <t>DEAN ST</t>
  </si>
  <si>
    <t>O'DWYER GARDENS</t>
  </si>
  <si>
    <t>NY005267D</t>
  </si>
  <si>
    <t>15-16</t>
  </si>
  <si>
    <t>PALMETTO GARDENS</t>
  </si>
  <si>
    <t>NY005196</t>
  </si>
  <si>
    <t>PALMETTO ST</t>
  </si>
  <si>
    <t>PARK AVENUE-EAST 122ND, 123RD STREETS</t>
  </si>
  <si>
    <t>NY005127</t>
  </si>
  <si>
    <t>E 122ND ST</t>
  </si>
  <si>
    <t>E 123RD ST</t>
  </si>
  <si>
    <t>PARK ROCK REHAB</t>
  </si>
  <si>
    <t>NY005285</t>
  </si>
  <si>
    <t>NY005267B</t>
  </si>
  <si>
    <t>6-7-14-15</t>
  </si>
  <si>
    <t>ARNOW AVE</t>
  </si>
  <si>
    <t>BRONX PARK EAST</t>
  </si>
  <si>
    <t>NY005000240</t>
  </si>
  <si>
    <t>NY005216A</t>
  </si>
  <si>
    <t>E 145TH ST</t>
  </si>
  <si>
    <t>E 139TH ST</t>
  </si>
  <si>
    <t>NY005271A</t>
  </si>
  <si>
    <t>PELHAM PKWY</t>
  </si>
  <si>
    <t>WALLACE AVE</t>
  </si>
  <si>
    <t>WILLIAMSBRIDGE RD</t>
  </si>
  <si>
    <t>NY005011940</t>
  </si>
  <si>
    <t>NY005091</t>
  </si>
  <si>
    <t>PENNSYLVANIA AVE</t>
  </si>
  <si>
    <t>NY005000890</t>
  </si>
  <si>
    <t>NY005035</t>
  </si>
  <si>
    <t>CRESCENT ST</t>
  </si>
  <si>
    <t>ELDERTS LA</t>
  </si>
  <si>
    <t>NY005001490</t>
  </si>
  <si>
    <t>NY005062</t>
  </si>
  <si>
    <t>NY005000530</t>
  </si>
  <si>
    <t>NY005271C</t>
  </si>
  <si>
    <t>71ST AVE</t>
  </si>
  <si>
    <t>PARSONS BLVD</t>
  </si>
  <si>
    <t>KISSENA BLVD</t>
  </si>
  <si>
    <t>65TH AVE</t>
  </si>
  <si>
    <t>PSS GRANDPARENT FAMILY APARTMENTS</t>
  </si>
  <si>
    <t>NY005005600</t>
  </si>
  <si>
    <t>NY005387</t>
  </si>
  <si>
    <t>MIXED FINANCE</t>
  </si>
  <si>
    <t>PROSPECT AVENUE</t>
  </si>
  <si>
    <t>UNION AVENUE</t>
  </si>
  <si>
    <t>EAST 163RD STREET</t>
  </si>
  <si>
    <t>PUBLIC SCHOOL 139 (CONVERSION)</t>
  </si>
  <si>
    <t>NY005011110</t>
  </si>
  <si>
    <t>NY005260</t>
  </si>
  <si>
    <t>W 139,140TH STS</t>
  </si>
  <si>
    <t>QUEENSBRIDGE NORTH</t>
  </si>
  <si>
    <t>NY005005050</t>
  </si>
  <si>
    <t>NY005002B</t>
  </si>
  <si>
    <t>41ST AVE</t>
  </si>
  <si>
    <t>VERNON BLVD</t>
  </si>
  <si>
    <t>40TH AVE</t>
  </si>
  <si>
    <t>21ST ST</t>
  </si>
  <si>
    <t>QUEENSBRIDGE SOUTH</t>
  </si>
  <si>
    <t>NY005000050</t>
  </si>
  <si>
    <t>NY005002A</t>
  </si>
  <si>
    <t>41ST RD</t>
  </si>
  <si>
    <t>RALPH AVENUE REHAB</t>
  </si>
  <si>
    <t>NY005290</t>
  </si>
  <si>
    <t>RANDALL AVENUE-BALCOM AVENUE</t>
  </si>
  <si>
    <t>NY005010630</t>
  </si>
  <si>
    <t>NY005179</t>
  </si>
  <si>
    <t>RANDALL AVE</t>
  </si>
  <si>
    <t>BALCOM AVE</t>
  </si>
  <si>
    <t>SCHLEY AVE</t>
  </si>
  <si>
    <t>BUTTRICK AVE</t>
  </si>
  <si>
    <t>RANDOLPH SOUTH</t>
  </si>
  <si>
    <t>NY005026001</t>
  </si>
  <si>
    <t>MIXED FINANCE/NON-NYCHA</t>
  </si>
  <si>
    <t>GUT REHAB</t>
  </si>
  <si>
    <t>WEST 114TH ST</t>
  </si>
  <si>
    <t>FREDERICK DOUGLASS BLVD</t>
  </si>
  <si>
    <t>NY005000370</t>
  </si>
  <si>
    <t>NY005114E</t>
  </si>
  <si>
    <t>HARLEM RIVER DRIVEWAY</t>
  </si>
  <si>
    <t>NY005000480</t>
  </si>
  <si>
    <t>NY005184</t>
  </si>
  <si>
    <t>12TH ST</t>
  </si>
  <si>
    <t>24TH ST</t>
  </si>
  <si>
    <t>36TH AVE</t>
  </si>
  <si>
    <t>1971/06/29-FED TRAN</t>
  </si>
  <si>
    <t>NY005000040</t>
  </si>
  <si>
    <t>NY005001</t>
  </si>
  <si>
    <t>CLINTON ST</t>
  </si>
  <si>
    <t>LORRAINE ST</t>
  </si>
  <si>
    <t>WEST 9TH ST</t>
  </si>
  <si>
    <t>***</t>
  </si>
  <si>
    <t>004, 079</t>
  </si>
  <si>
    <t>202, 230</t>
  </si>
  <si>
    <t>DWIGHT ST</t>
  </si>
  <si>
    <t>W 9TH ST</t>
  </si>
  <si>
    <t>NY005000790</t>
  </si>
  <si>
    <t>079*</t>
  </si>
  <si>
    <t>NY005029</t>
  </si>
  <si>
    <t>RICHARDS ST</t>
  </si>
  <si>
    <t>WOLCOTT ST</t>
  </si>
  <si>
    <t>RED HOOK PARK</t>
  </si>
  <si>
    <t>202 - BLDGS 15-25, 230 - BLDGS 1-4</t>
  </si>
  <si>
    <t>NY005001 - BLDGS 15-25, NY005029 - BLDGS 1-4</t>
  </si>
  <si>
    <t>HICKS ST</t>
  </si>
  <si>
    <t>NY005000550</t>
  </si>
  <si>
    <t>NY005216D</t>
  </si>
  <si>
    <t>REDFERN AVE</t>
  </si>
  <si>
    <t>HASSOCK ST</t>
  </si>
  <si>
    <t>B 12TH ST</t>
  </si>
  <si>
    <t>REHAB PROGRAM (COLLEGE POINT)</t>
  </si>
  <si>
    <t>NY005076E</t>
  </si>
  <si>
    <t>125TH ST</t>
  </si>
  <si>
    <t>22ND AVE</t>
  </si>
  <si>
    <t>126TH ST</t>
  </si>
  <si>
    <t>REHAB PROGRAM (DOUGLASS REHABS)</t>
  </si>
  <si>
    <t>NY005013170</t>
  </si>
  <si>
    <t>255 - BLDGS 2-4, 299 - BLDG 1</t>
  </si>
  <si>
    <t>NY005076A - BLDG 3-4, NY005076B - BLDGS 2, NY005076C - BLDG 1</t>
  </si>
  <si>
    <t>REHAB PROGRAM (TAFT REHABS)</t>
  </si>
  <si>
    <t>295 - BLDG 1, 293 - BLDGS 2,3 292 - BLDG 4</t>
  </si>
  <si>
    <t>NY005076G - BLDG 1, NY005076I - BLDG 2, 3,  NY005076J - BLDG 4</t>
  </si>
  <si>
    <t>REHAB PROGRAM (WISE REHAB)</t>
  </si>
  <si>
    <t>NY005076D</t>
  </si>
  <si>
    <t>CENTRAL PARK WEST</t>
  </si>
  <si>
    <t>REID APARTMENTS</t>
  </si>
  <si>
    <t>NY005089</t>
  </si>
  <si>
    <t>MAPLE ST</t>
  </si>
  <si>
    <t>NY005039</t>
  </si>
  <si>
    <t>JERSEY ST</t>
  </si>
  <si>
    <t>RICHMOND TERR</t>
  </si>
  <si>
    <t>CRESCENT AVE</t>
  </si>
  <si>
    <t>NY005010180</t>
  </si>
  <si>
    <t>NY005008</t>
  </si>
  <si>
    <t>FDR DR</t>
  </si>
  <si>
    <t>NY005181D</t>
  </si>
  <si>
    <t>EAST 6TH ST</t>
  </si>
  <si>
    <t>EAST 8TH ST</t>
  </si>
  <si>
    <t>ROBBINS PLAZA</t>
  </si>
  <si>
    <t>NY005151</t>
  </si>
  <si>
    <t>E 70TH ST</t>
  </si>
  <si>
    <t>E 71ST ST</t>
  </si>
  <si>
    <t>NY005173</t>
  </si>
  <si>
    <t>E 128TH ST</t>
  </si>
  <si>
    <t>E 129TH ST</t>
  </si>
  <si>
    <t>NY005011350</t>
  </si>
  <si>
    <t>NY005054</t>
  </si>
  <si>
    <t>14-15-18</t>
  </si>
  <si>
    <t>KOSCIUSKO ST</t>
  </si>
  <si>
    <t>PULASKI ST</t>
  </si>
  <si>
    <t>STUYVESANT AVE</t>
  </si>
  <si>
    <t>54, 56</t>
  </si>
  <si>
    <t>ROOSEVELT II</t>
  </si>
  <si>
    <t>NY005083</t>
  </si>
  <si>
    <t>LEWIS AVE</t>
  </si>
  <si>
    <t>NY005020990</t>
  </si>
  <si>
    <t>NY005382</t>
  </si>
  <si>
    <t>PIKE ST</t>
  </si>
  <si>
    <t>RUTLAND TOWERS</t>
  </si>
  <si>
    <t>NY005211</t>
  </si>
  <si>
    <t>E 91ST ST</t>
  </si>
  <si>
    <t>RUTLAND RD</t>
  </si>
  <si>
    <t>SACK WERN</t>
  </si>
  <si>
    <t>NY005205</t>
  </si>
  <si>
    <t>BEACH AVE</t>
  </si>
  <si>
    <t>ROSEDALE AVE</t>
  </si>
  <si>
    <t>NY005020930</t>
  </si>
  <si>
    <t>NY005384</t>
  </si>
  <si>
    <t>CAULDWELL AVE</t>
  </si>
  <si>
    <t>29, 32</t>
  </si>
  <si>
    <t>NY005000380</t>
  </si>
  <si>
    <t>NY005010</t>
  </si>
  <si>
    <t>W 127TH ST</t>
  </si>
  <si>
    <t>W 131ST ST</t>
  </si>
  <si>
    <t>SAMUEL (CITY)</t>
  </si>
  <si>
    <t>NY005023770</t>
  </si>
  <si>
    <t>NY005375</t>
  </si>
  <si>
    <t>W 139TH ST</t>
  </si>
  <si>
    <t>W 147TH ST</t>
  </si>
  <si>
    <t>AC POWELL BLVD</t>
  </si>
  <si>
    <t>70, 71</t>
  </si>
  <si>
    <t>SAMUEL (MHOP) I</t>
  </si>
  <si>
    <t>NY005335</t>
  </si>
  <si>
    <t>MHOP</t>
  </si>
  <si>
    <t>SAMUEL (MHOP) II</t>
  </si>
  <si>
    <t>NY005345</t>
  </si>
  <si>
    <t>SAMUEL (MHOP) III</t>
  </si>
  <si>
    <t>NY005359</t>
  </si>
  <si>
    <t>W 142ND ST</t>
  </si>
  <si>
    <t>SARATOGA VILLAGE</t>
  </si>
  <si>
    <t>NY005067</t>
  </si>
  <si>
    <t>HANCOCK ST</t>
  </si>
  <si>
    <t>NY005010450</t>
  </si>
  <si>
    <t>NY005183B</t>
  </si>
  <si>
    <t>UNDERCLIFF AVE</t>
  </si>
  <si>
    <t>W 174TH ST</t>
  </si>
  <si>
    <t>NY005100</t>
  </si>
  <si>
    <t>BROOME ST</t>
  </si>
  <si>
    <t>NORFOLK ST</t>
  </si>
  <si>
    <t>ESSEX ST</t>
  </si>
  <si>
    <t>NY005114B</t>
  </si>
  <si>
    <t>SHELTON HOUSE</t>
  </si>
  <si>
    <t>NY005203</t>
  </si>
  <si>
    <t>162ND ST</t>
  </si>
  <si>
    <t>89TH AVE</t>
  </si>
  <si>
    <t>163RD ST</t>
  </si>
  <si>
    <t>NY005000270</t>
  </si>
  <si>
    <t>NY005220B</t>
  </si>
  <si>
    <t>CATHERINE ST</t>
  </si>
  <si>
    <t>SOUTH ST</t>
  </si>
  <si>
    <t>SAINT JAMES PL</t>
  </si>
  <si>
    <t>SOTOMAYOR HOUSES</t>
  </si>
  <si>
    <t>NY005022</t>
  </si>
  <si>
    <t>LELAND AVE</t>
  </si>
  <si>
    <t>NY005000710</t>
  </si>
  <si>
    <t>NY005220H</t>
  </si>
  <si>
    <t>SOUNDVIEW PK</t>
  </si>
  <si>
    <t>NY005114C</t>
  </si>
  <si>
    <t>KRAMER ST</t>
  </si>
  <si>
    <t>LAMPORT BLVD</t>
  </si>
  <si>
    <t>REID AVE</t>
  </si>
  <si>
    <t>PARKINSON AVE</t>
  </si>
  <si>
    <t>SOUTH BRONX AREA (SITE 402)</t>
  </si>
  <si>
    <t>NY005224</t>
  </si>
  <si>
    <t>SOUTH JAMAICA I</t>
  </si>
  <si>
    <t>NY005010080</t>
  </si>
  <si>
    <t>NY005004</t>
  </si>
  <si>
    <t>158TH ST</t>
  </si>
  <si>
    <t>SOUTH RD</t>
  </si>
  <si>
    <t>160TH ST</t>
  </si>
  <si>
    <t>109TH AVE</t>
  </si>
  <si>
    <t>SOUTH JAMAICA II</t>
  </si>
  <si>
    <t>NY005018</t>
  </si>
  <si>
    <t>BRINKERHOFF AVE</t>
  </si>
  <si>
    <t>STANTON STREET</t>
  </si>
  <si>
    <t>NY005326</t>
  </si>
  <si>
    <t>ATTORNEY ST</t>
  </si>
  <si>
    <t>RIDGE ST</t>
  </si>
  <si>
    <t>NY005021140</t>
  </si>
  <si>
    <t>NY005383</t>
  </si>
  <si>
    <t>1, 8</t>
  </si>
  <si>
    <t>BROAD &amp; HILL STS</t>
  </si>
  <si>
    <t>GORDON ST</t>
  </si>
  <si>
    <t>STEBBINS AVENUE-HEWITT PLACE</t>
  </si>
  <si>
    <t>NY005280</t>
  </si>
  <si>
    <t>HEWITT PL</t>
  </si>
  <si>
    <t>REV JAMES A POLITE AVE</t>
  </si>
  <si>
    <t>DAWSON ST</t>
  </si>
  <si>
    <t>STERLING PLACE REHABS (SAINT JOHNS-STERLING)</t>
  </si>
  <si>
    <t>NY005250</t>
  </si>
  <si>
    <t>SAINT JOHNS PL &amp; PARK PL</t>
  </si>
  <si>
    <t>BUFFALO AVE &amp; UTICA AVE</t>
  </si>
  <si>
    <t>36, 41</t>
  </si>
  <si>
    <t>STERLING PLACE REHABS (STERLING-BUFFALO)</t>
  </si>
  <si>
    <t>NY005305</t>
  </si>
  <si>
    <t>STRAUS</t>
  </si>
  <si>
    <t>NY005011530</t>
  </si>
  <si>
    <t>NY005063</t>
  </si>
  <si>
    <t>19-20</t>
  </si>
  <si>
    <t>NY005012210</t>
  </si>
  <si>
    <t>NY005133</t>
  </si>
  <si>
    <t>QUINCY ST</t>
  </si>
  <si>
    <t>MALCOLM X BLVD</t>
  </si>
  <si>
    <t>MONROE ST</t>
  </si>
  <si>
    <t>STUYVESANT GARDENS II</t>
  </si>
  <si>
    <t>NY005269</t>
  </si>
  <si>
    <t>NY005220I</t>
  </si>
  <si>
    <t>NY005087</t>
  </si>
  <si>
    <t>W 31ST ST</t>
  </si>
  <si>
    <t>SUTTER AVENUE-UNION STREET</t>
  </si>
  <si>
    <t>NY005311</t>
  </si>
  <si>
    <t>UNION STREET</t>
  </si>
  <si>
    <t>NY005064</t>
  </si>
  <si>
    <t>08, 09</t>
  </si>
  <si>
    <t>TAPSCOTT STREET REHAB</t>
  </si>
  <si>
    <t>NY005278</t>
  </si>
  <si>
    <t>TAYLOR STREET-WYTHE AVENUE</t>
  </si>
  <si>
    <t>NY005012340</t>
  </si>
  <si>
    <t>NY005141</t>
  </si>
  <si>
    <t>8-11-12-13</t>
  </si>
  <si>
    <t>ROSS ST</t>
  </si>
  <si>
    <t>TELLER AVENUE-EAST 166TH STREET</t>
  </si>
  <si>
    <t>NY005163</t>
  </si>
  <si>
    <t>THOMAS APARTMENTS</t>
  </si>
  <si>
    <t>NY005192</t>
  </si>
  <si>
    <t>W 90TH ST</t>
  </si>
  <si>
    <t>W 91ST ST</t>
  </si>
  <si>
    <t>NY005015</t>
  </si>
  <si>
    <t>CALHOUN AVE</t>
  </si>
  <si>
    <t>SAMPSON AVE</t>
  </si>
  <si>
    <t>THROGGS NECK ADDITION</t>
  </si>
  <si>
    <t>NY005098</t>
  </si>
  <si>
    <t>DEWEY AVE</t>
  </si>
  <si>
    <t>BALCOLM AVE</t>
  </si>
  <si>
    <t>THROGGS NECK HOUSES</t>
  </si>
  <si>
    <t>NY005034</t>
  </si>
  <si>
    <t>LIVONIA AVE</t>
  </si>
  <si>
    <t>TODT HILL</t>
  </si>
  <si>
    <t>NY005268A</t>
  </si>
  <si>
    <t>MANOR RD</t>
  </si>
  <si>
    <t>SCHMIDTS LA</t>
  </si>
  <si>
    <t>LAGUARDIA AVE</t>
  </si>
  <si>
    <t>WESTWOOD AVE</t>
  </si>
  <si>
    <t>NY005046</t>
  </si>
  <si>
    <t>TWIN PARKS EAST (SITE 9)</t>
  </si>
  <si>
    <t>NY005227</t>
  </si>
  <si>
    <t>OAKLAND PL</t>
  </si>
  <si>
    <t>TWO BRIDGES URA (SITE 7)</t>
  </si>
  <si>
    <t>NY005194</t>
  </si>
  <si>
    <t>UNION AVENUE-EAST 163RD STREET</t>
  </si>
  <si>
    <t>NY005214</t>
  </si>
  <si>
    <t>UNION AVENUE-EAST 166TH STREET</t>
  </si>
  <si>
    <t>NY005291</t>
  </si>
  <si>
    <t>UNITY PLAZA (SITES 17,24,25A)</t>
  </si>
  <si>
    <t>NY005169</t>
  </si>
  <si>
    <t>ALABAMA AVE</t>
  </si>
  <si>
    <t>UNITY PLAZA (SITES 4-27)</t>
  </si>
  <si>
    <t>NY005117</t>
  </si>
  <si>
    <t>BLAKE ST</t>
  </si>
  <si>
    <t>UNIVERSITY AVENUE REHAB</t>
  </si>
  <si>
    <t>NY005283</t>
  </si>
  <si>
    <t>W TREMONT AVE</t>
  </si>
  <si>
    <t>ANDREWS AVE</t>
  </si>
  <si>
    <t>NY005254</t>
  </si>
  <si>
    <t>E 121ST ST</t>
  </si>
  <si>
    <t>E 120TH ST</t>
  </si>
  <si>
    <t>NY005281</t>
  </si>
  <si>
    <t>E 119TH ST</t>
  </si>
  <si>
    <t>NY005000610</t>
  </si>
  <si>
    <t>NY005013</t>
  </si>
  <si>
    <t>VAN DYKE II</t>
  </si>
  <si>
    <t>NY005055</t>
  </si>
  <si>
    <t>VANDALIA AVENUE</t>
  </si>
  <si>
    <t>NY005243</t>
  </si>
  <si>
    <t>LOUISIANA AVE</t>
  </si>
  <si>
    <t>VANDALIA AVE</t>
  </si>
  <si>
    <t>GEORGIA AVE</t>
  </si>
  <si>
    <t>VLADECK</t>
  </si>
  <si>
    <t>NY005010060</t>
  </si>
  <si>
    <t>NY005003</t>
  </si>
  <si>
    <t>HENRY ST</t>
  </si>
  <si>
    <t>WATER ST</t>
  </si>
  <si>
    <t>GOUVERNEUR ST</t>
  </si>
  <si>
    <t>JACKSON ST</t>
  </si>
  <si>
    <t>VLADECK II</t>
  </si>
  <si>
    <t>NY005181B</t>
  </si>
  <si>
    <t>NY005010740</t>
  </si>
  <si>
    <t>NY005024</t>
  </si>
  <si>
    <t>NY005000230</t>
  </si>
  <si>
    <t>NY005213C</t>
  </si>
  <si>
    <t>NY005014</t>
  </si>
  <si>
    <t>2, 12-14</t>
  </si>
  <si>
    <t>E 104TH ST</t>
  </si>
  <si>
    <t>WASHINGTON HEIGHTS REHAB (GROUPS 1&amp;2)</t>
  </si>
  <si>
    <t>NY005221</t>
  </si>
  <si>
    <t>W 176TH ST</t>
  </si>
  <si>
    <t>W 177TH ST</t>
  </si>
  <si>
    <t>AUDUBON AVE</t>
  </si>
  <si>
    <t>WASHINGTON HEIGHTS REHAB PHASE III</t>
  </si>
  <si>
    <t>NY005010030&amp;NY005013090</t>
  </si>
  <si>
    <t>329, 523</t>
  </si>
  <si>
    <t>003, 309</t>
  </si>
  <si>
    <t>382 - HARLEM RIVER, 756 - FORT WASHINGTON</t>
  </si>
  <si>
    <t>754 - HARLEM RIVER, 341 - FORT WASHINGTON</t>
  </si>
  <si>
    <t>NY005284A - HARLEM RIVER, NY005284B - FORT WASHINGTON</t>
  </si>
  <si>
    <t>W 164TH,165TH STS</t>
  </si>
  <si>
    <t>71, 72</t>
  </si>
  <si>
    <t>07, 10</t>
  </si>
  <si>
    <t>WASHINGTON HEIGHTS REHAB PHASE III (FORT WASHINGTON)</t>
  </si>
  <si>
    <t>NY005284B</t>
  </si>
  <si>
    <t>W 164TH ST</t>
  </si>
  <si>
    <t>WASHINGTON HEIGHTS REHAB PHASE III (HARLEM RIVER)</t>
  </si>
  <si>
    <t>NY005284A</t>
  </si>
  <si>
    <t>WASHINGTON HEIGHTS REHAB PHASE IV (C)</t>
  </si>
  <si>
    <t>NY005228</t>
  </si>
  <si>
    <t>WASHINGTON HEIGHTS REHAB PHASE IV (D)</t>
  </si>
  <si>
    <t>NY005229</t>
  </si>
  <si>
    <t>NY005028</t>
  </si>
  <si>
    <t>WEEKSVILLE GARDENS</t>
  </si>
  <si>
    <t>NY005132</t>
  </si>
  <si>
    <t>SCHENECTADY AVE</t>
  </si>
  <si>
    <t>NY005010130</t>
  </si>
  <si>
    <t>NY005040</t>
  </si>
  <si>
    <t>CASTLETON AVE</t>
  </si>
  <si>
    <t>HENDERSON AVE</t>
  </si>
  <si>
    <t>ALASKA ST</t>
  </si>
  <si>
    <t>WEST FARMS ROAD REHAB</t>
  </si>
  <si>
    <t>NY005286</t>
  </si>
  <si>
    <t>FREEMAN ST</t>
  </si>
  <si>
    <t>WEST FARMS RD</t>
  </si>
  <si>
    <t>2, 3</t>
  </si>
  <si>
    <t>WEST FARMS SQUARE CONVENTIONAL</t>
  </si>
  <si>
    <t>NY005015310</t>
  </si>
  <si>
    <t>NY005318</t>
  </si>
  <si>
    <t>NY005180</t>
  </si>
  <si>
    <t>MONTGOMERY AVE</t>
  </si>
  <si>
    <t>PALISADE PL</t>
  </si>
  <si>
    <t>WHITE</t>
  </si>
  <si>
    <t>NY005244E</t>
  </si>
  <si>
    <t>NY005005140</t>
  </si>
  <si>
    <t>NY005213A</t>
  </si>
  <si>
    <t>NY005021280</t>
  </si>
  <si>
    <t>NY005385</t>
  </si>
  <si>
    <t>14-21</t>
  </si>
  <si>
    <t>ROEBLING ST</t>
  </si>
  <si>
    <t>DIVISION AVE</t>
  </si>
  <si>
    <t>WILLIAMSBURG</t>
  </si>
  <si>
    <t>NY005000020</t>
  </si>
  <si>
    <t>NY005041</t>
  </si>
  <si>
    <t>LEONARD ST</t>
  </si>
  <si>
    <t>MAUJER ST</t>
  </si>
  <si>
    <t>SCHOLES ST</t>
  </si>
  <si>
    <t>NY005220J</t>
  </si>
  <si>
    <t>WISE TOWERS</t>
  </si>
  <si>
    <t>NY005021270</t>
  </si>
  <si>
    <t>NY005386</t>
  </si>
  <si>
    <t>NY005000330</t>
  </si>
  <si>
    <t>NY005114D</t>
  </si>
  <si>
    <t>49TH ST</t>
  </si>
  <si>
    <t>51ST ST</t>
  </si>
  <si>
    <t>31ST AVE</t>
  </si>
  <si>
    <t>NEWTOWN RD</t>
  </si>
  <si>
    <t>WOODSON</t>
  </si>
  <si>
    <t>NY005084</t>
  </si>
  <si>
    <t>JUNIUS ST</t>
  </si>
  <si>
    <t>WSUR (BROWNSTONES)</t>
  </si>
  <si>
    <t>NY005052K</t>
  </si>
  <si>
    <t>W 89TH &amp; 90TH STS</t>
  </si>
  <si>
    <t>91ST &amp; 93RD STS</t>
  </si>
  <si>
    <t>WSUR (SITE A) 120 WEST 94TH STREET</t>
  </si>
  <si>
    <t>NY005056</t>
  </si>
  <si>
    <t>120 W 94TH ST</t>
  </si>
  <si>
    <t>WSUR (SITE B) 74 WEST 92ND STREET</t>
  </si>
  <si>
    <t>74 W 92ND ST</t>
  </si>
  <si>
    <t>WSUR (SITE C) 589 AMSTERDAM AVENUE</t>
  </si>
  <si>
    <t>589 AMSTERDAM AVE</t>
  </si>
  <si>
    <t>W 88TH ST</t>
  </si>
  <si>
    <t>W 89TH ST</t>
  </si>
  <si>
    <t>NY005074</t>
  </si>
  <si>
    <t>NEVINS ST</t>
  </si>
  <si>
    <t>N/A</t>
  </si>
  <si>
    <t>Site Name</t>
  </si>
  <si>
    <t>Month</t>
  </si>
  <si>
    <t>Tons per month</t>
  </si>
  <si>
    <t>Row Labels</t>
  </si>
  <si>
    <t>Sum of Tons per month</t>
  </si>
  <si>
    <t>tons/week</t>
  </si>
  <si>
    <t>ALBANY / WEEKSVILLE</t>
  </si>
  <si>
    <t>ARMSTRONG</t>
  </si>
  <si>
    <t>BAYVIEW HOUSE</t>
  </si>
  <si>
    <t>BEACH 41ST</t>
  </si>
  <si>
    <t>Grand Total</t>
  </si>
  <si>
    <t>BORINQUEN PLAZA</t>
  </si>
  <si>
    <t>BOULEVARD HOUSES</t>
  </si>
  <si>
    <t>BREUKELEN HOUSES</t>
  </si>
  <si>
    <t>CAREY GARDENS HOUSES</t>
  </si>
  <si>
    <t>CLAREMONT</t>
  </si>
  <si>
    <t>CYPRESS HOUSES</t>
  </si>
  <si>
    <t>DREW HAMILTON</t>
  </si>
  <si>
    <t>EASTCHESTER</t>
  </si>
  <si>
    <t>FORT INDEPENDENCE</t>
  </si>
  <si>
    <t>FORT WASHINGTON</t>
  </si>
  <si>
    <t>GLENWOOD HOUSES</t>
  </si>
  <si>
    <t>GUN HILL HOUSES</t>
  </si>
  <si>
    <t>HAMMEL / CARLTON MANOR</t>
  </si>
  <si>
    <t>HARBORVIEW / AMSTERDAM</t>
  </si>
  <si>
    <t>HIGHBRIDGE</t>
  </si>
  <si>
    <t>HOLMES / ISSACS</t>
  </si>
  <si>
    <t>LAFAYETTE GARDENS</t>
  </si>
  <si>
    <t>LAGUARDIA</t>
  </si>
  <si>
    <t>LANGSTON HUGHES</t>
  </si>
  <si>
    <t>LATIMER / BLAND</t>
  </si>
  <si>
    <t>LOWER EAST SIDE</t>
  </si>
  <si>
    <t>MARBLE HILL HOUSE</t>
  </si>
  <si>
    <t>MARCUS GARVEY</t>
  </si>
  <si>
    <t>MARINERS HARBOR</t>
  </si>
  <si>
    <t>MARLBORO HOUSES</t>
  </si>
  <si>
    <t>METRO / WILSON</t>
  </si>
  <si>
    <t>MILLBROOK</t>
  </si>
  <si>
    <t>MURPHY CONSOLIDATED</t>
  </si>
  <si>
    <t>OCEAN HILL / SARATOGA</t>
  </si>
  <si>
    <t>O'DWYER / GRAVESEND HOUSES</t>
  </si>
  <si>
    <t>PARK ROCK CONSOLIDATED</t>
  </si>
  <si>
    <t>PELHAM</t>
  </si>
  <si>
    <t>PENN-WORTMAN / VANDALIA</t>
  </si>
  <si>
    <t>PINK HOUSES</t>
  </si>
  <si>
    <t>POLO GROUNDS</t>
  </si>
  <si>
    <t>REID CONSOLIDATED</t>
  </si>
  <si>
    <t>ROBINSON J</t>
  </si>
  <si>
    <t>ROOSEVELT</t>
  </si>
  <si>
    <t>SACKWERN</t>
  </si>
  <si>
    <t>SEDGEWICK</t>
  </si>
  <si>
    <t>SETH LOW / GLENMORE</t>
  </si>
  <si>
    <t>SEWARD PARK</t>
  </si>
  <si>
    <t>SOTOMAYOR HOUSES / BRONXDALE</t>
  </si>
  <si>
    <t>SOUTH JAMAICA</t>
  </si>
  <si>
    <t>ST NICHOLAS</t>
  </si>
  <si>
    <t>ST. MARY'S</t>
  </si>
  <si>
    <t>STUYVESANT GARDENS</t>
  </si>
  <si>
    <t>SUMNER HOUSES</t>
  </si>
  <si>
    <t>SURFSIDE GARD / CONEY ISLAND</t>
  </si>
  <si>
    <t>TAYLOR-WYTHE</t>
  </si>
  <si>
    <t>UNION CONSOLIDATED</t>
  </si>
  <si>
    <t>UNITY PLAZA</t>
  </si>
  <si>
    <t>VAN DYKE</t>
  </si>
  <si>
    <t>WEST BRIGHTON</t>
  </si>
  <si>
    <t>WYCKOFF</t>
  </si>
  <si>
    <t xml:space="preserve">Estimated Waste Storage Area Requirement: </t>
  </si>
  <si>
    <t>Dev. 1</t>
  </si>
  <si>
    <t>sqft/bag on curb</t>
  </si>
  <si>
    <t>Dev. 2</t>
  </si>
  <si>
    <t>MGP</t>
  </si>
  <si>
    <t>Paper</t>
  </si>
  <si>
    <t>Dev. 3</t>
  </si>
  <si>
    <t>Waste collected development-wide in 30 cy compactors, not including bulk (from DSNY NYCHA)</t>
  </si>
  <si>
    <t xml:space="preserve">tons/week </t>
  </si>
  <si>
    <t>tons/day</t>
  </si>
  <si>
    <t># apartment units</t>
  </si>
  <si>
    <t># building stair halls</t>
  </si>
  <si>
    <t xml:space="preserve">single stack </t>
  </si>
  <si>
    <t>double stack</t>
  </si>
  <si>
    <t>triple stack</t>
  </si>
  <si>
    <t>Waste generation and sorting/day</t>
  </si>
  <si>
    <t>Trash Chute/day</t>
  </si>
  <si>
    <t>Outdoor  Collection/day</t>
  </si>
  <si>
    <t>Outdoor Collection/day</t>
  </si>
  <si>
    <t>Recycling Storage/week</t>
  </si>
  <si>
    <t>Waste Generated (tons)</t>
  </si>
  <si>
    <t>CY</t>
  </si>
  <si>
    <t>lbs</t>
  </si>
  <si>
    <t>Capture rate</t>
  </si>
  <si>
    <t xml:space="preserve">Actual Tons Captured </t>
  </si>
  <si>
    <t>Actual CY Captured</t>
  </si>
  <si>
    <t>Chute capture rate</t>
  </si>
  <si>
    <t>CY in Trash Chute</t>
  </si>
  <si>
    <t>Gallons in chute</t>
  </si>
  <si>
    <t xml:space="preserve"># of 40lb Sausage bags </t>
  </si>
  <si>
    <t>bags/stair hall</t>
  </si>
  <si>
    <t>Capture Rate</t>
  </si>
  <si>
    <t>Gallons</t>
  </si>
  <si>
    <t>Gallons/ stairhall</t>
  </si>
  <si>
    <t># Full 64 Gallon Bin</t>
  </si>
  <si>
    <t># bales/week</t>
  </si>
  <si>
    <t>bags/week</t>
  </si>
  <si>
    <t>CY/week</t>
  </si>
  <si>
    <t>30 yrders</t>
  </si>
  <si>
    <t>sq ft, double stack/day</t>
  </si>
  <si>
    <t>sq ft, double stack/week</t>
  </si>
  <si>
    <t>linear ft, double stack/week</t>
  </si>
  <si>
    <t># car lengths equivalent</t>
  </si>
  <si>
    <t>triple stack sqft/week</t>
  </si>
  <si>
    <t>Container Type</t>
  </si>
  <si>
    <t># needed</t>
  </si>
  <si>
    <t>SQFT it takes up</t>
  </si>
  <si>
    <t>Trash</t>
  </si>
  <si>
    <t>35 cu yd  container</t>
  </si>
  <si>
    <t>NA</t>
  </si>
  <si>
    <t>Bag - 44 gallon</t>
  </si>
  <si>
    <t>Cardboard</t>
  </si>
  <si>
    <t>bales small OCC (under 60 lbs)</t>
  </si>
  <si>
    <t>Organics</t>
  </si>
  <si>
    <t>Ewaste</t>
  </si>
  <si>
    <t>Textiles</t>
  </si>
  <si>
    <t>Total</t>
  </si>
  <si>
    <t>bales typ. MP (under 60 lbs)</t>
  </si>
  <si>
    <t>TOTAL</t>
  </si>
  <si>
    <t>Waste Generated a day in imperial gallons</t>
  </si>
  <si>
    <t>Density Cubic Yard/Ton (zero waste design guidelines calculator)</t>
  </si>
  <si>
    <t>CY/ton</t>
  </si>
  <si>
    <t>Approximate uncompacted bulk density</t>
  </si>
  <si>
    <t>Generation DSNY 2017 NYCHA Waste Charactarization statistics</t>
  </si>
  <si>
    <t>%</t>
  </si>
  <si>
    <t>Citywide Average</t>
  </si>
  <si>
    <t>NYCHA Average (&lt;1.5% total)</t>
  </si>
  <si>
    <t xml:space="preserve">Trash </t>
  </si>
  <si>
    <t>Conversion Factors</t>
  </si>
  <si>
    <t>Gallons/Cubic Yard</t>
  </si>
  <si>
    <t>Pounds/Ton</t>
  </si>
  <si>
    <t xml:space="preserve">Pounds/Sausage bag </t>
  </si>
  <si>
    <t xml:space="preserve">Gallons/64 gallon trash can </t>
  </si>
  <si>
    <t>Gallons/40 lb compactor bag</t>
  </si>
  <si>
    <t xml:space="preserve">Interior Compactor Compaction factor </t>
  </si>
  <si>
    <t>Bulk compacted in augers</t>
  </si>
  <si>
    <t>trash compacted in exterior hydraulics</t>
  </si>
  <si>
    <t>Development:</t>
  </si>
  <si>
    <t>Generated (tons/day)</t>
  </si>
  <si>
    <t>Generated (CY/day)</t>
  </si>
  <si>
    <t>Collection (tons/day)</t>
  </si>
  <si>
    <t>Collection (CY/day)</t>
  </si>
  <si>
    <t>Container(s) Required</t>
  </si>
  <si>
    <t>Recycling Area Required (sqft.)</t>
  </si>
  <si>
    <t>CONTAINERS</t>
  </si>
  <si>
    <t>volume - Gal</t>
  </si>
  <si>
    <t>volume - CY</t>
  </si>
  <si>
    <t>80% capacity</t>
  </si>
  <si>
    <t>width - ft</t>
  </si>
  <si>
    <t>length - ft</t>
  </si>
  <si>
    <t>Sq Ft</t>
  </si>
  <si>
    <t>Height</t>
  </si>
  <si>
    <t xml:space="preserve"># can stack in 6' high pile for bales, </t>
  </si>
  <si>
    <t>SF Stacked</t>
  </si>
  <si>
    <t>Volume / SF (.8 cy/sf *100 for ease of comparison)</t>
  </si>
  <si>
    <t>height of waste as volume (ie if no container)in feet</t>
  </si>
  <si>
    <t>stacked height of bales</t>
  </si>
  <si>
    <t>21 gallon cart (toter)</t>
  </si>
  <si>
    <t>32 gallon cart</t>
  </si>
  <si>
    <t>50 gallon cart</t>
  </si>
  <si>
    <t>64 gallon cart</t>
  </si>
  <si>
    <t>96 gallon cart</t>
  </si>
  <si>
    <t>H</t>
  </si>
  <si>
    <t>vol cu inches</t>
  </si>
  <si>
    <t>vol cu yd</t>
  </si>
  <si>
    <t>bales, typical OCC</t>
  </si>
  <si>
    <t>area of bag is approximated from sidewalk pile calcs, is for a pile about 2.4'-4' tall (depending on how tightly packed the bags are and how vertical the sides are)</t>
  </si>
  <si>
    <t>Bag - 55 gallon</t>
  </si>
  <si>
    <t>1 cu yd tilt truck</t>
  </si>
  <si>
    <t>1 cu yd container FEL/REL</t>
  </si>
  <si>
    <t>2 cu yd</t>
  </si>
  <si>
    <t>35 cu yd compactor</t>
  </si>
  <si>
    <t>vol cu ft</t>
  </si>
  <si>
    <t>Textiles small</t>
  </si>
  <si>
    <t>textiles large</t>
  </si>
  <si>
    <t>ewaste small</t>
  </si>
  <si>
    <t>ewaste large</t>
  </si>
  <si>
    <t>*source for baler</t>
  </si>
  <si>
    <t>http://www.bramidan.us/Products/Vertical-balers/B-series/Product/B4.aspx#technicaldata</t>
  </si>
  <si>
    <t>source for 1 and 2 cu yd container sizes</t>
  </si>
  <si>
    <t>http://www.choicewaste.com/services/container-sizes/</t>
  </si>
  <si>
    <t>OCC</t>
  </si>
  <si>
    <t>cardboard (old corrugated cardboard)</t>
  </si>
  <si>
    <t>Conversions</t>
  </si>
  <si>
    <t>pounds in a ton</t>
  </si>
  <si>
    <t>days / year</t>
  </si>
  <si>
    <t>cu inch in a cu yd</t>
  </si>
  <si>
    <t>sq inch in a  sq ft</t>
  </si>
  <si>
    <t>gallons in a cu yd</t>
  </si>
  <si>
    <t>cu ft in a cu yd</t>
  </si>
  <si>
    <t>Waste Estimate</t>
  </si>
  <si>
    <t>Waste outside tons/building/day</t>
  </si>
  <si>
    <t>CY/day</t>
  </si>
  <si>
    <t>Cy/day</t>
  </si>
  <si>
    <t>Gallons/day</t>
  </si>
  <si>
    <t>50 gal/bins outside/building</t>
  </si>
  <si>
    <t>Waste generation tons/day (from DSNY NYCHA)</t>
  </si>
  <si>
    <t>Total Development-wide</t>
  </si>
  <si>
    <t>Total not in chute left outside (estimated 50%)</t>
  </si>
  <si>
    <t xml:space="preserve">Total outside/stairhall (1/5) </t>
  </si>
  <si>
    <t>Total outside/building lbs/day</t>
  </si>
  <si>
    <t>tons outside/building/day</t>
  </si>
  <si>
    <t xml:space="preserve">*Note that textile, e-waste not included here even though these would be present. </t>
  </si>
  <si>
    <t>Waste</t>
  </si>
  <si>
    <t>Tons per Day</t>
  </si>
  <si>
    <t>Trash (tons/day)</t>
  </si>
  <si>
    <t>MGP (tons/day)</t>
  </si>
  <si>
    <t>Cardboard (tons/day)</t>
  </si>
  <si>
    <t>Paper (tons/day)</t>
  </si>
  <si>
    <t>Organics (tons/day)</t>
  </si>
  <si>
    <t>E-Waste (tons/day)</t>
  </si>
  <si>
    <t>Textiles (tons/day)</t>
  </si>
  <si>
    <t>Trash (CY/day)</t>
  </si>
  <si>
    <t>MGP (CY/day)</t>
  </si>
  <si>
    <t>Cardboard (CY/day)</t>
  </si>
  <si>
    <t>Paper  (CY/day)</t>
  </si>
  <si>
    <t>Organics (CY/day)</t>
  </si>
  <si>
    <t>E-Waste (CY/day)</t>
  </si>
  <si>
    <t>Textiles (CY/day)</t>
  </si>
  <si>
    <t>Trash (Gallons)</t>
  </si>
  <si>
    <t>MGP (Gallons)</t>
  </si>
  <si>
    <t>Cardboard (Gallons)</t>
  </si>
  <si>
    <t>Paper(Gallons)</t>
  </si>
  <si>
    <t>Organics (Gallons)</t>
  </si>
  <si>
    <t>E-Waste (Gallons)</t>
  </si>
  <si>
    <t>Textiles (Gallons)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</si>
</sst>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  <numFmt numFmtId="169" formatCode="0.0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4" fontId="0" fillId="2" borderId="0" xfId="0" applyNumberFormat="1" applyFill="1"/>
    <xf numFmtId="166" fontId="0" fillId="0" borderId="0" xfId="0" applyNumberFormat="1"/>
    <xf numFmtId="0" fontId="2" fillId="0" borderId="0" xfId="0" applyFont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" fontId="0" fillId="0" borderId="3" xfId="0" applyNumberFormat="1" applyBorder="1"/>
    <xf numFmtId="9" fontId="0" fillId="0" borderId="2" xfId="1" applyFont="1" applyBorder="1"/>
    <xf numFmtId="1" fontId="0" fillId="0" borderId="6" xfId="0" applyNumberFormat="1" applyBorder="1"/>
    <xf numFmtId="0" fontId="0" fillId="0" borderId="1" xfId="0" applyBorder="1" applyAlignment="1"/>
    <xf numFmtId="0" fontId="0" fillId="0" borderId="1" xfId="0" applyBorder="1"/>
    <xf numFmtId="0" fontId="2" fillId="0" borderId="0" xfId="0" applyFont="1" applyAlignment="1">
      <alignment horizontal="right"/>
    </xf>
    <xf numFmtId="164" fontId="0" fillId="0" borderId="1" xfId="0" applyNumberFormat="1" applyBorder="1"/>
    <xf numFmtId="9" fontId="0" fillId="0" borderId="1" xfId="0" applyNumberFormat="1" applyBorder="1"/>
    <xf numFmtId="2" fontId="0" fillId="0" borderId="0" xfId="0" applyNumberFormat="1" applyBorder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164" fontId="2" fillId="0" borderId="0" xfId="0" applyNumberFormat="1" applyFont="1"/>
    <xf numFmtId="10" fontId="2" fillId="0" borderId="0" xfId="0" applyNumberFormat="1" applyFont="1"/>
    <xf numFmtId="1" fontId="0" fillId="0" borderId="0" xfId="0" applyNumberFormat="1" applyBorder="1"/>
    <xf numFmtId="1" fontId="2" fillId="0" borderId="0" xfId="0" applyNumberFormat="1" applyFo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/>
    </xf>
    <xf numFmtId="2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Fill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0" xfId="0" applyBorder="1" applyAlignment="1">
      <alignment horizontal="right"/>
    </xf>
    <xf numFmtId="1" fontId="0" fillId="0" borderId="8" xfId="0" applyNumberFormat="1" applyFill="1" applyBorder="1"/>
    <xf numFmtId="9" fontId="0" fillId="0" borderId="4" xfId="1" applyFont="1" applyBorder="1"/>
    <xf numFmtId="0" fontId="4" fillId="0" borderId="0" xfId="0" applyFont="1" applyAlignment="1"/>
    <xf numFmtId="164" fontId="4" fillId="0" borderId="0" xfId="0" applyNumberFormat="1" applyFont="1" applyAlignment="1"/>
    <xf numFmtId="2" fontId="4" fillId="0" borderId="0" xfId="0" applyNumberFormat="1" applyFont="1" applyAlignment="1"/>
    <xf numFmtId="1" fontId="4" fillId="6" borderId="0" xfId="0" applyNumberFormat="1" applyFont="1" applyFill="1" applyAlignment="1"/>
    <xf numFmtId="1" fontId="4" fillId="0" borderId="0" xfId="0" applyNumberFormat="1" applyFont="1" applyFill="1" applyAlignment="1"/>
    <xf numFmtId="165" fontId="4" fillId="2" borderId="0" xfId="0" applyNumberFormat="1" applyFont="1" applyFill="1" applyAlignment="1"/>
    <xf numFmtId="165" fontId="4" fillId="6" borderId="0" xfId="0" applyNumberFormat="1" applyFont="1" applyFill="1" applyAlignment="1"/>
    <xf numFmtId="0" fontId="4" fillId="0" borderId="0" xfId="0" applyFont="1" applyFill="1" applyAlignment="1"/>
    <xf numFmtId="168" fontId="4" fillId="0" borderId="0" xfId="2" applyNumberFormat="1" applyFont="1" applyAlignment="1"/>
    <xf numFmtId="168" fontId="4" fillId="0" borderId="0" xfId="2" applyNumberFormat="1" applyFont="1" applyFill="1" applyAlignment="1"/>
    <xf numFmtId="0" fontId="5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2" fontId="6" fillId="6" borderId="0" xfId="0" applyNumberFormat="1" applyFont="1" applyFill="1" applyAlignment="1">
      <alignment wrapText="1"/>
    </xf>
    <xf numFmtId="2" fontId="6" fillId="0" borderId="0" xfId="0" applyNumberFormat="1" applyFont="1" applyAlignment="1">
      <alignment wrapText="1"/>
    </xf>
    <xf numFmtId="165" fontId="6" fillId="6" borderId="0" xfId="0" applyNumberFormat="1" applyFont="1" applyFill="1" applyAlignment="1">
      <alignment wrapText="1"/>
    </xf>
    <xf numFmtId="165" fontId="6" fillId="0" borderId="0" xfId="0" applyNumberFormat="1" applyFont="1" applyFill="1" applyAlignment="1">
      <alignment wrapText="1"/>
    </xf>
    <xf numFmtId="164" fontId="6" fillId="6" borderId="0" xfId="0" applyNumberFormat="1" applyFont="1" applyFill="1" applyAlignment="1">
      <alignment wrapText="1"/>
    </xf>
    <xf numFmtId="170" fontId="6" fillId="0" borderId="0" xfId="2" applyNumberFormat="1" applyFont="1" applyAlignment="1">
      <alignment wrapText="1"/>
    </xf>
    <xf numFmtId="165" fontId="6" fillId="7" borderId="0" xfId="0" applyNumberFormat="1" applyFont="1" applyFill="1" applyAlignment="1">
      <alignment wrapText="1"/>
    </xf>
    <xf numFmtId="165" fontId="6" fillId="0" borderId="0" xfId="0" applyNumberFormat="1" applyFont="1" applyFill="1" applyAlignment="1"/>
    <xf numFmtId="0" fontId="6" fillId="0" borderId="0" xfId="0" applyFont="1" applyAlignment="1"/>
    <xf numFmtId="0" fontId="6" fillId="6" borderId="0" xfId="0" applyFont="1" applyFill="1" applyAlignment="1">
      <alignment wrapText="1"/>
    </xf>
    <xf numFmtId="2" fontId="6" fillId="2" borderId="0" xfId="0" applyNumberFormat="1" applyFont="1" applyFill="1" applyAlignment="1">
      <alignment wrapText="1"/>
    </xf>
    <xf numFmtId="1" fontId="6" fillId="6" borderId="0" xfId="0" applyNumberFormat="1" applyFont="1" applyFill="1" applyAlignment="1">
      <alignment wrapText="1"/>
    </xf>
    <xf numFmtId="1" fontId="6" fillId="0" borderId="0" xfId="0" applyNumberFormat="1" applyFont="1" applyFill="1" applyAlignment="1">
      <alignment wrapText="1"/>
    </xf>
    <xf numFmtId="169" fontId="6" fillId="0" borderId="0" xfId="0" applyNumberFormat="1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Border="1" applyAlignment="1"/>
    <xf numFmtId="0" fontId="2" fillId="4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1" fontId="0" fillId="0" borderId="5" xfId="0" applyNumberFormat="1" applyBorder="1"/>
    <xf numFmtId="9" fontId="7" fillId="0" borderId="0" xfId="0" applyNumberFormat="1" applyFont="1" applyFill="1" applyBorder="1"/>
    <xf numFmtId="9" fontId="7" fillId="0" borderId="0" xfId="1" applyFont="1" applyFill="1" applyBorder="1"/>
    <xf numFmtId="9" fontId="7" fillId="3" borderId="2" xfId="0" applyNumberFormat="1" applyFont="1" applyFill="1" applyBorder="1"/>
    <xf numFmtId="9" fontId="7" fillId="3" borderId="0" xfId="1" applyFont="1" applyFill="1" applyBorder="1"/>
    <xf numFmtId="9" fontId="7" fillId="3" borderId="5" xfId="1" applyFont="1" applyFill="1" applyBorder="1"/>
    <xf numFmtId="0" fontId="3" fillId="0" borderId="0" xfId="0" applyFont="1" applyAlignment="1">
      <alignment horizontal="right"/>
    </xf>
    <xf numFmtId="43" fontId="1" fillId="0" borderId="0" xfId="2" applyFont="1" applyFill="1" applyBorder="1"/>
    <xf numFmtId="43" fontId="0" fillId="0" borderId="0" xfId="2" applyFont="1" applyBorder="1"/>
    <xf numFmtId="43" fontId="0" fillId="0" borderId="5" xfId="2" applyFont="1" applyBorder="1"/>
    <xf numFmtId="165" fontId="0" fillId="0" borderId="0" xfId="0" applyNumberFormat="1" applyBorder="1"/>
    <xf numFmtId="43" fontId="0" fillId="0" borderId="13" xfId="2" applyFont="1" applyBorder="1"/>
    <xf numFmtId="43" fontId="0" fillId="0" borderId="0" xfId="2" applyFont="1" applyFill="1" applyBorder="1"/>
    <xf numFmtId="43" fontId="0" fillId="0" borderId="0" xfId="2" applyFont="1" applyFill="1"/>
    <xf numFmtId="43" fontId="0" fillId="0" borderId="5" xfId="2" applyFont="1" applyFill="1" applyBorder="1"/>
    <xf numFmtId="43" fontId="0" fillId="0" borderId="2" xfId="2" applyFont="1" applyBorder="1"/>
    <xf numFmtId="43" fontId="0" fillId="0" borderId="4" xfId="2" applyFont="1" applyBorder="1"/>
    <xf numFmtId="43" fontId="2" fillId="0" borderId="0" xfId="2" applyFont="1"/>
    <xf numFmtId="43" fontId="0" fillId="0" borderId="3" xfId="2" applyFont="1" applyBorder="1"/>
    <xf numFmtId="43" fontId="0" fillId="0" borderId="6" xfId="2" applyFont="1" applyBorder="1"/>
    <xf numFmtId="167" fontId="0" fillId="0" borderId="12" xfId="0" applyNumberFormat="1" applyBorder="1"/>
    <xf numFmtId="43" fontId="0" fillId="0" borderId="14" xfId="2" applyFont="1" applyBorder="1"/>
    <xf numFmtId="164" fontId="0" fillId="0" borderId="14" xfId="0" applyNumberFormat="1" applyBorder="1"/>
    <xf numFmtId="164" fontId="0" fillId="0" borderId="14" xfId="0" applyNumberFormat="1" applyFill="1" applyBorder="1"/>
    <xf numFmtId="43" fontId="0" fillId="0" borderId="0" xfId="0" applyNumberFormat="1"/>
    <xf numFmtId="0" fontId="0" fillId="0" borderId="0" xfId="0" applyAlignment="1">
      <alignment vertical="center"/>
    </xf>
    <xf numFmtId="0" fontId="0" fillId="0" borderId="18" xfId="0" applyBorder="1" applyAlignment="1">
      <alignment horizontal="left" vertical="center" wrapText="1"/>
    </xf>
    <xf numFmtId="43" fontId="0" fillId="0" borderId="0" xfId="2" applyFont="1" applyBorder="1" applyAlignment="1">
      <alignment vertical="center"/>
    </xf>
    <xf numFmtId="43" fontId="2" fillId="0" borderId="20" xfId="2" applyFont="1" applyBorder="1" applyAlignment="1">
      <alignment vertical="center"/>
    </xf>
    <xf numFmtId="0" fontId="0" fillId="0" borderId="19" xfId="0" applyBorder="1" applyAlignment="1">
      <alignment horizontal="left" vertical="center" wrapText="1"/>
    </xf>
    <xf numFmtId="43" fontId="0" fillId="0" borderId="5" xfId="2" applyFont="1" applyBorder="1" applyAlignment="1">
      <alignment vertical="center"/>
    </xf>
    <xf numFmtId="43" fontId="2" fillId="0" borderId="21" xfId="2" applyFont="1" applyBorder="1" applyAlignment="1">
      <alignment vertical="center"/>
    </xf>
    <xf numFmtId="0" fontId="3" fillId="3" borderId="0" xfId="0" applyFont="1" applyFill="1" applyAlignment="1"/>
    <xf numFmtId="0" fontId="3" fillId="0" borderId="0" xfId="0" applyFont="1" applyFill="1" applyAlignment="1">
      <alignment horizontal="center"/>
    </xf>
    <xf numFmtId="14" fontId="0" fillId="0" borderId="0" xfId="0" applyNumberFormat="1"/>
    <xf numFmtId="0" fontId="0" fillId="0" borderId="14" xfId="0" applyBorder="1" applyAlignment="1">
      <alignment horizontal="right"/>
    </xf>
    <xf numFmtId="43" fontId="0" fillId="0" borderId="12" xfId="2" applyFont="1" applyBorder="1"/>
    <xf numFmtId="9" fontId="7" fillId="0" borderId="14" xfId="0" applyNumberFormat="1" applyFont="1" applyFill="1" applyBorder="1"/>
    <xf numFmtId="43" fontId="0" fillId="0" borderId="14" xfId="2" applyFont="1" applyFill="1" applyBorder="1"/>
    <xf numFmtId="9" fontId="7" fillId="3" borderId="12" xfId="0" applyNumberFormat="1" applyFont="1" applyFill="1" applyBorder="1"/>
    <xf numFmtId="43" fontId="1" fillId="0" borderId="14" xfId="2" applyFont="1" applyFill="1" applyBorder="1"/>
    <xf numFmtId="0" fontId="0" fillId="0" borderId="14" xfId="0" applyBorder="1"/>
    <xf numFmtId="0" fontId="0" fillId="0" borderId="12" xfId="0" applyBorder="1" applyAlignment="1"/>
    <xf numFmtId="43" fontId="0" fillId="0" borderId="8" xfId="2" applyFont="1" applyBorder="1"/>
    <xf numFmtId="0" fontId="2" fillId="0" borderId="5" xfId="0" applyFont="1" applyBorder="1" applyAlignment="1">
      <alignment horizontal="right"/>
    </xf>
    <xf numFmtId="43" fontId="2" fillId="0" borderId="5" xfId="2" applyFont="1" applyBorder="1"/>
    <xf numFmtId="164" fontId="2" fillId="0" borderId="5" xfId="0" applyNumberFormat="1" applyFont="1" applyBorder="1"/>
    <xf numFmtId="43" fontId="0" fillId="0" borderId="22" xfId="2" applyFont="1" applyBorder="1"/>
    <xf numFmtId="9" fontId="7" fillId="3" borderId="13" xfId="1" applyFont="1" applyFill="1" applyBorder="1"/>
    <xf numFmtId="43" fontId="0" fillId="0" borderId="13" xfId="2" applyFont="1" applyFill="1" applyBorder="1"/>
    <xf numFmtId="0" fontId="0" fillId="0" borderId="22" xfId="0" applyBorder="1"/>
    <xf numFmtId="0" fontId="0" fillId="0" borderId="13" xfId="0" applyBorder="1"/>
    <xf numFmtId="1" fontId="0" fillId="0" borderId="23" xfId="0" applyNumberFormat="1" applyBorder="1"/>
    <xf numFmtId="43" fontId="0" fillId="0" borderId="23" xfId="2" applyFont="1" applyBorder="1"/>
    <xf numFmtId="0" fontId="3" fillId="0" borderId="0" xfId="0" applyFont="1" applyAlignment="1">
      <alignment vertical="center"/>
    </xf>
    <xf numFmtId="43" fontId="2" fillId="0" borderId="0" xfId="2" applyFont="1" applyBorder="1"/>
    <xf numFmtId="0" fontId="0" fillId="0" borderId="3" xfId="0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8" xfId="0" applyBorder="1" applyAlignment="1">
      <alignment horizontal="right"/>
    </xf>
    <xf numFmtId="43" fontId="2" fillId="0" borderId="24" xfId="2" applyFont="1" applyBorder="1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2" fillId="5" borderId="11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43" fontId="2" fillId="4" borderId="17" xfId="2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2" fillId="4" borderId="7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1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1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[Waste Calculator.xlsx]bulk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'bulk data'!$M$1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'bulk data'!$L$2:$L$13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'bulk data'!$M$2:$M$13</c:f>
              <c:numCache>
                <c:formatCode>General</c:formatCode>
                <c:ptCount val="11"/>
                <c:pt idx="0">
                  <c:v>2295.1</c:v>
                </c:pt>
                <c:pt idx="1">
                  <c:v>2082.2900000000004</c:v>
                </c:pt>
                <c:pt idx="2">
                  <c:v>2285.9100000000012</c:v>
                </c:pt>
                <c:pt idx="3">
                  <c:v>2271.1299999999992</c:v>
                </c:pt>
                <c:pt idx="4">
                  <c:v>2280.6799999999989</c:v>
                </c:pt>
                <c:pt idx="5">
                  <c:v>2106.8599999999988</c:v>
                </c:pt>
                <c:pt idx="6">
                  <c:v>2195.4799999999996</c:v>
                </c:pt>
                <c:pt idx="7">
                  <c:v>1985.33</c:v>
                </c:pt>
                <c:pt idx="8">
                  <c:v>1982.3199999999993</c:v>
                </c:pt>
                <c:pt idx="9">
                  <c:v>2058.5600000000004</c:v>
                </c:pt>
                <c:pt idx="10">
                  <c:v>1861.1700000000017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7-4CC0-BA45-5D906663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1807"/>
        <c:axId val="1944150447"/>
      </c:lineChart>
      <c:catAx>
        <c:axId val="18653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50447"/>
        <c:crosses val="autoZero"/>
        <c:auto val="1"/>
        <c:lblAlgn val="ctr"/>
        <c:lblOffset val="100"/>
        <c:noMultiLvlLbl val="0"/>
      </c:catAx>
      <c:valAx>
        <c:axId val="1944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166687</xdr:colOff>
      <xdr:row>0</xdr:row>
      <xdr:rowOff>52387</xdr:rowOff>
    </xdr:from>
    <xdr:to>
      <xdr:col>19</xdr:col>
      <xdr:colOff>171450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444F-5626-4210-9757-22A95BE2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bora Lopes" id="{4CF744DC-7BF3-D445-98D2-409E9D2CE488}" userId="S::debora.lopes@nycha.nyc.gov::3a26e76d-753a-4cfd-88cf-df17a25c9cf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gio, Kathryn" refreshedDate="43881.445815856481" createdVersion="6" refreshedVersion="6" minRefreshableVersion="3" recordCount="1501" xr:uid="{80FA8DBC-E3DE-4AE1-BA4B-98890918806A}">
  <cacheSource type="worksheet">
    <worksheetSource name="_2019bulk"/>
  </cacheSource>
  <cacheFields count="3">
    <cacheField name="Site Name" numFmtId="0">
      <sharedItems count="139">
        <s v="ADAMS"/>
        <s v="ALBANY / WEEKSVILLE"/>
        <s v="AMSTERDAM"/>
        <s v="ARMSTRONG"/>
        <s v="ASTORIA"/>
        <s v="AUDUBON"/>
        <s v="BAISLEY PARK"/>
        <s v="BARUCH"/>
        <s v="BAYCHESTER"/>
        <s v="BAYVIEW HOUSE"/>
        <s v="BEACH 41ST"/>
        <s v="BERRY"/>
        <s v="BORINQUEN PLAZA"/>
        <s v="BOSTON SECOR"/>
        <s v="BOULEVARD HOUSES"/>
        <s v="BREUKELEN HOUSES"/>
        <s v="BREVOORT"/>
        <s v="BRONX RIVER"/>
        <s v="BROWNSVILLE"/>
        <s v="BUSHWICK"/>
        <s v="BUTLER"/>
        <s v="CAREY GARDENS HOUSES"/>
        <s v="CARVER"/>
        <s v="CASTLE HILL"/>
        <s v="CHELSEA"/>
        <s v="CLAREMONT"/>
        <s v="CLINTON"/>
        <s v="COOPER PARK"/>
        <s v="CYPRESS HOUSES"/>
        <s v="DOUGLASS"/>
        <s v="DREW HAMILTON"/>
        <s v="DYCKMAN"/>
        <s v="EAST RIVER"/>
        <s v="EASTCHESTER"/>
        <s v="EDENWALD"/>
        <s v="FARRAGUT"/>
        <s v="FOREST"/>
        <s v="FORT INDEPENDENCE"/>
        <s v="FORT WASHINGTON"/>
        <s v="FULTON"/>
        <s v="GLENWOOD HOUSES"/>
        <s v="GOMPERS"/>
        <s v="GOWANUS"/>
        <s v="GRANT"/>
        <s v="GUN HILL HOUSES"/>
        <s v="HAMMEL / CARLTON MANOR"/>
        <s v="HARBORVIEW / AMSTERDAM"/>
        <s v="HARLEM RIVER"/>
        <s v="HIGHBRIDGE"/>
        <s v="HOLMES / ISSACS"/>
        <s v="HOPE GARDENS"/>
        <s v="HOWARD"/>
        <s v="INGERSOLL"/>
        <s v="JACKSON"/>
        <s v="JEFFERSON"/>
        <s v="JOHNSON"/>
        <s v="KING TOWERS"/>
        <s v="KINGSBOROUGH"/>
        <s v="LAFAYETTE GARDENS"/>
        <s v="LAGUARDIA"/>
        <s v="LANGSTON HUGHES"/>
        <s v="LATIMER / BLAND"/>
        <s v="LEHMAN VILLAGE"/>
        <s v="LINCOLN"/>
        <s v="LOWER EAST SIDE"/>
        <s v="MANHATTANVILLE"/>
        <s v="MARBLE HILL HOUSE"/>
        <s v="MARCUS GARVEY"/>
        <s v="MARCY"/>
        <s v="MARINERS HARBOR"/>
        <s v="MARLBORO HOUSES"/>
        <s v="MCKINLEY"/>
        <s v="MELROSE"/>
        <s v="METRO / WILSON"/>
        <s v="MILLBROOK"/>
        <s v="MITCHEL"/>
        <s v="MONROE"/>
        <s v="MORRIS"/>
        <s v="MORRISANIA AIR RIGHTS"/>
        <s v="MOTT HAVEN"/>
        <s v="MURPHY CONSOLIDATED"/>
        <s v="OCEAN HILL / SARATOGA"/>
        <s v="O'DWYER / GRAVESEND HOUSES"/>
        <s v="PARK ROCK CONSOLIDATED"/>
        <s v="PARKSIDE"/>
        <s v="PATTERSON"/>
        <s v="PELHAM"/>
        <s v="PENN-WORTMAN / VANDALIA"/>
        <s v="PINK HOUSES"/>
        <s v="POLO GROUNDS"/>
        <s v="POMONOK"/>
        <s v="QUEENSBRIDGE NORTH"/>
        <s v="QUEENSBRIDGE SOUTH"/>
        <s v="RANGEL"/>
        <s v="RAVENSWOOD"/>
        <s v="RED HOOK EAST"/>
        <s v="RED HOOK WEST"/>
        <s v="REDFERN"/>
        <s v="REID CONSOLIDATED"/>
        <s v="RICHMOND TERRACE"/>
        <s v="RIIS"/>
        <s v="ROBINSON J"/>
        <s v="ROOSEVELT"/>
        <s v="RUTGERS"/>
        <s v="SACKWERN"/>
        <s v="SEDGEWICK"/>
        <s v="SETH LOW / GLENMORE"/>
        <s v="SEWARD PARK"/>
        <s v="SMITH"/>
        <s v="SOTOMAYOR HOUSES / BRONXDALE"/>
        <s v="SOUNDVIEW"/>
        <s v="SOUTH BEACH"/>
        <s v="SOUTH JAMAICA"/>
        <s v="ST NICHOLAS"/>
        <s v="ST. MARY'S"/>
        <s v="STAPLETON"/>
        <s v="STUYVESANT GARDENS"/>
        <s v="SUMNER HOUSES"/>
        <s v="SURFSIDE GARD / CONEY ISLAND"/>
        <s v="TAFT"/>
        <s v="TAYLOR-WYTHE"/>
        <s v="THROGGS NECK"/>
        <s v="TILDEN"/>
        <s v="TODT HILL"/>
        <s v="TOMPKINS"/>
        <s v="UNION CONSOLIDATED"/>
        <s v="UNITY PLAZA"/>
        <s v="VAN DYKE"/>
        <s v="VLADECK"/>
        <s v="WAGNER"/>
        <s v="WALD"/>
        <s v="WEBSTER"/>
        <s v="WEST BRIGHTON"/>
        <s v="WHITMAN"/>
        <s v="WILLIAMSBURG"/>
        <s v="WISE TOWERS"/>
        <s v="WOODSIDE"/>
        <s v="WOODSON"/>
        <s v="WYCKOFF"/>
      </sharedItems>
    </cacheField>
    <cacheField name="Month" numFmtId="0">
      <sharedItems containsSemiMixedTypes="0" containsString="0" containsNumber="1" containsInteger="1" minValue="1" maxValue="11" count="11">
        <n v="1"/>
        <n v="10"/>
        <n v="11"/>
        <n v="2"/>
        <n v="3"/>
        <n v="4"/>
        <n v="5"/>
        <n v="6"/>
        <n v="7"/>
        <n v="8"/>
        <n v="9"/>
      </sharedItems>
    </cacheField>
    <cacheField name="Tons per month" numFmtId="0">
      <sharedItems containsSemiMixedTypes="0" containsString="0" containsNumber="1" minValue="1.34" maxValue="59.48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x v="0"/>
    <n v="5.55"/>
  </r>
  <r>
    <x v="0"/>
    <x v="1"/>
    <n v="3.3499999999999996"/>
  </r>
  <r>
    <x v="0"/>
    <x v="2"/>
    <n v="6.4"/>
  </r>
  <r>
    <x v="0"/>
    <x v="3"/>
    <n v="4.5600000000000005"/>
  </r>
  <r>
    <x v="0"/>
    <x v="4"/>
    <n v="4.66"/>
  </r>
  <r>
    <x v="0"/>
    <x v="5"/>
    <n v="5.55"/>
  </r>
  <r>
    <x v="0"/>
    <x v="6"/>
    <n v="3.1"/>
  </r>
  <r>
    <x v="0"/>
    <x v="7"/>
    <n v="4.38"/>
  </r>
  <r>
    <x v="0"/>
    <x v="8"/>
    <n v="3.44"/>
  </r>
  <r>
    <x v="0"/>
    <x v="9"/>
    <n v="4.93"/>
  </r>
  <r>
    <x v="0"/>
    <x v="10"/>
    <n v="2.69"/>
  </r>
  <r>
    <x v="1"/>
    <x v="0"/>
    <n v="19.86"/>
  </r>
  <r>
    <x v="1"/>
    <x v="1"/>
    <n v="20.91"/>
  </r>
  <r>
    <x v="1"/>
    <x v="2"/>
    <n v="23.970000000000002"/>
  </r>
  <r>
    <x v="1"/>
    <x v="3"/>
    <n v="20.22"/>
  </r>
  <r>
    <x v="1"/>
    <x v="4"/>
    <n v="24.919999999999998"/>
  </r>
  <r>
    <x v="1"/>
    <x v="5"/>
    <n v="22.88"/>
  </r>
  <r>
    <x v="1"/>
    <x v="6"/>
    <n v="28.46"/>
  </r>
  <r>
    <x v="1"/>
    <x v="7"/>
    <n v="16.98"/>
  </r>
  <r>
    <x v="1"/>
    <x v="8"/>
    <n v="14.7"/>
  </r>
  <r>
    <x v="1"/>
    <x v="9"/>
    <n v="25.05"/>
  </r>
  <r>
    <x v="1"/>
    <x v="10"/>
    <n v="14.969999999999999"/>
  </r>
  <r>
    <x v="2"/>
    <x v="0"/>
    <n v="17.649999999999999"/>
  </r>
  <r>
    <x v="2"/>
    <x v="1"/>
    <n v="20.310000000000002"/>
  </r>
  <r>
    <x v="2"/>
    <x v="2"/>
    <n v="15.63"/>
  </r>
  <r>
    <x v="2"/>
    <x v="3"/>
    <n v="16.560000000000002"/>
  </r>
  <r>
    <x v="2"/>
    <x v="4"/>
    <n v="18.41"/>
  </r>
  <r>
    <x v="2"/>
    <x v="5"/>
    <n v="10.34"/>
  </r>
  <r>
    <x v="2"/>
    <x v="6"/>
    <n v="21.18"/>
  </r>
  <r>
    <x v="2"/>
    <x v="7"/>
    <n v="21.35"/>
  </r>
  <r>
    <x v="2"/>
    <x v="8"/>
    <n v="24.3"/>
  </r>
  <r>
    <x v="2"/>
    <x v="9"/>
    <n v="13.139999999999999"/>
  </r>
  <r>
    <x v="2"/>
    <x v="10"/>
    <n v="20.5"/>
  </r>
  <r>
    <x v="3"/>
    <x v="0"/>
    <n v="9.51"/>
  </r>
  <r>
    <x v="3"/>
    <x v="1"/>
    <n v="6.45"/>
  </r>
  <r>
    <x v="3"/>
    <x v="2"/>
    <n v="9.36"/>
  </r>
  <r>
    <x v="3"/>
    <x v="3"/>
    <n v="4.79"/>
  </r>
  <r>
    <x v="3"/>
    <x v="4"/>
    <n v="6.9"/>
  </r>
  <r>
    <x v="3"/>
    <x v="5"/>
    <n v="7.6000000000000005"/>
  </r>
  <r>
    <x v="3"/>
    <x v="6"/>
    <n v="5.6099999999999994"/>
  </r>
  <r>
    <x v="3"/>
    <x v="7"/>
    <n v="5.91"/>
  </r>
  <r>
    <x v="3"/>
    <x v="8"/>
    <n v="6.42"/>
  </r>
  <r>
    <x v="3"/>
    <x v="9"/>
    <n v="6.55"/>
  </r>
  <r>
    <x v="3"/>
    <x v="10"/>
    <n v="6.73"/>
  </r>
  <r>
    <x v="4"/>
    <x v="0"/>
    <n v="11.580000000000002"/>
  </r>
  <r>
    <x v="4"/>
    <x v="1"/>
    <n v="12.079999999999998"/>
  </r>
  <r>
    <x v="4"/>
    <x v="2"/>
    <n v="10.89"/>
  </r>
  <r>
    <x v="4"/>
    <x v="3"/>
    <n v="12.719999999999999"/>
  </r>
  <r>
    <x v="4"/>
    <x v="4"/>
    <n v="10.68"/>
  </r>
  <r>
    <x v="4"/>
    <x v="5"/>
    <n v="11.82"/>
  </r>
  <r>
    <x v="4"/>
    <x v="6"/>
    <n v="7.84"/>
  </r>
  <r>
    <x v="4"/>
    <x v="7"/>
    <n v="10.72"/>
  </r>
  <r>
    <x v="4"/>
    <x v="8"/>
    <n v="18.96"/>
  </r>
  <r>
    <x v="4"/>
    <x v="9"/>
    <n v="9.26"/>
  </r>
  <r>
    <x v="4"/>
    <x v="10"/>
    <n v="10.210000000000001"/>
  </r>
  <r>
    <x v="5"/>
    <x v="0"/>
    <n v="6.15"/>
  </r>
  <r>
    <x v="5"/>
    <x v="1"/>
    <n v="3.76"/>
  </r>
  <r>
    <x v="5"/>
    <x v="2"/>
    <n v="8.0599999999999987"/>
  </r>
  <r>
    <x v="5"/>
    <x v="3"/>
    <n v="10.56"/>
  </r>
  <r>
    <x v="5"/>
    <x v="4"/>
    <n v="6.21"/>
  </r>
  <r>
    <x v="5"/>
    <x v="5"/>
    <n v="5.0199999999999996"/>
  </r>
  <r>
    <x v="5"/>
    <x v="6"/>
    <n v="2.9"/>
  </r>
  <r>
    <x v="5"/>
    <x v="7"/>
    <n v="11.159999999999998"/>
  </r>
  <r>
    <x v="5"/>
    <x v="8"/>
    <n v="9.4699999999999989"/>
  </r>
  <r>
    <x v="5"/>
    <x v="9"/>
    <n v="11.379999999999999"/>
  </r>
  <r>
    <x v="5"/>
    <x v="10"/>
    <n v="5.3900000000000006"/>
  </r>
  <r>
    <x v="6"/>
    <x v="0"/>
    <n v="10.119999999999999"/>
  </r>
  <r>
    <x v="6"/>
    <x v="1"/>
    <n v="8.629999999999999"/>
  </r>
  <r>
    <x v="6"/>
    <x v="2"/>
    <n v="6.57"/>
  </r>
  <r>
    <x v="6"/>
    <x v="3"/>
    <n v="9.5500000000000007"/>
  </r>
  <r>
    <x v="6"/>
    <x v="4"/>
    <n v="11.82"/>
  </r>
  <r>
    <x v="6"/>
    <x v="5"/>
    <n v="15.25"/>
  </r>
  <r>
    <x v="6"/>
    <x v="6"/>
    <n v="14.809999999999999"/>
  </r>
  <r>
    <x v="6"/>
    <x v="7"/>
    <n v="13.89"/>
  </r>
  <r>
    <x v="6"/>
    <x v="8"/>
    <n v="14.419999999999998"/>
  </r>
  <r>
    <x v="6"/>
    <x v="9"/>
    <n v="11.08"/>
  </r>
  <r>
    <x v="6"/>
    <x v="10"/>
    <n v="10.920000000000002"/>
  </r>
  <r>
    <x v="7"/>
    <x v="0"/>
    <n v="14.820000000000002"/>
  </r>
  <r>
    <x v="7"/>
    <x v="1"/>
    <n v="16.91"/>
  </r>
  <r>
    <x v="7"/>
    <x v="2"/>
    <n v="11.49"/>
  </r>
  <r>
    <x v="7"/>
    <x v="3"/>
    <n v="14.810000000000002"/>
  </r>
  <r>
    <x v="7"/>
    <x v="4"/>
    <n v="14.82"/>
  </r>
  <r>
    <x v="7"/>
    <x v="5"/>
    <n v="12.939999999999998"/>
  </r>
  <r>
    <x v="7"/>
    <x v="6"/>
    <n v="15.18"/>
  </r>
  <r>
    <x v="7"/>
    <x v="7"/>
    <n v="10.48"/>
  </r>
  <r>
    <x v="7"/>
    <x v="8"/>
    <n v="15.42"/>
  </r>
  <r>
    <x v="7"/>
    <x v="9"/>
    <n v="10.42"/>
  </r>
  <r>
    <x v="7"/>
    <x v="10"/>
    <n v="11.79"/>
  </r>
  <r>
    <x v="8"/>
    <x v="0"/>
    <n v="5.28"/>
  </r>
  <r>
    <x v="9"/>
    <x v="0"/>
    <n v="40.159999999999997"/>
  </r>
  <r>
    <x v="9"/>
    <x v="1"/>
    <n v="16.98"/>
  </r>
  <r>
    <x v="9"/>
    <x v="2"/>
    <n v="14.33"/>
  </r>
  <r>
    <x v="9"/>
    <x v="3"/>
    <n v="13.32"/>
  </r>
  <r>
    <x v="9"/>
    <x v="4"/>
    <n v="22.610000000000003"/>
  </r>
  <r>
    <x v="9"/>
    <x v="5"/>
    <n v="19.369999999999997"/>
  </r>
  <r>
    <x v="9"/>
    <x v="6"/>
    <n v="19.819999999999997"/>
  </r>
  <r>
    <x v="9"/>
    <x v="7"/>
    <n v="19.12"/>
  </r>
  <r>
    <x v="9"/>
    <x v="8"/>
    <n v="18.350000000000001"/>
  </r>
  <r>
    <x v="9"/>
    <x v="9"/>
    <n v="19.420000000000002"/>
  </r>
  <r>
    <x v="9"/>
    <x v="10"/>
    <n v="17.46"/>
  </r>
  <r>
    <x v="10"/>
    <x v="0"/>
    <n v="16.290000000000003"/>
  </r>
  <r>
    <x v="10"/>
    <x v="1"/>
    <n v="14.58"/>
  </r>
  <r>
    <x v="10"/>
    <x v="2"/>
    <n v="16.32"/>
  </r>
  <r>
    <x v="10"/>
    <x v="3"/>
    <n v="11.639999999999999"/>
  </r>
  <r>
    <x v="10"/>
    <x v="4"/>
    <n v="18.7"/>
  </r>
  <r>
    <x v="10"/>
    <x v="5"/>
    <n v="18.04"/>
  </r>
  <r>
    <x v="10"/>
    <x v="6"/>
    <n v="20.36"/>
  </r>
  <r>
    <x v="10"/>
    <x v="7"/>
    <n v="13.73"/>
  </r>
  <r>
    <x v="10"/>
    <x v="8"/>
    <n v="22.4"/>
  </r>
  <r>
    <x v="10"/>
    <x v="9"/>
    <n v="11.82"/>
  </r>
  <r>
    <x v="10"/>
    <x v="10"/>
    <n v="17.309999999999999"/>
  </r>
  <r>
    <x v="11"/>
    <x v="0"/>
    <n v="9.2600000000000016"/>
  </r>
  <r>
    <x v="11"/>
    <x v="1"/>
    <n v="6.3699999999999992"/>
  </r>
  <r>
    <x v="11"/>
    <x v="2"/>
    <n v="6.0100000000000007"/>
  </r>
  <r>
    <x v="11"/>
    <x v="3"/>
    <n v="3.92"/>
  </r>
  <r>
    <x v="11"/>
    <x v="4"/>
    <n v="10.199999999999999"/>
  </r>
  <r>
    <x v="11"/>
    <x v="5"/>
    <n v="8.5299999999999994"/>
  </r>
  <r>
    <x v="11"/>
    <x v="6"/>
    <n v="6.26"/>
  </r>
  <r>
    <x v="11"/>
    <x v="7"/>
    <n v="8.02"/>
  </r>
  <r>
    <x v="11"/>
    <x v="9"/>
    <n v="2.5299999999999998"/>
  </r>
  <r>
    <x v="11"/>
    <x v="10"/>
    <n v="6.27"/>
  </r>
  <r>
    <x v="12"/>
    <x v="0"/>
    <n v="10.16"/>
  </r>
  <r>
    <x v="12"/>
    <x v="1"/>
    <n v="11.78"/>
  </r>
  <r>
    <x v="12"/>
    <x v="2"/>
    <n v="12"/>
  </r>
  <r>
    <x v="12"/>
    <x v="3"/>
    <n v="9.56"/>
  </r>
  <r>
    <x v="12"/>
    <x v="4"/>
    <n v="9.7100000000000009"/>
  </r>
  <r>
    <x v="12"/>
    <x v="5"/>
    <n v="7.02"/>
  </r>
  <r>
    <x v="12"/>
    <x v="6"/>
    <n v="8.3000000000000007"/>
  </r>
  <r>
    <x v="12"/>
    <x v="7"/>
    <n v="9.3299999999999983"/>
  </r>
  <r>
    <x v="12"/>
    <x v="8"/>
    <n v="9.4"/>
  </r>
  <r>
    <x v="12"/>
    <x v="9"/>
    <n v="10.49"/>
  </r>
  <r>
    <x v="12"/>
    <x v="10"/>
    <n v="9.65"/>
  </r>
  <r>
    <x v="13"/>
    <x v="0"/>
    <n v="15.66"/>
  </r>
  <r>
    <x v="13"/>
    <x v="1"/>
    <n v="14.229999999999999"/>
  </r>
  <r>
    <x v="13"/>
    <x v="2"/>
    <n v="13.379999999999999"/>
  </r>
  <r>
    <x v="13"/>
    <x v="3"/>
    <n v="15.52"/>
  </r>
  <r>
    <x v="13"/>
    <x v="4"/>
    <n v="14.17"/>
  </r>
  <r>
    <x v="13"/>
    <x v="5"/>
    <n v="18.869999999999997"/>
  </r>
  <r>
    <x v="13"/>
    <x v="6"/>
    <n v="16.270000000000003"/>
  </r>
  <r>
    <x v="13"/>
    <x v="7"/>
    <n v="12.179999999999998"/>
  </r>
  <r>
    <x v="13"/>
    <x v="8"/>
    <n v="18.27"/>
  </r>
  <r>
    <x v="13"/>
    <x v="9"/>
    <n v="13.040000000000001"/>
  </r>
  <r>
    <x v="13"/>
    <x v="10"/>
    <n v="14.530000000000001"/>
  </r>
  <r>
    <x v="14"/>
    <x v="0"/>
    <n v="11.95"/>
  </r>
  <r>
    <x v="14"/>
    <x v="1"/>
    <n v="19.080000000000002"/>
  </r>
  <r>
    <x v="14"/>
    <x v="2"/>
    <n v="17.860000000000003"/>
  </r>
  <r>
    <x v="14"/>
    <x v="3"/>
    <n v="28.979999999999997"/>
  </r>
  <r>
    <x v="14"/>
    <x v="4"/>
    <n v="10.26"/>
  </r>
  <r>
    <x v="14"/>
    <x v="5"/>
    <n v="23"/>
  </r>
  <r>
    <x v="14"/>
    <x v="6"/>
    <n v="26.08"/>
  </r>
  <r>
    <x v="14"/>
    <x v="7"/>
    <n v="12.59"/>
  </r>
  <r>
    <x v="14"/>
    <x v="8"/>
    <n v="28.049999999999997"/>
  </r>
  <r>
    <x v="14"/>
    <x v="9"/>
    <n v="24.31"/>
  </r>
  <r>
    <x v="14"/>
    <x v="10"/>
    <n v="19.959999999999997"/>
  </r>
  <r>
    <x v="15"/>
    <x v="0"/>
    <n v="22.599999999999998"/>
  </r>
  <r>
    <x v="15"/>
    <x v="1"/>
    <n v="22.12"/>
  </r>
  <r>
    <x v="15"/>
    <x v="2"/>
    <n v="27.31"/>
  </r>
  <r>
    <x v="15"/>
    <x v="3"/>
    <n v="19.559999999999999"/>
  </r>
  <r>
    <x v="15"/>
    <x v="4"/>
    <n v="19.57"/>
  </r>
  <r>
    <x v="15"/>
    <x v="5"/>
    <n v="29.81"/>
  </r>
  <r>
    <x v="15"/>
    <x v="6"/>
    <n v="34.32"/>
  </r>
  <r>
    <x v="15"/>
    <x v="7"/>
    <n v="27.550000000000004"/>
  </r>
  <r>
    <x v="15"/>
    <x v="8"/>
    <n v="31.61"/>
  </r>
  <r>
    <x v="15"/>
    <x v="9"/>
    <n v="19.909999999999997"/>
  </r>
  <r>
    <x v="15"/>
    <x v="10"/>
    <n v="23.25"/>
  </r>
  <r>
    <x v="16"/>
    <x v="0"/>
    <n v="14.669999999999998"/>
  </r>
  <r>
    <x v="16"/>
    <x v="1"/>
    <n v="14.07"/>
  </r>
  <r>
    <x v="16"/>
    <x v="2"/>
    <n v="10.119999999999999"/>
  </r>
  <r>
    <x v="16"/>
    <x v="3"/>
    <n v="11.78"/>
  </r>
  <r>
    <x v="16"/>
    <x v="4"/>
    <n v="12.629999999999999"/>
  </r>
  <r>
    <x v="16"/>
    <x v="5"/>
    <n v="11.100000000000001"/>
  </r>
  <r>
    <x v="16"/>
    <x v="6"/>
    <n v="17.059999999999999"/>
  </r>
  <r>
    <x v="16"/>
    <x v="7"/>
    <n v="17.36"/>
  </r>
  <r>
    <x v="16"/>
    <x v="8"/>
    <n v="11.070000000000002"/>
  </r>
  <r>
    <x v="16"/>
    <x v="9"/>
    <n v="15.52"/>
  </r>
  <r>
    <x v="16"/>
    <x v="10"/>
    <n v="15.82"/>
  </r>
  <r>
    <x v="17"/>
    <x v="0"/>
    <n v="16.88"/>
  </r>
  <r>
    <x v="17"/>
    <x v="1"/>
    <n v="16.259999999999998"/>
  </r>
  <r>
    <x v="17"/>
    <x v="2"/>
    <n v="13.25"/>
  </r>
  <r>
    <x v="17"/>
    <x v="3"/>
    <n v="14.779999999999998"/>
  </r>
  <r>
    <x v="17"/>
    <x v="4"/>
    <n v="19.229999999999997"/>
  </r>
  <r>
    <x v="17"/>
    <x v="5"/>
    <n v="20.64"/>
  </r>
  <r>
    <x v="17"/>
    <x v="6"/>
    <n v="15.259999999999998"/>
  </r>
  <r>
    <x v="17"/>
    <x v="7"/>
    <n v="16.02"/>
  </r>
  <r>
    <x v="17"/>
    <x v="8"/>
    <n v="15.95"/>
  </r>
  <r>
    <x v="17"/>
    <x v="9"/>
    <n v="25.179999999999996"/>
  </r>
  <r>
    <x v="17"/>
    <x v="10"/>
    <n v="16.79"/>
  </r>
  <r>
    <x v="18"/>
    <x v="0"/>
    <n v="16.36"/>
  </r>
  <r>
    <x v="18"/>
    <x v="1"/>
    <n v="10.61"/>
  </r>
  <r>
    <x v="18"/>
    <x v="2"/>
    <n v="12.69"/>
  </r>
  <r>
    <x v="18"/>
    <x v="3"/>
    <n v="14.879999999999999"/>
  </r>
  <r>
    <x v="18"/>
    <x v="4"/>
    <n v="10.42"/>
  </r>
  <r>
    <x v="18"/>
    <x v="5"/>
    <n v="11.91"/>
  </r>
  <r>
    <x v="18"/>
    <x v="6"/>
    <n v="21.14"/>
  </r>
  <r>
    <x v="18"/>
    <x v="7"/>
    <n v="15"/>
  </r>
  <r>
    <x v="18"/>
    <x v="8"/>
    <n v="15.9"/>
  </r>
  <r>
    <x v="18"/>
    <x v="9"/>
    <n v="11.13"/>
  </r>
  <r>
    <x v="18"/>
    <x v="10"/>
    <n v="8.129999999999999"/>
  </r>
  <r>
    <x v="19"/>
    <x v="0"/>
    <n v="26.88"/>
  </r>
  <r>
    <x v="19"/>
    <x v="1"/>
    <n v="17.91"/>
  </r>
  <r>
    <x v="19"/>
    <x v="2"/>
    <n v="13.48"/>
  </r>
  <r>
    <x v="19"/>
    <x v="3"/>
    <n v="27.689999999999994"/>
  </r>
  <r>
    <x v="19"/>
    <x v="4"/>
    <n v="29.72"/>
  </r>
  <r>
    <x v="19"/>
    <x v="5"/>
    <n v="20.72"/>
  </r>
  <r>
    <x v="19"/>
    <x v="6"/>
    <n v="21.86"/>
  </r>
  <r>
    <x v="19"/>
    <x v="7"/>
    <n v="22.34"/>
  </r>
  <r>
    <x v="19"/>
    <x v="8"/>
    <n v="25.79"/>
  </r>
  <r>
    <x v="19"/>
    <x v="9"/>
    <n v="19.84"/>
  </r>
  <r>
    <x v="19"/>
    <x v="10"/>
    <n v="15.54"/>
  </r>
  <r>
    <x v="20"/>
    <x v="0"/>
    <n v="24.32"/>
  </r>
  <r>
    <x v="20"/>
    <x v="1"/>
    <n v="27"/>
  </r>
  <r>
    <x v="20"/>
    <x v="2"/>
    <n v="3.56"/>
  </r>
  <r>
    <x v="20"/>
    <x v="3"/>
    <n v="19.979999999999997"/>
  </r>
  <r>
    <x v="20"/>
    <x v="4"/>
    <n v="27.4"/>
  </r>
  <r>
    <x v="20"/>
    <x v="5"/>
    <n v="28.220000000000002"/>
  </r>
  <r>
    <x v="20"/>
    <x v="6"/>
    <n v="25.6"/>
  </r>
  <r>
    <x v="20"/>
    <x v="7"/>
    <n v="29.9"/>
  </r>
  <r>
    <x v="20"/>
    <x v="8"/>
    <n v="30.990000000000002"/>
  </r>
  <r>
    <x v="20"/>
    <x v="9"/>
    <n v="22.309999999999995"/>
  </r>
  <r>
    <x v="20"/>
    <x v="10"/>
    <n v="20.43"/>
  </r>
  <r>
    <x v="21"/>
    <x v="0"/>
    <n v="20.339999999999996"/>
  </r>
  <r>
    <x v="21"/>
    <x v="1"/>
    <n v="19.36"/>
  </r>
  <r>
    <x v="21"/>
    <x v="2"/>
    <n v="17.559999999999999"/>
  </r>
  <r>
    <x v="21"/>
    <x v="3"/>
    <n v="18.940000000000001"/>
  </r>
  <r>
    <x v="21"/>
    <x v="4"/>
    <n v="22.929999999999996"/>
  </r>
  <r>
    <x v="21"/>
    <x v="5"/>
    <n v="17.16"/>
  </r>
  <r>
    <x v="21"/>
    <x v="6"/>
    <n v="17.490000000000002"/>
  </r>
  <r>
    <x v="21"/>
    <x v="7"/>
    <n v="22.270000000000003"/>
  </r>
  <r>
    <x v="21"/>
    <x v="8"/>
    <n v="19.32"/>
  </r>
  <r>
    <x v="21"/>
    <x v="9"/>
    <n v="17.020000000000003"/>
  </r>
  <r>
    <x v="21"/>
    <x v="10"/>
    <n v="18.12"/>
  </r>
  <r>
    <x v="22"/>
    <x v="0"/>
    <n v="15.4"/>
  </r>
  <r>
    <x v="22"/>
    <x v="1"/>
    <n v="13.84"/>
  </r>
  <r>
    <x v="22"/>
    <x v="2"/>
    <n v="15.120000000000001"/>
  </r>
  <r>
    <x v="22"/>
    <x v="3"/>
    <n v="16.260000000000002"/>
  </r>
  <r>
    <x v="22"/>
    <x v="4"/>
    <n v="16.849999999999998"/>
  </r>
  <r>
    <x v="22"/>
    <x v="5"/>
    <n v="15.870000000000001"/>
  </r>
  <r>
    <x v="22"/>
    <x v="6"/>
    <n v="11.49"/>
  </r>
  <r>
    <x v="22"/>
    <x v="7"/>
    <n v="24.409999999999997"/>
  </r>
  <r>
    <x v="22"/>
    <x v="8"/>
    <n v="29.419999999999998"/>
  </r>
  <r>
    <x v="22"/>
    <x v="9"/>
    <n v="14.52"/>
  </r>
  <r>
    <x v="22"/>
    <x v="10"/>
    <n v="16.93"/>
  </r>
  <r>
    <x v="23"/>
    <x v="0"/>
    <n v="33.07"/>
  </r>
  <r>
    <x v="23"/>
    <x v="1"/>
    <n v="21.220000000000002"/>
  </r>
  <r>
    <x v="23"/>
    <x v="2"/>
    <n v="19.22"/>
  </r>
  <r>
    <x v="23"/>
    <x v="3"/>
    <n v="23.560000000000002"/>
  </r>
  <r>
    <x v="23"/>
    <x v="4"/>
    <n v="27.750000000000004"/>
  </r>
  <r>
    <x v="23"/>
    <x v="5"/>
    <n v="30.599999999999994"/>
  </r>
  <r>
    <x v="23"/>
    <x v="6"/>
    <n v="29.480000000000004"/>
  </r>
  <r>
    <x v="23"/>
    <x v="7"/>
    <n v="28.120000000000005"/>
  </r>
  <r>
    <x v="23"/>
    <x v="8"/>
    <n v="20.730000000000004"/>
  </r>
  <r>
    <x v="23"/>
    <x v="9"/>
    <n v="16.309999999999999"/>
  </r>
  <r>
    <x v="23"/>
    <x v="10"/>
    <n v="25.179999999999996"/>
  </r>
  <r>
    <x v="24"/>
    <x v="0"/>
    <n v="9.75"/>
  </r>
  <r>
    <x v="24"/>
    <x v="1"/>
    <n v="12.37"/>
  </r>
  <r>
    <x v="24"/>
    <x v="2"/>
    <n v="13.43"/>
  </r>
  <r>
    <x v="24"/>
    <x v="3"/>
    <n v="11.2"/>
  </r>
  <r>
    <x v="24"/>
    <x v="4"/>
    <n v="11.98"/>
  </r>
  <r>
    <x v="24"/>
    <x v="5"/>
    <n v="13.61"/>
  </r>
  <r>
    <x v="24"/>
    <x v="6"/>
    <n v="12.96"/>
  </r>
  <r>
    <x v="24"/>
    <x v="7"/>
    <n v="14.509999999999998"/>
  </r>
  <r>
    <x v="24"/>
    <x v="8"/>
    <n v="21.35"/>
  </r>
  <r>
    <x v="24"/>
    <x v="9"/>
    <n v="16.079999999999998"/>
  </r>
  <r>
    <x v="24"/>
    <x v="10"/>
    <n v="22.41"/>
  </r>
  <r>
    <x v="25"/>
    <x v="0"/>
    <n v="8.1300000000000008"/>
  </r>
  <r>
    <x v="25"/>
    <x v="1"/>
    <n v="10.65"/>
  </r>
  <r>
    <x v="25"/>
    <x v="2"/>
    <n v="10.790000000000001"/>
  </r>
  <r>
    <x v="25"/>
    <x v="3"/>
    <n v="17.78"/>
  </r>
  <r>
    <x v="25"/>
    <x v="4"/>
    <n v="12.500000000000002"/>
  </r>
  <r>
    <x v="25"/>
    <x v="5"/>
    <n v="14.810000000000002"/>
  </r>
  <r>
    <x v="25"/>
    <x v="6"/>
    <n v="12.260000000000002"/>
  </r>
  <r>
    <x v="25"/>
    <x v="7"/>
    <n v="9.4400000000000013"/>
  </r>
  <r>
    <x v="25"/>
    <x v="8"/>
    <n v="6.94"/>
  </r>
  <r>
    <x v="25"/>
    <x v="9"/>
    <n v="7.59"/>
  </r>
  <r>
    <x v="25"/>
    <x v="10"/>
    <n v="10.780000000000001"/>
  </r>
  <r>
    <x v="26"/>
    <x v="0"/>
    <n v="8.66"/>
  </r>
  <r>
    <x v="26"/>
    <x v="1"/>
    <n v="10.46"/>
  </r>
  <r>
    <x v="26"/>
    <x v="2"/>
    <n v="10.669999999999998"/>
  </r>
  <r>
    <x v="26"/>
    <x v="3"/>
    <n v="7.75"/>
  </r>
  <r>
    <x v="26"/>
    <x v="4"/>
    <n v="8.11"/>
  </r>
  <r>
    <x v="26"/>
    <x v="5"/>
    <n v="10.35"/>
  </r>
  <r>
    <x v="26"/>
    <x v="6"/>
    <n v="8.8099999999999987"/>
  </r>
  <r>
    <x v="26"/>
    <x v="7"/>
    <n v="7.12"/>
  </r>
  <r>
    <x v="26"/>
    <x v="8"/>
    <n v="10.440000000000001"/>
  </r>
  <r>
    <x v="26"/>
    <x v="9"/>
    <n v="10.379999999999999"/>
  </r>
  <r>
    <x v="26"/>
    <x v="10"/>
    <n v="8.370000000000001"/>
  </r>
  <r>
    <x v="27"/>
    <x v="0"/>
    <n v="7.83"/>
  </r>
  <r>
    <x v="27"/>
    <x v="1"/>
    <n v="6.02"/>
  </r>
  <r>
    <x v="27"/>
    <x v="2"/>
    <n v="7.9700000000000006"/>
  </r>
  <r>
    <x v="27"/>
    <x v="3"/>
    <n v="6.8999999999999995"/>
  </r>
  <r>
    <x v="27"/>
    <x v="4"/>
    <n v="8.59"/>
  </r>
  <r>
    <x v="27"/>
    <x v="5"/>
    <n v="9.11"/>
  </r>
  <r>
    <x v="27"/>
    <x v="6"/>
    <n v="5.91"/>
  </r>
  <r>
    <x v="27"/>
    <x v="7"/>
    <n v="8.99"/>
  </r>
  <r>
    <x v="27"/>
    <x v="8"/>
    <n v="7.98"/>
  </r>
  <r>
    <x v="27"/>
    <x v="9"/>
    <n v="7.41"/>
  </r>
  <r>
    <x v="27"/>
    <x v="10"/>
    <n v="5.32"/>
  </r>
  <r>
    <x v="28"/>
    <x v="0"/>
    <n v="10.799999999999999"/>
  </r>
  <r>
    <x v="28"/>
    <x v="1"/>
    <n v="9.2900000000000009"/>
  </r>
  <r>
    <x v="28"/>
    <x v="2"/>
    <n v="15.549999999999999"/>
  </r>
  <r>
    <x v="28"/>
    <x v="3"/>
    <n v="8.9700000000000006"/>
  </r>
  <r>
    <x v="28"/>
    <x v="4"/>
    <n v="23.66"/>
  </r>
  <r>
    <x v="28"/>
    <x v="5"/>
    <n v="18.96"/>
  </r>
  <r>
    <x v="28"/>
    <x v="6"/>
    <n v="14.669999999999998"/>
  </r>
  <r>
    <x v="28"/>
    <x v="7"/>
    <n v="14.330000000000002"/>
  </r>
  <r>
    <x v="28"/>
    <x v="8"/>
    <n v="8.83"/>
  </r>
  <r>
    <x v="28"/>
    <x v="9"/>
    <n v="9.870000000000001"/>
  </r>
  <r>
    <x v="28"/>
    <x v="10"/>
    <n v="13.84"/>
  </r>
  <r>
    <x v="29"/>
    <x v="0"/>
    <n v="24.63"/>
  </r>
  <r>
    <x v="29"/>
    <x v="1"/>
    <n v="25.520000000000003"/>
  </r>
  <r>
    <x v="29"/>
    <x v="2"/>
    <n v="18.100000000000001"/>
  </r>
  <r>
    <x v="29"/>
    <x v="3"/>
    <n v="23.650000000000002"/>
  </r>
  <r>
    <x v="29"/>
    <x v="4"/>
    <n v="26.65"/>
  </r>
  <r>
    <x v="29"/>
    <x v="5"/>
    <n v="19.86"/>
  </r>
  <r>
    <x v="29"/>
    <x v="6"/>
    <n v="21.56"/>
  </r>
  <r>
    <x v="29"/>
    <x v="7"/>
    <n v="20.930000000000003"/>
  </r>
  <r>
    <x v="29"/>
    <x v="8"/>
    <n v="34.68"/>
  </r>
  <r>
    <x v="29"/>
    <x v="9"/>
    <n v="23.58"/>
  </r>
  <r>
    <x v="29"/>
    <x v="10"/>
    <n v="15.05"/>
  </r>
  <r>
    <x v="30"/>
    <x v="0"/>
    <n v="27.810000000000002"/>
  </r>
  <r>
    <x v="30"/>
    <x v="1"/>
    <n v="22.950000000000003"/>
  </r>
  <r>
    <x v="30"/>
    <x v="2"/>
    <n v="18.419999999999998"/>
  </r>
  <r>
    <x v="30"/>
    <x v="3"/>
    <n v="17.21"/>
  </r>
  <r>
    <x v="30"/>
    <x v="4"/>
    <n v="25.91"/>
  </r>
  <r>
    <x v="30"/>
    <x v="5"/>
    <n v="20.799999999999997"/>
  </r>
  <r>
    <x v="30"/>
    <x v="6"/>
    <n v="19.32"/>
  </r>
  <r>
    <x v="30"/>
    <x v="7"/>
    <n v="25.009999999999998"/>
  </r>
  <r>
    <x v="30"/>
    <x v="8"/>
    <n v="25.820000000000004"/>
  </r>
  <r>
    <x v="30"/>
    <x v="9"/>
    <n v="19.36"/>
  </r>
  <r>
    <x v="30"/>
    <x v="10"/>
    <n v="20.67"/>
  </r>
  <r>
    <x v="31"/>
    <x v="0"/>
    <n v="11.55"/>
  </r>
  <r>
    <x v="31"/>
    <x v="1"/>
    <n v="12.899999999999999"/>
  </r>
  <r>
    <x v="31"/>
    <x v="2"/>
    <n v="12.65"/>
  </r>
  <r>
    <x v="31"/>
    <x v="3"/>
    <n v="9.92"/>
  </r>
  <r>
    <x v="31"/>
    <x v="4"/>
    <n v="10.46"/>
  </r>
  <r>
    <x v="31"/>
    <x v="5"/>
    <n v="14.35"/>
  </r>
  <r>
    <x v="31"/>
    <x v="6"/>
    <n v="14.060000000000002"/>
  </r>
  <r>
    <x v="31"/>
    <x v="7"/>
    <n v="9.6300000000000008"/>
  </r>
  <r>
    <x v="31"/>
    <x v="8"/>
    <n v="20.700000000000003"/>
  </r>
  <r>
    <x v="31"/>
    <x v="9"/>
    <n v="12.53"/>
  </r>
  <r>
    <x v="31"/>
    <x v="10"/>
    <n v="10.94"/>
  </r>
  <r>
    <x v="32"/>
    <x v="0"/>
    <n v="14.54"/>
  </r>
  <r>
    <x v="32"/>
    <x v="1"/>
    <n v="17.899999999999999"/>
  </r>
  <r>
    <x v="32"/>
    <x v="2"/>
    <n v="16.599999999999998"/>
  </r>
  <r>
    <x v="32"/>
    <x v="3"/>
    <n v="14.73"/>
  </r>
  <r>
    <x v="32"/>
    <x v="4"/>
    <n v="12.78"/>
  </r>
  <r>
    <x v="32"/>
    <x v="5"/>
    <n v="15.660000000000002"/>
  </r>
  <r>
    <x v="32"/>
    <x v="6"/>
    <n v="12.68"/>
  </r>
  <r>
    <x v="32"/>
    <x v="7"/>
    <n v="14.69"/>
  </r>
  <r>
    <x v="32"/>
    <x v="8"/>
    <n v="15.29"/>
  </r>
  <r>
    <x v="32"/>
    <x v="9"/>
    <n v="18.029999999999998"/>
  </r>
  <r>
    <x v="32"/>
    <x v="10"/>
    <n v="15.07"/>
  </r>
  <r>
    <x v="33"/>
    <x v="0"/>
    <n v="10.02"/>
  </r>
  <r>
    <x v="33"/>
    <x v="1"/>
    <n v="17.149999999999999"/>
  </r>
  <r>
    <x v="33"/>
    <x v="2"/>
    <n v="14.600000000000001"/>
  </r>
  <r>
    <x v="33"/>
    <x v="3"/>
    <n v="12.379999999999999"/>
  </r>
  <r>
    <x v="33"/>
    <x v="4"/>
    <n v="11.969999999999999"/>
  </r>
  <r>
    <x v="33"/>
    <x v="5"/>
    <n v="12.219999999999999"/>
  </r>
  <r>
    <x v="33"/>
    <x v="6"/>
    <n v="13.19"/>
  </r>
  <r>
    <x v="33"/>
    <x v="7"/>
    <n v="16.740000000000002"/>
  </r>
  <r>
    <x v="33"/>
    <x v="8"/>
    <n v="19.47"/>
  </r>
  <r>
    <x v="33"/>
    <x v="9"/>
    <n v="13.900000000000002"/>
  </r>
  <r>
    <x v="33"/>
    <x v="10"/>
    <n v="15.52"/>
  </r>
  <r>
    <x v="34"/>
    <x v="0"/>
    <n v="41.2"/>
  </r>
  <r>
    <x v="34"/>
    <x v="1"/>
    <n v="30.740000000000002"/>
  </r>
  <r>
    <x v="34"/>
    <x v="2"/>
    <n v="26.779999999999998"/>
  </r>
  <r>
    <x v="34"/>
    <x v="3"/>
    <n v="29.93"/>
  </r>
  <r>
    <x v="34"/>
    <x v="4"/>
    <n v="34.660000000000004"/>
  </r>
  <r>
    <x v="34"/>
    <x v="5"/>
    <n v="39.28"/>
  </r>
  <r>
    <x v="34"/>
    <x v="6"/>
    <n v="38.939999999999991"/>
  </r>
  <r>
    <x v="34"/>
    <x v="7"/>
    <n v="32.19"/>
  </r>
  <r>
    <x v="34"/>
    <x v="8"/>
    <n v="28.39"/>
  </r>
  <r>
    <x v="34"/>
    <x v="9"/>
    <n v="32.880000000000003"/>
  </r>
  <r>
    <x v="34"/>
    <x v="10"/>
    <n v="25.53"/>
  </r>
  <r>
    <x v="35"/>
    <x v="0"/>
    <n v="19.02"/>
  </r>
  <r>
    <x v="35"/>
    <x v="1"/>
    <n v="13.01"/>
  </r>
  <r>
    <x v="35"/>
    <x v="2"/>
    <n v="12.37"/>
  </r>
  <r>
    <x v="35"/>
    <x v="3"/>
    <n v="23.74"/>
  </r>
  <r>
    <x v="35"/>
    <x v="4"/>
    <n v="24.56"/>
  </r>
  <r>
    <x v="35"/>
    <x v="5"/>
    <n v="22.619999999999997"/>
  </r>
  <r>
    <x v="35"/>
    <x v="6"/>
    <n v="22.9"/>
  </r>
  <r>
    <x v="35"/>
    <x v="7"/>
    <n v="14.169999999999998"/>
  </r>
  <r>
    <x v="35"/>
    <x v="8"/>
    <n v="23.569999999999997"/>
  </r>
  <r>
    <x v="35"/>
    <x v="9"/>
    <n v="22.700000000000003"/>
  </r>
  <r>
    <x v="35"/>
    <x v="10"/>
    <n v="17.009999999999998"/>
  </r>
  <r>
    <x v="36"/>
    <x v="0"/>
    <n v="59.489999999999995"/>
  </r>
  <r>
    <x v="36"/>
    <x v="1"/>
    <n v="35.17"/>
  </r>
  <r>
    <x v="36"/>
    <x v="2"/>
    <n v="32.81"/>
  </r>
  <r>
    <x v="36"/>
    <x v="3"/>
    <n v="46.449999999999989"/>
  </r>
  <r>
    <x v="36"/>
    <x v="4"/>
    <n v="36.869999999999997"/>
  </r>
  <r>
    <x v="36"/>
    <x v="5"/>
    <n v="32.35"/>
  </r>
  <r>
    <x v="36"/>
    <x v="6"/>
    <n v="37.14"/>
  </r>
  <r>
    <x v="36"/>
    <x v="7"/>
    <n v="26.86"/>
  </r>
  <r>
    <x v="36"/>
    <x v="8"/>
    <n v="36.76"/>
  </r>
  <r>
    <x v="36"/>
    <x v="9"/>
    <n v="38.68"/>
  </r>
  <r>
    <x v="36"/>
    <x v="10"/>
    <n v="32.33"/>
  </r>
  <r>
    <x v="37"/>
    <x v="0"/>
    <n v="7.6700000000000008"/>
  </r>
  <r>
    <x v="37"/>
    <x v="1"/>
    <n v="11.280000000000001"/>
  </r>
  <r>
    <x v="37"/>
    <x v="2"/>
    <n v="8.8999999999999986"/>
  </r>
  <r>
    <x v="37"/>
    <x v="3"/>
    <n v="8.1999999999999993"/>
  </r>
  <r>
    <x v="37"/>
    <x v="4"/>
    <n v="10.15"/>
  </r>
  <r>
    <x v="37"/>
    <x v="5"/>
    <n v="6.45"/>
  </r>
  <r>
    <x v="37"/>
    <x v="6"/>
    <n v="9.8899999999999988"/>
  </r>
  <r>
    <x v="37"/>
    <x v="7"/>
    <n v="8.57"/>
  </r>
  <r>
    <x v="37"/>
    <x v="8"/>
    <n v="9.3099999999999987"/>
  </r>
  <r>
    <x v="37"/>
    <x v="9"/>
    <n v="4.72"/>
  </r>
  <r>
    <x v="37"/>
    <x v="10"/>
    <n v="12.65"/>
  </r>
  <r>
    <x v="38"/>
    <x v="0"/>
    <n v="10.77"/>
  </r>
  <r>
    <x v="38"/>
    <x v="1"/>
    <n v="9.09"/>
  </r>
  <r>
    <x v="38"/>
    <x v="2"/>
    <n v="10.74"/>
  </r>
  <r>
    <x v="38"/>
    <x v="3"/>
    <n v="6.06"/>
  </r>
  <r>
    <x v="38"/>
    <x v="4"/>
    <n v="12.64"/>
  </r>
  <r>
    <x v="38"/>
    <x v="5"/>
    <n v="14.44"/>
  </r>
  <r>
    <x v="38"/>
    <x v="6"/>
    <n v="13.67"/>
  </r>
  <r>
    <x v="38"/>
    <x v="7"/>
    <n v="12.91"/>
  </r>
  <r>
    <x v="38"/>
    <x v="8"/>
    <n v="9.6699999999999982"/>
  </r>
  <r>
    <x v="38"/>
    <x v="9"/>
    <n v="7.129999999999999"/>
  </r>
  <r>
    <x v="38"/>
    <x v="10"/>
    <n v="8.14"/>
  </r>
  <r>
    <x v="39"/>
    <x v="0"/>
    <n v="14.649999999999999"/>
  </r>
  <r>
    <x v="39"/>
    <x v="1"/>
    <n v="16.649999999999999"/>
  </r>
  <r>
    <x v="39"/>
    <x v="2"/>
    <n v="14.84"/>
  </r>
  <r>
    <x v="39"/>
    <x v="3"/>
    <n v="15.51"/>
  </r>
  <r>
    <x v="39"/>
    <x v="4"/>
    <n v="17.57"/>
  </r>
  <r>
    <x v="39"/>
    <x v="5"/>
    <n v="14.719999999999999"/>
  </r>
  <r>
    <x v="39"/>
    <x v="6"/>
    <n v="13.7"/>
  </r>
  <r>
    <x v="39"/>
    <x v="7"/>
    <n v="13.079999999999998"/>
  </r>
  <r>
    <x v="39"/>
    <x v="8"/>
    <n v="17.100000000000001"/>
  </r>
  <r>
    <x v="39"/>
    <x v="9"/>
    <n v="14.12"/>
  </r>
  <r>
    <x v="39"/>
    <x v="10"/>
    <n v="14.14"/>
  </r>
  <r>
    <x v="40"/>
    <x v="0"/>
    <n v="19"/>
  </r>
  <r>
    <x v="40"/>
    <x v="1"/>
    <n v="15.089999999999998"/>
  </r>
  <r>
    <x v="40"/>
    <x v="2"/>
    <n v="10.71"/>
  </r>
  <r>
    <x v="40"/>
    <x v="3"/>
    <n v="18.190000000000001"/>
  </r>
  <r>
    <x v="40"/>
    <x v="4"/>
    <n v="12.850000000000001"/>
  </r>
  <r>
    <x v="40"/>
    <x v="5"/>
    <n v="10.049999999999999"/>
  </r>
  <r>
    <x v="40"/>
    <x v="6"/>
    <n v="17.71"/>
  </r>
  <r>
    <x v="40"/>
    <x v="7"/>
    <n v="17.689999999999998"/>
  </r>
  <r>
    <x v="40"/>
    <x v="8"/>
    <n v="20.149999999999999"/>
  </r>
  <r>
    <x v="40"/>
    <x v="9"/>
    <n v="16.16"/>
  </r>
  <r>
    <x v="40"/>
    <x v="10"/>
    <n v="14.77"/>
  </r>
  <r>
    <x v="41"/>
    <x v="0"/>
    <n v="5.59"/>
  </r>
  <r>
    <x v="41"/>
    <x v="1"/>
    <n v="7.74"/>
  </r>
  <r>
    <x v="41"/>
    <x v="2"/>
    <n v="2.91"/>
  </r>
  <r>
    <x v="41"/>
    <x v="3"/>
    <n v="5.34"/>
  </r>
  <r>
    <x v="41"/>
    <x v="4"/>
    <n v="3.95"/>
  </r>
  <r>
    <x v="41"/>
    <x v="5"/>
    <n v="5.07"/>
  </r>
  <r>
    <x v="41"/>
    <x v="6"/>
    <n v="2.79"/>
  </r>
  <r>
    <x v="41"/>
    <x v="7"/>
    <n v="5.63"/>
  </r>
  <r>
    <x v="41"/>
    <x v="8"/>
    <n v="5.64"/>
  </r>
  <r>
    <x v="41"/>
    <x v="9"/>
    <n v="3.88"/>
  </r>
  <r>
    <x v="41"/>
    <x v="10"/>
    <n v="6.8999999999999995"/>
  </r>
  <r>
    <x v="42"/>
    <x v="0"/>
    <n v="22.009999999999998"/>
  </r>
  <r>
    <x v="42"/>
    <x v="1"/>
    <n v="14.329999999999998"/>
  </r>
  <r>
    <x v="42"/>
    <x v="2"/>
    <n v="17.119999999999997"/>
  </r>
  <r>
    <x v="42"/>
    <x v="3"/>
    <n v="12.31"/>
  </r>
  <r>
    <x v="42"/>
    <x v="4"/>
    <n v="23.220000000000002"/>
  </r>
  <r>
    <x v="42"/>
    <x v="5"/>
    <n v="14.379999999999999"/>
  </r>
  <r>
    <x v="42"/>
    <x v="6"/>
    <n v="14.86"/>
  </r>
  <r>
    <x v="42"/>
    <x v="7"/>
    <n v="10.14"/>
  </r>
  <r>
    <x v="42"/>
    <x v="8"/>
    <n v="17.170000000000002"/>
  </r>
  <r>
    <x v="42"/>
    <x v="9"/>
    <n v="12.39"/>
  </r>
  <r>
    <x v="42"/>
    <x v="10"/>
    <n v="15.740000000000002"/>
  </r>
  <r>
    <x v="43"/>
    <x v="0"/>
    <n v="41.930000000000007"/>
  </r>
  <r>
    <x v="43"/>
    <x v="1"/>
    <n v="27.790000000000006"/>
  </r>
  <r>
    <x v="43"/>
    <x v="2"/>
    <n v="25.759999999999998"/>
  </r>
  <r>
    <x v="43"/>
    <x v="3"/>
    <n v="25.960000000000004"/>
  </r>
  <r>
    <x v="43"/>
    <x v="4"/>
    <n v="39.560000000000009"/>
  </r>
  <r>
    <x v="43"/>
    <x v="5"/>
    <n v="34.120000000000005"/>
  </r>
  <r>
    <x v="43"/>
    <x v="6"/>
    <n v="37.659999999999997"/>
  </r>
  <r>
    <x v="43"/>
    <x v="7"/>
    <n v="29.060000000000006"/>
  </r>
  <r>
    <x v="43"/>
    <x v="8"/>
    <n v="29.419999999999998"/>
  </r>
  <r>
    <x v="43"/>
    <x v="9"/>
    <n v="30.690000000000005"/>
  </r>
  <r>
    <x v="43"/>
    <x v="10"/>
    <n v="35.04"/>
  </r>
  <r>
    <x v="44"/>
    <x v="0"/>
    <n v="5.26"/>
  </r>
  <r>
    <x v="44"/>
    <x v="1"/>
    <n v="5.1999999999999993"/>
  </r>
  <r>
    <x v="44"/>
    <x v="2"/>
    <n v="3.7"/>
  </r>
  <r>
    <x v="44"/>
    <x v="3"/>
    <n v="8.1100000000000012"/>
  </r>
  <r>
    <x v="44"/>
    <x v="4"/>
    <n v="6.04"/>
  </r>
  <r>
    <x v="44"/>
    <x v="5"/>
    <n v="8.7899999999999991"/>
  </r>
  <r>
    <x v="44"/>
    <x v="6"/>
    <n v="5.7299999999999995"/>
  </r>
  <r>
    <x v="44"/>
    <x v="7"/>
    <n v="5.4600000000000009"/>
  </r>
  <r>
    <x v="44"/>
    <x v="8"/>
    <n v="5.1899999999999995"/>
  </r>
  <r>
    <x v="44"/>
    <x v="9"/>
    <n v="3.63"/>
  </r>
  <r>
    <x v="44"/>
    <x v="10"/>
    <n v="3.7800000000000002"/>
  </r>
  <r>
    <x v="45"/>
    <x v="0"/>
    <n v="15.75"/>
  </r>
  <r>
    <x v="45"/>
    <x v="1"/>
    <n v="13.14"/>
  </r>
  <r>
    <x v="45"/>
    <x v="2"/>
    <n v="9.9400000000000013"/>
  </r>
  <r>
    <x v="45"/>
    <x v="3"/>
    <n v="16.12"/>
  </r>
  <r>
    <x v="45"/>
    <x v="4"/>
    <n v="15.349999999999998"/>
  </r>
  <r>
    <x v="45"/>
    <x v="5"/>
    <n v="12.030000000000001"/>
  </r>
  <r>
    <x v="45"/>
    <x v="6"/>
    <n v="13.2"/>
  </r>
  <r>
    <x v="45"/>
    <x v="7"/>
    <n v="12.12"/>
  </r>
  <r>
    <x v="45"/>
    <x v="8"/>
    <n v="12.97"/>
  </r>
  <r>
    <x v="45"/>
    <x v="9"/>
    <n v="8.8999999999999986"/>
  </r>
  <r>
    <x v="45"/>
    <x v="10"/>
    <n v="15.180000000000001"/>
  </r>
  <r>
    <x v="46"/>
    <x v="0"/>
    <n v="6.85"/>
  </r>
  <r>
    <x v="46"/>
    <x v="1"/>
    <n v="5.53"/>
  </r>
  <r>
    <x v="46"/>
    <x v="2"/>
    <n v="7.1999999999999993"/>
  </r>
  <r>
    <x v="46"/>
    <x v="3"/>
    <n v="9.33"/>
  </r>
  <r>
    <x v="46"/>
    <x v="4"/>
    <n v="10.030000000000001"/>
  </r>
  <r>
    <x v="46"/>
    <x v="5"/>
    <n v="4.9000000000000004"/>
  </r>
  <r>
    <x v="46"/>
    <x v="6"/>
    <n v="6.87"/>
  </r>
  <r>
    <x v="46"/>
    <x v="7"/>
    <n v="4.67"/>
  </r>
  <r>
    <x v="46"/>
    <x v="8"/>
    <n v="3.86"/>
  </r>
  <r>
    <x v="46"/>
    <x v="9"/>
    <n v="5.01"/>
  </r>
  <r>
    <x v="46"/>
    <x v="10"/>
    <n v="6.1400000000000006"/>
  </r>
  <r>
    <x v="47"/>
    <x v="0"/>
    <n v="11.100000000000001"/>
  </r>
  <r>
    <x v="47"/>
    <x v="1"/>
    <n v="12.629999999999999"/>
  </r>
  <r>
    <x v="47"/>
    <x v="2"/>
    <n v="11.18"/>
  </r>
  <r>
    <x v="47"/>
    <x v="3"/>
    <n v="12.36"/>
  </r>
  <r>
    <x v="47"/>
    <x v="4"/>
    <n v="10.360000000000001"/>
  </r>
  <r>
    <x v="47"/>
    <x v="5"/>
    <n v="11.15"/>
  </r>
  <r>
    <x v="47"/>
    <x v="6"/>
    <n v="16.3"/>
  </r>
  <r>
    <x v="47"/>
    <x v="7"/>
    <n v="10.5"/>
  </r>
  <r>
    <x v="47"/>
    <x v="8"/>
    <n v="11.379999999999999"/>
  </r>
  <r>
    <x v="47"/>
    <x v="9"/>
    <n v="9.66"/>
  </r>
  <r>
    <x v="47"/>
    <x v="10"/>
    <n v="9.18"/>
  </r>
  <r>
    <x v="48"/>
    <x v="0"/>
    <n v="12.26"/>
  </r>
  <r>
    <x v="48"/>
    <x v="1"/>
    <n v="14.620000000000001"/>
  </r>
  <r>
    <x v="48"/>
    <x v="2"/>
    <n v="11.54"/>
  </r>
  <r>
    <x v="48"/>
    <x v="3"/>
    <n v="8.94"/>
  </r>
  <r>
    <x v="48"/>
    <x v="4"/>
    <n v="10.199999999999999"/>
  </r>
  <r>
    <x v="48"/>
    <x v="5"/>
    <n v="9.89"/>
  </r>
  <r>
    <x v="48"/>
    <x v="6"/>
    <n v="10.209999999999999"/>
  </r>
  <r>
    <x v="48"/>
    <x v="7"/>
    <n v="8.5400000000000009"/>
  </r>
  <r>
    <x v="48"/>
    <x v="8"/>
    <n v="8.9700000000000006"/>
  </r>
  <r>
    <x v="48"/>
    <x v="9"/>
    <n v="8.31"/>
  </r>
  <r>
    <x v="48"/>
    <x v="10"/>
    <n v="10.419999999999998"/>
  </r>
  <r>
    <x v="49"/>
    <x v="0"/>
    <n v="14.479999999999999"/>
  </r>
  <r>
    <x v="49"/>
    <x v="1"/>
    <n v="18.93"/>
  </r>
  <r>
    <x v="49"/>
    <x v="2"/>
    <n v="13.209999999999999"/>
  </r>
  <r>
    <x v="49"/>
    <x v="3"/>
    <n v="12.620000000000001"/>
  </r>
  <r>
    <x v="49"/>
    <x v="4"/>
    <n v="18.059999999999999"/>
  </r>
  <r>
    <x v="49"/>
    <x v="5"/>
    <n v="13.700000000000001"/>
  </r>
  <r>
    <x v="49"/>
    <x v="6"/>
    <n v="13.21"/>
  </r>
  <r>
    <x v="49"/>
    <x v="7"/>
    <n v="11.54"/>
  </r>
  <r>
    <x v="49"/>
    <x v="8"/>
    <n v="11.67"/>
  </r>
  <r>
    <x v="49"/>
    <x v="9"/>
    <n v="16.95"/>
  </r>
  <r>
    <x v="49"/>
    <x v="10"/>
    <n v="15.280000000000001"/>
  </r>
  <r>
    <x v="50"/>
    <x v="0"/>
    <n v="20.77"/>
  </r>
  <r>
    <x v="50"/>
    <x v="3"/>
    <n v="15.669999999999998"/>
  </r>
  <r>
    <x v="50"/>
    <x v="4"/>
    <n v="14.59"/>
  </r>
  <r>
    <x v="50"/>
    <x v="5"/>
    <n v="24.77"/>
  </r>
  <r>
    <x v="50"/>
    <x v="6"/>
    <n v="14.13"/>
  </r>
  <r>
    <x v="50"/>
    <x v="7"/>
    <n v="11.120000000000001"/>
  </r>
  <r>
    <x v="50"/>
    <x v="8"/>
    <n v="14.799999999999999"/>
  </r>
  <r>
    <x v="50"/>
    <x v="10"/>
    <n v="7.04"/>
  </r>
  <r>
    <x v="51"/>
    <x v="0"/>
    <n v="17.200000000000003"/>
  </r>
  <r>
    <x v="51"/>
    <x v="1"/>
    <n v="9.6999999999999993"/>
  </r>
  <r>
    <x v="51"/>
    <x v="2"/>
    <n v="12.879999999999999"/>
  </r>
  <r>
    <x v="51"/>
    <x v="3"/>
    <n v="12.58"/>
  </r>
  <r>
    <x v="51"/>
    <x v="4"/>
    <n v="10.86"/>
  </r>
  <r>
    <x v="51"/>
    <x v="5"/>
    <n v="13.37"/>
  </r>
  <r>
    <x v="51"/>
    <x v="6"/>
    <n v="13.959999999999999"/>
  </r>
  <r>
    <x v="51"/>
    <x v="7"/>
    <n v="12.02"/>
  </r>
  <r>
    <x v="51"/>
    <x v="8"/>
    <n v="12.25"/>
  </r>
  <r>
    <x v="51"/>
    <x v="9"/>
    <n v="16.899999999999999"/>
  </r>
  <r>
    <x v="51"/>
    <x v="10"/>
    <n v="15.84"/>
  </r>
  <r>
    <x v="52"/>
    <x v="0"/>
    <n v="10.23"/>
  </r>
  <r>
    <x v="52"/>
    <x v="1"/>
    <n v="12.21"/>
  </r>
  <r>
    <x v="52"/>
    <x v="2"/>
    <n v="13.63"/>
  </r>
  <r>
    <x v="52"/>
    <x v="3"/>
    <n v="15.760000000000002"/>
  </r>
  <r>
    <x v="52"/>
    <x v="4"/>
    <n v="14.239999999999998"/>
  </r>
  <r>
    <x v="52"/>
    <x v="5"/>
    <n v="21.42"/>
  </r>
  <r>
    <x v="52"/>
    <x v="6"/>
    <n v="16.029999999999998"/>
  </r>
  <r>
    <x v="52"/>
    <x v="7"/>
    <n v="17.39"/>
  </r>
  <r>
    <x v="52"/>
    <x v="8"/>
    <n v="10.130000000000001"/>
  </r>
  <r>
    <x v="52"/>
    <x v="9"/>
    <n v="11.78"/>
  </r>
  <r>
    <x v="52"/>
    <x v="10"/>
    <n v="15.81"/>
  </r>
  <r>
    <x v="53"/>
    <x v="0"/>
    <n v="7.9799999999999995"/>
  </r>
  <r>
    <x v="53"/>
    <x v="1"/>
    <n v="5.05"/>
  </r>
  <r>
    <x v="53"/>
    <x v="2"/>
    <n v="6.9"/>
  </r>
  <r>
    <x v="53"/>
    <x v="3"/>
    <n v="5.3900000000000006"/>
  </r>
  <r>
    <x v="53"/>
    <x v="4"/>
    <n v="7.63"/>
  </r>
  <r>
    <x v="53"/>
    <x v="5"/>
    <n v="9.9300000000000015"/>
  </r>
  <r>
    <x v="53"/>
    <x v="6"/>
    <n v="8.98"/>
  </r>
  <r>
    <x v="53"/>
    <x v="7"/>
    <n v="8.3099999999999987"/>
  </r>
  <r>
    <x v="53"/>
    <x v="8"/>
    <n v="13.5"/>
  </r>
  <r>
    <x v="53"/>
    <x v="9"/>
    <n v="7.72"/>
  </r>
  <r>
    <x v="53"/>
    <x v="10"/>
    <n v="7.72"/>
  </r>
  <r>
    <x v="54"/>
    <x v="0"/>
    <n v="20.420000000000002"/>
  </r>
  <r>
    <x v="54"/>
    <x v="1"/>
    <n v="27.580000000000002"/>
  </r>
  <r>
    <x v="54"/>
    <x v="2"/>
    <n v="30.89"/>
  </r>
  <r>
    <x v="54"/>
    <x v="3"/>
    <n v="26.349999999999998"/>
  </r>
  <r>
    <x v="54"/>
    <x v="4"/>
    <n v="27.790000000000003"/>
  </r>
  <r>
    <x v="54"/>
    <x v="5"/>
    <n v="35.479999999999997"/>
  </r>
  <r>
    <x v="54"/>
    <x v="6"/>
    <n v="21.57"/>
  </r>
  <r>
    <x v="54"/>
    <x v="7"/>
    <n v="22.8"/>
  </r>
  <r>
    <x v="54"/>
    <x v="8"/>
    <n v="26.83"/>
  </r>
  <r>
    <x v="54"/>
    <x v="9"/>
    <n v="29.240000000000002"/>
  </r>
  <r>
    <x v="54"/>
    <x v="10"/>
    <n v="26.76"/>
  </r>
  <r>
    <x v="55"/>
    <x v="0"/>
    <n v="29.47"/>
  </r>
  <r>
    <x v="55"/>
    <x v="1"/>
    <n v="24.37"/>
  </r>
  <r>
    <x v="55"/>
    <x v="2"/>
    <n v="17.12"/>
  </r>
  <r>
    <x v="55"/>
    <x v="3"/>
    <n v="22.979999999999997"/>
  </r>
  <r>
    <x v="55"/>
    <x v="4"/>
    <n v="22.070000000000004"/>
  </r>
  <r>
    <x v="55"/>
    <x v="5"/>
    <n v="37.340000000000003"/>
  </r>
  <r>
    <x v="55"/>
    <x v="6"/>
    <n v="21.57"/>
  </r>
  <r>
    <x v="55"/>
    <x v="7"/>
    <n v="26.17"/>
  </r>
  <r>
    <x v="55"/>
    <x v="8"/>
    <n v="26.96"/>
  </r>
  <r>
    <x v="55"/>
    <x v="9"/>
    <n v="22.04"/>
  </r>
  <r>
    <x v="55"/>
    <x v="10"/>
    <n v="27.77"/>
  </r>
  <r>
    <x v="56"/>
    <x v="0"/>
    <n v="17.02"/>
  </r>
  <r>
    <x v="56"/>
    <x v="1"/>
    <n v="18.54"/>
  </r>
  <r>
    <x v="56"/>
    <x v="2"/>
    <n v="19.489999999999998"/>
  </r>
  <r>
    <x v="56"/>
    <x v="3"/>
    <n v="19.18"/>
  </r>
  <r>
    <x v="56"/>
    <x v="4"/>
    <n v="19.46"/>
  </r>
  <r>
    <x v="56"/>
    <x v="5"/>
    <n v="22.67"/>
  </r>
  <r>
    <x v="56"/>
    <x v="6"/>
    <n v="26.950000000000003"/>
  </r>
  <r>
    <x v="56"/>
    <x v="7"/>
    <n v="21.61"/>
  </r>
  <r>
    <x v="56"/>
    <x v="8"/>
    <n v="17.419999999999998"/>
  </r>
  <r>
    <x v="56"/>
    <x v="9"/>
    <n v="17.84"/>
  </r>
  <r>
    <x v="56"/>
    <x v="10"/>
    <n v="15.259999999999998"/>
  </r>
  <r>
    <x v="57"/>
    <x v="0"/>
    <n v="11.909999999999998"/>
  </r>
  <r>
    <x v="57"/>
    <x v="1"/>
    <n v="21.75"/>
  </r>
  <r>
    <x v="57"/>
    <x v="2"/>
    <n v="15.84"/>
  </r>
  <r>
    <x v="57"/>
    <x v="3"/>
    <n v="13.82"/>
  </r>
  <r>
    <x v="57"/>
    <x v="4"/>
    <n v="18.260000000000002"/>
  </r>
  <r>
    <x v="57"/>
    <x v="5"/>
    <n v="13.06"/>
  </r>
  <r>
    <x v="57"/>
    <x v="6"/>
    <n v="14.61"/>
  </r>
  <r>
    <x v="57"/>
    <x v="7"/>
    <n v="14.440000000000001"/>
  </r>
  <r>
    <x v="57"/>
    <x v="8"/>
    <n v="12.56"/>
  </r>
  <r>
    <x v="57"/>
    <x v="9"/>
    <n v="14.35"/>
  </r>
  <r>
    <x v="57"/>
    <x v="10"/>
    <n v="15.17"/>
  </r>
  <r>
    <x v="58"/>
    <x v="0"/>
    <n v="14.29"/>
  </r>
  <r>
    <x v="58"/>
    <x v="1"/>
    <n v="5.17"/>
  </r>
  <r>
    <x v="58"/>
    <x v="2"/>
    <n v="6.1"/>
  </r>
  <r>
    <x v="58"/>
    <x v="3"/>
    <n v="5.7099999999999991"/>
  </r>
  <r>
    <x v="58"/>
    <x v="4"/>
    <n v="7.46"/>
  </r>
  <r>
    <x v="58"/>
    <x v="5"/>
    <n v="5.59"/>
  </r>
  <r>
    <x v="58"/>
    <x v="6"/>
    <n v="2.99"/>
  </r>
  <r>
    <x v="58"/>
    <x v="10"/>
    <n v="4.63"/>
  </r>
  <r>
    <x v="59"/>
    <x v="0"/>
    <n v="7.54"/>
  </r>
  <r>
    <x v="59"/>
    <x v="1"/>
    <n v="5.67"/>
  </r>
  <r>
    <x v="59"/>
    <x v="2"/>
    <n v="7.88"/>
  </r>
  <r>
    <x v="59"/>
    <x v="3"/>
    <n v="8.18"/>
  </r>
  <r>
    <x v="59"/>
    <x v="4"/>
    <n v="10.06"/>
  </r>
  <r>
    <x v="59"/>
    <x v="5"/>
    <n v="9.9699999999999989"/>
  </r>
  <r>
    <x v="59"/>
    <x v="6"/>
    <n v="7.79"/>
  </r>
  <r>
    <x v="59"/>
    <x v="7"/>
    <n v="7.2700000000000005"/>
  </r>
  <r>
    <x v="59"/>
    <x v="8"/>
    <n v="6.8599999999999994"/>
  </r>
  <r>
    <x v="59"/>
    <x v="9"/>
    <n v="8.6700000000000017"/>
  </r>
  <r>
    <x v="59"/>
    <x v="10"/>
    <n v="7.09"/>
  </r>
  <r>
    <x v="60"/>
    <x v="0"/>
    <n v="2.31"/>
  </r>
  <r>
    <x v="60"/>
    <x v="1"/>
    <n v="11.22"/>
  </r>
  <r>
    <x v="60"/>
    <x v="2"/>
    <n v="10.43"/>
  </r>
  <r>
    <x v="60"/>
    <x v="3"/>
    <n v="8"/>
  </r>
  <r>
    <x v="60"/>
    <x v="4"/>
    <n v="6.46"/>
  </r>
  <r>
    <x v="60"/>
    <x v="5"/>
    <n v="3.7199999999999998"/>
  </r>
  <r>
    <x v="60"/>
    <x v="6"/>
    <n v="7.4"/>
  </r>
  <r>
    <x v="60"/>
    <x v="7"/>
    <n v="7.83"/>
  </r>
  <r>
    <x v="60"/>
    <x v="8"/>
    <n v="7.28"/>
  </r>
  <r>
    <x v="60"/>
    <x v="9"/>
    <n v="9.7799999999999994"/>
  </r>
  <r>
    <x v="60"/>
    <x v="10"/>
    <n v="11.89"/>
  </r>
  <r>
    <x v="61"/>
    <x v="0"/>
    <n v="8.89"/>
  </r>
  <r>
    <x v="61"/>
    <x v="1"/>
    <n v="7.7299999999999995"/>
  </r>
  <r>
    <x v="61"/>
    <x v="2"/>
    <n v="10.280000000000001"/>
  </r>
  <r>
    <x v="61"/>
    <x v="3"/>
    <n v="10.87"/>
  </r>
  <r>
    <x v="61"/>
    <x v="4"/>
    <n v="13.479999999999999"/>
  </r>
  <r>
    <x v="61"/>
    <x v="5"/>
    <n v="11.59"/>
  </r>
  <r>
    <x v="61"/>
    <x v="6"/>
    <n v="14.2"/>
  </r>
  <r>
    <x v="61"/>
    <x v="7"/>
    <n v="16.14"/>
  </r>
  <r>
    <x v="61"/>
    <x v="8"/>
    <n v="11.600000000000001"/>
  </r>
  <r>
    <x v="61"/>
    <x v="9"/>
    <n v="9.44"/>
  </r>
  <r>
    <x v="61"/>
    <x v="10"/>
    <n v="7.76"/>
  </r>
  <r>
    <x v="62"/>
    <x v="0"/>
    <n v="7.02"/>
  </r>
  <r>
    <x v="62"/>
    <x v="1"/>
    <n v="7.25"/>
  </r>
  <r>
    <x v="62"/>
    <x v="2"/>
    <n v="7.6199999999999992"/>
  </r>
  <r>
    <x v="62"/>
    <x v="3"/>
    <n v="6.83"/>
  </r>
  <r>
    <x v="62"/>
    <x v="4"/>
    <n v="7.39"/>
  </r>
  <r>
    <x v="62"/>
    <x v="5"/>
    <n v="5.6999999999999993"/>
  </r>
  <r>
    <x v="62"/>
    <x v="6"/>
    <n v="7.9999999999999991"/>
  </r>
  <r>
    <x v="62"/>
    <x v="7"/>
    <n v="7.12"/>
  </r>
  <r>
    <x v="62"/>
    <x v="8"/>
    <n v="13.350000000000001"/>
  </r>
  <r>
    <x v="62"/>
    <x v="9"/>
    <n v="8.9699999999999989"/>
  </r>
  <r>
    <x v="62"/>
    <x v="10"/>
    <n v="5.79"/>
  </r>
  <r>
    <x v="63"/>
    <x v="0"/>
    <n v="20.980000000000004"/>
  </r>
  <r>
    <x v="63"/>
    <x v="1"/>
    <n v="32.919999999999995"/>
  </r>
  <r>
    <x v="63"/>
    <x v="2"/>
    <n v="12.04"/>
  </r>
  <r>
    <x v="63"/>
    <x v="3"/>
    <n v="28.640000000000004"/>
  </r>
  <r>
    <x v="63"/>
    <x v="4"/>
    <n v="22.900000000000002"/>
  </r>
  <r>
    <x v="63"/>
    <x v="5"/>
    <n v="18.12"/>
  </r>
  <r>
    <x v="63"/>
    <x v="6"/>
    <n v="23.87"/>
  </r>
  <r>
    <x v="63"/>
    <x v="7"/>
    <n v="15.399999999999999"/>
  </r>
  <r>
    <x v="63"/>
    <x v="8"/>
    <n v="32.36"/>
  </r>
  <r>
    <x v="63"/>
    <x v="9"/>
    <n v="39.949999999999996"/>
  </r>
  <r>
    <x v="63"/>
    <x v="10"/>
    <n v="29.020000000000003"/>
  </r>
  <r>
    <x v="64"/>
    <x v="0"/>
    <n v="10.129999999999999"/>
  </r>
  <r>
    <x v="64"/>
    <x v="1"/>
    <n v="8.31"/>
  </r>
  <r>
    <x v="64"/>
    <x v="2"/>
    <n v="5.6899999999999995"/>
  </r>
  <r>
    <x v="64"/>
    <x v="3"/>
    <n v="2.82"/>
  </r>
  <r>
    <x v="64"/>
    <x v="4"/>
    <n v="5.6199999999999992"/>
  </r>
  <r>
    <x v="64"/>
    <x v="5"/>
    <n v="6.32"/>
  </r>
  <r>
    <x v="64"/>
    <x v="6"/>
    <n v="6.16"/>
  </r>
  <r>
    <x v="64"/>
    <x v="7"/>
    <n v="8.1000000000000014"/>
  </r>
  <r>
    <x v="64"/>
    <x v="8"/>
    <n v="7.83"/>
  </r>
  <r>
    <x v="64"/>
    <x v="9"/>
    <n v="8.48"/>
  </r>
  <r>
    <x v="64"/>
    <x v="10"/>
    <n v="7.6"/>
  </r>
  <r>
    <x v="65"/>
    <x v="0"/>
    <n v="20.449999999999996"/>
  </r>
  <r>
    <x v="65"/>
    <x v="1"/>
    <n v="9.39"/>
  </r>
  <r>
    <x v="65"/>
    <x v="2"/>
    <n v="15.270000000000001"/>
  </r>
  <r>
    <x v="65"/>
    <x v="3"/>
    <n v="16.080000000000002"/>
  </r>
  <r>
    <x v="65"/>
    <x v="4"/>
    <n v="15.94"/>
  </r>
  <r>
    <x v="65"/>
    <x v="5"/>
    <n v="15.47"/>
  </r>
  <r>
    <x v="65"/>
    <x v="6"/>
    <n v="16.399999999999999"/>
  </r>
  <r>
    <x v="65"/>
    <x v="7"/>
    <n v="14.680000000000001"/>
  </r>
  <r>
    <x v="65"/>
    <x v="8"/>
    <n v="15.649999999999999"/>
  </r>
  <r>
    <x v="65"/>
    <x v="9"/>
    <n v="13.29"/>
  </r>
  <r>
    <x v="65"/>
    <x v="10"/>
    <n v="12.72"/>
  </r>
  <r>
    <x v="66"/>
    <x v="0"/>
    <n v="26.980000000000004"/>
  </r>
  <r>
    <x v="66"/>
    <x v="1"/>
    <n v="18.57"/>
  </r>
  <r>
    <x v="66"/>
    <x v="2"/>
    <n v="19.11"/>
  </r>
  <r>
    <x v="66"/>
    <x v="3"/>
    <n v="19.050000000000004"/>
  </r>
  <r>
    <x v="66"/>
    <x v="4"/>
    <n v="25.499999999999996"/>
  </r>
  <r>
    <x v="66"/>
    <x v="5"/>
    <n v="18.23"/>
  </r>
  <r>
    <x v="66"/>
    <x v="6"/>
    <n v="16.91"/>
  </r>
  <r>
    <x v="66"/>
    <x v="7"/>
    <n v="21.68"/>
  </r>
  <r>
    <x v="66"/>
    <x v="8"/>
    <n v="13.170000000000002"/>
  </r>
  <r>
    <x v="66"/>
    <x v="9"/>
    <n v="12.549999999999999"/>
  </r>
  <r>
    <x v="66"/>
    <x v="10"/>
    <n v="11.630000000000003"/>
  </r>
  <r>
    <x v="67"/>
    <x v="0"/>
    <n v="5.78"/>
  </r>
  <r>
    <x v="67"/>
    <x v="1"/>
    <n v="7.0600000000000005"/>
  </r>
  <r>
    <x v="67"/>
    <x v="2"/>
    <n v="7.3000000000000007"/>
  </r>
  <r>
    <x v="67"/>
    <x v="3"/>
    <n v="8.36"/>
  </r>
  <r>
    <x v="67"/>
    <x v="4"/>
    <n v="7.2899999999999991"/>
  </r>
  <r>
    <x v="67"/>
    <x v="5"/>
    <n v="5.6999999999999993"/>
  </r>
  <r>
    <x v="67"/>
    <x v="6"/>
    <n v="7.2299999999999995"/>
  </r>
  <r>
    <x v="67"/>
    <x v="7"/>
    <n v="8.77"/>
  </r>
  <r>
    <x v="67"/>
    <x v="8"/>
    <n v="5.7"/>
  </r>
  <r>
    <x v="67"/>
    <x v="9"/>
    <n v="6.43"/>
  </r>
  <r>
    <x v="67"/>
    <x v="10"/>
    <n v="6.82"/>
  </r>
  <r>
    <x v="68"/>
    <x v="0"/>
    <n v="17.100000000000001"/>
  </r>
  <r>
    <x v="68"/>
    <x v="1"/>
    <n v="18.849999999999998"/>
  </r>
  <r>
    <x v="68"/>
    <x v="2"/>
    <n v="17.830000000000002"/>
  </r>
  <r>
    <x v="68"/>
    <x v="3"/>
    <n v="23.369999999999997"/>
  </r>
  <r>
    <x v="68"/>
    <x v="4"/>
    <n v="32.75"/>
  </r>
  <r>
    <x v="68"/>
    <x v="5"/>
    <n v="14.469999999999999"/>
  </r>
  <r>
    <x v="68"/>
    <x v="6"/>
    <n v="20.459999999999997"/>
  </r>
  <r>
    <x v="68"/>
    <x v="7"/>
    <n v="15.74"/>
  </r>
  <r>
    <x v="68"/>
    <x v="8"/>
    <n v="17.86"/>
  </r>
  <r>
    <x v="68"/>
    <x v="9"/>
    <n v="20.57"/>
  </r>
  <r>
    <x v="68"/>
    <x v="10"/>
    <n v="15.07"/>
  </r>
  <r>
    <x v="69"/>
    <x v="0"/>
    <n v="12.309999999999999"/>
  </r>
  <r>
    <x v="69"/>
    <x v="1"/>
    <n v="8.23"/>
  </r>
  <r>
    <x v="69"/>
    <x v="2"/>
    <n v="12.33"/>
  </r>
  <r>
    <x v="69"/>
    <x v="3"/>
    <n v="13.61"/>
  </r>
  <r>
    <x v="69"/>
    <x v="4"/>
    <n v="9.65"/>
  </r>
  <r>
    <x v="69"/>
    <x v="5"/>
    <n v="9.92"/>
  </r>
  <r>
    <x v="69"/>
    <x v="6"/>
    <n v="10.19"/>
  </r>
  <r>
    <x v="69"/>
    <x v="7"/>
    <n v="7.74"/>
  </r>
  <r>
    <x v="69"/>
    <x v="8"/>
    <n v="9.1100000000000012"/>
  </r>
  <r>
    <x v="69"/>
    <x v="9"/>
    <n v="6.5"/>
  </r>
  <r>
    <x v="69"/>
    <x v="10"/>
    <n v="5.76"/>
  </r>
  <r>
    <x v="70"/>
    <x v="0"/>
    <n v="20.149999999999999"/>
  </r>
  <r>
    <x v="70"/>
    <x v="1"/>
    <n v="12.65"/>
  </r>
  <r>
    <x v="70"/>
    <x v="2"/>
    <n v="17.07"/>
  </r>
  <r>
    <x v="70"/>
    <x v="3"/>
    <n v="11.46"/>
  </r>
  <r>
    <x v="70"/>
    <x v="4"/>
    <n v="22.529999999999998"/>
  </r>
  <r>
    <x v="70"/>
    <x v="5"/>
    <n v="25.439999999999998"/>
  </r>
  <r>
    <x v="70"/>
    <x v="6"/>
    <n v="18.600000000000001"/>
  </r>
  <r>
    <x v="70"/>
    <x v="7"/>
    <n v="22.03"/>
  </r>
  <r>
    <x v="70"/>
    <x v="8"/>
    <n v="18.86"/>
  </r>
  <r>
    <x v="70"/>
    <x v="9"/>
    <n v="14.889999999999997"/>
  </r>
  <r>
    <x v="70"/>
    <x v="10"/>
    <n v="18.409999999999997"/>
  </r>
  <r>
    <x v="71"/>
    <x v="0"/>
    <n v="10.469999999999999"/>
  </r>
  <r>
    <x v="71"/>
    <x v="1"/>
    <n v="8.0500000000000007"/>
  </r>
  <r>
    <x v="71"/>
    <x v="2"/>
    <n v="9.129999999999999"/>
  </r>
  <r>
    <x v="71"/>
    <x v="3"/>
    <n v="13.93"/>
  </r>
  <r>
    <x v="71"/>
    <x v="4"/>
    <n v="10.17"/>
  </r>
  <r>
    <x v="71"/>
    <x v="5"/>
    <n v="8.4700000000000006"/>
  </r>
  <r>
    <x v="71"/>
    <x v="6"/>
    <n v="10.98"/>
  </r>
  <r>
    <x v="71"/>
    <x v="7"/>
    <n v="7.6899999999999995"/>
  </r>
  <r>
    <x v="71"/>
    <x v="8"/>
    <n v="5.85"/>
  </r>
  <r>
    <x v="71"/>
    <x v="9"/>
    <n v="8.5300000000000011"/>
  </r>
  <r>
    <x v="71"/>
    <x v="10"/>
    <n v="6.59"/>
  </r>
  <r>
    <x v="72"/>
    <x v="0"/>
    <n v="22.16"/>
  </r>
  <r>
    <x v="72"/>
    <x v="1"/>
    <n v="18.439999999999998"/>
  </r>
  <r>
    <x v="72"/>
    <x v="2"/>
    <n v="20.63"/>
  </r>
  <r>
    <x v="72"/>
    <x v="3"/>
    <n v="22.700000000000003"/>
  </r>
  <r>
    <x v="72"/>
    <x v="4"/>
    <n v="21.360000000000003"/>
  </r>
  <r>
    <x v="72"/>
    <x v="5"/>
    <n v="23.88"/>
  </r>
  <r>
    <x v="72"/>
    <x v="6"/>
    <n v="24.53"/>
  </r>
  <r>
    <x v="72"/>
    <x v="7"/>
    <n v="19.77"/>
  </r>
  <r>
    <x v="72"/>
    <x v="8"/>
    <n v="23.04"/>
  </r>
  <r>
    <x v="72"/>
    <x v="9"/>
    <n v="19.18"/>
  </r>
  <r>
    <x v="72"/>
    <x v="10"/>
    <n v="15.189999999999998"/>
  </r>
  <r>
    <x v="73"/>
    <x v="0"/>
    <n v="18.07"/>
  </r>
  <r>
    <x v="73"/>
    <x v="1"/>
    <n v="15.11"/>
  </r>
  <r>
    <x v="73"/>
    <x v="2"/>
    <n v="13.06"/>
  </r>
  <r>
    <x v="73"/>
    <x v="3"/>
    <n v="14.38"/>
  </r>
  <r>
    <x v="73"/>
    <x v="4"/>
    <n v="15.629999999999999"/>
  </r>
  <r>
    <x v="73"/>
    <x v="5"/>
    <n v="19.59"/>
  </r>
  <r>
    <x v="73"/>
    <x v="6"/>
    <n v="15.08"/>
  </r>
  <r>
    <x v="73"/>
    <x v="7"/>
    <n v="15.009999999999998"/>
  </r>
  <r>
    <x v="73"/>
    <x v="8"/>
    <n v="13.98"/>
  </r>
  <r>
    <x v="73"/>
    <x v="9"/>
    <n v="13.899999999999999"/>
  </r>
  <r>
    <x v="73"/>
    <x v="10"/>
    <n v="17.38"/>
  </r>
  <r>
    <x v="74"/>
    <x v="0"/>
    <n v="21.790000000000003"/>
  </r>
  <r>
    <x v="74"/>
    <x v="1"/>
    <n v="22.429999999999996"/>
  </r>
  <r>
    <x v="74"/>
    <x v="2"/>
    <n v="18.5"/>
  </r>
  <r>
    <x v="74"/>
    <x v="3"/>
    <n v="24.590000000000003"/>
  </r>
  <r>
    <x v="74"/>
    <x v="4"/>
    <n v="19.97"/>
  </r>
  <r>
    <x v="74"/>
    <x v="5"/>
    <n v="21.73"/>
  </r>
  <r>
    <x v="74"/>
    <x v="6"/>
    <n v="22.65"/>
  </r>
  <r>
    <x v="74"/>
    <x v="7"/>
    <n v="21.76"/>
  </r>
  <r>
    <x v="74"/>
    <x v="8"/>
    <n v="19.77"/>
  </r>
  <r>
    <x v="74"/>
    <x v="9"/>
    <n v="18.979999999999997"/>
  </r>
  <r>
    <x v="74"/>
    <x v="10"/>
    <n v="18.82"/>
  </r>
  <r>
    <x v="75"/>
    <x v="0"/>
    <n v="24.56"/>
  </r>
  <r>
    <x v="75"/>
    <x v="1"/>
    <n v="27.76"/>
  </r>
  <r>
    <x v="75"/>
    <x v="2"/>
    <n v="21.199999999999996"/>
  </r>
  <r>
    <x v="75"/>
    <x v="3"/>
    <n v="28.12"/>
  </r>
  <r>
    <x v="75"/>
    <x v="4"/>
    <n v="25.690000000000005"/>
  </r>
  <r>
    <x v="75"/>
    <x v="5"/>
    <n v="27.88"/>
  </r>
  <r>
    <x v="75"/>
    <x v="6"/>
    <n v="27.519999999999996"/>
  </r>
  <r>
    <x v="75"/>
    <x v="7"/>
    <n v="19.559999999999999"/>
  </r>
  <r>
    <x v="75"/>
    <x v="8"/>
    <n v="22.36"/>
  </r>
  <r>
    <x v="75"/>
    <x v="9"/>
    <n v="15.010000000000002"/>
  </r>
  <r>
    <x v="75"/>
    <x v="10"/>
    <n v="22.31"/>
  </r>
  <r>
    <x v="76"/>
    <x v="0"/>
    <n v="17.760000000000002"/>
  </r>
  <r>
    <x v="76"/>
    <x v="1"/>
    <n v="15.23"/>
  </r>
  <r>
    <x v="76"/>
    <x v="2"/>
    <n v="10.07"/>
  </r>
  <r>
    <x v="76"/>
    <x v="3"/>
    <n v="11.969999999999999"/>
  </r>
  <r>
    <x v="76"/>
    <x v="4"/>
    <n v="15.42"/>
  </r>
  <r>
    <x v="76"/>
    <x v="5"/>
    <n v="13.49"/>
  </r>
  <r>
    <x v="76"/>
    <x v="6"/>
    <n v="18.73"/>
  </r>
  <r>
    <x v="76"/>
    <x v="7"/>
    <n v="15.370000000000001"/>
  </r>
  <r>
    <x v="76"/>
    <x v="8"/>
    <n v="16.540000000000003"/>
  </r>
  <r>
    <x v="76"/>
    <x v="9"/>
    <n v="8.77"/>
  </r>
  <r>
    <x v="76"/>
    <x v="10"/>
    <n v="10.82"/>
  </r>
  <r>
    <x v="77"/>
    <x v="0"/>
    <n v="24.110000000000003"/>
  </r>
  <r>
    <x v="77"/>
    <x v="1"/>
    <n v="25.049999999999997"/>
  </r>
  <r>
    <x v="77"/>
    <x v="2"/>
    <n v="22.92"/>
  </r>
  <r>
    <x v="77"/>
    <x v="3"/>
    <n v="19.439999999999998"/>
  </r>
  <r>
    <x v="77"/>
    <x v="4"/>
    <n v="27.96"/>
  </r>
  <r>
    <x v="77"/>
    <x v="5"/>
    <n v="20.11"/>
  </r>
  <r>
    <x v="77"/>
    <x v="6"/>
    <n v="23.09"/>
  </r>
  <r>
    <x v="77"/>
    <x v="7"/>
    <n v="17.770000000000003"/>
  </r>
  <r>
    <x v="77"/>
    <x v="8"/>
    <n v="22.01"/>
  </r>
  <r>
    <x v="77"/>
    <x v="9"/>
    <n v="23.36"/>
  </r>
  <r>
    <x v="77"/>
    <x v="10"/>
    <n v="22.770000000000003"/>
  </r>
  <r>
    <x v="78"/>
    <x v="0"/>
    <n v="17.939999999999998"/>
  </r>
  <r>
    <x v="78"/>
    <x v="1"/>
    <n v="21.220000000000002"/>
  </r>
  <r>
    <x v="78"/>
    <x v="2"/>
    <n v="12.68"/>
  </r>
  <r>
    <x v="78"/>
    <x v="3"/>
    <n v="25.68"/>
  </r>
  <r>
    <x v="78"/>
    <x v="4"/>
    <n v="18.91"/>
  </r>
  <r>
    <x v="78"/>
    <x v="5"/>
    <n v="12.5"/>
  </r>
  <r>
    <x v="78"/>
    <x v="6"/>
    <n v="14.799999999999999"/>
  </r>
  <r>
    <x v="78"/>
    <x v="7"/>
    <n v="13.6"/>
  </r>
  <r>
    <x v="78"/>
    <x v="8"/>
    <n v="13.61"/>
  </r>
  <r>
    <x v="78"/>
    <x v="9"/>
    <n v="16.899999999999999"/>
  </r>
  <r>
    <x v="78"/>
    <x v="10"/>
    <n v="15.3"/>
  </r>
  <r>
    <x v="79"/>
    <x v="0"/>
    <n v="12.53"/>
  </r>
  <r>
    <x v="79"/>
    <x v="1"/>
    <n v="14.13"/>
  </r>
  <r>
    <x v="79"/>
    <x v="2"/>
    <n v="16.21"/>
  </r>
  <r>
    <x v="79"/>
    <x v="3"/>
    <n v="14.31"/>
  </r>
  <r>
    <x v="79"/>
    <x v="4"/>
    <n v="19.240000000000002"/>
  </r>
  <r>
    <x v="79"/>
    <x v="5"/>
    <n v="11.4"/>
  </r>
  <r>
    <x v="79"/>
    <x v="6"/>
    <n v="14.48"/>
  </r>
  <r>
    <x v="79"/>
    <x v="7"/>
    <n v="14.24"/>
  </r>
  <r>
    <x v="79"/>
    <x v="8"/>
    <n v="11.88"/>
  </r>
  <r>
    <x v="79"/>
    <x v="9"/>
    <n v="15.419999999999998"/>
  </r>
  <r>
    <x v="79"/>
    <x v="10"/>
    <n v="14.02"/>
  </r>
  <r>
    <x v="80"/>
    <x v="0"/>
    <n v="10.440000000000001"/>
  </r>
  <r>
    <x v="80"/>
    <x v="1"/>
    <n v="6.33"/>
  </r>
  <r>
    <x v="80"/>
    <x v="2"/>
    <n v="6.7399999999999993"/>
  </r>
  <r>
    <x v="80"/>
    <x v="3"/>
    <n v="7.98"/>
  </r>
  <r>
    <x v="80"/>
    <x v="4"/>
    <n v="14.4"/>
  </r>
  <r>
    <x v="80"/>
    <x v="5"/>
    <n v="14.290000000000003"/>
  </r>
  <r>
    <x v="80"/>
    <x v="6"/>
    <n v="17.799999999999997"/>
  </r>
  <r>
    <x v="80"/>
    <x v="7"/>
    <n v="11.97"/>
  </r>
  <r>
    <x v="80"/>
    <x v="8"/>
    <n v="9.51"/>
  </r>
  <r>
    <x v="80"/>
    <x v="9"/>
    <n v="9.07"/>
  </r>
  <r>
    <x v="80"/>
    <x v="10"/>
    <n v="7.36"/>
  </r>
  <r>
    <x v="81"/>
    <x v="0"/>
    <n v="6.8599999999999994"/>
  </r>
  <r>
    <x v="81"/>
    <x v="1"/>
    <n v="10.88"/>
  </r>
  <r>
    <x v="81"/>
    <x v="2"/>
    <n v="6.1400000000000006"/>
  </r>
  <r>
    <x v="81"/>
    <x v="3"/>
    <n v="7.7200000000000006"/>
  </r>
  <r>
    <x v="81"/>
    <x v="4"/>
    <n v="7.26"/>
  </r>
  <r>
    <x v="81"/>
    <x v="5"/>
    <n v="4.12"/>
  </r>
  <r>
    <x v="81"/>
    <x v="6"/>
    <n v="5.93"/>
  </r>
  <r>
    <x v="81"/>
    <x v="7"/>
    <n v="4.3099999999999996"/>
  </r>
  <r>
    <x v="81"/>
    <x v="8"/>
    <n v="6.4"/>
  </r>
  <r>
    <x v="81"/>
    <x v="9"/>
    <n v="7.9"/>
  </r>
  <r>
    <x v="81"/>
    <x v="10"/>
    <n v="3.32"/>
  </r>
  <r>
    <x v="82"/>
    <x v="0"/>
    <n v="18.170000000000002"/>
  </r>
  <r>
    <x v="82"/>
    <x v="1"/>
    <n v="23.340000000000003"/>
  </r>
  <r>
    <x v="82"/>
    <x v="2"/>
    <n v="21.78"/>
  </r>
  <r>
    <x v="82"/>
    <x v="3"/>
    <n v="18.059999999999999"/>
  </r>
  <r>
    <x v="82"/>
    <x v="4"/>
    <n v="19.860000000000003"/>
  </r>
  <r>
    <x v="82"/>
    <x v="5"/>
    <n v="27.95"/>
  </r>
  <r>
    <x v="82"/>
    <x v="6"/>
    <n v="28.08"/>
  </r>
  <r>
    <x v="82"/>
    <x v="7"/>
    <n v="26.790000000000003"/>
  </r>
  <r>
    <x v="82"/>
    <x v="8"/>
    <n v="21.18"/>
  </r>
  <r>
    <x v="82"/>
    <x v="9"/>
    <n v="23.329999999999995"/>
  </r>
  <r>
    <x v="82"/>
    <x v="10"/>
    <n v="24.22"/>
  </r>
  <r>
    <x v="83"/>
    <x v="0"/>
    <n v="8.7900000000000009"/>
  </r>
  <r>
    <x v="83"/>
    <x v="1"/>
    <n v="7.4700000000000006"/>
  </r>
  <r>
    <x v="83"/>
    <x v="2"/>
    <n v="11.2"/>
  </r>
  <r>
    <x v="83"/>
    <x v="3"/>
    <n v="7.93"/>
  </r>
  <r>
    <x v="83"/>
    <x v="4"/>
    <n v="6.86"/>
  </r>
  <r>
    <x v="83"/>
    <x v="5"/>
    <n v="11.77"/>
  </r>
  <r>
    <x v="83"/>
    <x v="6"/>
    <n v="13.31"/>
  </r>
  <r>
    <x v="83"/>
    <x v="7"/>
    <n v="10.620000000000001"/>
  </r>
  <r>
    <x v="83"/>
    <x v="8"/>
    <n v="5.6300000000000008"/>
  </r>
  <r>
    <x v="83"/>
    <x v="9"/>
    <n v="6.18"/>
  </r>
  <r>
    <x v="83"/>
    <x v="10"/>
    <n v="11.52"/>
  </r>
  <r>
    <x v="84"/>
    <x v="0"/>
    <n v="12.45"/>
  </r>
  <r>
    <x v="84"/>
    <x v="1"/>
    <n v="10.73"/>
  </r>
  <r>
    <x v="84"/>
    <x v="2"/>
    <n v="9.9499999999999993"/>
  </r>
  <r>
    <x v="84"/>
    <x v="3"/>
    <n v="9.7299999999999986"/>
  </r>
  <r>
    <x v="84"/>
    <x v="4"/>
    <n v="8.17"/>
  </r>
  <r>
    <x v="84"/>
    <x v="5"/>
    <n v="15.8"/>
  </r>
  <r>
    <x v="84"/>
    <x v="6"/>
    <n v="11.71"/>
  </r>
  <r>
    <x v="84"/>
    <x v="7"/>
    <n v="13.39"/>
  </r>
  <r>
    <x v="84"/>
    <x v="8"/>
    <n v="11.03"/>
  </r>
  <r>
    <x v="84"/>
    <x v="9"/>
    <n v="8.3800000000000008"/>
  </r>
  <r>
    <x v="84"/>
    <x v="10"/>
    <n v="8.67"/>
  </r>
  <r>
    <x v="85"/>
    <x v="0"/>
    <n v="19.79"/>
  </r>
  <r>
    <x v="85"/>
    <x v="1"/>
    <n v="18.939999999999998"/>
  </r>
  <r>
    <x v="85"/>
    <x v="2"/>
    <n v="14.54"/>
  </r>
  <r>
    <x v="85"/>
    <x v="3"/>
    <n v="21.74"/>
  </r>
  <r>
    <x v="85"/>
    <x v="4"/>
    <n v="19.23"/>
  </r>
  <r>
    <x v="85"/>
    <x v="5"/>
    <n v="19.5"/>
  </r>
  <r>
    <x v="85"/>
    <x v="6"/>
    <n v="15.860000000000001"/>
  </r>
  <r>
    <x v="85"/>
    <x v="7"/>
    <n v="15.000000000000002"/>
  </r>
  <r>
    <x v="85"/>
    <x v="8"/>
    <n v="22.419999999999998"/>
  </r>
  <r>
    <x v="85"/>
    <x v="9"/>
    <n v="22.81"/>
  </r>
  <r>
    <x v="85"/>
    <x v="10"/>
    <n v="15.129999999999999"/>
  </r>
  <r>
    <x v="86"/>
    <x v="0"/>
    <n v="32.22"/>
  </r>
  <r>
    <x v="86"/>
    <x v="1"/>
    <n v="26.899999999999995"/>
  </r>
  <r>
    <x v="86"/>
    <x v="2"/>
    <n v="21.520000000000003"/>
  </r>
  <r>
    <x v="86"/>
    <x v="3"/>
    <n v="29.97"/>
  </r>
  <r>
    <x v="86"/>
    <x v="4"/>
    <n v="33.22"/>
  </r>
  <r>
    <x v="86"/>
    <x v="5"/>
    <n v="23.71"/>
  </r>
  <r>
    <x v="86"/>
    <x v="6"/>
    <n v="22.88"/>
  </r>
  <r>
    <x v="86"/>
    <x v="7"/>
    <n v="13.95"/>
  </r>
  <r>
    <x v="86"/>
    <x v="8"/>
    <n v="26.55"/>
  </r>
  <r>
    <x v="86"/>
    <x v="9"/>
    <n v="21.060000000000002"/>
  </r>
  <r>
    <x v="86"/>
    <x v="10"/>
    <n v="21.380000000000003"/>
  </r>
  <r>
    <x v="87"/>
    <x v="0"/>
    <n v="11.41"/>
  </r>
  <r>
    <x v="87"/>
    <x v="1"/>
    <n v="5.85"/>
  </r>
  <r>
    <x v="87"/>
    <x v="2"/>
    <n v="6.57"/>
  </r>
  <r>
    <x v="87"/>
    <x v="3"/>
    <n v="10.16"/>
  </r>
  <r>
    <x v="87"/>
    <x v="4"/>
    <n v="9.67"/>
  </r>
  <r>
    <x v="87"/>
    <x v="5"/>
    <n v="6.71"/>
  </r>
  <r>
    <x v="87"/>
    <x v="6"/>
    <n v="10.74"/>
  </r>
  <r>
    <x v="87"/>
    <x v="7"/>
    <n v="8.86"/>
  </r>
  <r>
    <x v="87"/>
    <x v="8"/>
    <n v="12.53"/>
  </r>
  <r>
    <x v="87"/>
    <x v="9"/>
    <n v="7.6599999999999993"/>
  </r>
  <r>
    <x v="87"/>
    <x v="10"/>
    <n v="8.1"/>
  </r>
  <r>
    <x v="88"/>
    <x v="0"/>
    <n v="21.049999999999997"/>
  </r>
  <r>
    <x v="88"/>
    <x v="1"/>
    <n v="18.989999999999998"/>
  </r>
  <r>
    <x v="88"/>
    <x v="2"/>
    <n v="24"/>
  </r>
  <r>
    <x v="88"/>
    <x v="3"/>
    <n v="19.579999999999998"/>
  </r>
  <r>
    <x v="88"/>
    <x v="4"/>
    <n v="22.950000000000003"/>
  </r>
  <r>
    <x v="88"/>
    <x v="5"/>
    <n v="25.080000000000002"/>
  </r>
  <r>
    <x v="88"/>
    <x v="6"/>
    <n v="32.08"/>
  </r>
  <r>
    <x v="88"/>
    <x v="7"/>
    <n v="28.309999999999995"/>
  </r>
  <r>
    <x v="88"/>
    <x v="8"/>
    <n v="26.52"/>
  </r>
  <r>
    <x v="88"/>
    <x v="9"/>
    <n v="29.85"/>
  </r>
  <r>
    <x v="88"/>
    <x v="10"/>
    <n v="25.03"/>
  </r>
  <r>
    <x v="89"/>
    <x v="0"/>
    <n v="27.960000000000008"/>
  </r>
  <r>
    <x v="89"/>
    <x v="1"/>
    <n v="40.51"/>
  </r>
  <r>
    <x v="89"/>
    <x v="2"/>
    <n v="36.339999999999996"/>
  </r>
  <r>
    <x v="89"/>
    <x v="3"/>
    <n v="18.559999999999999"/>
  </r>
  <r>
    <x v="89"/>
    <x v="4"/>
    <n v="23.020000000000003"/>
  </r>
  <r>
    <x v="89"/>
    <x v="5"/>
    <n v="23.17"/>
  </r>
  <r>
    <x v="89"/>
    <x v="6"/>
    <n v="28.08"/>
  </r>
  <r>
    <x v="89"/>
    <x v="7"/>
    <n v="28.730000000000004"/>
  </r>
  <r>
    <x v="89"/>
    <x v="8"/>
    <n v="21.130000000000003"/>
  </r>
  <r>
    <x v="89"/>
    <x v="9"/>
    <n v="29.38"/>
  </r>
  <r>
    <x v="89"/>
    <x v="10"/>
    <n v="29.270000000000003"/>
  </r>
  <r>
    <x v="90"/>
    <x v="0"/>
    <n v="27.38"/>
  </r>
  <r>
    <x v="90"/>
    <x v="1"/>
    <n v="25.019999999999996"/>
  </r>
  <r>
    <x v="90"/>
    <x v="2"/>
    <n v="22.28"/>
  </r>
  <r>
    <x v="90"/>
    <x v="3"/>
    <n v="22.08"/>
  </r>
  <r>
    <x v="90"/>
    <x v="4"/>
    <n v="26.48"/>
  </r>
  <r>
    <x v="90"/>
    <x v="5"/>
    <n v="32.01"/>
  </r>
  <r>
    <x v="90"/>
    <x v="6"/>
    <n v="24.76"/>
  </r>
  <r>
    <x v="90"/>
    <x v="7"/>
    <n v="28.88"/>
  </r>
  <r>
    <x v="90"/>
    <x v="8"/>
    <n v="26.869999999999997"/>
  </r>
  <r>
    <x v="90"/>
    <x v="9"/>
    <n v="21.360000000000003"/>
  </r>
  <r>
    <x v="90"/>
    <x v="10"/>
    <n v="19.650000000000002"/>
  </r>
  <r>
    <x v="91"/>
    <x v="0"/>
    <n v="20.23"/>
  </r>
  <r>
    <x v="91"/>
    <x v="1"/>
    <n v="14.659999999999998"/>
  </r>
  <r>
    <x v="91"/>
    <x v="2"/>
    <n v="12.879999999999999"/>
  </r>
  <r>
    <x v="91"/>
    <x v="3"/>
    <n v="13.31"/>
  </r>
  <r>
    <x v="91"/>
    <x v="4"/>
    <n v="13.900000000000002"/>
  </r>
  <r>
    <x v="91"/>
    <x v="5"/>
    <n v="13.239999999999998"/>
  </r>
  <r>
    <x v="91"/>
    <x v="6"/>
    <n v="10.530000000000001"/>
  </r>
  <r>
    <x v="91"/>
    <x v="7"/>
    <n v="12.66"/>
  </r>
  <r>
    <x v="91"/>
    <x v="8"/>
    <n v="10.920000000000002"/>
  </r>
  <r>
    <x v="91"/>
    <x v="9"/>
    <n v="17.61"/>
  </r>
  <r>
    <x v="91"/>
    <x v="10"/>
    <n v="22.09"/>
  </r>
  <r>
    <x v="92"/>
    <x v="0"/>
    <n v="30.020000000000003"/>
  </r>
  <r>
    <x v="92"/>
    <x v="1"/>
    <n v="19.02"/>
  </r>
  <r>
    <x v="92"/>
    <x v="2"/>
    <n v="15.129999999999999"/>
  </r>
  <r>
    <x v="92"/>
    <x v="3"/>
    <n v="12.600000000000001"/>
  </r>
  <r>
    <x v="92"/>
    <x v="4"/>
    <n v="14.88"/>
  </r>
  <r>
    <x v="92"/>
    <x v="5"/>
    <n v="26.099999999999998"/>
  </r>
  <r>
    <x v="92"/>
    <x v="6"/>
    <n v="24.54"/>
  </r>
  <r>
    <x v="92"/>
    <x v="7"/>
    <n v="17.86"/>
  </r>
  <r>
    <x v="92"/>
    <x v="8"/>
    <n v="19.720000000000002"/>
  </r>
  <r>
    <x v="92"/>
    <x v="9"/>
    <n v="10.96"/>
  </r>
  <r>
    <x v="92"/>
    <x v="10"/>
    <n v="15.979999999999997"/>
  </r>
  <r>
    <x v="93"/>
    <x v="0"/>
    <n v="11.989999999999998"/>
  </r>
  <r>
    <x v="93"/>
    <x v="1"/>
    <n v="14.61"/>
  </r>
  <r>
    <x v="93"/>
    <x v="2"/>
    <n v="11.19"/>
  </r>
  <r>
    <x v="93"/>
    <x v="3"/>
    <n v="13.48"/>
  </r>
  <r>
    <x v="93"/>
    <x v="4"/>
    <n v="15.729999999999999"/>
  </r>
  <r>
    <x v="93"/>
    <x v="5"/>
    <n v="14.290000000000001"/>
  </r>
  <r>
    <x v="93"/>
    <x v="6"/>
    <n v="13.229999999999999"/>
  </r>
  <r>
    <x v="93"/>
    <x v="7"/>
    <n v="12.21"/>
  </r>
  <r>
    <x v="93"/>
    <x v="8"/>
    <n v="18.010000000000002"/>
  </r>
  <r>
    <x v="93"/>
    <x v="9"/>
    <n v="12.010000000000002"/>
  </r>
  <r>
    <x v="93"/>
    <x v="10"/>
    <n v="9.64"/>
  </r>
  <r>
    <x v="94"/>
    <x v="0"/>
    <n v="44.7"/>
  </r>
  <r>
    <x v="94"/>
    <x v="1"/>
    <n v="29.830000000000002"/>
  </r>
  <r>
    <x v="94"/>
    <x v="2"/>
    <n v="20.669999999999998"/>
  </r>
  <r>
    <x v="94"/>
    <x v="3"/>
    <n v="33.200000000000003"/>
  </r>
  <r>
    <x v="94"/>
    <x v="4"/>
    <n v="28.9"/>
  </r>
  <r>
    <x v="94"/>
    <x v="5"/>
    <n v="43.590000000000011"/>
  </r>
  <r>
    <x v="94"/>
    <x v="6"/>
    <n v="35.799999999999997"/>
  </r>
  <r>
    <x v="94"/>
    <x v="7"/>
    <n v="27.259999999999998"/>
  </r>
  <r>
    <x v="94"/>
    <x v="8"/>
    <n v="29.11"/>
  </r>
  <r>
    <x v="94"/>
    <x v="9"/>
    <n v="27.73"/>
  </r>
  <r>
    <x v="94"/>
    <x v="10"/>
    <n v="26.370000000000005"/>
  </r>
  <r>
    <x v="95"/>
    <x v="0"/>
    <n v="15.079999999999998"/>
  </r>
  <r>
    <x v="95"/>
    <x v="1"/>
    <n v="19.27"/>
  </r>
  <r>
    <x v="95"/>
    <x v="2"/>
    <n v="24.12"/>
  </r>
  <r>
    <x v="95"/>
    <x v="3"/>
    <n v="15.75"/>
  </r>
  <r>
    <x v="95"/>
    <x v="4"/>
    <n v="22.640000000000004"/>
  </r>
  <r>
    <x v="95"/>
    <x v="5"/>
    <n v="15.79"/>
  </r>
  <r>
    <x v="95"/>
    <x v="6"/>
    <n v="16.21"/>
  </r>
  <r>
    <x v="95"/>
    <x v="7"/>
    <n v="22.660000000000004"/>
  </r>
  <r>
    <x v="95"/>
    <x v="8"/>
    <n v="21"/>
  </r>
  <r>
    <x v="95"/>
    <x v="9"/>
    <n v="16.14"/>
  </r>
  <r>
    <x v="95"/>
    <x v="10"/>
    <n v="18.22"/>
  </r>
  <r>
    <x v="96"/>
    <x v="0"/>
    <n v="23.47"/>
  </r>
  <r>
    <x v="96"/>
    <x v="1"/>
    <n v="14"/>
  </r>
  <r>
    <x v="96"/>
    <x v="2"/>
    <n v="17.380000000000003"/>
  </r>
  <r>
    <x v="96"/>
    <x v="3"/>
    <n v="18.759999999999998"/>
  </r>
  <r>
    <x v="96"/>
    <x v="4"/>
    <n v="23.82"/>
  </r>
  <r>
    <x v="96"/>
    <x v="5"/>
    <n v="19.990000000000002"/>
  </r>
  <r>
    <x v="96"/>
    <x v="6"/>
    <n v="19.25"/>
  </r>
  <r>
    <x v="96"/>
    <x v="7"/>
    <n v="21.1"/>
  </r>
  <r>
    <x v="96"/>
    <x v="8"/>
    <n v="14.8"/>
  </r>
  <r>
    <x v="96"/>
    <x v="9"/>
    <n v="20.840000000000003"/>
  </r>
  <r>
    <x v="96"/>
    <x v="10"/>
    <n v="16.95"/>
  </r>
  <r>
    <x v="97"/>
    <x v="0"/>
    <n v="13.549999999999999"/>
  </r>
  <r>
    <x v="97"/>
    <x v="1"/>
    <n v="10.93"/>
  </r>
  <r>
    <x v="97"/>
    <x v="2"/>
    <n v="15.280000000000001"/>
  </r>
  <r>
    <x v="97"/>
    <x v="3"/>
    <n v="9.8800000000000008"/>
  </r>
  <r>
    <x v="97"/>
    <x v="4"/>
    <n v="8.66"/>
  </r>
  <r>
    <x v="97"/>
    <x v="5"/>
    <n v="8.49"/>
  </r>
  <r>
    <x v="97"/>
    <x v="6"/>
    <n v="13.18"/>
  </r>
  <r>
    <x v="97"/>
    <x v="7"/>
    <n v="8.7799999999999994"/>
  </r>
  <r>
    <x v="97"/>
    <x v="8"/>
    <n v="10.209999999999999"/>
  </r>
  <r>
    <x v="97"/>
    <x v="9"/>
    <n v="11.42"/>
  </r>
  <r>
    <x v="97"/>
    <x v="10"/>
    <n v="10.26"/>
  </r>
  <r>
    <x v="98"/>
    <x v="0"/>
    <n v="12.68"/>
  </r>
  <r>
    <x v="98"/>
    <x v="1"/>
    <n v="18.54"/>
  </r>
  <r>
    <x v="98"/>
    <x v="2"/>
    <n v="16.45"/>
  </r>
  <r>
    <x v="98"/>
    <x v="3"/>
    <n v="12.98"/>
  </r>
  <r>
    <x v="98"/>
    <x v="4"/>
    <n v="11.559999999999999"/>
  </r>
  <r>
    <x v="98"/>
    <x v="5"/>
    <n v="16.66"/>
  </r>
  <r>
    <x v="98"/>
    <x v="6"/>
    <n v="18.61"/>
  </r>
  <r>
    <x v="98"/>
    <x v="7"/>
    <n v="15.12"/>
  </r>
  <r>
    <x v="98"/>
    <x v="8"/>
    <n v="9.59"/>
  </r>
  <r>
    <x v="98"/>
    <x v="9"/>
    <n v="17.23"/>
  </r>
  <r>
    <x v="98"/>
    <x v="10"/>
    <n v="23.610000000000003"/>
  </r>
  <r>
    <x v="99"/>
    <x v="0"/>
    <n v="12.239999999999998"/>
  </r>
  <r>
    <x v="99"/>
    <x v="1"/>
    <n v="9.9"/>
  </r>
  <r>
    <x v="99"/>
    <x v="2"/>
    <n v="6.92"/>
  </r>
  <r>
    <x v="99"/>
    <x v="3"/>
    <n v="8.9899999999999984"/>
  </r>
  <r>
    <x v="99"/>
    <x v="4"/>
    <n v="11.77"/>
  </r>
  <r>
    <x v="99"/>
    <x v="5"/>
    <n v="8.42"/>
  </r>
  <r>
    <x v="99"/>
    <x v="6"/>
    <n v="14.07"/>
  </r>
  <r>
    <x v="99"/>
    <x v="7"/>
    <n v="10.01"/>
  </r>
  <r>
    <x v="99"/>
    <x v="8"/>
    <n v="11.28"/>
  </r>
  <r>
    <x v="99"/>
    <x v="9"/>
    <n v="8.7099999999999991"/>
  </r>
  <r>
    <x v="99"/>
    <x v="10"/>
    <n v="9.11"/>
  </r>
  <r>
    <x v="100"/>
    <x v="0"/>
    <n v="17.34"/>
  </r>
  <r>
    <x v="100"/>
    <x v="1"/>
    <n v="12.92"/>
  </r>
  <r>
    <x v="100"/>
    <x v="2"/>
    <n v="13.540000000000001"/>
  </r>
  <r>
    <x v="100"/>
    <x v="3"/>
    <n v="16.8"/>
  </r>
  <r>
    <x v="100"/>
    <x v="4"/>
    <n v="15.48"/>
  </r>
  <r>
    <x v="100"/>
    <x v="5"/>
    <n v="21"/>
  </r>
  <r>
    <x v="100"/>
    <x v="6"/>
    <n v="22.05"/>
  </r>
  <r>
    <x v="100"/>
    <x v="7"/>
    <n v="18.61"/>
  </r>
  <r>
    <x v="100"/>
    <x v="8"/>
    <n v="24.740000000000002"/>
  </r>
  <r>
    <x v="100"/>
    <x v="9"/>
    <n v="23.3"/>
  </r>
  <r>
    <x v="100"/>
    <x v="10"/>
    <n v="13.989999999999998"/>
  </r>
  <r>
    <x v="101"/>
    <x v="0"/>
    <n v="6.01"/>
  </r>
  <r>
    <x v="101"/>
    <x v="1"/>
    <n v="15.879999999999999"/>
  </r>
  <r>
    <x v="101"/>
    <x v="2"/>
    <n v="9.93"/>
  </r>
  <r>
    <x v="101"/>
    <x v="3"/>
    <n v="7.67"/>
  </r>
  <r>
    <x v="101"/>
    <x v="4"/>
    <n v="6.8900000000000006"/>
  </r>
  <r>
    <x v="101"/>
    <x v="5"/>
    <n v="8.01"/>
  </r>
  <r>
    <x v="101"/>
    <x v="6"/>
    <n v="7.3"/>
  </r>
  <r>
    <x v="101"/>
    <x v="7"/>
    <n v="6.13"/>
  </r>
  <r>
    <x v="101"/>
    <x v="8"/>
    <n v="9.0300000000000011"/>
  </r>
  <r>
    <x v="101"/>
    <x v="9"/>
    <n v="19.509999999999998"/>
  </r>
  <r>
    <x v="101"/>
    <x v="10"/>
    <n v="12.02"/>
  </r>
  <r>
    <x v="102"/>
    <x v="0"/>
    <n v="20.64"/>
  </r>
  <r>
    <x v="102"/>
    <x v="1"/>
    <n v="12.74"/>
  </r>
  <r>
    <x v="102"/>
    <x v="2"/>
    <n v="13.91"/>
  </r>
  <r>
    <x v="102"/>
    <x v="3"/>
    <n v="25.220000000000002"/>
  </r>
  <r>
    <x v="102"/>
    <x v="4"/>
    <n v="19.809999999999999"/>
  </r>
  <r>
    <x v="102"/>
    <x v="5"/>
    <n v="22.729999999999997"/>
  </r>
  <r>
    <x v="102"/>
    <x v="6"/>
    <n v="21.53"/>
  </r>
  <r>
    <x v="102"/>
    <x v="7"/>
    <n v="19.82"/>
  </r>
  <r>
    <x v="102"/>
    <x v="8"/>
    <n v="20.220000000000002"/>
  </r>
  <r>
    <x v="102"/>
    <x v="9"/>
    <n v="19.78"/>
  </r>
  <r>
    <x v="102"/>
    <x v="10"/>
    <n v="23.750000000000004"/>
  </r>
  <r>
    <x v="103"/>
    <x v="0"/>
    <n v="19.100000000000001"/>
  </r>
  <r>
    <x v="103"/>
    <x v="1"/>
    <n v="4.42"/>
  </r>
  <r>
    <x v="103"/>
    <x v="2"/>
    <n v="5.41"/>
  </r>
  <r>
    <x v="103"/>
    <x v="3"/>
    <n v="9.75"/>
  </r>
  <r>
    <x v="103"/>
    <x v="4"/>
    <n v="7.08"/>
  </r>
  <r>
    <x v="103"/>
    <x v="5"/>
    <n v="5.8500000000000005"/>
  </r>
  <r>
    <x v="103"/>
    <x v="6"/>
    <n v="13.11"/>
  </r>
  <r>
    <x v="103"/>
    <x v="7"/>
    <n v="7.55"/>
  </r>
  <r>
    <x v="103"/>
    <x v="8"/>
    <n v="8.23"/>
  </r>
  <r>
    <x v="103"/>
    <x v="9"/>
    <n v="7.31"/>
  </r>
  <r>
    <x v="103"/>
    <x v="10"/>
    <n v="3.51"/>
  </r>
  <r>
    <x v="104"/>
    <x v="0"/>
    <n v="20.090000000000003"/>
  </r>
  <r>
    <x v="104"/>
    <x v="1"/>
    <n v="20.48"/>
  </r>
  <r>
    <x v="104"/>
    <x v="2"/>
    <n v="17.84"/>
  </r>
  <r>
    <x v="104"/>
    <x v="3"/>
    <n v="14.23"/>
  </r>
  <r>
    <x v="104"/>
    <x v="4"/>
    <n v="20.53"/>
  </r>
  <r>
    <x v="104"/>
    <x v="5"/>
    <n v="13.43"/>
  </r>
  <r>
    <x v="104"/>
    <x v="6"/>
    <n v="14.110000000000001"/>
  </r>
  <r>
    <x v="104"/>
    <x v="7"/>
    <n v="18.850000000000001"/>
  </r>
  <r>
    <x v="104"/>
    <x v="8"/>
    <n v="18.53"/>
  </r>
  <r>
    <x v="104"/>
    <x v="9"/>
    <n v="15.86"/>
  </r>
  <r>
    <x v="104"/>
    <x v="10"/>
    <n v="12.8"/>
  </r>
  <r>
    <x v="105"/>
    <x v="0"/>
    <n v="9.6900000000000013"/>
  </r>
  <r>
    <x v="105"/>
    <x v="1"/>
    <n v="11.52"/>
  </r>
  <r>
    <x v="105"/>
    <x v="2"/>
    <n v="9.74"/>
  </r>
  <r>
    <x v="105"/>
    <x v="3"/>
    <n v="11.87"/>
  </r>
  <r>
    <x v="105"/>
    <x v="4"/>
    <n v="11.37"/>
  </r>
  <r>
    <x v="105"/>
    <x v="5"/>
    <n v="14.25"/>
  </r>
  <r>
    <x v="105"/>
    <x v="6"/>
    <n v="11.169999999999998"/>
  </r>
  <r>
    <x v="105"/>
    <x v="7"/>
    <n v="7.93"/>
  </r>
  <r>
    <x v="105"/>
    <x v="8"/>
    <n v="10.33"/>
  </r>
  <r>
    <x v="105"/>
    <x v="9"/>
    <n v="9.9899999999999984"/>
  </r>
  <r>
    <x v="105"/>
    <x v="10"/>
    <n v="6.9799999999999995"/>
  </r>
  <r>
    <x v="106"/>
    <x v="0"/>
    <n v="1.34"/>
  </r>
  <r>
    <x v="106"/>
    <x v="1"/>
    <n v="5.63"/>
  </r>
  <r>
    <x v="106"/>
    <x v="2"/>
    <n v="5.73"/>
  </r>
  <r>
    <x v="106"/>
    <x v="3"/>
    <n v="3.1"/>
  </r>
  <r>
    <x v="106"/>
    <x v="4"/>
    <n v="10.7"/>
  </r>
  <r>
    <x v="106"/>
    <x v="5"/>
    <n v="3.41"/>
  </r>
  <r>
    <x v="106"/>
    <x v="6"/>
    <n v="6.18"/>
  </r>
  <r>
    <x v="106"/>
    <x v="7"/>
    <n v="13.990000000000002"/>
  </r>
  <r>
    <x v="106"/>
    <x v="8"/>
    <n v="3"/>
  </r>
  <r>
    <x v="106"/>
    <x v="9"/>
    <n v="5.48"/>
  </r>
  <r>
    <x v="106"/>
    <x v="10"/>
    <n v="5.52"/>
  </r>
  <r>
    <x v="107"/>
    <x v="0"/>
    <n v="5.0999999999999996"/>
  </r>
  <r>
    <x v="107"/>
    <x v="1"/>
    <n v="3.1"/>
  </r>
  <r>
    <x v="107"/>
    <x v="2"/>
    <n v="3.28"/>
  </r>
  <r>
    <x v="107"/>
    <x v="3"/>
    <n v="5"/>
  </r>
  <r>
    <x v="107"/>
    <x v="4"/>
    <n v="3.14"/>
  </r>
  <r>
    <x v="107"/>
    <x v="5"/>
    <n v="5.24"/>
  </r>
  <r>
    <x v="107"/>
    <x v="6"/>
    <n v="7.8900000000000006"/>
  </r>
  <r>
    <x v="107"/>
    <x v="7"/>
    <n v="5.79"/>
  </r>
  <r>
    <x v="107"/>
    <x v="8"/>
    <n v="5.51"/>
  </r>
  <r>
    <x v="107"/>
    <x v="9"/>
    <n v="5.07"/>
  </r>
  <r>
    <x v="107"/>
    <x v="10"/>
    <n v="2.04"/>
  </r>
  <r>
    <x v="108"/>
    <x v="0"/>
    <n v="22.14"/>
  </r>
  <r>
    <x v="108"/>
    <x v="1"/>
    <n v="21.259999999999998"/>
  </r>
  <r>
    <x v="108"/>
    <x v="2"/>
    <n v="17.240000000000002"/>
  </r>
  <r>
    <x v="108"/>
    <x v="3"/>
    <n v="20.53"/>
  </r>
  <r>
    <x v="108"/>
    <x v="4"/>
    <n v="21.57"/>
  </r>
  <r>
    <x v="108"/>
    <x v="5"/>
    <n v="21.23"/>
  </r>
  <r>
    <x v="108"/>
    <x v="6"/>
    <n v="18.819999999999997"/>
  </r>
  <r>
    <x v="108"/>
    <x v="7"/>
    <n v="19.21"/>
  </r>
  <r>
    <x v="108"/>
    <x v="8"/>
    <n v="24.44"/>
  </r>
  <r>
    <x v="108"/>
    <x v="9"/>
    <n v="17.760000000000002"/>
  </r>
  <r>
    <x v="108"/>
    <x v="10"/>
    <n v="19.68"/>
  </r>
  <r>
    <x v="109"/>
    <x v="0"/>
    <n v="18.77"/>
  </r>
  <r>
    <x v="109"/>
    <x v="1"/>
    <n v="22.679999999999996"/>
  </r>
  <r>
    <x v="109"/>
    <x v="2"/>
    <n v="17.39"/>
  </r>
  <r>
    <x v="109"/>
    <x v="3"/>
    <n v="21.520000000000003"/>
  </r>
  <r>
    <x v="109"/>
    <x v="4"/>
    <n v="23.91"/>
  </r>
  <r>
    <x v="109"/>
    <x v="5"/>
    <n v="28.189999999999998"/>
  </r>
  <r>
    <x v="109"/>
    <x v="6"/>
    <n v="24.04"/>
  </r>
  <r>
    <x v="109"/>
    <x v="7"/>
    <n v="16.05"/>
  </r>
  <r>
    <x v="109"/>
    <x v="8"/>
    <n v="20.95"/>
  </r>
  <r>
    <x v="109"/>
    <x v="9"/>
    <n v="17.649999999999999"/>
  </r>
  <r>
    <x v="109"/>
    <x v="10"/>
    <n v="19.939999999999998"/>
  </r>
  <r>
    <x v="110"/>
    <x v="0"/>
    <n v="17.59"/>
  </r>
  <r>
    <x v="110"/>
    <x v="1"/>
    <n v="12.64"/>
  </r>
  <r>
    <x v="110"/>
    <x v="2"/>
    <n v="11.74"/>
  </r>
  <r>
    <x v="110"/>
    <x v="3"/>
    <n v="16.38"/>
  </r>
  <r>
    <x v="110"/>
    <x v="4"/>
    <n v="16.850000000000001"/>
  </r>
  <r>
    <x v="110"/>
    <x v="5"/>
    <n v="19.93"/>
  </r>
  <r>
    <x v="110"/>
    <x v="6"/>
    <n v="11.32"/>
  </r>
  <r>
    <x v="110"/>
    <x v="7"/>
    <n v="8.4600000000000009"/>
  </r>
  <r>
    <x v="110"/>
    <x v="8"/>
    <n v="12.5"/>
  </r>
  <r>
    <x v="110"/>
    <x v="9"/>
    <n v="11.54"/>
  </r>
  <r>
    <x v="110"/>
    <x v="10"/>
    <n v="10.129999999999999"/>
  </r>
  <r>
    <x v="111"/>
    <x v="0"/>
    <n v="8.34"/>
  </r>
  <r>
    <x v="111"/>
    <x v="1"/>
    <n v="8.89"/>
  </r>
  <r>
    <x v="111"/>
    <x v="2"/>
    <n v="8.1700000000000017"/>
  </r>
  <r>
    <x v="111"/>
    <x v="3"/>
    <n v="13.190000000000001"/>
  </r>
  <r>
    <x v="111"/>
    <x v="4"/>
    <n v="9.3800000000000008"/>
  </r>
  <r>
    <x v="111"/>
    <x v="5"/>
    <n v="9.6300000000000008"/>
  </r>
  <r>
    <x v="111"/>
    <x v="6"/>
    <n v="8.67"/>
  </r>
  <r>
    <x v="111"/>
    <x v="7"/>
    <n v="8.98"/>
  </r>
  <r>
    <x v="111"/>
    <x v="8"/>
    <n v="9.4"/>
  </r>
  <r>
    <x v="111"/>
    <x v="9"/>
    <n v="7.0299999999999994"/>
  </r>
  <r>
    <x v="111"/>
    <x v="10"/>
    <n v="8.0300000000000011"/>
  </r>
  <r>
    <x v="112"/>
    <x v="0"/>
    <n v="14.47"/>
  </r>
  <r>
    <x v="112"/>
    <x v="1"/>
    <n v="11.93"/>
  </r>
  <r>
    <x v="112"/>
    <x v="2"/>
    <n v="13.129999999999999"/>
  </r>
  <r>
    <x v="112"/>
    <x v="3"/>
    <n v="7.13"/>
  </r>
  <r>
    <x v="112"/>
    <x v="4"/>
    <n v="13.850000000000001"/>
  </r>
  <r>
    <x v="112"/>
    <x v="5"/>
    <n v="8.9600000000000009"/>
  </r>
  <r>
    <x v="112"/>
    <x v="6"/>
    <n v="12.18"/>
  </r>
  <r>
    <x v="112"/>
    <x v="7"/>
    <n v="10.44"/>
  </r>
  <r>
    <x v="112"/>
    <x v="8"/>
    <n v="10.64"/>
  </r>
  <r>
    <x v="112"/>
    <x v="9"/>
    <n v="18.25"/>
  </r>
  <r>
    <x v="112"/>
    <x v="10"/>
    <n v="14.11"/>
  </r>
  <r>
    <x v="113"/>
    <x v="0"/>
    <n v="19.690000000000005"/>
  </r>
  <r>
    <x v="113"/>
    <x v="1"/>
    <n v="26.459999999999997"/>
  </r>
  <r>
    <x v="113"/>
    <x v="2"/>
    <n v="20.96"/>
  </r>
  <r>
    <x v="113"/>
    <x v="3"/>
    <n v="21.37"/>
  </r>
  <r>
    <x v="113"/>
    <x v="4"/>
    <n v="23.62"/>
  </r>
  <r>
    <x v="113"/>
    <x v="5"/>
    <n v="22.01"/>
  </r>
  <r>
    <x v="113"/>
    <x v="6"/>
    <n v="24.200000000000003"/>
  </r>
  <r>
    <x v="113"/>
    <x v="7"/>
    <n v="25.619999999999997"/>
  </r>
  <r>
    <x v="113"/>
    <x v="8"/>
    <n v="27.740000000000002"/>
  </r>
  <r>
    <x v="113"/>
    <x v="9"/>
    <n v="24.91"/>
  </r>
  <r>
    <x v="113"/>
    <x v="10"/>
    <n v="23.54"/>
  </r>
  <r>
    <x v="114"/>
    <x v="0"/>
    <n v="16.61"/>
  </r>
  <r>
    <x v="114"/>
    <x v="1"/>
    <n v="18.16"/>
  </r>
  <r>
    <x v="114"/>
    <x v="2"/>
    <n v="19.490000000000002"/>
  </r>
  <r>
    <x v="114"/>
    <x v="3"/>
    <n v="19.5"/>
  </r>
  <r>
    <x v="114"/>
    <x v="4"/>
    <n v="17.29"/>
  </r>
  <r>
    <x v="114"/>
    <x v="5"/>
    <n v="21.93"/>
  </r>
  <r>
    <x v="114"/>
    <x v="6"/>
    <n v="21.640000000000004"/>
  </r>
  <r>
    <x v="114"/>
    <x v="7"/>
    <n v="19.569999999999997"/>
  </r>
  <r>
    <x v="114"/>
    <x v="8"/>
    <n v="17.75"/>
  </r>
  <r>
    <x v="114"/>
    <x v="9"/>
    <n v="19.910000000000004"/>
  </r>
  <r>
    <x v="114"/>
    <x v="10"/>
    <n v="17.100000000000001"/>
  </r>
  <r>
    <x v="115"/>
    <x v="0"/>
    <n v="21.86"/>
  </r>
  <r>
    <x v="115"/>
    <x v="1"/>
    <n v="16.32"/>
  </r>
  <r>
    <x v="115"/>
    <x v="2"/>
    <n v="17.690000000000001"/>
  </r>
  <r>
    <x v="115"/>
    <x v="3"/>
    <n v="13.549999999999999"/>
  </r>
  <r>
    <x v="115"/>
    <x v="4"/>
    <n v="23.39"/>
  </r>
  <r>
    <x v="115"/>
    <x v="5"/>
    <n v="20.36"/>
  </r>
  <r>
    <x v="115"/>
    <x v="6"/>
    <n v="18.21"/>
  </r>
  <r>
    <x v="115"/>
    <x v="7"/>
    <n v="19.72"/>
  </r>
  <r>
    <x v="115"/>
    <x v="8"/>
    <n v="21.73"/>
  </r>
  <r>
    <x v="115"/>
    <x v="9"/>
    <n v="19.610000000000003"/>
  </r>
  <r>
    <x v="115"/>
    <x v="10"/>
    <n v="19.04"/>
  </r>
  <r>
    <x v="116"/>
    <x v="0"/>
    <n v="9.2199999999999989"/>
  </r>
  <r>
    <x v="116"/>
    <x v="1"/>
    <n v="7.53"/>
  </r>
  <r>
    <x v="116"/>
    <x v="2"/>
    <n v="6.2299999999999995"/>
  </r>
  <r>
    <x v="116"/>
    <x v="3"/>
    <n v="7.88"/>
  </r>
  <r>
    <x v="116"/>
    <x v="4"/>
    <n v="8.31"/>
  </r>
  <r>
    <x v="116"/>
    <x v="5"/>
    <n v="10.870000000000001"/>
  </r>
  <r>
    <x v="116"/>
    <x v="6"/>
    <n v="11.35"/>
  </r>
  <r>
    <x v="116"/>
    <x v="7"/>
    <n v="9.120000000000001"/>
  </r>
  <r>
    <x v="116"/>
    <x v="8"/>
    <n v="5.9399999999999995"/>
  </r>
  <r>
    <x v="116"/>
    <x v="9"/>
    <n v="5.69"/>
  </r>
  <r>
    <x v="116"/>
    <x v="10"/>
    <n v="8.3000000000000007"/>
  </r>
  <r>
    <x v="117"/>
    <x v="0"/>
    <n v="17.78"/>
  </r>
  <r>
    <x v="117"/>
    <x v="1"/>
    <n v="12.830000000000002"/>
  </r>
  <r>
    <x v="117"/>
    <x v="2"/>
    <n v="12.53"/>
  </r>
  <r>
    <x v="117"/>
    <x v="3"/>
    <n v="21.060000000000002"/>
  </r>
  <r>
    <x v="117"/>
    <x v="4"/>
    <n v="16.600000000000001"/>
  </r>
  <r>
    <x v="117"/>
    <x v="5"/>
    <n v="31.509999999999998"/>
  </r>
  <r>
    <x v="117"/>
    <x v="6"/>
    <n v="21.43"/>
  </r>
  <r>
    <x v="117"/>
    <x v="7"/>
    <n v="16.600000000000001"/>
  </r>
  <r>
    <x v="117"/>
    <x v="8"/>
    <n v="16.57"/>
  </r>
  <r>
    <x v="117"/>
    <x v="9"/>
    <n v="10.870000000000001"/>
  </r>
  <r>
    <x v="117"/>
    <x v="10"/>
    <n v="11.979999999999999"/>
  </r>
  <r>
    <x v="118"/>
    <x v="0"/>
    <n v="12.68"/>
  </r>
  <r>
    <x v="118"/>
    <x v="1"/>
    <n v="18.29"/>
  </r>
  <r>
    <x v="118"/>
    <x v="2"/>
    <n v="12.39"/>
  </r>
  <r>
    <x v="118"/>
    <x v="3"/>
    <n v="15.34"/>
  </r>
  <r>
    <x v="118"/>
    <x v="4"/>
    <n v="18.979999999999997"/>
  </r>
  <r>
    <x v="118"/>
    <x v="5"/>
    <n v="15.07"/>
  </r>
  <r>
    <x v="118"/>
    <x v="6"/>
    <n v="23.35"/>
  </r>
  <r>
    <x v="118"/>
    <x v="7"/>
    <n v="11.87"/>
  </r>
  <r>
    <x v="118"/>
    <x v="8"/>
    <n v="16.310000000000002"/>
  </r>
  <r>
    <x v="118"/>
    <x v="9"/>
    <n v="2.2799999999999998"/>
  </r>
  <r>
    <x v="118"/>
    <x v="10"/>
    <n v="15.120000000000001"/>
  </r>
  <r>
    <x v="119"/>
    <x v="0"/>
    <n v="35.770000000000003"/>
  </r>
  <r>
    <x v="119"/>
    <x v="1"/>
    <n v="19.839999999999996"/>
  </r>
  <r>
    <x v="119"/>
    <x v="2"/>
    <n v="16.169999999999998"/>
  </r>
  <r>
    <x v="119"/>
    <x v="3"/>
    <n v="37.940000000000005"/>
  </r>
  <r>
    <x v="119"/>
    <x v="4"/>
    <n v="40.72"/>
  </r>
  <r>
    <x v="119"/>
    <x v="5"/>
    <n v="30.369999999999997"/>
  </r>
  <r>
    <x v="119"/>
    <x v="6"/>
    <n v="24.419999999999998"/>
  </r>
  <r>
    <x v="119"/>
    <x v="7"/>
    <n v="28.130000000000003"/>
  </r>
  <r>
    <x v="119"/>
    <x v="8"/>
    <n v="27.569999999999997"/>
  </r>
  <r>
    <x v="119"/>
    <x v="9"/>
    <n v="28"/>
  </r>
  <r>
    <x v="119"/>
    <x v="10"/>
    <n v="19.27"/>
  </r>
  <r>
    <x v="120"/>
    <x v="0"/>
    <n v="7.7799999999999994"/>
  </r>
  <r>
    <x v="120"/>
    <x v="1"/>
    <n v="6.1499999999999995"/>
  </r>
  <r>
    <x v="120"/>
    <x v="2"/>
    <n v="8.24"/>
  </r>
  <r>
    <x v="120"/>
    <x v="3"/>
    <n v="10.509999999999998"/>
  </r>
  <r>
    <x v="120"/>
    <x v="4"/>
    <n v="14.009999999999998"/>
  </r>
  <r>
    <x v="120"/>
    <x v="5"/>
    <n v="13.839999999999998"/>
  </r>
  <r>
    <x v="120"/>
    <x v="6"/>
    <n v="8.36"/>
  </r>
  <r>
    <x v="120"/>
    <x v="7"/>
    <n v="7.0200000000000005"/>
  </r>
  <r>
    <x v="120"/>
    <x v="8"/>
    <n v="7.18"/>
  </r>
  <r>
    <x v="120"/>
    <x v="9"/>
    <n v="7.43"/>
  </r>
  <r>
    <x v="120"/>
    <x v="10"/>
    <n v="6.5299999999999994"/>
  </r>
  <r>
    <x v="121"/>
    <x v="0"/>
    <n v="23.800000000000004"/>
  </r>
  <r>
    <x v="121"/>
    <x v="1"/>
    <n v="21.09"/>
  </r>
  <r>
    <x v="121"/>
    <x v="2"/>
    <n v="12.680000000000001"/>
  </r>
  <r>
    <x v="121"/>
    <x v="3"/>
    <n v="21.54"/>
  </r>
  <r>
    <x v="121"/>
    <x v="4"/>
    <n v="20.180000000000003"/>
  </r>
  <r>
    <x v="121"/>
    <x v="5"/>
    <n v="18.41"/>
  </r>
  <r>
    <x v="121"/>
    <x v="6"/>
    <n v="16.62"/>
  </r>
  <r>
    <x v="121"/>
    <x v="7"/>
    <n v="26.299999999999997"/>
  </r>
  <r>
    <x v="121"/>
    <x v="8"/>
    <n v="27.37"/>
  </r>
  <r>
    <x v="121"/>
    <x v="9"/>
    <n v="24.65"/>
  </r>
  <r>
    <x v="121"/>
    <x v="10"/>
    <n v="33.730000000000004"/>
  </r>
  <r>
    <x v="122"/>
    <x v="0"/>
    <n v="13.12"/>
  </r>
  <r>
    <x v="122"/>
    <x v="1"/>
    <n v="12.359999999999998"/>
  </r>
  <r>
    <x v="122"/>
    <x v="2"/>
    <n v="8.67"/>
  </r>
  <r>
    <x v="122"/>
    <x v="3"/>
    <n v="10.639999999999999"/>
  </r>
  <r>
    <x v="122"/>
    <x v="4"/>
    <n v="13.29"/>
  </r>
  <r>
    <x v="122"/>
    <x v="5"/>
    <n v="19.989999999999995"/>
  </r>
  <r>
    <x v="122"/>
    <x v="6"/>
    <n v="13.41"/>
  </r>
  <r>
    <x v="122"/>
    <x v="7"/>
    <n v="14.3"/>
  </r>
  <r>
    <x v="122"/>
    <x v="8"/>
    <n v="15.68"/>
  </r>
  <r>
    <x v="122"/>
    <x v="9"/>
    <n v="7.1099999999999994"/>
  </r>
  <r>
    <x v="122"/>
    <x v="10"/>
    <n v="12.329999999999998"/>
  </r>
  <r>
    <x v="123"/>
    <x v="0"/>
    <n v="9.4499999999999993"/>
  </r>
  <r>
    <x v="123"/>
    <x v="1"/>
    <n v="8.9700000000000006"/>
  </r>
  <r>
    <x v="123"/>
    <x v="2"/>
    <n v="11.059999999999999"/>
  </r>
  <r>
    <x v="123"/>
    <x v="3"/>
    <n v="7.8100000000000005"/>
  </r>
  <r>
    <x v="123"/>
    <x v="4"/>
    <n v="10.14"/>
  </r>
  <r>
    <x v="123"/>
    <x v="5"/>
    <n v="12.27"/>
  </r>
  <r>
    <x v="123"/>
    <x v="6"/>
    <n v="10.11"/>
  </r>
  <r>
    <x v="123"/>
    <x v="7"/>
    <n v="8.09"/>
  </r>
  <r>
    <x v="123"/>
    <x v="8"/>
    <n v="11.8"/>
  </r>
  <r>
    <x v="123"/>
    <x v="9"/>
    <n v="9.07"/>
  </r>
  <r>
    <x v="123"/>
    <x v="10"/>
    <n v="7.2799999999999994"/>
  </r>
  <r>
    <x v="124"/>
    <x v="0"/>
    <n v="15.29"/>
  </r>
  <r>
    <x v="124"/>
    <x v="1"/>
    <n v="8.879999999999999"/>
  </r>
  <r>
    <x v="124"/>
    <x v="2"/>
    <n v="4.88"/>
  </r>
  <r>
    <x v="124"/>
    <x v="3"/>
    <n v="13.17"/>
  </r>
  <r>
    <x v="124"/>
    <x v="4"/>
    <n v="13.38"/>
  </r>
  <r>
    <x v="124"/>
    <x v="5"/>
    <n v="10.51"/>
  </r>
  <r>
    <x v="124"/>
    <x v="6"/>
    <n v="3.59"/>
  </r>
  <r>
    <x v="124"/>
    <x v="9"/>
    <n v="11.17"/>
  </r>
  <r>
    <x v="124"/>
    <x v="10"/>
    <n v="9.7199999999999989"/>
  </r>
  <r>
    <x v="125"/>
    <x v="0"/>
    <n v="12.369999999999997"/>
  </r>
  <r>
    <x v="125"/>
    <x v="1"/>
    <n v="15.09"/>
  </r>
  <r>
    <x v="125"/>
    <x v="2"/>
    <n v="11.07"/>
  </r>
  <r>
    <x v="125"/>
    <x v="3"/>
    <n v="11.43"/>
  </r>
  <r>
    <x v="125"/>
    <x v="4"/>
    <n v="12.799999999999999"/>
  </r>
  <r>
    <x v="125"/>
    <x v="5"/>
    <n v="19.21"/>
  </r>
  <r>
    <x v="125"/>
    <x v="6"/>
    <n v="13.61"/>
  </r>
  <r>
    <x v="125"/>
    <x v="7"/>
    <n v="15.02"/>
  </r>
  <r>
    <x v="125"/>
    <x v="8"/>
    <n v="6.99"/>
  </r>
  <r>
    <x v="125"/>
    <x v="9"/>
    <n v="11.14"/>
  </r>
  <r>
    <x v="125"/>
    <x v="10"/>
    <n v="10.54"/>
  </r>
  <r>
    <x v="126"/>
    <x v="0"/>
    <n v="16.579999999999998"/>
  </r>
  <r>
    <x v="126"/>
    <x v="1"/>
    <n v="13.18"/>
  </r>
  <r>
    <x v="126"/>
    <x v="2"/>
    <n v="12.38"/>
  </r>
  <r>
    <x v="126"/>
    <x v="3"/>
    <n v="8.0500000000000007"/>
  </r>
  <r>
    <x v="126"/>
    <x v="4"/>
    <n v="12.610000000000001"/>
  </r>
  <r>
    <x v="126"/>
    <x v="5"/>
    <n v="23.14"/>
  </r>
  <r>
    <x v="126"/>
    <x v="6"/>
    <n v="31.850000000000005"/>
  </r>
  <r>
    <x v="126"/>
    <x v="7"/>
    <n v="20.209999999999997"/>
  </r>
  <r>
    <x v="126"/>
    <x v="8"/>
    <n v="17.509999999999998"/>
  </r>
  <r>
    <x v="126"/>
    <x v="9"/>
    <n v="16.329999999999998"/>
  </r>
  <r>
    <x v="126"/>
    <x v="10"/>
    <n v="21.36"/>
  </r>
  <r>
    <x v="127"/>
    <x v="0"/>
    <n v="15.07"/>
  </r>
  <r>
    <x v="127"/>
    <x v="3"/>
    <n v="18.25"/>
  </r>
  <r>
    <x v="127"/>
    <x v="4"/>
    <n v="24.82"/>
  </r>
  <r>
    <x v="127"/>
    <x v="5"/>
    <n v="20.420000000000002"/>
  </r>
  <r>
    <x v="127"/>
    <x v="6"/>
    <n v="25.599999999999998"/>
  </r>
  <r>
    <x v="127"/>
    <x v="7"/>
    <n v="15.299999999999999"/>
  </r>
  <r>
    <x v="127"/>
    <x v="8"/>
    <n v="1.84"/>
  </r>
  <r>
    <x v="128"/>
    <x v="0"/>
    <n v="27.77"/>
  </r>
  <r>
    <x v="128"/>
    <x v="1"/>
    <n v="24.259999999999998"/>
  </r>
  <r>
    <x v="128"/>
    <x v="2"/>
    <n v="25.889999999999997"/>
  </r>
  <r>
    <x v="128"/>
    <x v="3"/>
    <n v="30.17"/>
  </r>
  <r>
    <x v="128"/>
    <x v="4"/>
    <n v="25.95"/>
  </r>
  <r>
    <x v="128"/>
    <x v="5"/>
    <n v="21.45"/>
  </r>
  <r>
    <x v="128"/>
    <x v="6"/>
    <n v="19.73"/>
  </r>
  <r>
    <x v="128"/>
    <x v="7"/>
    <n v="39.360000000000007"/>
  </r>
  <r>
    <x v="128"/>
    <x v="8"/>
    <n v="29.289999999999996"/>
  </r>
  <r>
    <x v="128"/>
    <x v="9"/>
    <n v="19.669999999999998"/>
  </r>
  <r>
    <x v="128"/>
    <x v="10"/>
    <n v="22.409999999999997"/>
  </r>
  <r>
    <x v="129"/>
    <x v="0"/>
    <n v="36.480000000000004"/>
  </r>
  <r>
    <x v="129"/>
    <x v="1"/>
    <n v="32.71"/>
  </r>
  <r>
    <x v="129"/>
    <x v="2"/>
    <n v="22.380000000000003"/>
  </r>
  <r>
    <x v="129"/>
    <x v="3"/>
    <n v="38.550000000000004"/>
  </r>
  <r>
    <x v="129"/>
    <x v="4"/>
    <n v="34.619999999999997"/>
  </r>
  <r>
    <x v="129"/>
    <x v="5"/>
    <n v="31.200000000000003"/>
  </r>
  <r>
    <x v="129"/>
    <x v="6"/>
    <n v="41.14"/>
  </r>
  <r>
    <x v="129"/>
    <x v="7"/>
    <n v="44.05"/>
  </r>
  <r>
    <x v="129"/>
    <x v="8"/>
    <n v="39.999999999999993"/>
  </r>
  <r>
    <x v="129"/>
    <x v="9"/>
    <n v="29.08"/>
  </r>
  <r>
    <x v="129"/>
    <x v="10"/>
    <n v="27.5"/>
  </r>
  <r>
    <x v="130"/>
    <x v="0"/>
    <n v="16.21"/>
  </r>
  <r>
    <x v="130"/>
    <x v="1"/>
    <n v="22.78"/>
  </r>
  <r>
    <x v="130"/>
    <x v="2"/>
    <n v="19.420000000000002"/>
  </r>
  <r>
    <x v="130"/>
    <x v="3"/>
    <n v="19.12"/>
  </r>
  <r>
    <x v="130"/>
    <x v="4"/>
    <n v="17.939999999999998"/>
  </r>
  <r>
    <x v="130"/>
    <x v="5"/>
    <n v="20.450000000000003"/>
  </r>
  <r>
    <x v="130"/>
    <x v="6"/>
    <n v="22.29"/>
  </r>
  <r>
    <x v="130"/>
    <x v="7"/>
    <n v="17.040000000000003"/>
  </r>
  <r>
    <x v="130"/>
    <x v="8"/>
    <n v="28.02"/>
  </r>
  <r>
    <x v="130"/>
    <x v="9"/>
    <n v="13.75"/>
  </r>
  <r>
    <x v="130"/>
    <x v="10"/>
    <n v="19.259999999999998"/>
  </r>
  <r>
    <x v="131"/>
    <x v="0"/>
    <n v="20.149999999999999"/>
  </r>
  <r>
    <x v="131"/>
    <x v="1"/>
    <n v="15.249999999999998"/>
  </r>
  <r>
    <x v="131"/>
    <x v="2"/>
    <n v="9.5500000000000007"/>
  </r>
  <r>
    <x v="131"/>
    <x v="3"/>
    <n v="10.93"/>
  </r>
  <r>
    <x v="131"/>
    <x v="4"/>
    <n v="19.82"/>
  </r>
  <r>
    <x v="131"/>
    <x v="5"/>
    <n v="21.64"/>
  </r>
  <r>
    <x v="131"/>
    <x v="6"/>
    <n v="13.13"/>
  </r>
  <r>
    <x v="131"/>
    <x v="7"/>
    <n v="12.909999999999998"/>
  </r>
  <r>
    <x v="131"/>
    <x v="8"/>
    <n v="15.700000000000001"/>
  </r>
  <r>
    <x v="131"/>
    <x v="9"/>
    <n v="19.97"/>
  </r>
  <r>
    <x v="131"/>
    <x v="10"/>
    <n v="12.47"/>
  </r>
  <r>
    <x v="132"/>
    <x v="0"/>
    <n v="7.53"/>
  </r>
  <r>
    <x v="132"/>
    <x v="1"/>
    <n v="9.879999999999999"/>
  </r>
  <r>
    <x v="132"/>
    <x v="2"/>
    <n v="6.25"/>
  </r>
  <r>
    <x v="132"/>
    <x v="3"/>
    <n v="7.25"/>
  </r>
  <r>
    <x v="132"/>
    <x v="4"/>
    <n v="16.440000000000001"/>
  </r>
  <r>
    <x v="132"/>
    <x v="5"/>
    <n v="10.36"/>
  </r>
  <r>
    <x v="132"/>
    <x v="6"/>
    <n v="17.07"/>
  </r>
  <r>
    <x v="132"/>
    <x v="7"/>
    <n v="11.030000000000001"/>
  </r>
  <r>
    <x v="132"/>
    <x v="8"/>
    <n v="15.35"/>
  </r>
  <r>
    <x v="132"/>
    <x v="9"/>
    <n v="15.469999999999999"/>
  </r>
  <r>
    <x v="132"/>
    <x v="10"/>
    <n v="15.490000000000002"/>
  </r>
  <r>
    <x v="133"/>
    <x v="0"/>
    <n v="10.48"/>
  </r>
  <r>
    <x v="133"/>
    <x v="1"/>
    <n v="17.91"/>
  </r>
  <r>
    <x v="133"/>
    <x v="2"/>
    <n v="16.75"/>
  </r>
  <r>
    <x v="133"/>
    <x v="3"/>
    <n v="11.32"/>
  </r>
  <r>
    <x v="133"/>
    <x v="4"/>
    <n v="17.07"/>
  </r>
  <r>
    <x v="133"/>
    <x v="5"/>
    <n v="10.180000000000001"/>
  </r>
  <r>
    <x v="133"/>
    <x v="6"/>
    <n v="26.450000000000003"/>
  </r>
  <r>
    <x v="133"/>
    <x v="7"/>
    <n v="23.51"/>
  </r>
  <r>
    <x v="133"/>
    <x v="8"/>
    <n v="12.27"/>
  </r>
  <r>
    <x v="133"/>
    <x v="9"/>
    <n v="11.780000000000001"/>
  </r>
  <r>
    <x v="133"/>
    <x v="10"/>
    <n v="12.350000000000001"/>
  </r>
  <r>
    <x v="134"/>
    <x v="0"/>
    <n v="14.12"/>
  </r>
  <r>
    <x v="134"/>
    <x v="1"/>
    <n v="10.93"/>
  </r>
  <r>
    <x v="134"/>
    <x v="2"/>
    <n v="12.860000000000001"/>
  </r>
  <r>
    <x v="134"/>
    <x v="3"/>
    <n v="7.9799999999999995"/>
  </r>
  <r>
    <x v="134"/>
    <x v="4"/>
    <n v="15.499999999999998"/>
  </r>
  <r>
    <x v="134"/>
    <x v="5"/>
    <n v="14.200000000000001"/>
  </r>
  <r>
    <x v="134"/>
    <x v="6"/>
    <n v="17.14"/>
  </r>
  <r>
    <x v="134"/>
    <x v="7"/>
    <n v="14.920000000000002"/>
  </r>
  <r>
    <x v="134"/>
    <x v="8"/>
    <n v="20.58"/>
  </r>
  <r>
    <x v="134"/>
    <x v="9"/>
    <n v="11.969999999999999"/>
  </r>
  <r>
    <x v="134"/>
    <x v="10"/>
    <n v="12.4"/>
  </r>
  <r>
    <x v="135"/>
    <x v="0"/>
    <n v="16.829999999999998"/>
  </r>
  <r>
    <x v="135"/>
    <x v="1"/>
    <n v="15.370000000000003"/>
  </r>
  <r>
    <x v="135"/>
    <x v="2"/>
    <n v="9.49"/>
  </r>
  <r>
    <x v="135"/>
    <x v="3"/>
    <n v="14.520000000000001"/>
  </r>
  <r>
    <x v="135"/>
    <x v="4"/>
    <n v="14.67"/>
  </r>
  <r>
    <x v="135"/>
    <x v="5"/>
    <n v="15.62"/>
  </r>
  <r>
    <x v="135"/>
    <x v="6"/>
    <n v="10.66"/>
  </r>
  <r>
    <x v="135"/>
    <x v="7"/>
    <n v="13.45"/>
  </r>
  <r>
    <x v="135"/>
    <x v="8"/>
    <n v="13.420000000000002"/>
  </r>
  <r>
    <x v="135"/>
    <x v="9"/>
    <n v="9.4400000000000013"/>
  </r>
  <r>
    <x v="135"/>
    <x v="10"/>
    <n v="17.88"/>
  </r>
  <r>
    <x v="136"/>
    <x v="0"/>
    <n v="13.4"/>
  </r>
  <r>
    <x v="136"/>
    <x v="1"/>
    <n v="14.319999999999999"/>
  </r>
  <r>
    <x v="136"/>
    <x v="2"/>
    <n v="10.030000000000001"/>
  </r>
  <r>
    <x v="136"/>
    <x v="3"/>
    <n v="11.280000000000001"/>
  </r>
  <r>
    <x v="136"/>
    <x v="4"/>
    <n v="13.6"/>
  </r>
  <r>
    <x v="136"/>
    <x v="5"/>
    <n v="8.9699999999999989"/>
  </r>
  <r>
    <x v="136"/>
    <x v="6"/>
    <n v="11.48"/>
  </r>
  <r>
    <x v="136"/>
    <x v="7"/>
    <n v="13.67"/>
  </r>
  <r>
    <x v="136"/>
    <x v="8"/>
    <n v="6.0300000000000011"/>
  </r>
  <r>
    <x v="136"/>
    <x v="9"/>
    <n v="12.850000000000001"/>
  </r>
  <r>
    <x v="136"/>
    <x v="10"/>
    <n v="13.969999999999999"/>
  </r>
  <r>
    <x v="137"/>
    <x v="0"/>
    <n v="2.2599999999999998"/>
  </r>
  <r>
    <x v="137"/>
    <x v="4"/>
    <n v="3.45"/>
  </r>
  <r>
    <x v="137"/>
    <x v="5"/>
    <n v="3.85"/>
  </r>
  <r>
    <x v="137"/>
    <x v="6"/>
    <n v="1.69"/>
  </r>
  <r>
    <x v="137"/>
    <x v="7"/>
    <n v="3.53"/>
  </r>
  <r>
    <x v="137"/>
    <x v="8"/>
    <n v="3.38"/>
  </r>
  <r>
    <x v="138"/>
    <x v="0"/>
    <n v="8.11"/>
  </r>
  <r>
    <x v="138"/>
    <x v="1"/>
    <n v="6.59"/>
  </r>
  <r>
    <x v="138"/>
    <x v="2"/>
    <n v="12.81"/>
  </r>
  <r>
    <x v="138"/>
    <x v="3"/>
    <n v="4.6500000000000004"/>
  </r>
  <r>
    <x v="138"/>
    <x v="4"/>
    <n v="7.6400000000000006"/>
  </r>
  <r>
    <x v="138"/>
    <x v="5"/>
    <n v="7.5"/>
  </r>
  <r>
    <x v="138"/>
    <x v="6"/>
    <n v="7.1999999999999993"/>
  </r>
  <r>
    <x v="138"/>
    <x v="7"/>
    <n v="7.7799999999999994"/>
  </r>
  <r>
    <x v="138"/>
    <x v="8"/>
    <n v="7.31"/>
  </r>
  <r>
    <x v="138"/>
    <x v="9"/>
    <n v="5.8800000000000008"/>
  </r>
  <r>
    <x v="138"/>
    <x v="10"/>
    <n v="6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E0F90-8190-4135-9932-F666F88C9D0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41" firstHeaderRow="1" firstDataRow="1" firstDataCol="1"/>
  <pivotFields count="3">
    <pivotField axis="axisRow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>
      <items count="12">
        <item x="0"/>
        <item x="3"/>
        <item x="4"/>
        <item x="5"/>
        <item x="6"/>
        <item x="7"/>
        <item x="8"/>
        <item x="9"/>
        <item x="10"/>
        <item x="1"/>
        <item x="2"/>
        <item t="default"/>
      </items>
    </pivotField>
    <pivotField dataField="1" showAll="0"/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dataFields count="1">
    <dataField name="Sum of Tons per mon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D628-2BFD-494C-9A3D-C67947B69F7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M13" firstHeaderRow="1" firstDataRow="1" firstDataCol="1"/>
  <pivotFields count="3">
    <pivotField showAll="0"/>
    <pivotField axis="axisRow" showAll="0">
      <items count="12">
        <item x="0"/>
        <item x="3"/>
        <item x="4"/>
        <item x="5"/>
        <item x="6"/>
        <item x="7"/>
        <item x="8"/>
        <item x="9"/>
        <item x="10"/>
        <item x="1"/>
        <item x="2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ns per month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64235E-744C-49A7-9E39-E04F35DF547A}" autoFormatId="16" applyNumberFormats="0" applyBorderFormats="0" applyFontFormats="0" applyPatternFormats="0" applyAlignmentFormats="0" applyWidthHeightFormats="0">
  <queryTableRefresh nextId="320">
    <queryTableFields count="319">
      <queryTableField id="1" name="Development" tableColumnId="1"/>
      <queryTableField id="2" name="Year Sum" tableColumnId="2"/>
      <queryTableField id="3" name="Weekly Average" tableColumnId="3"/>
      <queryTableField id="4" name="Borough" tableColumnId="4"/>
      <queryTableField id="5" name="District" tableColumnId="5"/>
      <queryTableField id="6" name="1/9/2017" tableColumnId="6"/>
      <queryTableField id="7" name="1/10/2017" tableColumnId="7"/>
      <queryTableField id="8" name="1/11/2017" tableColumnId="8"/>
      <queryTableField id="9" name="1/12/2017" tableColumnId="9"/>
      <queryTableField id="10" name="1/13/2017" tableColumnId="10"/>
      <queryTableField id="11" name="1/14/2017" tableColumnId="11"/>
      <queryTableField id="12" name="1/16/2017" tableColumnId="12"/>
      <queryTableField id="13" name="1/17/2017" tableColumnId="13"/>
      <queryTableField id="14" name="1/18/2017" tableColumnId="14"/>
      <queryTableField id="15" name="1/19/2017" tableColumnId="15"/>
      <queryTableField id="16" name="1/20/2017" tableColumnId="16"/>
      <queryTableField id="17" name="1/21/2017" tableColumnId="17"/>
      <queryTableField id="18" name="1/23/2017" tableColumnId="18"/>
      <queryTableField id="19" name="1/24/2017" tableColumnId="19"/>
      <queryTableField id="20" name="1/25/2017" tableColumnId="20"/>
      <queryTableField id="21" name="1/26/2017" tableColumnId="21"/>
      <queryTableField id="22" name="1/27/2017" tableColumnId="22"/>
      <queryTableField id="23" name="1/28/2017" tableColumnId="23"/>
      <queryTableField id="24" name="1/2/2017" tableColumnId="24"/>
      <queryTableField id="25" name="1/3/2017" tableColumnId="25"/>
      <queryTableField id="26" name="1/4/2017" tableColumnId="26"/>
      <queryTableField id="27" name="1/5/2017" tableColumnId="27"/>
      <queryTableField id="28" name="1/6/2017" tableColumnId="28"/>
      <queryTableField id="29" name="1/7/2017" tableColumnId="29"/>
      <queryTableField id="30" name="10/9/2017" tableColumnId="30"/>
      <queryTableField id="31" name="10/10/2017" tableColumnId="31"/>
      <queryTableField id="32" name="10/11/2017" tableColumnId="32"/>
      <queryTableField id="33" name="10/12/2017" tableColumnId="33"/>
      <queryTableField id="34" name="10/13/2017" tableColumnId="34"/>
      <queryTableField id="35" name="10/14/2017" tableColumnId="35"/>
      <queryTableField id="36" name="10/16/2017" tableColumnId="36"/>
      <queryTableField id="37" name="10/17/2017" tableColumnId="37"/>
      <queryTableField id="38" name="10/18/2017" tableColumnId="38"/>
      <queryTableField id="39" name="10/19/2017" tableColumnId="39"/>
      <queryTableField id="40" name="10/20/2017" tableColumnId="40"/>
      <queryTableField id="41" name="10/21/2017" tableColumnId="41"/>
      <queryTableField id="42" name="10/23/2017" tableColumnId="42"/>
      <queryTableField id="43" name="10/24/2017" tableColumnId="43"/>
      <queryTableField id="44" name="10/25/2017" tableColumnId="44"/>
      <queryTableField id="45" name="10/26/2017" tableColumnId="45"/>
      <queryTableField id="46" name="10/27/2017" tableColumnId="46"/>
      <queryTableField id="47" name="10/28/2017" tableColumnId="47"/>
      <queryTableField id="48" name="10/2/2017" tableColumnId="48"/>
      <queryTableField id="49" name="10/3/2017" tableColumnId="49"/>
      <queryTableField id="50" name="10/4/2017" tableColumnId="50"/>
      <queryTableField id="51" name="10/5/2017" tableColumnId="51"/>
      <queryTableField id="52" name="10/6/2017" tableColumnId="52"/>
      <queryTableField id="53" name="10/7/2017" tableColumnId="53"/>
      <queryTableField id="54" name="11/6/2017" tableColumnId="54"/>
      <queryTableField id="55" name="11/7/2017" tableColumnId="55"/>
      <queryTableField id="56" name="11/8/2017" tableColumnId="56"/>
      <queryTableField id="57" name="11/9/2017" tableColumnId="57"/>
      <queryTableField id="58" name="11/10/2017" tableColumnId="58"/>
      <queryTableField id="59" name="11/11/2017" tableColumnId="59"/>
      <queryTableField id="60" name="11/13/2017" tableColumnId="60"/>
      <queryTableField id="61" name="11/14/2017" tableColumnId="61"/>
      <queryTableField id="62" name="11/15/2017" tableColumnId="62"/>
      <queryTableField id="63" name="11/16/2017" tableColumnId="63"/>
      <queryTableField id="64" name="11/17/2017" tableColumnId="64"/>
      <queryTableField id="65" name="11/18/2017" tableColumnId="65"/>
      <queryTableField id="66" name="11/20/2017" tableColumnId="66"/>
      <queryTableField id="67" name="11/21/2017" tableColumnId="67"/>
      <queryTableField id="68" name="11/22/2017" tableColumnId="68"/>
      <queryTableField id="69" name="11/23/2017" tableColumnId="69"/>
      <queryTableField id="70" name="11/24/2017" tableColumnId="70"/>
      <queryTableField id="71" name="11/25/2017" tableColumnId="71"/>
      <queryTableField id="72" name="10/30/2017" tableColumnId="72"/>
      <queryTableField id="73" name="10/31/2017" tableColumnId="73"/>
      <queryTableField id="74" name="11/1/2017" tableColumnId="74"/>
      <queryTableField id="75" name="11/2/2017" tableColumnId="75"/>
      <queryTableField id="76" name="11/3/2017" tableColumnId="76"/>
      <queryTableField id="77" name="11/4/2017" tableColumnId="77"/>
      <queryTableField id="78" name="12/10/2017" tableColumnId="78"/>
      <queryTableField id="79" name="12/11/2017" tableColumnId="79"/>
      <queryTableField id="80" name="12/12/2017" tableColumnId="80"/>
      <queryTableField id="81" name="12/13/2017" tableColumnId="81"/>
      <queryTableField id="82" name="12/14/2017" tableColumnId="82"/>
      <queryTableField id="83" name="12/15/2017" tableColumnId="83"/>
      <queryTableField id="84" name="12/16/2017" tableColumnId="84"/>
      <queryTableField id="85" name="11/27/2017" tableColumnId="85"/>
      <queryTableField id="86" name="11/28/2017" tableColumnId="86"/>
      <queryTableField id="87" name="11/29/2017" tableColumnId="87"/>
      <queryTableField id="88" name="11/30/2017" tableColumnId="88"/>
      <queryTableField id="89" name="12/1/2017" tableColumnId="89"/>
      <queryTableField id="90" name="12/2/2017" tableColumnId="90"/>
      <queryTableField id="91" name="12/18/2017" tableColumnId="91"/>
      <queryTableField id="92" name="12/19/2017" tableColumnId="92"/>
      <queryTableField id="93" name="12/20/2017" tableColumnId="93"/>
      <queryTableField id="94" name="12/21/2017" tableColumnId="94"/>
      <queryTableField id="95" name="12/22/2017" tableColumnId="95"/>
      <queryTableField id="96" name="12/23/2017" tableColumnId="96"/>
      <queryTableField id="97" name="12/25/2017" tableColumnId="97"/>
      <queryTableField id="98" name="12/26/2017" tableColumnId="98"/>
      <queryTableField id="99" name="12/27/2017" tableColumnId="99"/>
      <queryTableField id="100" name="12/28/2017" tableColumnId="100"/>
      <queryTableField id="101" name="12/29/2017" tableColumnId="101"/>
      <queryTableField id="102" name="12/30/2017" tableColumnId="102"/>
      <queryTableField id="103" name="12/4/2017" tableColumnId="103"/>
      <queryTableField id="104" name="12/5/2017" tableColumnId="104"/>
      <queryTableField id="105" name="12/6/2017" tableColumnId="105"/>
      <queryTableField id="106" name="12/7/2017" tableColumnId="106"/>
      <queryTableField id="107" name="12/8/2017" tableColumnId="107"/>
      <queryTableField id="108" name="12/9/2017" tableColumnId="108"/>
      <queryTableField id="109" name="2/6/2017" tableColumnId="109"/>
      <queryTableField id="110" name="2/7/2017" tableColumnId="110"/>
      <queryTableField id="111" name="2/8/2017" tableColumnId="111"/>
      <queryTableField id="112" name="2/9/2017" tableColumnId="112"/>
      <queryTableField id="113" name="2/10/2017" tableColumnId="113"/>
      <queryTableField id="114" name="2/11/2017" tableColumnId="114"/>
      <queryTableField id="115" name="2/12/2017" tableColumnId="115"/>
      <queryTableField id="116" name="2/13/2017" tableColumnId="116"/>
      <queryTableField id="117" name="2/14/2017" tableColumnId="117"/>
      <queryTableField id="118" name="2/15/2017" tableColumnId="118"/>
      <queryTableField id="119" name="2/16/2017" tableColumnId="119"/>
      <queryTableField id="120" name="2/17/2017" tableColumnId="120"/>
      <queryTableField id="121" name="2/18/2017" tableColumnId="121"/>
      <queryTableField id="122" name="2/20/2017" tableColumnId="122"/>
      <queryTableField id="123" name="2/21/2017" tableColumnId="123"/>
      <queryTableField id="124" name="2/22/2017" tableColumnId="124"/>
      <queryTableField id="125" name="2/23/2017" tableColumnId="125"/>
      <queryTableField id="126" name="2/24/2017" tableColumnId="126"/>
      <queryTableField id="127" name="2/25/2017" tableColumnId="127"/>
      <queryTableField id="128" name="1/30/2017" tableColumnId="128"/>
      <queryTableField id="129" name="1/31/2017" tableColumnId="129"/>
      <queryTableField id="130" name="2/1/2017" tableColumnId="130"/>
      <queryTableField id="131" name="2/2/2017" tableColumnId="131"/>
      <queryTableField id="132" name="2/3/2017" tableColumnId="132"/>
      <queryTableField id="133" name="2/4/2017" tableColumnId="133"/>
      <queryTableField id="134" name="3/6/2017" tableColumnId="134"/>
      <queryTableField id="135" name="3/7/2017" tableColumnId="135"/>
      <queryTableField id="136" name="3/8/2017" tableColumnId="136"/>
      <queryTableField id="137" name="3/9/2017" tableColumnId="137"/>
      <queryTableField id="138" name="3/10/2017" tableColumnId="138"/>
      <queryTableField id="139" name="3/11/2017" tableColumnId="139"/>
      <queryTableField id="140" name="3/13/2017" tableColumnId="140"/>
      <queryTableField id="141" name="3/14/2017" tableColumnId="141"/>
      <queryTableField id="142" name="3/15/2017" tableColumnId="142"/>
      <queryTableField id="143" name="3/16/2017" tableColumnId="143"/>
      <queryTableField id="144" name="3/17/2017" tableColumnId="144"/>
      <queryTableField id="145" name="3/18/2017" tableColumnId="145"/>
      <queryTableField id="146" name="3/20/2017" tableColumnId="146"/>
      <queryTableField id="147" name="3/21/2017" tableColumnId="147"/>
      <queryTableField id="148" name="3/22/2017" tableColumnId="148"/>
      <queryTableField id="149" name="3/23/2017" tableColumnId="149"/>
      <queryTableField id="150" name="3/24/2017" tableColumnId="150"/>
      <queryTableField id="151" name="3/25/2017" tableColumnId="151"/>
      <queryTableField id="152" name="2/27/2017" tableColumnId="152"/>
      <queryTableField id="153" name="2/28/2017" tableColumnId="153"/>
      <queryTableField id="154" name="3/1/2017" tableColumnId="154"/>
      <queryTableField id="155" name="3/2/2017" tableColumnId="155"/>
      <queryTableField id="156" name="3/3/2017" tableColumnId="156"/>
      <queryTableField id="157" name="3/4/2017" tableColumnId="157"/>
      <queryTableField id="158" name="3/27/2017" tableColumnId="158"/>
      <queryTableField id="159" name="3/28/2017" tableColumnId="159"/>
      <queryTableField id="160" name="3/29/2017" tableColumnId="160"/>
      <queryTableField id="161" name="3/30/2017" tableColumnId="161"/>
      <queryTableField id="162" name="3/31/2017" tableColumnId="162"/>
      <queryTableField id="163" name="4/1/2017" tableColumnId="163"/>
      <queryTableField id="164" name="4/10/2017" tableColumnId="164"/>
      <queryTableField id="165" name="4/11/2017" tableColumnId="165"/>
      <queryTableField id="166" name="4/12/2017" tableColumnId="166"/>
      <queryTableField id="167" name="4/13/2017" tableColumnId="167"/>
      <queryTableField id="168" name="4/14/2017" tableColumnId="168"/>
      <queryTableField id="169" name="4/15/2017" tableColumnId="169"/>
      <queryTableField id="170" name="4/17/2017" tableColumnId="170"/>
      <queryTableField id="171" name="4/18/2017" tableColumnId="171"/>
      <queryTableField id="172" name="4/19/2017" tableColumnId="172"/>
      <queryTableField id="173" name="4/20/2017" tableColumnId="173"/>
      <queryTableField id="174" name="4/21/2017" tableColumnId="174"/>
      <queryTableField id="175" name="4/22/2017" tableColumnId="175"/>
      <queryTableField id="176" name="4/24/2017" tableColumnId="176"/>
      <queryTableField id="177" name="4/25/2017" tableColumnId="177"/>
      <queryTableField id="178" name="4/26/2017" tableColumnId="178"/>
      <queryTableField id="179" name="4/27/2017" tableColumnId="179"/>
      <queryTableField id="180" name="4/28/2017" tableColumnId="180"/>
      <queryTableField id="181" name="4/29/2017" tableColumnId="181"/>
      <queryTableField id="182" name="4/3/2017" tableColumnId="182"/>
      <queryTableField id="183" name="4/4/2017" tableColumnId="183"/>
      <queryTableField id="184" name="4/5/2017" tableColumnId="184"/>
      <queryTableField id="185" name="4/6/2017" tableColumnId="185"/>
      <queryTableField id="186" name="4/7/2017" tableColumnId="186"/>
      <queryTableField id="187" name="4/8/2017" tableColumnId="187"/>
      <queryTableField id="188" name="5/8/2017" tableColumnId="188"/>
      <queryTableField id="189" name="5/9/2017" tableColumnId="189"/>
      <queryTableField id="190" name="5/10/2017" tableColumnId="190"/>
      <queryTableField id="191" name="5/11/2017" tableColumnId="191"/>
      <queryTableField id="192" name="5/12/2017" tableColumnId="192"/>
      <queryTableField id="193" name="5/13/2017" tableColumnId="193"/>
      <queryTableField id="194" name="5/15/2017" tableColumnId="194"/>
      <queryTableField id="195" name="5/16/2017" tableColumnId="195"/>
      <queryTableField id="196" name="5/17/2017" tableColumnId="196"/>
      <queryTableField id="197" name="5/18/2017" tableColumnId="197"/>
      <queryTableField id="198" name="5/19/2017" tableColumnId="198"/>
      <queryTableField id="199" name="5/20/2017" tableColumnId="199"/>
      <queryTableField id="200" name="5/22/2017" tableColumnId="200"/>
      <queryTableField id="201" name="5/23/2017" tableColumnId="201"/>
      <queryTableField id="202" name="5/24/2017" tableColumnId="202"/>
      <queryTableField id="203" name="5/25/2017" tableColumnId="203"/>
      <queryTableField id="204" name="5/26/2017" tableColumnId="204"/>
      <queryTableField id="205" name="5/27/2017" tableColumnId="205"/>
      <queryTableField id="206" name="5/1/2017" tableColumnId="206"/>
      <queryTableField id="207" name="5/2/2017" tableColumnId="207"/>
      <queryTableField id="208" name="5/3/2017" tableColumnId="208"/>
      <queryTableField id="209" name="5/4/2017" tableColumnId="209"/>
      <queryTableField id="210" name="5/5/2017" tableColumnId="210"/>
      <queryTableField id="211" name="5/6/2017" tableColumnId="211"/>
      <queryTableField id="212" name="6/5/2017" tableColumnId="212"/>
      <queryTableField id="213" name="6/6/2017" tableColumnId="213"/>
      <queryTableField id="214" name="6/7/2017" tableColumnId="214"/>
      <queryTableField id="215" name="6/8/2017" tableColumnId="215"/>
      <queryTableField id="216" name="6/9/2017" tableColumnId="216"/>
      <queryTableField id="217" name="6/10/2017" tableColumnId="217"/>
      <queryTableField id="218" name="6/12/2017" tableColumnId="218"/>
      <queryTableField id="219" name="6/13/2017" tableColumnId="219"/>
      <queryTableField id="220" name="6/14/2017" tableColumnId="220"/>
      <queryTableField id="221" name="6/15/2017" tableColumnId="221"/>
      <queryTableField id="222" name="6/16/2017" tableColumnId="222"/>
      <queryTableField id="223" name="6/17/2017" tableColumnId="223"/>
      <queryTableField id="224" name="6/19/2017" tableColumnId="224"/>
      <queryTableField id="225" name="6/20/2017" tableColumnId="225"/>
      <queryTableField id="226" name="6/21/2017" tableColumnId="226"/>
      <queryTableField id="227" name="6/22/2017" tableColumnId="227"/>
      <queryTableField id="228" name="6/23/2017" tableColumnId="228"/>
      <queryTableField id="229" name="6/24/2017" tableColumnId="229"/>
      <queryTableField id="230" name="5/29/2017" tableColumnId="230"/>
      <queryTableField id="231" name="5/30/2017" tableColumnId="231"/>
      <queryTableField id="232" name="5/31/2017" tableColumnId="232"/>
      <queryTableField id="233" name="6/1/2017" tableColumnId="233"/>
      <queryTableField id="234" name="6/2/2017" tableColumnId="234"/>
      <queryTableField id="235" name="6/3/2017" tableColumnId="235"/>
      <queryTableField id="236" name="6/26/2017" tableColumnId="236"/>
      <queryTableField id="237" name="6/27/2017" tableColumnId="237"/>
      <queryTableField id="238" name="6/28/2017" tableColumnId="238"/>
      <queryTableField id="239" name="6/29/2017" tableColumnId="239"/>
      <queryTableField id="240" name="6/30/2017" tableColumnId="240"/>
      <queryTableField id="241" name="7/1/2017" tableColumnId="241"/>
      <queryTableField id="242" name="7/10/2017" tableColumnId="242"/>
      <queryTableField id="243" name="7/11/2017" tableColumnId="243"/>
      <queryTableField id="244" name="7/12/2017" tableColumnId="244"/>
      <queryTableField id="245" name="7/13/2017" tableColumnId="245"/>
      <queryTableField id="246" name="7/14/2017" tableColumnId="246"/>
      <queryTableField id="247" name="7/15/2017" tableColumnId="247"/>
      <queryTableField id="248" name="7/17/2017" tableColumnId="248"/>
      <queryTableField id="249" name="7/18/2017" tableColumnId="249"/>
      <queryTableField id="250" name="7/19/2017" tableColumnId="250"/>
      <queryTableField id="251" name="7/20/2017" tableColumnId="251"/>
      <queryTableField id="252" name="7/21/2017" tableColumnId="252"/>
      <queryTableField id="253" name="7/22/2017" tableColumnId="253"/>
      <queryTableField id="254" name="7/24/2017" tableColumnId="254"/>
      <queryTableField id="255" name="7/25/2017" tableColumnId="255"/>
      <queryTableField id="256" name="7/26/2017" tableColumnId="256"/>
      <queryTableField id="257" name="7/27/2017" tableColumnId="257"/>
      <queryTableField id="258" name="7/28/2017" tableColumnId="258"/>
      <queryTableField id="259" name="7/29/2017" tableColumnId="259"/>
      <queryTableField id="260" name="7/3/2017" tableColumnId="260"/>
      <queryTableField id="261" name="7/4/2017" tableColumnId="261"/>
      <queryTableField id="262" name="7/5/2017" tableColumnId="262"/>
      <queryTableField id="263" name="7/6/2017" tableColumnId="263"/>
      <queryTableField id="264" name="7/7/2017" tableColumnId="264"/>
      <queryTableField id="265" name="7/8/2017" tableColumnId="265"/>
      <queryTableField id="266" name="8/7/2017" tableColumnId="266"/>
      <queryTableField id="267" name="8/8/2017" tableColumnId="267"/>
      <queryTableField id="268" name="8/9/2017" tableColumnId="268"/>
      <queryTableField id="269" name="8/10/2017" tableColumnId="269"/>
      <queryTableField id="270" name="8/11/2017" tableColumnId="270"/>
      <queryTableField id="271" name="8/12/2017" tableColumnId="271"/>
      <queryTableField id="272" name="8/14/2017" tableColumnId="272"/>
      <queryTableField id="273" name="8/15/2017" tableColumnId="273"/>
      <queryTableField id="274" name="8/16/2017" tableColumnId="274"/>
      <queryTableField id="275" name="8/17/2017" tableColumnId="275"/>
      <queryTableField id="276" name="8/18/2017" tableColumnId="276"/>
      <queryTableField id="277" name="8/19/2017" tableColumnId="277"/>
      <queryTableField id="278" name="8/21/2017" tableColumnId="278"/>
      <queryTableField id="279" name="8/22/2017" tableColumnId="279"/>
      <queryTableField id="280" name="8/23/2017" tableColumnId="280"/>
      <queryTableField id="281" name="8/24/2017" tableColumnId="281"/>
      <queryTableField id="282" name="8/25/2017" tableColumnId="282"/>
      <queryTableField id="283" name="8/26/2017" tableColumnId="283"/>
      <queryTableField id="284" name="7/31/2017" tableColumnId="284"/>
      <queryTableField id="285" name="8/1/2017" tableColumnId="285"/>
      <queryTableField id="286" name="8/2/2017" tableColumnId="286"/>
      <queryTableField id="287" name="8/3/2017" tableColumnId="287"/>
      <queryTableField id="288" name="8/4/2017" tableColumnId="288"/>
      <queryTableField id="289" name="8/5/2017" tableColumnId="289"/>
      <queryTableField id="290" name="9/11/2017" tableColumnId="290"/>
      <queryTableField id="291" name="9/12/2017" tableColumnId="291"/>
      <queryTableField id="292" name="9/13/2017" tableColumnId="292"/>
      <queryTableField id="293" name="9/14/2017" tableColumnId="293"/>
      <queryTableField id="294" name="9/15/2017" tableColumnId="294"/>
      <queryTableField id="295" name="9/16/2017" tableColumnId="295"/>
      <queryTableField id="296" name="8/28/2017" tableColumnId="296"/>
      <queryTableField id="297" name="8/29/2017" tableColumnId="297"/>
      <queryTableField id="298" name="8/30/2017" tableColumnId="298"/>
      <queryTableField id="299" name="8/31/2017" tableColumnId="299"/>
      <queryTableField id="300" name="9/1/2017" tableColumnId="300"/>
      <queryTableField id="301" name="9/2/2017" tableColumnId="301"/>
      <queryTableField id="302" name="9/18/2017" tableColumnId="302"/>
      <queryTableField id="303" name="9/19/2017" tableColumnId="303"/>
      <queryTableField id="304" name="9/20/2017" tableColumnId="304"/>
      <queryTableField id="305" name="9/21/2017" tableColumnId="305"/>
      <queryTableField id="306" name="9/22/2017" tableColumnId="306"/>
      <queryTableField id="307" name="9/23/2017" tableColumnId="307"/>
      <queryTableField id="308" name="9/25/2017" tableColumnId="308"/>
      <queryTableField id="309" name="9/26/2017" tableColumnId="309"/>
      <queryTableField id="310" name="9/27/2017" tableColumnId="310"/>
      <queryTableField id="311" name="9/28/2017" tableColumnId="311"/>
      <queryTableField id="312" name="9/29/2017" tableColumnId="312"/>
      <queryTableField id="313" name="9/30/2017" tableColumnId="313"/>
      <queryTableField id="314" name="9/4/2017" tableColumnId="314"/>
      <queryTableField id="315" name="9/5/2017" tableColumnId="315"/>
      <queryTableField id="316" name="9/6/2017" tableColumnId="316"/>
      <queryTableField id="317" name="9/7/2017" tableColumnId="317"/>
      <queryTableField id="318" name="9/8/2017" tableColumnId="318"/>
      <queryTableField id="319" name="9/9/2017" tableColumnId="3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7D7D73-56EF-41CF-8783-11E3863B6D01}" autoFormatId="16" applyNumberFormats="0" applyBorderFormats="0" applyFontFormats="0" applyPatternFormats="0" applyAlignmentFormats="0" applyWidthHeightFormats="0">
  <queryTableRefresh nextId="74" unboundColumnsRight="22">
    <queryTableFields count="73">
      <queryTableField id="1" name="DEVELOPMENT" tableColumnId="1"/>
      <queryTableField id="2" name="DATA AS OF" tableColumnId="2"/>
      <queryTableField id="3" name="HUD AMP#" tableColumnId="3"/>
      <queryTableField id="4" name="TDS#" tableColumnId="4"/>
      <queryTableField id="5" name="CONSOLIDATED TDS#" tableColumnId="5"/>
      <queryTableField id="6" name="DEVELOPMENT EDP#" tableColumnId="6"/>
      <queryTableField id="7" name="OPERATING EDP#" tableColumnId="7"/>
      <queryTableField id="8" name="HUD #" tableColumnId="8"/>
      <queryTableField id="9" name="PROGRAM" tableColumnId="9"/>
      <queryTableField id="10" name="METHOD" tableColumnId="10"/>
      <queryTableField id="11" name="TYPE" tableColumnId="11"/>
      <queryTableField id="12" name="NUMBER OF SECTION 8 TRANSITION APARTMENTS" tableColumnId="12"/>
      <queryTableField id="13" name="NUMBER OF CURRENT APARTMENTS" tableColumnId="13"/>
      <queryTableField id="14" name="TOTAL NUMBER OF APARTMENTS" tableColumnId="14"/>
      <queryTableField id="15" name="NUMBER OF RENTAL ROOMS" tableColumnId="15"/>
      <queryTableField id="16" name="AVG NO R/R PER APARTMENT" tableColumnId="16"/>
      <queryTableField id="17" name="POPULATION SECTION 8 TRANSITION" tableColumnId="17"/>
      <queryTableField id="18" name="POPULATION PUBLIC HOUSING" tableColumnId="18"/>
      <queryTableField id="19" name="TOTAL POPULATION" tableColumnId="19"/>
      <queryTableField id="20" name="TOTAL # OF FIXED INCOME HOUSEHOLD" tableColumnId="20"/>
      <queryTableField id="21" name="PERCENT FIXED INCOME HOUSEHOLDS" tableColumnId="21"/>
      <queryTableField id="22" name="NUMBER OF RESIDENTIAL BLDGS" tableColumnId="22"/>
      <queryTableField id="23" name="NUMBER OF NON-RESIDENTIAL BLDGS" tableColumnId="23"/>
      <queryTableField id="24" name="NUMBER OF STAIRHALLS" tableColumnId="24"/>
      <queryTableField id="25" name="NUMBER OF STORIES" tableColumnId="25"/>
      <queryTableField id="26" name="TOTAL AREA SQ FT" tableColumnId="26"/>
      <queryTableField id="27" name="ACRES" tableColumnId="27"/>
      <queryTableField id="28" name="NET DEV AREA SQ FT" tableColumnId="28"/>
      <queryTableField id="29" name="EXCLUDING PARK ACRES" tableColumnId="29"/>
      <queryTableField id="30" name="BLDG COVERAGE SQ FT" tableColumnId="30"/>
      <queryTableField id="31" name="CUBAGE CU FT" tableColumnId="31"/>
      <queryTableField id="32" name="BLDG COVERAGE %" tableColumnId="32"/>
      <queryTableField id="33" name="DENSITY" tableColumnId="33"/>
      <queryTableField id="34" name="DEVELOPMENT COST" tableColumnId="34"/>
      <queryTableField id="35" name="PER RENTAL ROOM" tableColumnId="35"/>
      <queryTableField id="36" name="AVG MONTHLY GROSS RENT" tableColumnId="36"/>
      <queryTableField id="37" name="LOCATION STREET A" tableColumnId="37"/>
      <queryTableField id="38" name="LOCATION STREET B" tableColumnId="38"/>
      <queryTableField id="39" name="LOCATION STREET C" tableColumnId="39"/>
      <queryTableField id="40" name="LOCATION STREET D" tableColumnId="40"/>
      <queryTableField id="41" name="BOROUGH" tableColumnId="41"/>
      <queryTableField id="42" name="COMMUNITY DISTIRCT" tableColumnId="42"/>
      <queryTableField id="43" name="US CONGRESSIONAL DISTRICT" tableColumnId="43"/>
      <queryTableField id="44" name="NY STATE SENATE DISTRICT" tableColumnId="44"/>
      <queryTableField id="45" name="NY STATE ASSEMBLY DISTRICT" tableColumnId="45"/>
      <queryTableField id="46" name="NY CITY COUNCIL DISTRICT" tableColumnId="46"/>
      <queryTableField id="47" name="COMPLETION DATE" tableColumnId="47"/>
      <queryTableField id="48" name="FEDERALIZED DEVELOPMENT" tableColumnId="48"/>
      <queryTableField id="49" name="SENIOR DEVELOPMENT" tableColumnId="49"/>
      <queryTableField id="50" name="ELECTRICITY PAID BY RESIDENTS" tableColumnId="50"/>
      <queryTableField id="51" name="PRIVATE MANAGEMENT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B6446A-7D4A-4FE0-9721-FD0789086766}" autoFormatId="16" applyNumberFormats="0" applyBorderFormats="0" applyFontFormats="0" applyPatternFormats="0" applyAlignmentFormats="0" applyWidthHeightFormats="0">
  <queryTableRefresh nextId="4">
    <queryTableFields count="3">
      <queryTableField id="1" name="Site Name" tableColumnId="1"/>
      <queryTableField id="2" name="Month" tableColumnId="2"/>
      <queryTableField id="3" name="Tons per mon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0B7FB-6230-471B-8209-222904B728AA}" name="_2017tonnage" displayName="_2017tonnage" ref="A2:LG164" tableType="queryTable" totalsRowShown="0">
  <autoFilter ref="A2:LG164" xr:uid="{50DA99F6-525A-4249-874A-3FFAA7E477D5}"/>
  <tableColumns count="319">
    <tableColumn id="1" xr3:uid="{60C2F72C-32E9-47D5-8DB4-D80F237046E8}" uniqueName="1" name="Development" queryTableFieldId="1" dataDxfId="42"/>
    <tableColumn id="2" xr3:uid="{FC150545-0B1C-4005-9A03-8FCFAFDA6429}" uniqueName="2" name="Year Sum" queryTableFieldId="2"/>
    <tableColumn id="3" xr3:uid="{D028E0CA-7347-4680-B7C1-2CBDE075C706}" uniqueName="3" name="Weekly Average" queryTableFieldId="3"/>
    <tableColumn id="4" xr3:uid="{FF36C819-8909-42A4-8CEE-C696D6F61F02}" uniqueName="4" name="Borough" queryTableFieldId="4" dataDxfId="41"/>
    <tableColumn id="5" xr3:uid="{78DA3E6A-069A-4CA6-B9B0-E536E8AF4323}" uniqueName="5" name="District" queryTableFieldId="5" dataDxfId="40"/>
    <tableColumn id="6" xr3:uid="{F4C3254C-18AE-4560-BE7B-2FCF3F69F2CF}" uniqueName="6" name="1/9/2017" queryTableFieldId="6"/>
    <tableColumn id="7" xr3:uid="{2376290C-DD92-43CB-AC88-CB1F32807835}" uniqueName="7" name="1/10/2017" queryTableFieldId="7"/>
    <tableColumn id="8" xr3:uid="{69280D72-16D9-4137-BF93-07B5D0461D5A}" uniqueName="8" name="1/11/2017" queryTableFieldId="8"/>
    <tableColumn id="9" xr3:uid="{1C924CAE-E5D2-4B91-B7C9-DF1957FA144B}" uniqueName="9" name="1/12/2017" queryTableFieldId="9"/>
    <tableColumn id="10" xr3:uid="{69D57CB9-78AE-436C-B620-33E5A4ACDD49}" uniqueName="10" name="1/13/2017" queryTableFieldId="10"/>
    <tableColumn id="11" xr3:uid="{F90232B6-53BB-4145-B0A4-7E48F86F3C50}" uniqueName="11" name="1/14/2017" queryTableFieldId="11"/>
    <tableColumn id="12" xr3:uid="{F21303CE-D98C-42BB-9127-6E516BC762A1}" uniqueName="12" name="1/16/2017" queryTableFieldId="12"/>
    <tableColumn id="13" xr3:uid="{C8269F3E-0EB8-47CF-82DC-B4A0CDDF91B4}" uniqueName="13" name="1/17/2017" queryTableFieldId="13"/>
    <tableColumn id="14" xr3:uid="{5E2644BE-D5D2-4156-8E7B-BA08F813B88B}" uniqueName="14" name="1/18/2017" queryTableFieldId="14"/>
    <tableColumn id="15" xr3:uid="{ED9ECB6C-ED18-4297-8BE7-43FE7B97065F}" uniqueName="15" name="1/19/2017" queryTableFieldId="15"/>
    <tableColumn id="16" xr3:uid="{B40A3CFD-A9B4-481C-9461-EB76A759587E}" uniqueName="16" name="1/20/2017" queryTableFieldId="16"/>
    <tableColumn id="17" xr3:uid="{2EFDD9F3-9A38-4FC2-993A-7A563A7A9261}" uniqueName="17" name="1/21/2017" queryTableFieldId="17"/>
    <tableColumn id="18" xr3:uid="{87D4DDFF-163B-43AC-98DF-59614069DE4E}" uniqueName="18" name="1/23/2017" queryTableFieldId="18"/>
    <tableColumn id="19" xr3:uid="{4C0B900F-4793-403B-A248-0F644C9FF4E9}" uniqueName="19" name="1/24/2017" queryTableFieldId="19"/>
    <tableColumn id="20" xr3:uid="{80B66E96-47AF-4136-A5C2-CDD21B01F71D}" uniqueName="20" name="1/25/2017" queryTableFieldId="20"/>
    <tableColumn id="21" xr3:uid="{8B7B36B0-6257-4CE6-90C7-EBA7146B5A2D}" uniqueName="21" name="1/26/2017" queryTableFieldId="21"/>
    <tableColumn id="22" xr3:uid="{BEFAC445-DABA-4030-9272-032D59564AB5}" uniqueName="22" name="1/27/2017" queryTableFieldId="22"/>
    <tableColumn id="23" xr3:uid="{18F01C2E-67B7-4CFA-8665-A87C99FF75D9}" uniqueName="23" name="1/28/2017" queryTableFieldId="23"/>
    <tableColumn id="24" xr3:uid="{A985F0AF-6E7F-47BA-9D79-A8402E6BC0C2}" uniqueName="24" name="1/2/2017" queryTableFieldId="24"/>
    <tableColumn id="25" xr3:uid="{8D77E3F5-7A68-4930-B525-8B3B0A5C4E1D}" uniqueName="25" name="1/3/2017" queryTableFieldId="25"/>
    <tableColumn id="26" xr3:uid="{6AD46D33-AA62-404A-948C-BF052C95CF50}" uniqueName="26" name="1/4/2017" queryTableFieldId="26"/>
    <tableColumn id="27" xr3:uid="{7FC24FE8-C8D7-4845-8B23-06DA064470A0}" uniqueName="27" name="1/5/2017" queryTableFieldId="27"/>
    <tableColumn id="28" xr3:uid="{98F98C97-12CF-4B7F-8F34-46ABA888BA32}" uniqueName="28" name="1/6/2017" queryTableFieldId="28"/>
    <tableColumn id="29" xr3:uid="{13280C98-68AA-45D8-882E-EE96EBC563FA}" uniqueName="29" name="1/7/2017" queryTableFieldId="29"/>
    <tableColumn id="30" xr3:uid="{3F15567E-C0EB-4C62-B11D-A72E08002AFA}" uniqueName="30" name="10/9/2017" queryTableFieldId="30"/>
    <tableColumn id="31" xr3:uid="{246E5ACF-880D-42C7-90F1-B9A70EB7D151}" uniqueName="31" name="10/10/2017" queryTableFieldId="31"/>
    <tableColumn id="32" xr3:uid="{FFC51E85-7F9C-42F8-83D1-D5C25551CBE7}" uniqueName="32" name="10/11/2017" queryTableFieldId="32"/>
    <tableColumn id="33" xr3:uid="{6EA914EC-FC29-44FA-A4D9-92D9E569D6DC}" uniqueName="33" name="10/12/2017" queryTableFieldId="33"/>
    <tableColumn id="34" xr3:uid="{398E152E-E676-492F-B0B2-DAD80381E833}" uniqueName="34" name="10/13/2017" queryTableFieldId="34"/>
    <tableColumn id="35" xr3:uid="{9FA0C467-3EDB-457A-919B-570C506BE830}" uniqueName="35" name="10/14/2017" queryTableFieldId="35"/>
    <tableColumn id="36" xr3:uid="{90FD5FBE-C3A6-466D-AC7F-B28F4ABA365B}" uniqueName="36" name="10/16/2017" queryTableFieldId="36"/>
    <tableColumn id="37" xr3:uid="{ACA6D742-0BAE-46B7-87E3-A276512EF2CC}" uniqueName="37" name="10/17/2017" queryTableFieldId="37"/>
    <tableColumn id="38" xr3:uid="{2CD93881-121E-4C6E-BCF6-CC0F2BC309E1}" uniqueName="38" name="10/18/2017" queryTableFieldId="38"/>
    <tableColumn id="39" xr3:uid="{686D6046-5C05-4676-964E-C2F99285DE2C}" uniqueName="39" name="10/19/2017" queryTableFieldId="39"/>
    <tableColumn id="40" xr3:uid="{D18CD800-EE93-4285-BD65-3D0946F4253A}" uniqueName="40" name="10/20/2017" queryTableFieldId="40"/>
    <tableColumn id="41" xr3:uid="{3A7E40F3-3266-4AC6-8627-B455B5F8FBA1}" uniqueName="41" name="10/21/2017" queryTableFieldId="41"/>
    <tableColumn id="42" xr3:uid="{CF742CA2-8E52-4DE9-90AE-B11E47E8F72C}" uniqueName="42" name="10/23/2017" queryTableFieldId="42"/>
    <tableColumn id="43" xr3:uid="{A306644C-CD9B-42A7-A429-147B53C5A25C}" uniqueName="43" name="10/24/2017" queryTableFieldId="43"/>
    <tableColumn id="44" xr3:uid="{BA2DB573-88A8-49B2-A6AF-6A813D4773DD}" uniqueName="44" name="10/25/2017" queryTableFieldId="44"/>
    <tableColumn id="45" xr3:uid="{8153A0DC-DC73-41E7-BAC8-9A9FD473552E}" uniqueName="45" name="10/26/2017" queryTableFieldId="45"/>
    <tableColumn id="46" xr3:uid="{A2CE0A23-E828-4BDF-90C5-F720C3C8455C}" uniqueName="46" name="10/27/2017" queryTableFieldId="46"/>
    <tableColumn id="47" xr3:uid="{8BF5E4B4-B23D-4463-A638-92B6B5D451BE}" uniqueName="47" name="10/28/2017" queryTableFieldId="47"/>
    <tableColumn id="48" xr3:uid="{9DD97430-F0BD-4925-9488-8BFD6520544F}" uniqueName="48" name="10/2/2017" queryTableFieldId="48"/>
    <tableColumn id="49" xr3:uid="{2E956E1F-6502-45D6-9924-BB5EB79BB50A}" uniqueName="49" name="10/3/2017" queryTableFieldId="49"/>
    <tableColumn id="50" xr3:uid="{2BFFEFC7-6C50-4412-8489-4A6AF7754F14}" uniqueName="50" name="10/4/2017" queryTableFieldId="50"/>
    <tableColumn id="51" xr3:uid="{3719BF57-7484-4D47-8325-819ABFD47924}" uniqueName="51" name="10/5/2017" queryTableFieldId="51"/>
    <tableColumn id="52" xr3:uid="{9310DFAA-0FBB-4F24-8FCA-369FD61FC981}" uniqueName="52" name="10/6/2017" queryTableFieldId="52"/>
    <tableColumn id="53" xr3:uid="{D592A553-E2D5-4C3F-8A08-0D3227CDCD5B}" uniqueName="53" name="10/7/2017" queryTableFieldId="53"/>
    <tableColumn id="54" xr3:uid="{81EF739D-F889-467B-A999-A2BF19FCB84C}" uniqueName="54" name="11/6/2017" queryTableFieldId="54"/>
    <tableColumn id="55" xr3:uid="{F74EB585-D10E-451B-8D66-5AE4ED5796D9}" uniqueName="55" name="11/7/2017" queryTableFieldId="55"/>
    <tableColumn id="56" xr3:uid="{7183F457-F878-459E-B677-4302BBF63ACC}" uniqueName="56" name="11/8/2017" queryTableFieldId="56"/>
    <tableColumn id="57" xr3:uid="{29716FB5-DD4A-473C-A62D-D98EBDCDC0DB}" uniqueName="57" name="11/9/2017" queryTableFieldId="57"/>
    <tableColumn id="58" xr3:uid="{6ED99B07-AA89-4CA2-A50F-9723F90E8F75}" uniqueName="58" name="11/10/2017" queryTableFieldId="58"/>
    <tableColumn id="59" xr3:uid="{A7D6FCA9-1779-416D-92C9-AAC31252FAD1}" uniqueName="59" name="11/11/2017" queryTableFieldId="59"/>
    <tableColumn id="60" xr3:uid="{36A1FECF-C94B-4B2D-A3BB-45E79A4A18A5}" uniqueName="60" name="11/13/2017" queryTableFieldId="60"/>
    <tableColumn id="61" xr3:uid="{6A0E42EF-A48A-4527-B0F3-3EB827218D5E}" uniqueName="61" name="11/14/2017" queryTableFieldId="61"/>
    <tableColumn id="62" xr3:uid="{929B407C-FB37-4EAF-BB6C-B9BEAF2D9AF3}" uniqueName="62" name="11/15/2017" queryTableFieldId="62"/>
    <tableColumn id="63" xr3:uid="{ADFD8103-B3B3-4B92-B324-A521C32A7F83}" uniqueName="63" name="11/16/2017" queryTableFieldId="63"/>
    <tableColumn id="64" xr3:uid="{8336C1D5-EAA6-474E-B5D7-A7439E62AB96}" uniqueName="64" name="11/17/2017" queryTableFieldId="64"/>
    <tableColumn id="65" xr3:uid="{26D0FE24-D115-48C2-B114-BD0CBC92D52D}" uniqueName="65" name="11/18/2017" queryTableFieldId="65"/>
    <tableColumn id="66" xr3:uid="{BA559549-3FC9-4FBF-9B04-D7F39513A76B}" uniqueName="66" name="11/20/2017" queryTableFieldId="66"/>
    <tableColumn id="67" xr3:uid="{3E85D8D5-4488-4444-9B50-009F9C6AF870}" uniqueName="67" name="11/21/2017" queryTableFieldId="67"/>
    <tableColumn id="68" xr3:uid="{AAB46708-C119-4BBF-9E0B-0A4FA680A679}" uniqueName="68" name="11/22/2017" queryTableFieldId="68"/>
    <tableColumn id="69" xr3:uid="{135C4E42-4BC8-4FB8-A99D-11F87033158A}" uniqueName="69" name="11/23/2017" queryTableFieldId="69"/>
    <tableColumn id="70" xr3:uid="{AB82C379-9EEE-4978-A61F-BECEF03BA1A3}" uniqueName="70" name="11/24/2017" queryTableFieldId="70"/>
    <tableColumn id="71" xr3:uid="{707000FE-C869-41D0-B666-6F9F0861FF9B}" uniqueName="71" name="11/25/2017" queryTableFieldId="71"/>
    <tableColumn id="72" xr3:uid="{D04D3522-1BF8-4E47-8008-5FD7BCF1CFF5}" uniqueName="72" name="10/30/2017" queryTableFieldId="72"/>
    <tableColumn id="73" xr3:uid="{D1A28603-B5A5-4C79-8992-470175D0DC83}" uniqueName="73" name="10/31/2017" queryTableFieldId="73"/>
    <tableColumn id="74" xr3:uid="{ED3E1B28-A91F-4950-BA8D-2EB1D2AC8181}" uniqueName="74" name="11/1/2017" queryTableFieldId="74"/>
    <tableColumn id="75" xr3:uid="{50090D19-8985-466E-9C66-F3FEEB2AD62E}" uniqueName="75" name="11/2/2017" queryTableFieldId="75"/>
    <tableColumn id="76" xr3:uid="{EFB48A38-BCB6-4DC9-AD43-C4CD3DF579A2}" uniqueName="76" name="11/3/2017" queryTableFieldId="76"/>
    <tableColumn id="77" xr3:uid="{789C8E7E-62F7-48FD-A2C4-F7DF43968EB2}" uniqueName="77" name="11/4/2017" queryTableFieldId="77"/>
    <tableColumn id="78" xr3:uid="{71F0AEA6-19EA-47AC-BB4F-BB56559E329E}" uniqueName="78" name="12/10/2017" queryTableFieldId="78"/>
    <tableColumn id="79" xr3:uid="{6B5204BE-776E-4D5F-A144-60527AE40CE5}" uniqueName="79" name="12/11/2017" queryTableFieldId="79"/>
    <tableColumn id="80" xr3:uid="{7A761935-6024-46B8-B04D-C8B8DFCE495C}" uniqueName="80" name="12/12/2017" queryTableFieldId="80"/>
    <tableColumn id="81" xr3:uid="{DE596FE9-77B9-4BF3-A8F9-7F32CF30A365}" uniqueName="81" name="12/13/2017" queryTableFieldId="81"/>
    <tableColumn id="82" xr3:uid="{5E4B8569-E60B-40C7-91B8-D03DA6810A24}" uniqueName="82" name="12/14/2017" queryTableFieldId="82"/>
    <tableColumn id="83" xr3:uid="{DB0873D9-90EE-4092-AAB4-056F41EB38BF}" uniqueName="83" name="12/15/2017" queryTableFieldId="83"/>
    <tableColumn id="84" xr3:uid="{AE379EF8-784D-4B90-87CF-45FE1963D45F}" uniqueName="84" name="12/16/2017" queryTableFieldId="84"/>
    <tableColumn id="85" xr3:uid="{651E7743-A155-471F-ADA8-B24E0544A4D9}" uniqueName="85" name="11/27/2017" queryTableFieldId="85"/>
    <tableColumn id="86" xr3:uid="{56AA4C4B-B41A-4076-8B95-EFDAFFED27ED}" uniqueName="86" name="11/28/2017" queryTableFieldId="86"/>
    <tableColumn id="87" xr3:uid="{08F8DC7B-A7B7-41D8-A07D-4856CD4E5D53}" uniqueName="87" name="11/29/2017" queryTableFieldId="87"/>
    <tableColumn id="88" xr3:uid="{DCAFB0CF-2378-4240-859C-E1009B4E971D}" uniqueName="88" name="11/30/2017" queryTableFieldId="88"/>
    <tableColumn id="89" xr3:uid="{2E57C7D3-A2F1-487B-9C8F-BF629397B52A}" uniqueName="89" name="12/1/2017" queryTableFieldId="89"/>
    <tableColumn id="90" xr3:uid="{0F3CAD05-E1E2-4628-A89A-5BEBDF09E8B5}" uniqueName="90" name="12/2/2017" queryTableFieldId="90"/>
    <tableColumn id="91" xr3:uid="{718B25A5-9A48-4F64-8531-3BE9E82A29B3}" uniqueName="91" name="12/18/2017" queryTableFieldId="91"/>
    <tableColumn id="92" xr3:uid="{1C2B4D3F-AEB6-45A2-BF85-98ECA8F234EF}" uniqueName="92" name="12/19/2017" queryTableFieldId="92"/>
    <tableColumn id="93" xr3:uid="{56F7DF36-3416-4AF6-98AB-61DB419BD4F6}" uniqueName="93" name="12/20/2017" queryTableFieldId="93"/>
    <tableColumn id="94" xr3:uid="{D11C7280-EEE8-41D0-94E3-C26CDA47372A}" uniqueName="94" name="12/21/2017" queryTableFieldId="94"/>
    <tableColumn id="95" xr3:uid="{B1011210-57F5-422A-86C2-FAF12CF06E44}" uniqueName="95" name="12/22/2017" queryTableFieldId="95"/>
    <tableColumn id="96" xr3:uid="{DEAD4E87-EC66-4B99-9908-6B8B140051FA}" uniqueName="96" name="12/23/2017" queryTableFieldId="96"/>
    <tableColumn id="97" xr3:uid="{F4C0839F-8F90-4A7A-8EB4-CF69F5425CDA}" uniqueName="97" name="12/25/2017" queryTableFieldId="97"/>
    <tableColumn id="98" xr3:uid="{5AE251E8-BBA8-45B8-BC70-BA9AE24D9E1D}" uniqueName="98" name="12/26/2017" queryTableFieldId="98"/>
    <tableColumn id="99" xr3:uid="{89AD0585-0766-4AEC-BAD0-0BA0496F690C}" uniqueName="99" name="12/27/2017" queryTableFieldId="99"/>
    <tableColumn id="100" xr3:uid="{A9799621-AE89-4E10-A184-A83CF765D6C4}" uniqueName="100" name="12/28/2017" queryTableFieldId="100"/>
    <tableColumn id="101" xr3:uid="{A55E289C-8118-4552-B592-7D401E875B65}" uniqueName="101" name="12/29/2017" queryTableFieldId="101"/>
    <tableColumn id="102" xr3:uid="{856AF2B7-67BE-4759-8154-96BE3297CA16}" uniqueName="102" name="12/30/2017" queryTableFieldId="102"/>
    <tableColumn id="103" xr3:uid="{2CA1834D-9ED7-4678-A93D-CAD9A1065A4C}" uniqueName="103" name="12/4/2017" queryTableFieldId="103"/>
    <tableColumn id="104" xr3:uid="{BA9A7F0C-5139-42AE-8ED4-7AE6B7B7018A}" uniqueName="104" name="12/5/2017" queryTableFieldId="104"/>
    <tableColumn id="105" xr3:uid="{D9144E4F-7931-4840-98C7-0A5C429874E7}" uniqueName="105" name="12/6/2017" queryTableFieldId="105"/>
    <tableColumn id="106" xr3:uid="{15138AEA-6143-4B43-A553-631D4ACB0402}" uniqueName="106" name="12/7/2017" queryTableFieldId="106"/>
    <tableColumn id="107" xr3:uid="{15B7C43B-1A67-4FA9-89B0-C3546EB16C94}" uniqueName="107" name="12/8/2017" queryTableFieldId="107"/>
    <tableColumn id="108" xr3:uid="{9259CAD4-6AFE-4A12-A341-6C9C8A5FE63B}" uniqueName="108" name="12/9/2017" queryTableFieldId="108"/>
    <tableColumn id="109" xr3:uid="{D36DCA86-266E-4491-B160-DD2369D03059}" uniqueName="109" name="2/6/2017" queryTableFieldId="109"/>
    <tableColumn id="110" xr3:uid="{EADE0967-5FCF-42C1-975A-95CCF9087D42}" uniqueName="110" name="2/7/2017" queryTableFieldId="110"/>
    <tableColumn id="111" xr3:uid="{E672497D-7D60-4321-9EC3-2332B678FC9B}" uniqueName="111" name="2/8/2017" queryTableFieldId="111"/>
    <tableColumn id="112" xr3:uid="{5AF60D73-130A-4EC4-855D-155F8BCB8B9E}" uniqueName="112" name="2/9/2017" queryTableFieldId="112"/>
    <tableColumn id="113" xr3:uid="{35525CD5-D76E-445A-8CFD-92FA398E21CD}" uniqueName="113" name="2/10/2017" queryTableFieldId="113"/>
    <tableColumn id="114" xr3:uid="{AA745DF2-BCC1-48AC-9ED3-CDF2ECD38655}" uniqueName="114" name="2/11/2017" queryTableFieldId="114"/>
    <tableColumn id="115" xr3:uid="{532AB784-2CBD-4F10-AC52-37F92C8549AB}" uniqueName="115" name="2/12/2017" queryTableFieldId="115"/>
    <tableColumn id="116" xr3:uid="{9145F781-DED8-43CE-BC69-13B4B05EA445}" uniqueName="116" name="2/13/2017" queryTableFieldId="116"/>
    <tableColumn id="117" xr3:uid="{F3BD1570-75F6-41AE-B200-5623331CF100}" uniqueName="117" name="2/14/2017" queryTableFieldId="117"/>
    <tableColumn id="118" xr3:uid="{8257037B-20A0-49F5-BB53-53ABC6563675}" uniqueName="118" name="2/15/2017" queryTableFieldId="118"/>
    <tableColumn id="119" xr3:uid="{EBB91B19-0CD3-4127-9261-490EE29156AB}" uniqueName="119" name="2/16/2017" queryTableFieldId="119"/>
    <tableColumn id="120" xr3:uid="{4E89273A-5996-41D1-A7AF-217CECA86967}" uniqueName="120" name="2/17/2017" queryTableFieldId="120"/>
    <tableColumn id="121" xr3:uid="{9B64F515-6603-4E5C-B32E-BE59A7E4FFAD}" uniqueName="121" name="2/18/2017" queryTableFieldId="121"/>
    <tableColumn id="122" xr3:uid="{282FFA33-E2B0-420A-9207-777303BD3241}" uniqueName="122" name="2/20/2017" queryTableFieldId="122"/>
    <tableColumn id="123" xr3:uid="{7ADC4531-75D4-4BE4-AA93-5FD0EE108470}" uniqueName="123" name="2/21/2017" queryTableFieldId="123"/>
    <tableColumn id="124" xr3:uid="{219E4B50-68AE-4768-ADF5-756F788EDC94}" uniqueName="124" name="2/22/2017" queryTableFieldId="124"/>
    <tableColumn id="125" xr3:uid="{21F0FB74-9025-4F13-A392-97351204922C}" uniqueName="125" name="2/23/2017" queryTableFieldId="125"/>
    <tableColumn id="126" xr3:uid="{54D6478F-E8D6-4B44-B7ED-80D56A09E3F3}" uniqueName="126" name="2/24/2017" queryTableFieldId="126"/>
    <tableColumn id="127" xr3:uid="{3E8198D6-A278-4AFE-AA59-694F6F04C1A1}" uniqueName="127" name="2/25/2017" queryTableFieldId="127"/>
    <tableColumn id="128" xr3:uid="{D1D9AA93-BF63-4860-8A82-E20557EE6021}" uniqueName="128" name="1/30/2017" queryTableFieldId="128"/>
    <tableColumn id="129" xr3:uid="{7B2493D5-B004-4FE6-8CF7-A212D5331CAD}" uniqueName="129" name="1/31/2017" queryTableFieldId="129"/>
    <tableColumn id="130" xr3:uid="{5D4088FE-D549-4A05-AA38-5545ED467583}" uniqueName="130" name="2/1/2017" queryTableFieldId="130"/>
    <tableColumn id="131" xr3:uid="{5A6628C3-D59F-405E-BB14-0E51FD4F0B84}" uniqueName="131" name="2/2/2017" queryTableFieldId="131"/>
    <tableColumn id="132" xr3:uid="{FD052731-1712-4AC3-B710-C960B0718560}" uniqueName="132" name="2/3/2017" queryTableFieldId="132"/>
    <tableColumn id="133" xr3:uid="{DD4D323E-CD33-4D5F-895E-CF67BCBAEDCF}" uniqueName="133" name="2/4/2017" queryTableFieldId="133"/>
    <tableColumn id="134" xr3:uid="{00FF38D3-72A9-4C7F-BA93-4FDE6565BDFA}" uniqueName="134" name="3/6/2017" queryTableFieldId="134"/>
    <tableColumn id="135" xr3:uid="{26A722AB-BED6-4720-B56F-9E1ED1484051}" uniqueName="135" name="3/7/2017" queryTableFieldId="135"/>
    <tableColumn id="136" xr3:uid="{A9F69073-E242-4215-9244-ACAB42EEA1FB}" uniqueName="136" name="3/8/2017" queryTableFieldId="136"/>
    <tableColumn id="137" xr3:uid="{9CF39D02-C7CD-4DE1-AF46-16E84AFB00ED}" uniqueName="137" name="3/9/2017" queryTableFieldId="137"/>
    <tableColumn id="138" xr3:uid="{1A87AB70-A77B-430B-91D3-30AA9FE6037E}" uniqueName="138" name="3/10/2017" queryTableFieldId="138"/>
    <tableColumn id="139" xr3:uid="{31EB9CFC-C40E-4C41-8133-A700376FDC99}" uniqueName="139" name="3/11/2017" queryTableFieldId="139"/>
    <tableColumn id="140" xr3:uid="{D76F7555-471C-4755-A14E-49CB4B2E3BB8}" uniqueName="140" name="3/13/2017" queryTableFieldId="140"/>
    <tableColumn id="141" xr3:uid="{4710347A-0281-47A7-B7C2-E307518E91E9}" uniqueName="141" name="3/14/2017" queryTableFieldId="141"/>
    <tableColumn id="142" xr3:uid="{312716E4-94F3-4F83-AD47-8E8F39A38AD7}" uniqueName="142" name="3/15/2017" queryTableFieldId="142"/>
    <tableColumn id="143" xr3:uid="{CE0B3412-3D1C-4EC9-88C0-8F075FB45D97}" uniqueName="143" name="3/16/2017" queryTableFieldId="143"/>
    <tableColumn id="144" xr3:uid="{680A4097-86F2-48B4-AB99-8E8B25A66F3E}" uniqueName="144" name="3/17/2017" queryTableFieldId="144"/>
    <tableColumn id="145" xr3:uid="{297D9414-5ADD-431A-827A-50335A7619D9}" uniqueName="145" name="3/18/2017" queryTableFieldId="145"/>
    <tableColumn id="146" xr3:uid="{84F6C5FD-0B0E-49E5-A433-55D4BA6EA127}" uniqueName="146" name="3/20/2017" queryTableFieldId="146"/>
    <tableColumn id="147" xr3:uid="{1AF29EAB-F1A0-4EC1-9A22-DB7AF365F6A6}" uniqueName="147" name="3/21/2017" queryTableFieldId="147"/>
    <tableColumn id="148" xr3:uid="{8CAC7113-0108-4EFC-AFB8-04F35AC7EC2A}" uniqueName="148" name="3/22/2017" queryTableFieldId="148"/>
    <tableColumn id="149" xr3:uid="{ED2002A6-65B7-40E9-BBA8-B7AF96713B0B}" uniqueName="149" name="3/23/2017" queryTableFieldId="149"/>
    <tableColumn id="150" xr3:uid="{6B7DE405-3AC8-487E-87E7-A532E04EA63F}" uniqueName="150" name="3/24/2017" queryTableFieldId="150"/>
    <tableColumn id="151" xr3:uid="{6920A048-8369-4427-908D-551107088417}" uniqueName="151" name="3/25/2017" queryTableFieldId="151"/>
    <tableColumn id="152" xr3:uid="{FB113D5F-68E4-4433-BF58-B3C40762A95F}" uniqueName="152" name="2/27/2017" queryTableFieldId="152"/>
    <tableColumn id="153" xr3:uid="{5413D882-ACD8-41EE-9A97-C0D2A2D465B1}" uniqueName="153" name="2/28/2017" queryTableFieldId="153"/>
    <tableColumn id="154" xr3:uid="{5791DDCB-6161-4D2C-B946-949AB8E6AC50}" uniqueName="154" name="3/1/2017" queryTableFieldId="154"/>
    <tableColumn id="155" xr3:uid="{E0C12B95-4BA4-45CA-B4AC-7A4136410EC3}" uniqueName="155" name="3/2/2017" queryTableFieldId="155"/>
    <tableColumn id="156" xr3:uid="{8BDFCD3A-3FAA-429E-B737-0B5439C6FD81}" uniqueName="156" name="3/3/2017" queryTableFieldId="156"/>
    <tableColumn id="157" xr3:uid="{AF7DCBA1-5980-4F7D-83BB-8F46C0389685}" uniqueName="157" name="3/4/2017" queryTableFieldId="157"/>
    <tableColumn id="158" xr3:uid="{4D73DB88-C08F-494C-8618-2D16680614C4}" uniqueName="158" name="3/27/2017" queryTableFieldId="158"/>
    <tableColumn id="159" xr3:uid="{9A798619-D2BA-43D0-9D37-DAE615CF920D}" uniqueName="159" name="3/28/2017" queryTableFieldId="159"/>
    <tableColumn id="160" xr3:uid="{C4435D4F-6F0D-4ECF-A446-61611A059E02}" uniqueName="160" name="3/29/2017" queryTableFieldId="160"/>
    <tableColumn id="161" xr3:uid="{3D07A673-72D1-49B1-912C-7C92870C40A4}" uniqueName="161" name="3/30/2017" queryTableFieldId="161"/>
    <tableColumn id="162" xr3:uid="{491C4987-F4A7-45EE-8EDF-94B916B94CB1}" uniqueName="162" name="3/31/2017" queryTableFieldId="162"/>
    <tableColumn id="163" xr3:uid="{35C1634F-72CD-49BB-AEA0-743CC7B3B5E1}" uniqueName="163" name="4/1/2017" queryTableFieldId="163"/>
    <tableColumn id="164" xr3:uid="{F3665DD2-B728-4236-9517-2593677C1A18}" uniqueName="164" name="4/10/2017" queryTableFieldId="164"/>
    <tableColumn id="165" xr3:uid="{6D3444A3-F372-4EA6-8C43-61AAD012FA9D}" uniqueName="165" name="4/11/2017" queryTableFieldId="165"/>
    <tableColumn id="166" xr3:uid="{AEED3822-9C71-46DE-A68F-AF82417D1D23}" uniqueName="166" name="4/12/2017" queryTableFieldId="166"/>
    <tableColumn id="167" xr3:uid="{FE906878-2B20-4B30-BC2E-128EBE1073AF}" uniqueName="167" name="4/13/2017" queryTableFieldId="167"/>
    <tableColumn id="168" xr3:uid="{5AED2701-41A1-4C7B-B857-85C3542BF6B0}" uniqueName="168" name="4/14/2017" queryTableFieldId="168"/>
    <tableColumn id="169" xr3:uid="{B1861CA5-69B8-4A1D-8504-A1E162C51945}" uniqueName="169" name="4/15/2017" queryTableFieldId="169"/>
    <tableColumn id="170" xr3:uid="{B5D90BD6-E9E4-4291-B418-28AE7A264831}" uniqueName="170" name="4/17/2017" queryTableFieldId="170"/>
    <tableColumn id="171" xr3:uid="{E4B052E0-AFF6-4ED6-83D0-405EA0524AF0}" uniqueName="171" name="4/18/2017" queryTableFieldId="171"/>
    <tableColumn id="172" xr3:uid="{CCD5D81B-3FE5-434E-8AAE-CA9651D7E6F6}" uniqueName="172" name="4/19/2017" queryTableFieldId="172"/>
    <tableColumn id="173" xr3:uid="{90B7476F-25B1-4F0E-BABB-95A2191D9A6F}" uniqueName="173" name="4/20/2017" queryTableFieldId="173"/>
    <tableColumn id="174" xr3:uid="{4D19F00C-7CB9-4A83-8D9C-D8D77FE8B0EA}" uniqueName="174" name="4/21/2017" queryTableFieldId="174"/>
    <tableColumn id="175" xr3:uid="{6515410A-37C5-46DF-A784-B758A04A4A8E}" uniqueName="175" name="4/22/2017" queryTableFieldId="175"/>
    <tableColumn id="176" xr3:uid="{4149EDD5-C2BF-480E-9AE3-708CF1C30820}" uniqueName="176" name="4/24/2017" queryTableFieldId="176"/>
    <tableColumn id="177" xr3:uid="{2F534D76-9BEE-4B14-923D-2AD459FC7A6C}" uniqueName="177" name="4/25/2017" queryTableFieldId="177"/>
    <tableColumn id="178" xr3:uid="{A137F15D-0820-4DF1-B607-0506FC235803}" uniqueName="178" name="4/26/2017" queryTableFieldId="178"/>
    <tableColumn id="179" xr3:uid="{87AFC9AE-2176-46CA-B876-441110C95406}" uniqueName="179" name="4/27/2017" queryTableFieldId="179"/>
    <tableColumn id="180" xr3:uid="{C4B36765-6190-4BE9-968F-54030ED7CA48}" uniqueName="180" name="4/28/2017" queryTableFieldId="180"/>
    <tableColumn id="181" xr3:uid="{EF3C634F-750B-469A-8A59-A808B5D235D2}" uniqueName="181" name="4/29/2017" queryTableFieldId="181"/>
    <tableColumn id="182" xr3:uid="{1FFCFDF0-9C2B-4FFC-A002-DCB12360DE3D}" uniqueName="182" name="4/3/2017" queryTableFieldId="182"/>
    <tableColumn id="183" xr3:uid="{3F9DEB38-A88C-4463-9850-6AD7AA94B283}" uniqueName="183" name="4/4/2017" queryTableFieldId="183"/>
    <tableColumn id="184" xr3:uid="{9DDB83FA-4817-4AFD-AC0B-912216733396}" uniqueName="184" name="4/5/2017" queryTableFieldId="184"/>
    <tableColumn id="185" xr3:uid="{F1BF06EA-11EA-45FF-9F70-69B00ECA78A2}" uniqueName="185" name="4/6/2017" queryTableFieldId="185"/>
    <tableColumn id="186" xr3:uid="{E704FB39-5D77-4CAA-BEE2-9436B80886F2}" uniqueName="186" name="4/7/2017" queryTableFieldId="186"/>
    <tableColumn id="187" xr3:uid="{5061F263-E2E1-4253-BEE8-0BD16E75C0AE}" uniqueName="187" name="4/8/2017" queryTableFieldId="187"/>
    <tableColumn id="188" xr3:uid="{1EA4BDBB-EFAC-4645-A6C3-F46ECAEACFF1}" uniqueName="188" name="5/8/2017" queryTableFieldId="188"/>
    <tableColumn id="189" xr3:uid="{DBFC9C2C-C4B7-4267-BDFC-063BE092B435}" uniqueName="189" name="5/9/2017" queryTableFieldId="189"/>
    <tableColumn id="190" xr3:uid="{389D9D75-01F7-481B-8BC5-A28E92EBD415}" uniqueName="190" name="5/10/2017" queryTableFieldId="190"/>
    <tableColumn id="191" xr3:uid="{E28D697C-9D85-4553-B636-4760F56487FD}" uniqueName="191" name="5/11/2017" queryTableFieldId="191"/>
    <tableColumn id="192" xr3:uid="{DA45ED88-511C-4B72-84B2-B090298DC1C4}" uniqueName="192" name="5/12/2017" queryTableFieldId="192"/>
    <tableColumn id="193" xr3:uid="{EF393F0C-8732-4343-AB00-DA582E975FA2}" uniqueName="193" name="5/13/2017" queryTableFieldId="193"/>
    <tableColumn id="194" xr3:uid="{620B2272-F0B9-4B21-91D4-8AD4D66A2CA6}" uniqueName="194" name="5/15/2017" queryTableFieldId="194"/>
    <tableColumn id="195" xr3:uid="{51C1A4E4-03B4-4FB4-A865-6F215AF917F6}" uniqueName="195" name="5/16/2017" queryTableFieldId="195"/>
    <tableColumn id="196" xr3:uid="{861916BA-54EC-41F0-B3BC-42ABEDC9CE17}" uniqueName="196" name="5/17/2017" queryTableFieldId="196"/>
    <tableColumn id="197" xr3:uid="{FE15459D-F898-4D17-A0E7-7D1B9AF89CE0}" uniqueName="197" name="5/18/2017" queryTableFieldId="197"/>
    <tableColumn id="198" xr3:uid="{A168B7CB-F61F-43C7-AFD6-10B39D487D83}" uniqueName="198" name="5/19/2017" queryTableFieldId="198"/>
    <tableColumn id="199" xr3:uid="{1F31511D-5170-41D2-A924-667B18DADF16}" uniqueName="199" name="5/20/2017" queryTableFieldId="199"/>
    <tableColumn id="200" xr3:uid="{F2A5BF10-7FBA-4AFF-B809-1BE3D1309F61}" uniqueName="200" name="5/22/2017" queryTableFieldId="200"/>
    <tableColumn id="201" xr3:uid="{07BE77A3-DD36-42DC-8619-8B14A289CD34}" uniqueName="201" name="5/23/2017" queryTableFieldId="201"/>
    <tableColumn id="202" xr3:uid="{C70DE8BC-C5BF-4075-B6FB-7BCA0F00D270}" uniqueName="202" name="5/24/2017" queryTableFieldId="202"/>
    <tableColumn id="203" xr3:uid="{A34658A5-F6D5-44F0-8640-AFC704D66611}" uniqueName="203" name="5/25/2017" queryTableFieldId="203"/>
    <tableColumn id="204" xr3:uid="{F78B31F1-4C98-454C-B75F-D5824F1E73C0}" uniqueName="204" name="5/26/2017" queryTableFieldId="204"/>
    <tableColumn id="205" xr3:uid="{5832CB85-2A40-46D1-AE05-EEB8DEEF128B}" uniqueName="205" name="5/27/2017" queryTableFieldId="205"/>
    <tableColumn id="206" xr3:uid="{F8086101-F468-48DA-A44D-C97413DC15A1}" uniqueName="206" name="5/1/2017" queryTableFieldId="206"/>
    <tableColumn id="207" xr3:uid="{0DF8D43D-AF80-4BAD-8FB4-158DB63F36FA}" uniqueName="207" name="5/2/2017" queryTableFieldId="207"/>
    <tableColumn id="208" xr3:uid="{C6999E77-C136-47AB-B3A4-C3FA270F2698}" uniqueName="208" name="5/3/2017" queryTableFieldId="208"/>
    <tableColumn id="209" xr3:uid="{E74C1C4A-094B-4749-8C16-84ACB8457834}" uniqueName="209" name="5/4/2017" queryTableFieldId="209"/>
    <tableColumn id="210" xr3:uid="{FFBE71A1-B5B9-47E3-82A2-6C11EC814E16}" uniqueName="210" name="5/5/2017" queryTableFieldId="210"/>
    <tableColumn id="211" xr3:uid="{B3B1DCBF-4C35-4D39-B36D-0688A497B84F}" uniqueName="211" name="5/6/2017" queryTableFieldId="211"/>
    <tableColumn id="212" xr3:uid="{6DF0D25A-3B9F-4442-A1C9-D3C187AB881F}" uniqueName="212" name="6/5/2017" queryTableFieldId="212"/>
    <tableColumn id="213" xr3:uid="{9A24A766-74AF-4302-A387-60FDDFA9FC11}" uniqueName="213" name="6/6/2017" queryTableFieldId="213"/>
    <tableColumn id="214" xr3:uid="{39CC470A-823B-49BB-85D9-B3AC492AF864}" uniqueName="214" name="6/7/2017" queryTableFieldId="214"/>
    <tableColumn id="215" xr3:uid="{1B9448AA-169A-4454-9449-936752BFF242}" uniqueName="215" name="6/8/2017" queryTableFieldId="215"/>
    <tableColumn id="216" xr3:uid="{422703C1-2DD0-444A-A54E-8C754BAD896F}" uniqueName="216" name="6/9/2017" queryTableFieldId="216"/>
    <tableColumn id="217" xr3:uid="{403300BF-7821-4B9A-9188-7452A88ABE6A}" uniqueName="217" name="6/10/2017" queryTableFieldId="217"/>
    <tableColumn id="218" xr3:uid="{E9E7A931-3DB3-4724-B29A-7E0303386F03}" uniqueName="218" name="6/12/2017" queryTableFieldId="218"/>
    <tableColumn id="219" xr3:uid="{B6020D5B-CA2E-4431-A4F1-7D9BD71CF740}" uniqueName="219" name="6/13/2017" queryTableFieldId="219"/>
    <tableColumn id="220" xr3:uid="{D33BE41A-38DB-4415-86E2-7F51870F9BEC}" uniqueName="220" name="6/14/2017" queryTableFieldId="220"/>
    <tableColumn id="221" xr3:uid="{1E5F5FEC-D68B-4B1C-8107-F84134AB3618}" uniqueName="221" name="6/15/2017" queryTableFieldId="221"/>
    <tableColumn id="222" xr3:uid="{A10ABD4B-ED33-4100-B464-E71742299A66}" uniqueName="222" name="6/16/2017" queryTableFieldId="222"/>
    <tableColumn id="223" xr3:uid="{7489EDF2-D643-4BB6-A614-D9A7551C92FC}" uniqueName="223" name="6/17/2017" queryTableFieldId="223"/>
    <tableColumn id="224" xr3:uid="{5727166A-C511-43AB-82FD-957DA09DC949}" uniqueName="224" name="6/19/2017" queryTableFieldId="224"/>
    <tableColumn id="225" xr3:uid="{AFDD62A3-5315-45A2-9FD5-4C840B826C45}" uniqueName="225" name="6/20/2017" queryTableFieldId="225"/>
    <tableColumn id="226" xr3:uid="{BBB5E651-10C1-41C2-B988-C7C195195498}" uniqueName="226" name="6/21/2017" queryTableFieldId="226"/>
    <tableColumn id="227" xr3:uid="{59D1882B-9221-49A4-B9F0-4231294FBEA3}" uniqueName="227" name="6/22/2017" queryTableFieldId="227"/>
    <tableColumn id="228" xr3:uid="{AF29A420-F4E8-4AED-9454-B70B69209F20}" uniqueName="228" name="6/23/2017" queryTableFieldId="228"/>
    <tableColumn id="229" xr3:uid="{4A579D17-1AEE-40B1-A800-17B21279CA68}" uniqueName="229" name="6/24/2017" queryTableFieldId="229"/>
    <tableColumn id="230" xr3:uid="{2C5B735A-EFE2-43DC-981D-FE389BC872EB}" uniqueName="230" name="5/29/2017" queryTableFieldId="230"/>
    <tableColumn id="231" xr3:uid="{37339FD0-8C13-44FF-97BC-331411962B27}" uniqueName="231" name="5/30/2017" queryTableFieldId="231"/>
    <tableColumn id="232" xr3:uid="{4C4E88BD-F9C7-45B5-8431-3BF95F389E87}" uniqueName="232" name="5/31/2017" queryTableFieldId="232"/>
    <tableColumn id="233" xr3:uid="{D7837626-0A63-45E9-9066-D8E0D39E01A6}" uniqueName="233" name="6/1/2017" queryTableFieldId="233"/>
    <tableColumn id="234" xr3:uid="{AD377F8D-5E8A-4A00-976A-90F3C9D352B9}" uniqueName="234" name="6/2/2017" queryTableFieldId="234"/>
    <tableColumn id="235" xr3:uid="{55B60221-ED9F-45B5-865C-3A7EA123D428}" uniqueName="235" name="6/3/2017" queryTableFieldId="235"/>
    <tableColumn id="236" xr3:uid="{E58E221D-F15A-4DFA-8365-52B745454DFB}" uniqueName="236" name="6/26/2017" queryTableFieldId="236"/>
    <tableColumn id="237" xr3:uid="{EA0D07C1-B80D-469C-A3F0-0442594F49B9}" uniqueName="237" name="6/27/2017" queryTableFieldId="237"/>
    <tableColumn id="238" xr3:uid="{F131F869-48E2-4964-A040-3503EB9C6CA2}" uniqueName="238" name="6/28/2017" queryTableFieldId="238"/>
    <tableColumn id="239" xr3:uid="{8438D80C-D179-4827-9D57-08EA2F2E9844}" uniqueName="239" name="6/29/2017" queryTableFieldId="239"/>
    <tableColumn id="240" xr3:uid="{296C30FA-3150-4CD2-AD7A-A34CD92E4945}" uniqueName="240" name="6/30/2017" queryTableFieldId="240"/>
    <tableColumn id="241" xr3:uid="{C5F16687-E373-4C2F-8D0E-6C13E72F27E6}" uniqueName="241" name="7/1/2017" queryTableFieldId="241"/>
    <tableColumn id="242" xr3:uid="{DA63B345-E226-414B-9427-210EE3E3F11F}" uniqueName="242" name="7/10/2017" queryTableFieldId="242"/>
    <tableColumn id="243" xr3:uid="{AB0D157A-8D10-424C-874C-76A7F0F5AAAB}" uniqueName="243" name="7/11/2017" queryTableFieldId="243"/>
    <tableColumn id="244" xr3:uid="{0179C1FD-8E8D-4051-8B65-F23718A17876}" uniqueName="244" name="7/12/2017" queryTableFieldId="244"/>
    <tableColumn id="245" xr3:uid="{05BCDA0B-3EA9-4323-85EC-842D871A0B7F}" uniqueName="245" name="7/13/2017" queryTableFieldId="245"/>
    <tableColumn id="246" xr3:uid="{87D0C39C-9FD1-4625-920F-B0143236C0E0}" uniqueName="246" name="7/14/2017" queryTableFieldId="246"/>
    <tableColumn id="247" xr3:uid="{EE5969E6-E993-409D-A052-C296F3C7ED1C}" uniqueName="247" name="7/15/2017" queryTableFieldId="247"/>
    <tableColumn id="248" xr3:uid="{A8D46D99-0D16-4B57-8741-43DB436E69A3}" uniqueName="248" name="7/17/2017" queryTableFieldId="248"/>
    <tableColumn id="249" xr3:uid="{C4417F7F-D392-4FD3-9FA6-D9258076AE70}" uniqueName="249" name="7/18/2017" queryTableFieldId="249"/>
    <tableColumn id="250" xr3:uid="{34B4651F-670E-4355-BE6F-5D55B597B892}" uniqueName="250" name="7/19/2017" queryTableFieldId="250"/>
    <tableColumn id="251" xr3:uid="{2D6D822C-E731-4F24-8D4F-F092E945D946}" uniqueName="251" name="7/20/2017" queryTableFieldId="251"/>
    <tableColumn id="252" xr3:uid="{8B1FB178-C7D3-4EA9-886C-0D1F20811C77}" uniqueName="252" name="7/21/2017" queryTableFieldId="252"/>
    <tableColumn id="253" xr3:uid="{54F266E7-DBA3-4E80-BCE2-697A7B427303}" uniqueName="253" name="7/22/2017" queryTableFieldId="253"/>
    <tableColumn id="254" xr3:uid="{423262CF-9416-4B99-B35F-CC7F7482E2DA}" uniqueName="254" name="7/24/2017" queryTableFieldId="254"/>
    <tableColumn id="255" xr3:uid="{A2BA7239-8101-4095-83D7-4D464FFF101C}" uniqueName="255" name="7/25/2017" queryTableFieldId="255"/>
    <tableColumn id="256" xr3:uid="{E43288A3-6855-44A7-AE2F-BEBB011483A1}" uniqueName="256" name="7/26/2017" queryTableFieldId="256"/>
    <tableColumn id="257" xr3:uid="{7BF672AC-0051-4A11-9FE7-B64D09DCD8A2}" uniqueName="257" name="7/27/2017" queryTableFieldId="257"/>
    <tableColumn id="258" xr3:uid="{5D4FA076-0731-4DFC-B072-26A5E7C085A1}" uniqueName="258" name="7/28/2017" queryTableFieldId="258"/>
    <tableColumn id="259" xr3:uid="{36BB6351-6D4A-47DA-9C56-43816A3DC03F}" uniqueName="259" name="7/29/2017" queryTableFieldId="259"/>
    <tableColumn id="260" xr3:uid="{A503F37F-9EA5-46E7-9399-FF158EF81690}" uniqueName="260" name="7/3/2017" queryTableFieldId="260"/>
    <tableColumn id="261" xr3:uid="{D3E2FCC9-477D-4F99-9289-F1DD6959DBB2}" uniqueName="261" name="7/4/2017" queryTableFieldId="261"/>
    <tableColumn id="262" xr3:uid="{EF8374A0-D401-4465-86FD-BEF7B6E94B13}" uniqueName="262" name="7/5/2017" queryTableFieldId="262"/>
    <tableColumn id="263" xr3:uid="{BE02589D-9B77-4A6C-9D3E-3F19BFE0D5FE}" uniqueName="263" name="7/6/2017" queryTableFieldId="263"/>
    <tableColumn id="264" xr3:uid="{92FB85F6-9DC4-4F30-99F4-52643984CD95}" uniqueName="264" name="7/7/2017" queryTableFieldId="264"/>
    <tableColumn id="265" xr3:uid="{ACD177D7-B128-471C-A22D-A307AFF843CC}" uniqueName="265" name="7/8/2017" queryTableFieldId="265"/>
    <tableColumn id="266" xr3:uid="{559DBE7F-C50A-4E21-93B8-917226CA84F3}" uniqueName="266" name="8/7/2017" queryTableFieldId="266"/>
    <tableColumn id="267" xr3:uid="{159F8124-E2A4-4E45-BF7B-45057151993C}" uniqueName="267" name="8/8/2017" queryTableFieldId="267"/>
    <tableColumn id="268" xr3:uid="{8A77BA31-5F0D-4E55-910A-471455CE5CC7}" uniqueName="268" name="8/9/2017" queryTableFieldId="268"/>
    <tableColumn id="269" xr3:uid="{7AA00ED0-EA26-4FA8-A037-48609B4AB4EE}" uniqueName="269" name="8/10/2017" queryTableFieldId="269"/>
    <tableColumn id="270" xr3:uid="{134D46CB-5B9B-4DB0-B7A3-E6DA4A747C3B}" uniqueName="270" name="8/11/2017" queryTableFieldId="270"/>
    <tableColumn id="271" xr3:uid="{87E2F709-2E49-420E-9BD3-8CA2A1D866D6}" uniqueName="271" name="8/12/2017" queryTableFieldId="271"/>
    <tableColumn id="272" xr3:uid="{2D442EF9-4CE1-4865-9215-B40282CFDEDB}" uniqueName="272" name="8/14/2017" queryTableFieldId="272"/>
    <tableColumn id="273" xr3:uid="{09840CE2-C1D8-4692-B7BA-FF56B79B372D}" uniqueName="273" name="8/15/2017" queryTableFieldId="273"/>
    <tableColumn id="274" xr3:uid="{C04CE84E-77F7-4290-86FA-69F1DF5950FD}" uniqueName="274" name="8/16/2017" queryTableFieldId="274"/>
    <tableColumn id="275" xr3:uid="{BB437F05-4763-44A1-A740-3265F2EF0098}" uniqueName="275" name="8/17/2017" queryTableFieldId="275"/>
    <tableColumn id="276" xr3:uid="{A4FCFE5F-1290-4F36-A13E-3D7DF10614EE}" uniqueName="276" name="8/18/2017" queryTableFieldId="276"/>
    <tableColumn id="277" xr3:uid="{BB0302A1-3F56-47D6-BFC8-5FB3A5544D0D}" uniqueName="277" name="8/19/2017" queryTableFieldId="277"/>
    <tableColumn id="278" xr3:uid="{9A329823-2C64-4C57-A1E9-7BD6138A309B}" uniqueName="278" name="8/21/2017" queryTableFieldId="278"/>
    <tableColumn id="279" xr3:uid="{1C8F8D1D-99CA-4583-BC4A-6FD5F80842BE}" uniqueName="279" name="8/22/2017" queryTableFieldId="279"/>
    <tableColumn id="280" xr3:uid="{6B3876AC-3095-42E0-8906-DF36F0F0244E}" uniqueName="280" name="8/23/2017" queryTableFieldId="280"/>
    <tableColumn id="281" xr3:uid="{EA91615A-8A6E-4435-880D-36DD3D855EC7}" uniqueName="281" name="8/24/2017" queryTableFieldId="281"/>
    <tableColumn id="282" xr3:uid="{0111ED41-ED36-4D7E-B1D2-5E799B4966E2}" uniqueName="282" name="8/25/2017" queryTableFieldId="282"/>
    <tableColumn id="283" xr3:uid="{899A9EE1-107C-4D1B-B89C-FF29924E0FD6}" uniqueName="283" name="8/26/2017" queryTableFieldId="283"/>
    <tableColumn id="284" xr3:uid="{0F9C2A39-CDD5-444A-8A22-E6A40350BCB2}" uniqueName="284" name="7/31/2017" queryTableFieldId="284"/>
    <tableColumn id="285" xr3:uid="{CAEA7DEE-0D59-4B87-BC03-32CFD111A4F6}" uniqueName="285" name="8/1/2017" queryTableFieldId="285"/>
    <tableColumn id="286" xr3:uid="{C20D5D36-02FC-4690-BD6D-7955A80BB340}" uniqueName="286" name="8/2/2017" queryTableFieldId="286"/>
    <tableColumn id="287" xr3:uid="{B231C9EE-402B-4CB0-9084-15C0600054EB}" uniqueName="287" name="8/3/2017" queryTableFieldId="287"/>
    <tableColumn id="288" xr3:uid="{C055D293-5791-4461-8298-08E7B70F21EE}" uniqueName="288" name="8/4/2017" queryTableFieldId="288"/>
    <tableColumn id="289" xr3:uid="{8C0FB99B-39C5-4BCD-ABAD-D37F0BDB64AD}" uniqueName="289" name="8/5/2017" queryTableFieldId="289"/>
    <tableColumn id="290" xr3:uid="{9FDB8A2B-ED9D-450A-A8C0-C093B1CB15E4}" uniqueName="290" name="9/11/2017" queryTableFieldId="290"/>
    <tableColumn id="291" xr3:uid="{AD276432-356C-4F82-8A07-57120D4795D3}" uniqueName="291" name="9/12/2017" queryTableFieldId="291"/>
    <tableColumn id="292" xr3:uid="{15A207BA-BC74-46C5-A138-C11E09B970ED}" uniqueName="292" name="9/13/2017" queryTableFieldId="292"/>
    <tableColumn id="293" xr3:uid="{0D4F32CD-A319-450F-BC82-EADDFCC39C52}" uniqueName="293" name="9/14/2017" queryTableFieldId="293"/>
    <tableColumn id="294" xr3:uid="{74894CD3-DF71-4D11-A254-32586ED18645}" uniqueName="294" name="9/15/2017" queryTableFieldId="294"/>
    <tableColumn id="295" xr3:uid="{952B6358-8065-4A89-A9DD-F2000AE30086}" uniqueName="295" name="9/16/2017" queryTableFieldId="295"/>
    <tableColumn id="296" xr3:uid="{12AAD6D0-6D69-4C8C-AB40-FAF488A682C3}" uniqueName="296" name="8/28/2017" queryTableFieldId="296"/>
    <tableColumn id="297" xr3:uid="{8CADBBAD-5A61-47C9-AB20-747C91C037B0}" uniqueName="297" name="8/29/2017" queryTableFieldId="297"/>
    <tableColumn id="298" xr3:uid="{97A4BD18-C619-477A-8F7D-68BD80B4D60D}" uniqueName="298" name="8/30/2017" queryTableFieldId="298"/>
    <tableColumn id="299" xr3:uid="{766D83D8-7EA3-4A3C-AC0C-3F68085B8809}" uniqueName="299" name="8/31/2017" queryTableFieldId="299"/>
    <tableColumn id="300" xr3:uid="{5F4FAFF1-A0FB-4E19-BEF9-7D2356101DDC}" uniqueName="300" name="9/1/2017" queryTableFieldId="300"/>
    <tableColumn id="301" xr3:uid="{D30F0F9C-DD15-454A-82B0-5D1D05AA3262}" uniqueName="301" name="9/2/2017" queryTableFieldId="301"/>
    <tableColumn id="302" xr3:uid="{1CA368AA-CAA2-426C-86C4-C2E4E04B9D11}" uniqueName="302" name="9/18/2017" queryTableFieldId="302"/>
    <tableColumn id="303" xr3:uid="{4F4299BC-3931-44C0-B881-D82B6A9237A3}" uniqueName="303" name="9/19/2017" queryTableFieldId="303"/>
    <tableColumn id="304" xr3:uid="{8FB92BC2-28F6-4DB2-B78B-A0082A9B7831}" uniqueName="304" name="9/20/2017" queryTableFieldId="304"/>
    <tableColumn id="305" xr3:uid="{759695AE-AEC5-4BE7-A849-1200DB4E82C0}" uniqueName="305" name="9/21/2017" queryTableFieldId="305"/>
    <tableColumn id="306" xr3:uid="{125921A0-10F6-4BAD-A132-9AED0B18A3C0}" uniqueName="306" name="9/22/2017" queryTableFieldId="306"/>
    <tableColumn id="307" xr3:uid="{C426CB15-028A-4C06-B122-6A8B007F5F17}" uniqueName="307" name="9/23/2017" queryTableFieldId="307"/>
    <tableColumn id="308" xr3:uid="{E9006AF4-DFA4-4FF8-9E5D-0C119D0B2787}" uniqueName="308" name="9/25/2017" queryTableFieldId="308"/>
    <tableColumn id="309" xr3:uid="{CD24ADB0-8542-4AEE-A535-81430B2A704C}" uniqueName="309" name="9/26/2017" queryTableFieldId="309"/>
    <tableColumn id="310" xr3:uid="{B0C2B41F-28D9-4498-9869-A005451B780C}" uniqueName="310" name="9/27/2017" queryTableFieldId="310"/>
    <tableColumn id="311" xr3:uid="{E340EA49-C0E1-4318-9553-C9A719C6240D}" uniqueName="311" name="9/28/2017" queryTableFieldId="311"/>
    <tableColumn id="312" xr3:uid="{5479F5CE-F66D-4738-8E09-B03C629F3954}" uniqueName="312" name="9/29/2017" queryTableFieldId="312"/>
    <tableColumn id="313" xr3:uid="{ADE1B174-825E-491D-A454-85578502FC9B}" uniqueName="313" name="9/30/2017" queryTableFieldId="313"/>
    <tableColumn id="314" xr3:uid="{DD215855-A618-4C4C-BDCA-0B6290637D2A}" uniqueName="314" name="9/4/2017" queryTableFieldId="314"/>
    <tableColumn id="315" xr3:uid="{8F75E04C-827B-424E-8844-C6961AB2FBA7}" uniqueName="315" name="9/5/2017" queryTableFieldId="315"/>
    <tableColumn id="316" xr3:uid="{C64D2BC8-A10A-4097-8CD8-19BEBBE6AA4F}" uniqueName="316" name="9/6/2017" queryTableFieldId="316"/>
    <tableColumn id="317" xr3:uid="{04FFAB15-FC5C-4821-A528-B1E5977C6C2E}" uniqueName="317" name="9/7/2017" queryTableFieldId="317"/>
    <tableColumn id="318" xr3:uid="{70BB296D-24D9-44CA-ADC1-7B4B2BAEB00F}" uniqueName="318" name="9/8/2017" queryTableFieldId="318"/>
    <tableColumn id="319" xr3:uid="{968A94BC-AA7D-42DA-9C3A-1CDB345C5B52}" uniqueName="319" name="9/9/2017" queryTableFieldId="3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9013D-F0E5-48E2-8DBC-2719ED29E7AF}" name="developmentdata2019" displayName="developmentdata2019" ref="A2:BU326" tableType="queryTable" totalsRowShown="0">
  <autoFilter ref="A2:BU326" xr:uid="{E49871A4-70AD-46C6-93AE-A62C287EB1C1}"/>
  <tableColumns count="73">
    <tableColumn id="1" xr3:uid="{C59BF29E-B56C-4588-9DAF-BF5796BAFC2B}" uniqueName="1" name="DEVELOPMENT" queryTableFieldId="1" dataDxfId="39"/>
    <tableColumn id="2" xr3:uid="{D5292533-12F1-40D1-B2C7-17FA462A85F6}" uniqueName="2" name="DATA AS OF" queryTableFieldId="2" dataDxfId="38"/>
    <tableColumn id="3" xr3:uid="{94BB6F75-1109-4BD2-BB7E-B8ADD69CFFEF}" uniqueName="3" name="HUD AMP#" queryTableFieldId="3" dataDxfId="37"/>
    <tableColumn id="4" xr3:uid="{76875E86-9D23-4388-B530-299773E627A7}" uniqueName="4" name="TDS#" queryTableFieldId="4"/>
    <tableColumn id="5" xr3:uid="{41005C3D-99A4-4DDA-BFC9-8C6595372AD3}" uniqueName="5" name="CONSOLIDATED TDS#" queryTableFieldId="5"/>
    <tableColumn id="6" xr3:uid="{5810EE3F-105C-4AC3-B9DD-ACCA349B6D5B}" uniqueName="6" name="DEVELOPMENT EDP#" queryTableFieldId="6"/>
    <tableColumn id="7" xr3:uid="{C30B2647-37B0-41EB-99D5-19CE56F02EEA}" uniqueName="7" name="OPERATING EDP#" queryTableFieldId="7"/>
    <tableColumn id="8" xr3:uid="{45EE6D5D-A794-4BE6-9CEA-67578CFB1F97}" uniqueName="8" name="HUD #" queryTableFieldId="8" dataDxfId="36"/>
    <tableColumn id="9" xr3:uid="{AB16DA36-7AF6-44F8-89CC-0F4AE240AD83}" uniqueName="9" name="PROGRAM" queryTableFieldId="9" dataDxfId="35"/>
    <tableColumn id="10" xr3:uid="{817B428C-6061-468A-BC5D-F1E398973E8A}" uniqueName="10" name="METHOD" queryTableFieldId="10" dataDxfId="34"/>
    <tableColumn id="11" xr3:uid="{792692A8-178E-4BDF-ACDC-5E16EEC444B8}" uniqueName="11" name="TYPE" queryTableFieldId="11" dataDxfId="33"/>
    <tableColumn id="12" xr3:uid="{2279F711-E901-4B5D-95E3-C33C5517515E}" uniqueName="12" name="NUMBER OF SECTION 8 TRANSITION APARTMENTS" queryTableFieldId="12"/>
    <tableColumn id="13" xr3:uid="{204E6BB5-7148-46D3-A69C-1277DAFF8E10}" uniqueName="13" name="NUMBER OF CURRENT APARTMENTS" queryTableFieldId="13"/>
    <tableColumn id="14" xr3:uid="{D9EB42BA-2C39-419B-84F3-BB1A7814BC7A}" uniqueName="14" name="TOTAL NUMBER OF APARTMENTS" queryTableFieldId="14"/>
    <tableColumn id="15" xr3:uid="{18A3ABF1-11F6-43C4-931A-7B82DDA83736}" uniqueName="15" name="NUMBER OF RENTAL ROOMS" queryTableFieldId="15"/>
    <tableColumn id="16" xr3:uid="{29F8307B-C644-4020-888E-E888428D7C19}" uniqueName="16" name="AVG NO R/R PER APARTMENT" queryTableFieldId="16"/>
    <tableColumn id="17" xr3:uid="{CCA2A1B7-035F-4EE3-9908-B7F0ADBA2069}" uniqueName="17" name="POPULATION SECTION 8 TRANSITION" queryTableFieldId="17"/>
    <tableColumn id="18" xr3:uid="{6C8EB330-96D9-4853-9F7A-9F8C98422BFB}" uniqueName="18" name="POPULATION PUBLIC HOUSING" queryTableFieldId="18"/>
    <tableColumn id="19" xr3:uid="{F495C353-21B3-4197-95E7-CB4E9E12379A}" uniqueName="19" name="TOTAL POPULATION" queryTableFieldId="19"/>
    <tableColumn id="20" xr3:uid="{EEC5E257-0409-43A9-9FEB-3C49B8DBEA28}" uniqueName="20" name="TOTAL # OF FIXED INCOME HOUSEHOLD" queryTableFieldId="20"/>
    <tableColumn id="21" xr3:uid="{B573485E-447B-4530-909E-6B62728CF4EA}" uniqueName="21" name="PERCENT FIXED INCOME HOUSEHOLDS" queryTableFieldId="21"/>
    <tableColumn id="22" xr3:uid="{32FF92BD-9510-49DA-BE3E-69EFBB96B755}" uniqueName="22" name="NUMBER OF RESIDENTIAL BLDGS" queryTableFieldId="22"/>
    <tableColumn id="23" xr3:uid="{2245DF31-0711-4AFF-B80F-950A2FF64F82}" uniqueName="23" name="NUMBER OF NON-RESIDENTIAL BLDGS" queryTableFieldId="23"/>
    <tableColumn id="24" xr3:uid="{B83CBA7C-78CA-4BA9-B593-19CC29B241CA}" uniqueName="24" name="NUMBER OF STAIRHALLS" queryTableFieldId="24"/>
    <tableColumn id="25" xr3:uid="{9080E328-C6B1-4C4F-8244-879F681CEE92}" uniqueName="25" name="NUMBER OF STORIES" queryTableFieldId="25"/>
    <tableColumn id="26" xr3:uid="{6B318689-93EF-46AD-9D68-59D1FD1DCC7D}" uniqueName="26" name="TOTAL AREA SQ FT" queryTableFieldId="26"/>
    <tableColumn id="27" xr3:uid="{B77EA8F7-532E-43AF-AC60-BCFFB1179301}" uniqueName="27" name="ACRES" queryTableFieldId="27"/>
    <tableColumn id="28" xr3:uid="{2F8E847B-C880-4E78-A6E6-C0AB40E91EF8}" uniqueName="28" name="NET DEV AREA SQ FT" queryTableFieldId="28"/>
    <tableColumn id="29" xr3:uid="{93789E02-F575-4412-98A5-99C8B305C45E}" uniqueName="29" name="EXCLUDING PARK ACRES" queryTableFieldId="29"/>
    <tableColumn id="30" xr3:uid="{65367CB4-0C24-44D8-A331-8FD7782C91AB}" uniqueName="30" name="BLDG COVERAGE SQ FT" queryTableFieldId="30"/>
    <tableColumn id="31" xr3:uid="{CC8C536B-56AD-4468-A068-9D55A6B1BB19}" uniqueName="31" name="CUBAGE CU FT" queryTableFieldId="31"/>
    <tableColumn id="32" xr3:uid="{9B546E34-66DD-4B79-AA59-A036E71F1F40}" uniqueName="32" name="BLDG COVERAGE %" queryTableFieldId="32"/>
    <tableColumn id="33" xr3:uid="{205E64E1-C0D2-495B-833E-C38EDDD1ECCD}" uniqueName="33" name="DENSITY" queryTableFieldId="33"/>
    <tableColumn id="34" xr3:uid="{D7722E89-C57D-48B6-AECA-48728BD37A48}" uniqueName="34" name="DEVELOPMENT COST" queryTableFieldId="34"/>
    <tableColumn id="35" xr3:uid="{3995DA07-0D27-45B4-83A6-F778A87E0D38}" uniqueName="35" name="PER RENTAL ROOM" queryTableFieldId="35"/>
    <tableColumn id="36" xr3:uid="{D887BEB9-19C8-4609-AA3D-F878195BA2D3}" uniqueName="36" name="AVG MONTHLY GROSS RENT" queryTableFieldId="36"/>
    <tableColumn id="37" xr3:uid="{9217D24C-632F-4E67-B2E6-371E4ABC614A}" uniqueName="37" name="LOCATION STREET A" queryTableFieldId="37" dataDxfId="32"/>
    <tableColumn id="38" xr3:uid="{86B38F57-62F0-4049-907F-9AC1CAFC94FE}" uniqueName="38" name="LOCATION STREET B" queryTableFieldId="38" dataDxfId="31"/>
    <tableColumn id="39" xr3:uid="{C78EA069-6702-44C5-9B61-EF92BB7FBBEF}" uniqueName="39" name="LOCATION STREET C" queryTableFieldId="39" dataDxfId="30"/>
    <tableColumn id="40" xr3:uid="{ED8F2BDD-1B70-48C7-B49F-CB5556278158}" uniqueName="40" name="LOCATION STREET D" queryTableFieldId="40" dataDxfId="29"/>
    <tableColumn id="41" xr3:uid="{C95E2302-80EF-4320-9DA0-792C6B1C592C}" uniqueName="41" name="BOROUGH" queryTableFieldId="41" dataDxfId="28"/>
    <tableColumn id="42" xr3:uid="{20577AE5-93E6-4F1B-BB04-7F17C1F502EC}" uniqueName="42" name="COMMUNITY DISTIRCT" queryTableFieldId="42"/>
    <tableColumn id="43" xr3:uid="{258B9E0F-A255-465F-B5A4-CCF37A86530E}" uniqueName="43" name="US CONGRESSIONAL DISTRICT" queryTableFieldId="43"/>
    <tableColumn id="44" xr3:uid="{E6FBD169-A50D-46A3-8DC6-0C4BCA283FF6}" uniqueName="44" name="NY STATE SENATE DISTRICT" queryTableFieldId="44"/>
    <tableColumn id="45" xr3:uid="{D0B0A57F-D5A8-4920-BD68-CAB4592C9774}" uniqueName="45" name="NY STATE ASSEMBLY DISTRICT" queryTableFieldId="45"/>
    <tableColumn id="46" xr3:uid="{DF1BA074-EC52-4588-801E-FBBDA73A4078}" uniqueName="46" name="NY CITY COUNCIL DISTRICT" queryTableFieldId="46"/>
    <tableColumn id="47" xr3:uid="{32077652-1C89-4330-B6BB-F7757D14AF06}" uniqueName="47" name="COMPLETION DATE" queryTableFieldId="47" dataDxfId="27"/>
    <tableColumn id="48" xr3:uid="{0038F2C5-4050-4037-AEF1-7B48FCC4188F}" uniqueName="48" name="FEDERALIZED DEVELOPMENT" queryTableFieldId="48" dataDxfId="26"/>
    <tableColumn id="49" xr3:uid="{BCD57D0E-2E22-49A6-A5BA-5A5D7AFCB446}" uniqueName="49" name="SENIOR DEVELOPMENT" queryTableFieldId="49" dataDxfId="25"/>
    <tableColumn id="50" xr3:uid="{D9BD698F-FDEA-45C8-A404-2EF891768960}" uniqueName="50" name="ELECTRICITY PAID BY RESIDENTS" queryTableFieldId="50" dataDxfId="24"/>
    <tableColumn id="51" xr3:uid="{DF6DD75F-E0D7-4A18-A2D2-450E1B8D53CE}" uniqueName="51" name="PRIVATE MANAGEMENT" queryTableFieldId="51" dataDxfId="23"/>
    <tableColumn id="52" xr3:uid="{809C2A74-9AC7-4F46-B0E2-8C91F5E921D2}" uniqueName="52" name="Total" queryTableFieldId="52" dataDxfId="22">
      <calculatedColumnFormula>developmentdata2019[[#This Row],[NUMBER OF CURRENT APARTMENTS]]*5/2000</calculatedColumnFormula>
    </tableColumn>
    <tableColumn id="53" xr3:uid="{B1CDC847-7493-634B-B57C-0B46A85DC6EB}" uniqueName="53" name="Trash (tons/day)" queryTableFieldId="53" dataDxfId="21">
      <calculatedColumnFormula>developmentdata2019[[#This Row],[Total]]*BA$1</calculatedColumnFormula>
    </tableColumn>
    <tableColumn id="54" xr3:uid="{F8D18275-4AC5-884B-A038-15B817F39E0A}" uniqueName="54" name="MGP (tons/day)" queryTableFieldId="54" dataDxfId="20">
      <calculatedColumnFormula>developmentdata2019[[#This Row],[Trash (tons/day)]]*BB$1</calculatedColumnFormula>
    </tableColumn>
    <tableColumn id="55" xr3:uid="{FE756827-7F3C-5A4F-A270-510CF96A30C1}" uniqueName="55" name="Cardboard (tons/day)" queryTableFieldId="55" dataDxfId="19">
      <calculatedColumnFormula>developmentdata2019[[#This Row],[MGP (tons/day)]]*BC$1</calculatedColumnFormula>
    </tableColumn>
    <tableColumn id="56" xr3:uid="{86525CB3-52AF-C146-9BC2-AF8A09BB44A7}" uniqueName="56" name="Paper (tons/day)" queryTableFieldId="56" dataDxfId="18">
      <calculatedColumnFormula>developmentdata2019[[#This Row],[Cardboard (tons/day)]]*BD$1</calculatedColumnFormula>
    </tableColumn>
    <tableColumn id="57" xr3:uid="{15356822-6442-124B-9197-7A5D11CB5842}" uniqueName="57" name="Organics (tons/day)" queryTableFieldId="57" dataDxfId="17">
      <calculatedColumnFormula>developmentdata2019[[#This Row],[Paper (tons/day)]]*BE$1</calculatedColumnFormula>
    </tableColumn>
    <tableColumn id="58" xr3:uid="{EF88F7CE-13D6-BA47-9961-601F49107F82}" uniqueName="58" name="E-Waste (tons/day)" queryTableFieldId="58" dataDxfId="16">
      <calculatedColumnFormula>developmentdata2019[[#This Row],[Organics (tons/day)]]*BF$1</calculatedColumnFormula>
    </tableColumn>
    <tableColumn id="59" xr3:uid="{04819876-2669-F840-A8CE-6B30DC08B402}" uniqueName="59" name="Textiles (tons/day)" queryTableFieldId="59" dataDxfId="15">
      <calculatedColumnFormula>developmentdata2019[[#This Row],[E-Waste (tons/day)]]*BG$1</calculatedColumnFormula>
    </tableColumn>
    <tableColumn id="60" xr3:uid="{04A831D5-A65C-A448-892A-17600C362F32}" uniqueName="60" name="Trash (CY/day)" queryTableFieldId="60" dataDxfId="14">
      <calculatedColumnFormula>developmentdata2019[[#This Row],[Trash (tons/day)]]*BH$1</calculatedColumnFormula>
    </tableColumn>
    <tableColumn id="61" xr3:uid="{B5384F2D-A1A2-EA45-9D4A-2EE92AA3CB96}" uniqueName="61" name="MGP (CY/day)" queryTableFieldId="61" dataDxfId="13">
      <calculatedColumnFormula>developmentdata2019[[#This Row],[MGP (tons/day)]]*BI$1</calculatedColumnFormula>
    </tableColumn>
    <tableColumn id="62" xr3:uid="{47379952-CFC9-A340-BD00-9A1A99E2A4B3}" uniqueName="62" name="Cardboard (CY/day)" queryTableFieldId="62" dataDxfId="12">
      <calculatedColumnFormula>developmentdata2019[[#This Row],[Cardboard (tons/day)]]*BJ$1</calculatedColumnFormula>
    </tableColumn>
    <tableColumn id="63" xr3:uid="{9BF56CF9-DD99-2B4B-BEA8-160F50685330}" uniqueName="63" name="Paper  (CY/day)" queryTableFieldId="63" dataDxfId="11">
      <calculatedColumnFormula>developmentdata2019[[#This Row],[Paper (tons/day)]]*BK$1</calculatedColumnFormula>
    </tableColumn>
    <tableColumn id="64" xr3:uid="{2F4D7454-26B4-E145-B2BF-CAE4EDB74605}" uniqueName="64" name="Organics (CY/day)" queryTableFieldId="64" dataDxfId="10">
      <calculatedColumnFormula>developmentdata2019[[#This Row],[Organics (tons/day)]]*BL$1</calculatedColumnFormula>
    </tableColumn>
    <tableColumn id="65" xr3:uid="{9BF46275-94CD-4548-A145-DC8CE00C101F}" uniqueName="65" name="E-Waste (CY/day)" queryTableFieldId="65" dataDxfId="9">
      <calculatedColumnFormula>developmentdata2019[[#This Row],[E-Waste (tons/day)]]*BM$1</calculatedColumnFormula>
    </tableColumn>
    <tableColumn id="66" xr3:uid="{A7EF8204-B457-5646-B6F3-71A914B83BAB}" uniqueName="66" name="Textiles (CY/day)" queryTableFieldId="66" dataDxfId="8">
      <calculatedColumnFormula>developmentdata2019[[#This Row],[Textiles (tons/day)]]*BN$1</calculatedColumnFormula>
    </tableColumn>
    <tableColumn id="67" xr3:uid="{DDA99FE2-56F9-E44C-9611-CD441684FCAB}" uniqueName="67" name="Trash (Gallons)" queryTableFieldId="67" dataDxfId="7">
      <calculatedColumnFormula>developmentdata2019[[#This Row],[Trash (CY/day)]]*201.974</calculatedColumnFormula>
    </tableColumn>
    <tableColumn id="68" xr3:uid="{48F83ABE-AEA1-CB48-8824-B87A6876F1B9}" uniqueName="68" name="MGP (Gallons)" queryTableFieldId="68" dataDxfId="6">
      <calculatedColumnFormula>developmentdata2019[[#This Row],[MGP (CY/day)]]*201.974</calculatedColumnFormula>
    </tableColumn>
    <tableColumn id="69" xr3:uid="{254A4570-94C0-BE4D-8EDD-8B5EEEB9713E}" uniqueName="69" name="Cardboard (Gallons)" queryTableFieldId="69" dataDxfId="5">
      <calculatedColumnFormula>developmentdata2019[[#This Row],[Cardboard (CY/day)]]*201.974</calculatedColumnFormula>
    </tableColumn>
    <tableColumn id="70" xr3:uid="{34DA052E-2900-0345-863A-F358D029D944}" uniqueName="70" name="Paper(Gallons)" queryTableFieldId="70" dataDxfId="4">
      <calculatedColumnFormula>developmentdata2019[[#This Row],[Paper  (CY/day)]]*201.974</calculatedColumnFormula>
    </tableColumn>
    <tableColumn id="71" xr3:uid="{E0A91028-96A5-8445-8CFF-25666AA21793}" uniqueName="71" name="Organics (Gallons)" queryTableFieldId="71" dataDxfId="3">
      <calculatedColumnFormula>developmentdata2019[[#This Row],[Organics (CY/day)]]*201.974</calculatedColumnFormula>
    </tableColumn>
    <tableColumn id="72" xr3:uid="{88218E93-DA6C-F942-9FB4-931AE5E02B81}" uniqueName="72" name="E-Waste (Gallons)" queryTableFieldId="72" dataDxfId="2">
      <calculatedColumnFormula>developmentdata2019[[#This Row],[E-Waste (CY/day)]]*201.974</calculatedColumnFormula>
    </tableColumn>
    <tableColumn id="73" xr3:uid="{29B610F5-4492-6F4E-AD4A-49AEFFD82EF5}" uniqueName="73" name="Textiles (Gallons)" queryTableFieldId="73" dataDxfId="1">
      <calculatedColumnFormula>developmentdata2019[[#This Row],[Textiles (CY/day)]]*201.974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EF48A6-1AE6-4C22-AD99-D158831D5D20}" name="_2019bulk" displayName="_2019bulk" ref="A1:C1502" tableType="queryTable" totalsRowShown="0">
  <autoFilter ref="A1:C1502" xr:uid="{FDB4AAE7-2F3B-4354-9086-3329BB82D3BA}"/>
  <tableColumns count="3">
    <tableColumn id="1" xr3:uid="{4A3D7153-FAC8-464F-A845-2C606009D44A}" uniqueName="1" name="Site Name" queryTableFieldId="1" dataDxfId="0"/>
    <tableColumn id="2" xr3:uid="{F7DC199E-E2B8-4CCA-9CC6-3589758794BF}" uniqueName="2" name="Month" queryTableFieldId="2"/>
    <tableColumn id="3" xr3:uid="{09C6B513-87C9-4AD4-8621-B0C4A5651D34}" uniqueName="3" name="Tons per mont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06-26T20:44:16.84" personId="{4CF744DC-7BF3-D445-98D2-409E9D2CE488}" id="{A092B7D8-7ED9-0B4B-B5FD-4F89F9ADF4D9}">
    <text>min. 30%</text>
  </threadedComment>
  <threadedComment ref="E16" dT="2020-06-26T20:44:27.23" personId="{4CF744DC-7BF3-D445-98D2-409E9D2CE488}" id="{8FC23715-B404-8F4E-A64F-C651F33BD43D}">
    <text>min. 50%</text>
  </threadedComment>
  <threadedComment ref="E17" dT="2020-06-26T20:44:34.57" personId="{4CF744DC-7BF3-D445-98D2-409E9D2CE488}" id="{7C9F2D54-4D04-C94D-BFF8-729914164ACE}">
    <text>min. 20%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6" dT="2020-06-26T20:44:16.84" personId="{4CF744DC-7BF3-D445-98D2-409E9D2CE488}" id="{61133409-8325-4046-9AE5-A345475A7B8B}">
    <text>min. 30%</text>
  </threadedComment>
  <threadedComment ref="F27" dT="2020-06-26T20:44:27.23" personId="{4CF744DC-7BF3-D445-98D2-409E9D2CE488}" id="{12208E59-75D5-F54F-B433-E3E6414E3C74}">
    <text>min. 50%</text>
  </threadedComment>
  <threadedComment ref="F28" dT="2020-06-26T20:44:34.57" personId="{4CF744DC-7BF3-D445-98D2-409E9D2CE488}" id="{9D3F55E5-6F53-2F46-BD56-0DDBAA4C5A5F}">
    <text>min. 20%</text>
  </threadedComment>
  <threadedComment ref="F34" dT="2020-06-26T20:44:16.84" personId="{4CF744DC-7BF3-D445-98D2-409E9D2CE488}" id="{2351353D-E132-794F-9176-0650F3708821}">
    <text>min. 30%</text>
  </threadedComment>
  <threadedComment ref="F35" dT="2020-06-26T20:44:27.23" personId="{4CF744DC-7BF3-D445-98D2-409E9D2CE488}" id="{39108EBB-8108-0F44-9DE6-8EF6D4B52E04}">
    <text>min. 50%</text>
  </threadedComment>
  <threadedComment ref="F36" dT="2020-06-26T20:44:34.57" personId="{4CF744DC-7BF3-D445-98D2-409E9D2CE488}" id="{CB69C581-162A-984F-AEE8-1D6BB0526123}">
    <text>min. 20%</text>
  </threadedComment>
  <threadedComment ref="F42" dT="2020-06-26T20:44:16.84" personId="{4CF744DC-7BF3-D445-98D2-409E9D2CE488}" id="{233F87FC-1DC7-1A4D-915E-57C001FB2A0A}">
    <text>min. 30%</text>
  </threadedComment>
  <threadedComment ref="F43" dT="2020-06-26T20:44:27.23" personId="{4CF744DC-7BF3-D445-98D2-409E9D2CE488}" id="{91164E40-690D-374C-B803-0610164981AB}">
    <text>min. 50%</text>
  </threadedComment>
  <threadedComment ref="F44" dT="2020-06-26T20:44:34.57" personId="{4CF744DC-7BF3-D445-98D2-409E9D2CE488}" id="{8A215692-7C11-8E4F-9442-AAFE014AF26D}">
    <text>min. 20%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046A-2AEA-4E05-A681-6376FAE80755}">
  <dimension ref="A1:LG164"/>
  <sheetViews>
    <sheetView workbookViewId="0">
      <selection activeCell="I1" sqref="I1:L1"/>
    </sheetView>
  </sheetViews>
  <sheetFormatPr baseColWidth="10" defaultColWidth="8.83203125" defaultRowHeight="15" x14ac:dyDescent="0.2"/>
  <cols>
    <col min="1" max="1" width="46.83203125" bestFit="1" customWidth="1"/>
    <col min="2" max="2" width="11.5" bestFit="1" customWidth="1"/>
    <col min="3" max="3" width="18" bestFit="1" customWidth="1"/>
    <col min="4" max="4" width="10.6640625" bestFit="1" customWidth="1"/>
    <col min="5" max="5" width="9.5" bestFit="1" customWidth="1"/>
    <col min="6" max="6" width="11" bestFit="1" customWidth="1"/>
    <col min="7" max="23" width="12" bestFit="1" customWidth="1"/>
    <col min="24" max="29" width="11" bestFit="1" customWidth="1"/>
    <col min="30" max="30" width="12" bestFit="1" customWidth="1"/>
    <col min="31" max="47" width="13" bestFit="1" customWidth="1"/>
    <col min="48" max="57" width="12" bestFit="1" customWidth="1"/>
    <col min="58" max="73" width="13" bestFit="1" customWidth="1"/>
    <col min="74" max="77" width="12" bestFit="1" customWidth="1"/>
    <col min="78" max="88" width="13" bestFit="1" customWidth="1"/>
    <col min="89" max="90" width="12" bestFit="1" customWidth="1"/>
    <col min="91" max="102" width="13" bestFit="1" customWidth="1"/>
    <col min="103" max="108" width="12" bestFit="1" customWidth="1"/>
    <col min="109" max="112" width="11" bestFit="1" customWidth="1"/>
    <col min="113" max="129" width="12" bestFit="1" customWidth="1"/>
    <col min="130" max="137" width="11" bestFit="1" customWidth="1"/>
    <col min="138" max="153" width="12" bestFit="1" customWidth="1"/>
    <col min="154" max="157" width="11" bestFit="1" customWidth="1"/>
    <col min="158" max="162" width="12" bestFit="1" customWidth="1"/>
    <col min="163" max="163" width="11" bestFit="1" customWidth="1"/>
    <col min="164" max="181" width="12" bestFit="1" customWidth="1"/>
    <col min="182" max="189" width="11" bestFit="1" customWidth="1"/>
    <col min="190" max="205" width="12" bestFit="1" customWidth="1"/>
    <col min="206" max="216" width="11" bestFit="1" customWidth="1"/>
    <col min="217" max="232" width="12" bestFit="1" customWidth="1"/>
    <col min="233" max="235" width="11" bestFit="1" customWidth="1"/>
    <col min="236" max="240" width="12" bestFit="1" customWidth="1"/>
    <col min="241" max="241" width="11" bestFit="1" customWidth="1"/>
    <col min="242" max="259" width="12" bestFit="1" customWidth="1"/>
    <col min="260" max="268" width="11" bestFit="1" customWidth="1"/>
    <col min="269" max="284" width="12" bestFit="1" customWidth="1"/>
    <col min="285" max="289" width="11" bestFit="1" customWidth="1"/>
    <col min="290" max="299" width="12" bestFit="1" customWidth="1"/>
    <col min="300" max="301" width="11" bestFit="1" customWidth="1"/>
    <col min="302" max="313" width="12" bestFit="1" customWidth="1"/>
    <col min="314" max="319" width="11" bestFit="1" customWidth="1"/>
  </cols>
  <sheetData>
    <row r="1" spans="1:319" s="38" customFormat="1" x14ac:dyDescent="0.2">
      <c r="A1" s="159">
        <v>1</v>
      </c>
      <c r="B1" s="159">
        <v>2</v>
      </c>
      <c r="C1" s="159">
        <v>3</v>
      </c>
      <c r="D1" s="159">
        <v>4</v>
      </c>
      <c r="E1" s="159">
        <v>5</v>
      </c>
      <c r="F1" s="159">
        <v>6</v>
      </c>
      <c r="G1" s="159">
        <v>7</v>
      </c>
      <c r="H1" s="159">
        <v>8</v>
      </c>
      <c r="I1" s="159">
        <v>9</v>
      </c>
      <c r="J1" s="159">
        <v>10</v>
      </c>
      <c r="K1" s="159">
        <v>11</v>
      </c>
      <c r="L1" s="159">
        <v>12</v>
      </c>
      <c r="M1" s="159">
        <v>13</v>
      </c>
      <c r="N1" s="159">
        <v>14</v>
      </c>
      <c r="O1" s="159">
        <v>15</v>
      </c>
      <c r="P1" s="159">
        <v>16</v>
      </c>
      <c r="Q1" s="159">
        <v>17</v>
      </c>
      <c r="R1" s="159">
        <v>18</v>
      </c>
      <c r="S1" s="159">
        <v>19</v>
      </c>
      <c r="T1" s="159">
        <v>20</v>
      </c>
      <c r="U1" s="159">
        <v>21</v>
      </c>
      <c r="V1" s="159">
        <v>22</v>
      </c>
      <c r="W1" s="159">
        <v>23</v>
      </c>
      <c r="X1" s="159">
        <v>24</v>
      </c>
      <c r="Y1" s="159">
        <v>25</v>
      </c>
      <c r="Z1" s="159">
        <v>26</v>
      </c>
      <c r="AA1" s="159">
        <v>27</v>
      </c>
      <c r="AB1" s="159">
        <v>28</v>
      </c>
      <c r="AC1" s="159">
        <v>29</v>
      </c>
      <c r="AD1" s="159">
        <v>30</v>
      </c>
      <c r="AE1" s="159">
        <v>31</v>
      </c>
      <c r="AF1" s="159">
        <v>32</v>
      </c>
      <c r="AG1" s="159">
        <v>33</v>
      </c>
      <c r="AH1" s="159">
        <v>34</v>
      </c>
      <c r="AI1" s="159">
        <v>35</v>
      </c>
      <c r="AJ1" s="159">
        <v>36</v>
      </c>
      <c r="AK1" s="159">
        <v>37</v>
      </c>
      <c r="AL1" s="159">
        <v>38</v>
      </c>
      <c r="AM1" s="159">
        <v>39</v>
      </c>
      <c r="AN1" s="159">
        <v>40</v>
      </c>
      <c r="AO1" s="159">
        <v>41</v>
      </c>
      <c r="AP1" s="159">
        <v>42</v>
      </c>
      <c r="AQ1" s="159">
        <v>43</v>
      </c>
      <c r="AR1" s="159">
        <v>44</v>
      </c>
      <c r="AS1" s="159">
        <v>45</v>
      </c>
      <c r="AT1" s="159">
        <v>46</v>
      </c>
      <c r="AU1" s="159">
        <v>47</v>
      </c>
      <c r="AV1" s="159">
        <v>48</v>
      </c>
      <c r="AW1" s="159">
        <v>49</v>
      </c>
      <c r="AX1" s="159">
        <v>50</v>
      </c>
      <c r="AY1" s="159">
        <v>51</v>
      </c>
      <c r="AZ1" s="159">
        <v>52</v>
      </c>
      <c r="BA1" s="159">
        <v>53</v>
      </c>
      <c r="BB1" s="159">
        <v>54</v>
      </c>
      <c r="BC1" s="159">
        <v>55</v>
      </c>
      <c r="BD1" s="159">
        <v>56</v>
      </c>
      <c r="BE1" s="159">
        <v>57</v>
      </c>
      <c r="BF1" s="159">
        <v>58</v>
      </c>
      <c r="BG1" s="159">
        <v>59</v>
      </c>
      <c r="BH1" s="159">
        <v>60</v>
      </c>
      <c r="BI1" s="159">
        <v>61</v>
      </c>
      <c r="BJ1" s="159">
        <v>62</v>
      </c>
      <c r="BK1" s="159">
        <v>63</v>
      </c>
      <c r="BL1" s="159">
        <v>64</v>
      </c>
      <c r="BM1" s="159">
        <v>65</v>
      </c>
      <c r="BN1" s="159">
        <v>66</v>
      </c>
      <c r="BO1" s="159">
        <v>67</v>
      </c>
      <c r="BP1" s="159">
        <v>68</v>
      </c>
      <c r="BQ1" s="159">
        <v>69</v>
      </c>
      <c r="BR1" s="159">
        <v>70</v>
      </c>
      <c r="BS1" s="159">
        <v>71</v>
      </c>
      <c r="BT1" s="159">
        <v>72</v>
      </c>
      <c r="BU1" s="159">
        <v>73</v>
      </c>
      <c r="BV1" s="159">
        <v>74</v>
      </c>
      <c r="BW1" s="159">
        <v>75</v>
      </c>
      <c r="BX1" s="159">
        <v>76</v>
      </c>
      <c r="BY1" s="159">
        <v>77</v>
      </c>
      <c r="BZ1" s="159">
        <v>78</v>
      </c>
      <c r="CA1" s="159">
        <v>79</v>
      </c>
      <c r="CB1" s="159">
        <v>80</v>
      </c>
      <c r="CC1" s="159">
        <v>81</v>
      </c>
      <c r="CD1" s="159">
        <v>82</v>
      </c>
      <c r="CE1" s="159">
        <v>83</v>
      </c>
      <c r="CF1" s="159">
        <v>84</v>
      </c>
      <c r="CG1" s="159">
        <v>85</v>
      </c>
      <c r="CH1" s="159">
        <v>86</v>
      </c>
      <c r="CI1" s="159">
        <v>87</v>
      </c>
      <c r="CJ1" s="159">
        <v>88</v>
      </c>
      <c r="CK1" s="159">
        <v>89</v>
      </c>
      <c r="CL1" s="159">
        <v>90</v>
      </c>
      <c r="CM1" s="159">
        <v>91</v>
      </c>
      <c r="CN1" s="159">
        <v>92</v>
      </c>
      <c r="CO1" s="159">
        <v>93</v>
      </c>
      <c r="CP1" s="159">
        <v>94</v>
      </c>
      <c r="CQ1" s="159">
        <v>95</v>
      </c>
      <c r="CR1" s="159">
        <v>96</v>
      </c>
      <c r="CS1" s="159">
        <v>97</v>
      </c>
      <c r="CT1" s="159">
        <v>98</v>
      </c>
      <c r="CU1" s="159">
        <v>99</v>
      </c>
      <c r="CV1" s="159">
        <v>100</v>
      </c>
      <c r="CW1" s="159">
        <v>101</v>
      </c>
      <c r="CX1" s="159">
        <v>102</v>
      </c>
      <c r="CY1" s="159">
        <v>103</v>
      </c>
      <c r="CZ1" s="159">
        <v>104</v>
      </c>
      <c r="DA1" s="159">
        <v>105</v>
      </c>
      <c r="DB1" s="159">
        <v>106</v>
      </c>
      <c r="DC1" s="159">
        <v>107</v>
      </c>
      <c r="DD1" s="159">
        <v>108</v>
      </c>
      <c r="DE1" s="159">
        <v>109</v>
      </c>
      <c r="DF1" s="159">
        <v>110</v>
      </c>
      <c r="DG1" s="159">
        <v>111</v>
      </c>
      <c r="DH1" s="159">
        <v>112</v>
      </c>
      <c r="DI1" s="159">
        <v>113</v>
      </c>
      <c r="DJ1" s="159">
        <v>114</v>
      </c>
      <c r="DK1" s="159">
        <v>115</v>
      </c>
      <c r="DL1" s="159">
        <v>116</v>
      </c>
      <c r="DM1" s="159">
        <v>117</v>
      </c>
      <c r="DN1" s="159">
        <v>118</v>
      </c>
      <c r="DO1" s="159">
        <v>119</v>
      </c>
      <c r="DP1" s="159">
        <v>120</v>
      </c>
      <c r="DQ1" s="159">
        <v>121</v>
      </c>
      <c r="DR1" s="159">
        <v>122</v>
      </c>
      <c r="DS1" s="159">
        <v>123</v>
      </c>
      <c r="DT1" s="159">
        <v>124</v>
      </c>
      <c r="DU1" s="159">
        <v>125</v>
      </c>
      <c r="DV1" s="159">
        <v>126</v>
      </c>
      <c r="DW1" s="159">
        <v>127</v>
      </c>
      <c r="DX1" s="159">
        <v>128</v>
      </c>
      <c r="DY1" s="159">
        <v>129</v>
      </c>
      <c r="DZ1" s="159">
        <v>130</v>
      </c>
      <c r="EA1" s="159">
        <v>131</v>
      </c>
      <c r="EB1" s="159">
        <v>132</v>
      </c>
      <c r="EC1" s="159">
        <v>133</v>
      </c>
      <c r="ED1" s="159">
        <v>134</v>
      </c>
      <c r="EE1" s="159">
        <v>135</v>
      </c>
      <c r="EF1" s="159">
        <v>136</v>
      </c>
      <c r="EG1" s="159">
        <v>137</v>
      </c>
      <c r="EH1" s="159">
        <v>138</v>
      </c>
      <c r="EI1" s="159">
        <v>139</v>
      </c>
      <c r="EJ1" s="159">
        <v>140</v>
      </c>
      <c r="EK1" s="159">
        <v>141</v>
      </c>
      <c r="EL1" s="159">
        <v>142</v>
      </c>
      <c r="EM1" s="159">
        <v>143</v>
      </c>
      <c r="EN1" s="159">
        <v>144</v>
      </c>
      <c r="EO1" s="159">
        <v>145</v>
      </c>
      <c r="EP1" s="159">
        <v>146</v>
      </c>
      <c r="EQ1" s="159">
        <v>147</v>
      </c>
      <c r="ER1" s="159">
        <v>148</v>
      </c>
      <c r="ES1" s="159">
        <v>149</v>
      </c>
      <c r="ET1" s="159">
        <v>150</v>
      </c>
      <c r="EU1" s="159">
        <v>151</v>
      </c>
      <c r="EV1" s="159">
        <v>152</v>
      </c>
      <c r="EW1" s="159">
        <v>153</v>
      </c>
      <c r="EX1" s="159">
        <v>154</v>
      </c>
      <c r="EY1" s="159">
        <v>155</v>
      </c>
      <c r="EZ1" s="159">
        <v>156</v>
      </c>
      <c r="FA1" s="159">
        <v>157</v>
      </c>
      <c r="FB1" s="159">
        <v>158</v>
      </c>
      <c r="FC1" s="159">
        <v>159</v>
      </c>
      <c r="FD1" s="159">
        <v>160</v>
      </c>
      <c r="FE1" s="159">
        <v>161</v>
      </c>
      <c r="FF1" s="159">
        <v>162</v>
      </c>
      <c r="FG1" s="159">
        <v>163</v>
      </c>
      <c r="FH1" s="159">
        <v>164</v>
      </c>
      <c r="FI1" s="159">
        <v>165</v>
      </c>
      <c r="FJ1" s="159">
        <v>166</v>
      </c>
      <c r="FK1" s="159">
        <v>167</v>
      </c>
      <c r="FL1" s="159">
        <v>168</v>
      </c>
      <c r="FM1" s="159">
        <v>169</v>
      </c>
      <c r="FN1" s="159">
        <v>170</v>
      </c>
      <c r="FO1" s="159">
        <v>171</v>
      </c>
      <c r="FP1" s="159">
        <v>172</v>
      </c>
      <c r="FQ1" s="159">
        <v>173</v>
      </c>
      <c r="FR1" s="159">
        <v>174</v>
      </c>
      <c r="FS1" s="159">
        <v>175</v>
      </c>
      <c r="FT1" s="159">
        <v>176</v>
      </c>
      <c r="FU1" s="159">
        <v>177</v>
      </c>
      <c r="FV1" s="159">
        <v>178</v>
      </c>
      <c r="FW1" s="159">
        <v>179</v>
      </c>
      <c r="FX1" s="159">
        <v>180</v>
      </c>
      <c r="FY1" s="159">
        <v>181</v>
      </c>
      <c r="FZ1" s="159">
        <v>182</v>
      </c>
      <c r="GA1" s="159">
        <v>183</v>
      </c>
      <c r="GB1" s="159">
        <v>184</v>
      </c>
      <c r="GC1" s="159">
        <v>185</v>
      </c>
      <c r="GD1" s="159">
        <v>186</v>
      </c>
      <c r="GE1" s="159">
        <v>187</v>
      </c>
      <c r="GF1" s="159">
        <v>188</v>
      </c>
      <c r="GG1" s="159">
        <v>189</v>
      </c>
      <c r="GH1" s="159">
        <v>190</v>
      </c>
      <c r="GI1" s="159">
        <v>191</v>
      </c>
      <c r="GJ1" s="159">
        <v>192</v>
      </c>
      <c r="GK1" s="159">
        <v>193</v>
      </c>
      <c r="GL1" s="159">
        <v>194</v>
      </c>
      <c r="GM1" s="159">
        <v>195</v>
      </c>
      <c r="GN1" s="159">
        <v>196</v>
      </c>
      <c r="GO1" s="159">
        <v>197</v>
      </c>
      <c r="GP1" s="159">
        <v>198</v>
      </c>
      <c r="GQ1" s="159">
        <v>199</v>
      </c>
      <c r="GR1" s="159">
        <v>200</v>
      </c>
      <c r="GS1" s="159">
        <v>201</v>
      </c>
      <c r="GT1" s="159">
        <v>202</v>
      </c>
      <c r="GU1" s="159">
        <v>203</v>
      </c>
      <c r="GV1" s="159">
        <v>204</v>
      </c>
      <c r="GW1" s="159">
        <v>205</v>
      </c>
      <c r="GX1" s="159">
        <v>206</v>
      </c>
      <c r="GY1" s="159">
        <v>207</v>
      </c>
      <c r="GZ1" s="159">
        <v>208</v>
      </c>
      <c r="HA1" s="159">
        <v>209</v>
      </c>
      <c r="HB1" s="159">
        <v>210</v>
      </c>
      <c r="HC1" s="159">
        <v>211</v>
      </c>
      <c r="HD1" s="159">
        <v>212</v>
      </c>
      <c r="HE1" s="159">
        <v>213</v>
      </c>
      <c r="HF1" s="159">
        <v>214</v>
      </c>
      <c r="HG1" s="159">
        <v>215</v>
      </c>
      <c r="HH1" s="159">
        <v>216</v>
      </c>
      <c r="HI1" s="159">
        <v>217</v>
      </c>
      <c r="HJ1" s="159">
        <v>218</v>
      </c>
      <c r="HK1" s="159">
        <v>219</v>
      </c>
      <c r="HL1" s="159">
        <v>220</v>
      </c>
      <c r="HM1" s="159">
        <v>221</v>
      </c>
      <c r="HN1" s="159">
        <v>222</v>
      </c>
      <c r="HO1" s="159">
        <v>223</v>
      </c>
      <c r="HP1" s="159">
        <v>224</v>
      </c>
      <c r="HQ1" s="159">
        <v>225</v>
      </c>
      <c r="HR1" s="159">
        <v>226</v>
      </c>
      <c r="HS1" s="159">
        <v>227</v>
      </c>
      <c r="HT1" s="159">
        <v>228</v>
      </c>
      <c r="HU1" s="159">
        <v>229</v>
      </c>
      <c r="HV1" s="159">
        <v>230</v>
      </c>
      <c r="HW1" s="159">
        <v>231</v>
      </c>
      <c r="HX1" s="159">
        <v>232</v>
      </c>
      <c r="HY1" s="159">
        <v>233</v>
      </c>
      <c r="HZ1" s="159">
        <v>234</v>
      </c>
      <c r="IA1" s="159">
        <v>235</v>
      </c>
      <c r="IB1" s="159">
        <v>236</v>
      </c>
      <c r="IC1" s="159">
        <v>237</v>
      </c>
      <c r="ID1" s="159">
        <v>238</v>
      </c>
      <c r="IE1" s="159">
        <v>239</v>
      </c>
      <c r="IF1" s="159">
        <v>240</v>
      </c>
      <c r="IG1" s="159">
        <v>241</v>
      </c>
      <c r="IH1" s="159">
        <v>242</v>
      </c>
      <c r="II1" s="159">
        <v>243</v>
      </c>
      <c r="IJ1" s="159">
        <v>244</v>
      </c>
      <c r="IK1" s="159">
        <v>245</v>
      </c>
      <c r="IL1" s="159">
        <v>246</v>
      </c>
      <c r="IM1" s="159">
        <v>247</v>
      </c>
      <c r="IN1" s="159">
        <v>248</v>
      </c>
      <c r="IO1" s="159">
        <v>249</v>
      </c>
      <c r="IP1" s="159">
        <v>250</v>
      </c>
      <c r="IQ1" s="159">
        <v>251</v>
      </c>
      <c r="IR1" s="159">
        <v>252</v>
      </c>
      <c r="IS1" s="159">
        <v>253</v>
      </c>
      <c r="IT1" s="159">
        <v>254</v>
      </c>
      <c r="IU1" s="159">
        <v>255</v>
      </c>
      <c r="IV1" s="159">
        <v>256</v>
      </c>
      <c r="IW1" s="159">
        <v>257</v>
      </c>
      <c r="IX1" s="159">
        <v>258</v>
      </c>
      <c r="IY1" s="159">
        <v>259</v>
      </c>
      <c r="IZ1" s="159">
        <v>260</v>
      </c>
      <c r="JA1" s="159">
        <v>261</v>
      </c>
      <c r="JB1" s="159">
        <v>262</v>
      </c>
      <c r="JC1" s="159">
        <v>263</v>
      </c>
      <c r="JD1" s="159">
        <v>264</v>
      </c>
      <c r="JE1" s="159">
        <v>265</v>
      </c>
      <c r="JF1" s="159">
        <v>266</v>
      </c>
      <c r="JG1" s="159">
        <v>267</v>
      </c>
      <c r="JH1" s="159">
        <v>268</v>
      </c>
      <c r="JI1" s="159">
        <v>269</v>
      </c>
      <c r="JJ1" s="159">
        <v>270</v>
      </c>
      <c r="JK1" s="159">
        <v>271</v>
      </c>
      <c r="JL1" s="159">
        <v>272</v>
      </c>
      <c r="JM1" s="159">
        <v>273</v>
      </c>
      <c r="JN1" s="159">
        <v>274</v>
      </c>
      <c r="JO1" s="159">
        <v>275</v>
      </c>
      <c r="JP1" s="159">
        <v>276</v>
      </c>
      <c r="JQ1" s="159">
        <v>277</v>
      </c>
      <c r="JR1" s="159">
        <v>278</v>
      </c>
      <c r="JS1" s="159">
        <v>279</v>
      </c>
      <c r="JT1" s="159">
        <v>280</v>
      </c>
      <c r="JU1" s="159">
        <v>281</v>
      </c>
      <c r="JV1" s="159">
        <v>282</v>
      </c>
      <c r="JW1" s="159">
        <v>283</v>
      </c>
      <c r="JX1" s="159">
        <v>284</v>
      </c>
      <c r="JY1" s="159">
        <v>285</v>
      </c>
      <c r="JZ1" s="159">
        <v>286</v>
      </c>
      <c r="KA1" s="159">
        <v>287</v>
      </c>
      <c r="KB1" s="159">
        <v>288</v>
      </c>
      <c r="KC1" s="159">
        <v>289</v>
      </c>
      <c r="KD1" s="159">
        <v>290</v>
      </c>
      <c r="KE1" s="159">
        <v>291</v>
      </c>
      <c r="KF1" s="159">
        <v>292</v>
      </c>
      <c r="KG1" s="159">
        <v>293</v>
      </c>
      <c r="KH1" s="159">
        <v>294</v>
      </c>
      <c r="KI1" s="159">
        <v>295</v>
      </c>
      <c r="KJ1" s="159">
        <v>296</v>
      </c>
      <c r="KK1" s="159">
        <v>297</v>
      </c>
      <c r="KL1" s="159">
        <v>298</v>
      </c>
      <c r="KM1" s="159">
        <v>299</v>
      </c>
      <c r="KN1" s="159">
        <v>300</v>
      </c>
      <c r="KO1" s="159">
        <v>301</v>
      </c>
      <c r="KP1" s="159">
        <v>302</v>
      </c>
      <c r="KQ1" s="159">
        <v>303</v>
      </c>
      <c r="KR1" s="159">
        <v>304</v>
      </c>
      <c r="KS1" s="159">
        <v>305</v>
      </c>
      <c r="KT1" s="159">
        <v>306</v>
      </c>
      <c r="KU1" s="159">
        <v>307</v>
      </c>
      <c r="KV1" s="159">
        <v>308</v>
      </c>
      <c r="KW1" s="159">
        <v>309</v>
      </c>
      <c r="KX1" s="159">
        <v>310</v>
      </c>
      <c r="KY1" s="159">
        <v>311</v>
      </c>
      <c r="KZ1" s="159">
        <v>312</v>
      </c>
      <c r="LA1" s="159">
        <v>313</v>
      </c>
      <c r="LB1" s="159">
        <v>314</v>
      </c>
      <c r="LC1" s="159">
        <v>315</v>
      </c>
      <c r="LD1" s="159">
        <v>316</v>
      </c>
      <c r="LE1" s="159">
        <v>317</v>
      </c>
      <c r="LF1" s="159">
        <v>318</v>
      </c>
      <c r="LG1" s="159">
        <v>319</v>
      </c>
    </row>
    <row r="2" spans="1:31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</row>
    <row r="3" spans="1:319" x14ac:dyDescent="0.2">
      <c r="A3" s="37" t="s">
        <v>319</v>
      </c>
      <c r="B3">
        <v>1008.2100000000004</v>
      </c>
      <c r="C3">
        <v>19.388653846153854</v>
      </c>
      <c r="D3" s="37" t="s">
        <v>320</v>
      </c>
      <c r="E3" s="37" t="s">
        <v>321</v>
      </c>
      <c r="G3">
        <v>5.45</v>
      </c>
      <c r="I3">
        <v>13.63</v>
      </c>
      <c r="K3">
        <v>8.85</v>
      </c>
      <c r="M3">
        <v>12.09</v>
      </c>
      <c r="N3">
        <v>6.33</v>
      </c>
      <c r="O3">
        <v>8.0399999999999991</v>
      </c>
      <c r="Q3">
        <v>4.84</v>
      </c>
      <c r="S3">
        <v>8.69</v>
      </c>
      <c r="U3">
        <v>5.22</v>
      </c>
      <c r="V3">
        <v>6.13</v>
      </c>
      <c r="W3">
        <v>6.1</v>
      </c>
      <c r="AA3">
        <v>13.19</v>
      </c>
      <c r="AC3">
        <v>10.32</v>
      </c>
      <c r="AD3">
        <v>5.51</v>
      </c>
      <c r="AG3">
        <v>6.92</v>
      </c>
      <c r="AI3">
        <v>8.44</v>
      </c>
      <c r="AN3">
        <v>7.61</v>
      </c>
      <c r="AO3">
        <v>5.25</v>
      </c>
      <c r="AQ3">
        <v>6.04</v>
      </c>
      <c r="AU3">
        <v>7.06</v>
      </c>
      <c r="AW3">
        <v>6.18</v>
      </c>
      <c r="AY3">
        <v>6.59</v>
      </c>
      <c r="BA3">
        <v>6.28</v>
      </c>
      <c r="BC3">
        <v>11.02</v>
      </c>
      <c r="BF3">
        <v>12.61</v>
      </c>
      <c r="BG3">
        <v>7.9</v>
      </c>
      <c r="BK3">
        <v>7.07</v>
      </c>
      <c r="BM3">
        <v>13.83</v>
      </c>
      <c r="BP3">
        <v>6.32</v>
      </c>
      <c r="BQ3">
        <v>7.2</v>
      </c>
      <c r="BS3">
        <v>12.36</v>
      </c>
      <c r="BU3">
        <v>6.27</v>
      </c>
      <c r="BY3">
        <v>6.75</v>
      </c>
      <c r="CB3">
        <v>12.72</v>
      </c>
      <c r="CD3">
        <v>7.03</v>
      </c>
      <c r="CH3">
        <v>7</v>
      </c>
      <c r="CL3">
        <v>14.41</v>
      </c>
      <c r="CO3">
        <v>11.77</v>
      </c>
      <c r="CP3">
        <v>7.63</v>
      </c>
      <c r="CR3">
        <v>5.93</v>
      </c>
      <c r="CU3">
        <v>5.36</v>
      </c>
      <c r="CV3">
        <v>13</v>
      </c>
      <c r="CX3">
        <v>6.87</v>
      </c>
      <c r="CY3">
        <v>6.86</v>
      </c>
      <c r="DA3">
        <v>6.08</v>
      </c>
      <c r="DC3">
        <v>13.39</v>
      </c>
      <c r="DM3">
        <v>11.4</v>
      </c>
      <c r="DO3">
        <v>6.49</v>
      </c>
      <c r="DQ3">
        <v>14.29</v>
      </c>
      <c r="DS3">
        <v>14.38</v>
      </c>
      <c r="DU3">
        <v>6.68</v>
      </c>
      <c r="DW3">
        <v>3.81</v>
      </c>
      <c r="DY3">
        <v>10.25</v>
      </c>
      <c r="DZ3">
        <v>8.52</v>
      </c>
      <c r="EA3">
        <v>5.47</v>
      </c>
      <c r="EC3">
        <v>3.23</v>
      </c>
      <c r="EG3">
        <v>6.18</v>
      </c>
      <c r="EH3">
        <v>6.91</v>
      </c>
      <c r="EI3">
        <v>5.03</v>
      </c>
      <c r="EK3">
        <v>5.86</v>
      </c>
      <c r="EM3">
        <v>5.57</v>
      </c>
      <c r="EO3">
        <v>7.75</v>
      </c>
      <c r="EP3">
        <v>5.68</v>
      </c>
      <c r="ES3">
        <v>2.09</v>
      </c>
      <c r="EU3">
        <v>7.28</v>
      </c>
      <c r="EW3">
        <v>4.8600000000000003</v>
      </c>
      <c r="EY3">
        <v>8.4</v>
      </c>
      <c r="FA3">
        <v>7.63</v>
      </c>
      <c r="FC3">
        <v>7.18</v>
      </c>
      <c r="FE3">
        <v>8.89</v>
      </c>
      <c r="FG3">
        <v>4.3</v>
      </c>
      <c r="FI3">
        <v>2.89</v>
      </c>
      <c r="FM3">
        <v>14.09</v>
      </c>
      <c r="FO3">
        <v>4.38</v>
      </c>
      <c r="FR3">
        <v>5.88</v>
      </c>
      <c r="FU3">
        <v>5.83</v>
      </c>
      <c r="FW3">
        <v>8.11</v>
      </c>
      <c r="GA3">
        <v>11.39</v>
      </c>
      <c r="GC3">
        <v>6.16</v>
      </c>
      <c r="GE3">
        <v>7.19</v>
      </c>
      <c r="GG3">
        <v>9.1</v>
      </c>
      <c r="GI3">
        <v>4.3099999999999898</v>
      </c>
      <c r="GK3">
        <v>3.69</v>
      </c>
      <c r="GN3">
        <v>5.9</v>
      </c>
      <c r="GQ3">
        <v>4.97</v>
      </c>
      <c r="GS3">
        <v>7.4</v>
      </c>
      <c r="GU3">
        <v>5.01</v>
      </c>
      <c r="GW3">
        <v>3.57</v>
      </c>
      <c r="GY3">
        <v>7.97</v>
      </c>
      <c r="HA3">
        <v>6.84</v>
      </c>
      <c r="HB3">
        <v>6.63</v>
      </c>
      <c r="HE3">
        <v>5.98</v>
      </c>
      <c r="HH3">
        <v>4.8099999999999898</v>
      </c>
      <c r="HK3">
        <v>5.85</v>
      </c>
      <c r="HM3">
        <v>8.98</v>
      </c>
      <c r="HO3">
        <v>5.19</v>
      </c>
      <c r="HQ3">
        <v>6.23</v>
      </c>
      <c r="HS3">
        <v>5.19</v>
      </c>
      <c r="HV3">
        <v>5.51</v>
      </c>
      <c r="HZ3">
        <v>5.68</v>
      </c>
      <c r="IA3">
        <v>12.78</v>
      </c>
      <c r="IC3">
        <v>5.94</v>
      </c>
      <c r="IE3">
        <v>7.71</v>
      </c>
      <c r="IG3">
        <v>1.22</v>
      </c>
      <c r="II3">
        <v>7.72</v>
      </c>
      <c r="IJ3">
        <v>7.35</v>
      </c>
      <c r="IM3">
        <v>5.29</v>
      </c>
      <c r="IO3">
        <v>6.5</v>
      </c>
      <c r="IS3">
        <v>5.84</v>
      </c>
      <c r="IU3">
        <v>3.5</v>
      </c>
      <c r="IW3">
        <v>9.33</v>
      </c>
      <c r="IY3">
        <v>6.27</v>
      </c>
      <c r="JA3">
        <v>13.98</v>
      </c>
      <c r="JC3">
        <v>3.26</v>
      </c>
      <c r="JH3">
        <v>5.79</v>
      </c>
      <c r="JK3">
        <v>8.66</v>
      </c>
      <c r="JM3">
        <v>6.2</v>
      </c>
      <c r="JO3">
        <v>5.6</v>
      </c>
      <c r="JQ3">
        <v>4.28</v>
      </c>
      <c r="JV3">
        <v>8.1199999999999903</v>
      </c>
      <c r="JW3">
        <v>5.93</v>
      </c>
      <c r="JY3">
        <v>4.82</v>
      </c>
      <c r="KA3">
        <v>8.48</v>
      </c>
      <c r="KC3">
        <v>7.75</v>
      </c>
      <c r="KE3">
        <v>5.48</v>
      </c>
      <c r="KG3">
        <v>11.36</v>
      </c>
      <c r="KI3">
        <v>7.29</v>
      </c>
      <c r="KK3">
        <v>6.33</v>
      </c>
      <c r="KM3">
        <v>6.65</v>
      </c>
      <c r="KO3">
        <v>8.52</v>
      </c>
      <c r="KQ3">
        <v>6.94</v>
      </c>
      <c r="KV3">
        <v>6.03</v>
      </c>
      <c r="KW3">
        <v>11.75</v>
      </c>
      <c r="KZ3">
        <v>6.7</v>
      </c>
      <c r="LA3">
        <v>5.46</v>
      </c>
      <c r="LE3">
        <v>8.09</v>
      </c>
      <c r="LF3">
        <v>8.2899999999999903</v>
      </c>
    </row>
    <row r="4" spans="1:319" x14ac:dyDescent="0.2">
      <c r="A4" s="37" t="s">
        <v>322</v>
      </c>
      <c r="B4">
        <v>7.37</v>
      </c>
      <c r="C4">
        <v>0.14173076923076924</v>
      </c>
      <c r="D4" s="37" t="s">
        <v>320</v>
      </c>
      <c r="E4" s="37" t="s">
        <v>321</v>
      </c>
      <c r="DF4">
        <v>7.37</v>
      </c>
    </row>
    <row r="5" spans="1:319" x14ac:dyDescent="0.2">
      <c r="A5" s="37" t="s">
        <v>323</v>
      </c>
      <c r="B5">
        <v>438.51999999999992</v>
      </c>
      <c r="C5">
        <v>8.4330769230769214</v>
      </c>
      <c r="D5" s="37" t="s">
        <v>320</v>
      </c>
      <c r="E5" s="37" t="s">
        <v>321</v>
      </c>
      <c r="F5">
        <v>4.5</v>
      </c>
      <c r="K5">
        <v>7.39</v>
      </c>
      <c r="O5">
        <v>6.66</v>
      </c>
      <c r="T5">
        <v>6.96</v>
      </c>
      <c r="X5">
        <v>6.39</v>
      </c>
      <c r="AA5">
        <v>5.32</v>
      </c>
      <c r="AO5">
        <v>7.71</v>
      </c>
      <c r="AT5">
        <v>8.14</v>
      </c>
      <c r="BC5">
        <v>8.16</v>
      </c>
      <c r="BG5">
        <v>7.33</v>
      </c>
      <c r="BK5">
        <v>7.89</v>
      </c>
      <c r="BP5">
        <v>7.87</v>
      </c>
      <c r="BV5">
        <v>6.49</v>
      </c>
      <c r="CB5">
        <v>8.11</v>
      </c>
      <c r="CE5">
        <v>4.51</v>
      </c>
      <c r="CG5">
        <v>7.9</v>
      </c>
      <c r="CK5">
        <v>7.75</v>
      </c>
      <c r="CU5">
        <v>6.33</v>
      </c>
      <c r="CX5">
        <v>4.6500000000000004</v>
      </c>
      <c r="DB5">
        <v>7.9</v>
      </c>
      <c r="DL5">
        <v>5.01</v>
      </c>
      <c r="DO5">
        <v>4.5199999999999898</v>
      </c>
      <c r="DU5">
        <v>7.27</v>
      </c>
      <c r="DX5">
        <v>7.59</v>
      </c>
      <c r="EA5">
        <v>6.25</v>
      </c>
      <c r="ED5">
        <v>4.5999999999999899</v>
      </c>
      <c r="EG5">
        <v>4.91</v>
      </c>
      <c r="EJ5">
        <v>5.03</v>
      </c>
      <c r="EM5">
        <v>4.76</v>
      </c>
      <c r="EP5">
        <v>4.7699999999999898</v>
      </c>
      <c r="ES5">
        <v>4.75</v>
      </c>
      <c r="EW5">
        <v>7.45</v>
      </c>
      <c r="EY5">
        <v>4.12</v>
      </c>
      <c r="FC5">
        <v>6.13</v>
      </c>
      <c r="FE5">
        <v>3.99</v>
      </c>
      <c r="FH5">
        <v>3.12</v>
      </c>
      <c r="FK5">
        <v>4.8499999999999899</v>
      </c>
      <c r="FN5">
        <v>5.07</v>
      </c>
      <c r="FQ5">
        <v>4.9400000000000004</v>
      </c>
      <c r="FU5">
        <v>5.2</v>
      </c>
      <c r="FW5">
        <v>2.57</v>
      </c>
      <c r="FZ5">
        <v>4.58</v>
      </c>
      <c r="GD5">
        <v>5.51</v>
      </c>
      <c r="GI5">
        <v>5.52</v>
      </c>
      <c r="GL5">
        <v>6.4</v>
      </c>
      <c r="GO5">
        <v>3.1</v>
      </c>
      <c r="GR5">
        <v>4.9400000000000004</v>
      </c>
      <c r="GU5">
        <v>4.84</v>
      </c>
      <c r="GX5">
        <v>3.75</v>
      </c>
      <c r="HA5">
        <v>5.87</v>
      </c>
      <c r="HD5">
        <v>3.94</v>
      </c>
      <c r="HH5">
        <v>5.85</v>
      </c>
      <c r="HJ5">
        <v>4.1900000000000004</v>
      </c>
      <c r="HM5">
        <v>4.4000000000000004</v>
      </c>
      <c r="HQ5">
        <v>7.46</v>
      </c>
      <c r="HT5">
        <v>4.13</v>
      </c>
      <c r="HV5">
        <v>4.97</v>
      </c>
      <c r="HZ5">
        <v>5.49</v>
      </c>
      <c r="IC5">
        <v>6.54</v>
      </c>
      <c r="IG5">
        <v>7.58</v>
      </c>
      <c r="IL5">
        <v>7.6</v>
      </c>
      <c r="IO5">
        <v>6.16</v>
      </c>
      <c r="IS5">
        <v>5.21</v>
      </c>
      <c r="IW5">
        <v>7.83</v>
      </c>
      <c r="JA5">
        <v>6</v>
      </c>
      <c r="JE5">
        <v>5.93</v>
      </c>
      <c r="JF5">
        <v>5.3</v>
      </c>
      <c r="JL5">
        <v>7.68</v>
      </c>
      <c r="JO5">
        <v>4.67</v>
      </c>
      <c r="JT5">
        <v>8.99</v>
      </c>
      <c r="JX5">
        <v>5.75</v>
      </c>
      <c r="KK5">
        <v>7.71</v>
      </c>
      <c r="LC5">
        <v>8.0399999999999903</v>
      </c>
      <c r="LG5">
        <v>7.73</v>
      </c>
    </row>
    <row r="6" spans="1:319" x14ac:dyDescent="0.2">
      <c r="A6" s="37" t="s">
        <v>324</v>
      </c>
      <c r="B6">
        <v>18.12</v>
      </c>
      <c r="C6">
        <v>0.34846153846153849</v>
      </c>
      <c r="D6" s="37" t="s">
        <v>320</v>
      </c>
      <c r="E6" s="37" t="s">
        <v>321</v>
      </c>
      <c r="DE6">
        <v>10.99</v>
      </c>
      <c r="DJ6">
        <v>7.13</v>
      </c>
    </row>
    <row r="7" spans="1:319" x14ac:dyDescent="0.2">
      <c r="A7" s="37" t="s">
        <v>325</v>
      </c>
      <c r="B7">
        <v>569.69000000000017</v>
      </c>
      <c r="C7">
        <v>10.955576923076926</v>
      </c>
      <c r="D7" s="37" t="s">
        <v>320</v>
      </c>
      <c r="E7" s="37" t="s">
        <v>321</v>
      </c>
      <c r="G7">
        <v>7.22</v>
      </c>
      <c r="J7">
        <v>7.49</v>
      </c>
      <c r="M7">
        <v>6.41</v>
      </c>
      <c r="P7">
        <v>5.85</v>
      </c>
      <c r="S7">
        <v>6.43</v>
      </c>
      <c r="V7">
        <v>6.78</v>
      </c>
      <c r="AB7">
        <v>7.73</v>
      </c>
      <c r="AD7">
        <v>6.29</v>
      </c>
      <c r="AJ7">
        <v>6.48</v>
      </c>
      <c r="AP7">
        <v>3.15</v>
      </c>
      <c r="AW7">
        <v>7.92</v>
      </c>
      <c r="BF7">
        <v>8.59</v>
      </c>
      <c r="BJ7">
        <v>6.82</v>
      </c>
      <c r="BO7">
        <v>8.43</v>
      </c>
      <c r="BS7">
        <v>8.23</v>
      </c>
      <c r="BU7">
        <v>7.71</v>
      </c>
      <c r="BY7">
        <v>7.62</v>
      </c>
      <c r="CC7">
        <v>5.87</v>
      </c>
      <c r="CF7">
        <v>6.04</v>
      </c>
      <c r="CI7">
        <v>7.08</v>
      </c>
      <c r="CL7">
        <v>7.49</v>
      </c>
      <c r="CO7">
        <v>5.8</v>
      </c>
      <c r="CR7">
        <v>8.1300000000000008</v>
      </c>
      <c r="CT7">
        <v>6.39</v>
      </c>
      <c r="CV7">
        <v>6.93</v>
      </c>
      <c r="DA7">
        <v>8.0299999999999994</v>
      </c>
      <c r="DD7">
        <v>6.29</v>
      </c>
      <c r="DF7">
        <v>17.82</v>
      </c>
      <c r="DJ7">
        <v>8.48</v>
      </c>
      <c r="DM7">
        <v>6.71</v>
      </c>
      <c r="DQ7">
        <v>6.99</v>
      </c>
      <c r="DS7">
        <v>3.65</v>
      </c>
      <c r="DV7">
        <v>3.54</v>
      </c>
      <c r="DY7">
        <v>6.15</v>
      </c>
      <c r="EB7">
        <v>3.66</v>
      </c>
      <c r="EE7">
        <v>8.02</v>
      </c>
      <c r="EH7">
        <v>7.02</v>
      </c>
      <c r="EK7">
        <v>5.4</v>
      </c>
      <c r="EN7">
        <v>7.29</v>
      </c>
      <c r="EQ7">
        <v>5.7</v>
      </c>
      <c r="ET7">
        <v>3.9</v>
      </c>
      <c r="EW7">
        <v>6.9</v>
      </c>
      <c r="EZ7">
        <v>5.29</v>
      </c>
      <c r="FC7">
        <v>5.38</v>
      </c>
      <c r="FF7">
        <v>6.01</v>
      </c>
      <c r="FJ7">
        <v>6.41</v>
      </c>
      <c r="FL7">
        <v>3.3</v>
      </c>
      <c r="FO7">
        <v>6.01</v>
      </c>
      <c r="FS7">
        <v>6.23</v>
      </c>
      <c r="FU7">
        <v>4.43</v>
      </c>
      <c r="FW7">
        <v>5.45</v>
      </c>
      <c r="GA7">
        <v>6.38</v>
      </c>
      <c r="GD7">
        <v>5.0599999999999898</v>
      </c>
      <c r="GG7">
        <v>4.57</v>
      </c>
      <c r="GJ7">
        <v>5.31</v>
      </c>
      <c r="GM7">
        <v>6.44</v>
      </c>
      <c r="GP7">
        <v>5.04</v>
      </c>
      <c r="GS7">
        <v>6.16</v>
      </c>
      <c r="GV7">
        <v>5.7</v>
      </c>
      <c r="GY7">
        <v>6.62</v>
      </c>
      <c r="HB7">
        <v>5.9</v>
      </c>
      <c r="HI7">
        <v>2.86</v>
      </c>
      <c r="HK7">
        <v>4.74</v>
      </c>
      <c r="HN7">
        <v>5.34</v>
      </c>
      <c r="HQ7">
        <v>5.54</v>
      </c>
      <c r="HT7">
        <v>6.52</v>
      </c>
      <c r="HW7">
        <v>6.22</v>
      </c>
      <c r="HZ7">
        <v>5.81</v>
      </c>
      <c r="IC7">
        <v>5.81</v>
      </c>
      <c r="IG7">
        <v>7.07</v>
      </c>
      <c r="II7">
        <v>5.77</v>
      </c>
      <c r="IL7">
        <v>5.21</v>
      </c>
      <c r="IO7">
        <v>3.54</v>
      </c>
      <c r="IR7">
        <v>4.13</v>
      </c>
      <c r="IU7">
        <v>5.85</v>
      </c>
      <c r="IX7">
        <v>3.91</v>
      </c>
      <c r="JA7">
        <v>7.93</v>
      </c>
      <c r="JD7">
        <v>5.34</v>
      </c>
      <c r="JG7">
        <v>5.39</v>
      </c>
      <c r="JJ7">
        <v>6.11</v>
      </c>
      <c r="JM7">
        <v>6.87</v>
      </c>
      <c r="JP7">
        <v>2.92</v>
      </c>
      <c r="JS7">
        <v>6.64</v>
      </c>
      <c r="JV7">
        <v>3.88</v>
      </c>
      <c r="JY7">
        <v>4.9000000000000004</v>
      </c>
      <c r="KB7">
        <v>5.94</v>
      </c>
      <c r="KF7">
        <v>7.28</v>
      </c>
      <c r="KK7">
        <v>4.97</v>
      </c>
      <c r="KN7">
        <v>3.23</v>
      </c>
      <c r="KP7">
        <v>7</v>
      </c>
      <c r="KX7">
        <v>7.54</v>
      </c>
      <c r="LC7">
        <v>7.96</v>
      </c>
      <c r="LF7">
        <v>3.35</v>
      </c>
    </row>
    <row r="8" spans="1:319" x14ac:dyDescent="0.2">
      <c r="A8" s="37" t="s">
        <v>326</v>
      </c>
      <c r="B8">
        <v>14.77</v>
      </c>
      <c r="C8">
        <v>0.28403846153846152</v>
      </c>
      <c r="D8" s="37" t="s">
        <v>320</v>
      </c>
      <c r="E8" s="37" t="s">
        <v>321</v>
      </c>
      <c r="DE8">
        <v>6.86</v>
      </c>
      <c r="DF8">
        <v>7.91</v>
      </c>
    </row>
    <row r="9" spans="1:319" x14ac:dyDescent="0.2">
      <c r="A9" s="37" t="s">
        <v>327</v>
      </c>
      <c r="B9">
        <v>861.41999999999985</v>
      </c>
      <c r="C9">
        <v>16.565769230769227</v>
      </c>
      <c r="D9" s="37" t="s">
        <v>320</v>
      </c>
      <c r="E9" s="37" t="s">
        <v>321</v>
      </c>
      <c r="G9">
        <v>17.579999999999998</v>
      </c>
      <c r="K9">
        <v>8.17</v>
      </c>
      <c r="M9">
        <v>13.66</v>
      </c>
      <c r="P9">
        <v>8.8800000000000008</v>
      </c>
      <c r="S9">
        <v>17.71</v>
      </c>
      <c r="W9">
        <v>8.1</v>
      </c>
      <c r="Y9">
        <v>3.91</v>
      </c>
      <c r="Z9">
        <v>7.61</v>
      </c>
      <c r="AB9">
        <v>7.7</v>
      </c>
      <c r="AG9">
        <v>8.06</v>
      </c>
      <c r="AI9">
        <v>6.38</v>
      </c>
      <c r="AK9">
        <v>9.34</v>
      </c>
      <c r="AO9">
        <v>8.07</v>
      </c>
      <c r="AQ9">
        <v>8.0500000000000007</v>
      </c>
      <c r="AW9">
        <v>8.1999999999999993</v>
      </c>
      <c r="AY9">
        <v>8.0500000000000007</v>
      </c>
      <c r="BA9">
        <v>7.29</v>
      </c>
      <c r="BC9">
        <v>7.89</v>
      </c>
      <c r="BG9">
        <v>5.47</v>
      </c>
      <c r="BJ9">
        <v>8.11</v>
      </c>
      <c r="BL9">
        <v>8.5500000000000007</v>
      </c>
      <c r="BN9">
        <v>9.43</v>
      </c>
      <c r="BS9">
        <v>6.4</v>
      </c>
      <c r="BU9">
        <v>9.59</v>
      </c>
      <c r="BV9">
        <v>9.24</v>
      </c>
      <c r="BY9">
        <v>8.3800000000000008</v>
      </c>
      <c r="CA9">
        <v>8.3000000000000007</v>
      </c>
      <c r="CB9">
        <v>8.3800000000000008</v>
      </c>
      <c r="CI9">
        <v>8.06</v>
      </c>
      <c r="CJ9">
        <v>9.01</v>
      </c>
      <c r="CO9">
        <v>7.16</v>
      </c>
      <c r="CR9">
        <v>9.43</v>
      </c>
      <c r="CU9">
        <v>8.6199999999999992</v>
      </c>
      <c r="CV9">
        <v>6.96</v>
      </c>
      <c r="CX9">
        <v>6.13</v>
      </c>
      <c r="CZ9">
        <v>17.2</v>
      </c>
      <c r="DF9">
        <v>8.06</v>
      </c>
      <c r="DJ9">
        <v>9.36</v>
      </c>
      <c r="DM9">
        <v>17.190000000000001</v>
      </c>
      <c r="DP9">
        <v>8.48</v>
      </c>
      <c r="DS9">
        <v>12.9</v>
      </c>
      <c r="DV9">
        <v>8.14</v>
      </c>
      <c r="DY9">
        <v>15.98</v>
      </c>
      <c r="EC9">
        <v>7.43</v>
      </c>
      <c r="EE9">
        <v>13.38</v>
      </c>
      <c r="EI9">
        <v>5.62</v>
      </c>
      <c r="EK9">
        <v>14.07</v>
      </c>
      <c r="EN9">
        <v>9.2799999999999905</v>
      </c>
      <c r="EQ9">
        <v>8.76</v>
      </c>
      <c r="ES9">
        <v>7.77</v>
      </c>
      <c r="EW9">
        <v>5.71</v>
      </c>
      <c r="EX9">
        <v>9.06</v>
      </c>
      <c r="EZ9">
        <v>7.66</v>
      </c>
      <c r="FB9">
        <v>8.77</v>
      </c>
      <c r="FD9">
        <v>8.99</v>
      </c>
      <c r="FF9">
        <v>7.79</v>
      </c>
      <c r="FH9">
        <v>8.74</v>
      </c>
      <c r="FI9">
        <v>6.68</v>
      </c>
      <c r="FL9">
        <v>6.45</v>
      </c>
      <c r="FO9">
        <v>9.8699999999999903</v>
      </c>
      <c r="FS9">
        <v>7.41</v>
      </c>
      <c r="FU9">
        <v>6.42</v>
      </c>
      <c r="FW9">
        <v>7.37</v>
      </c>
      <c r="GA9">
        <v>10.93</v>
      </c>
      <c r="GK9">
        <v>5.92</v>
      </c>
      <c r="GM9">
        <v>8.31</v>
      </c>
      <c r="GT9">
        <v>12.1</v>
      </c>
      <c r="GW9">
        <v>3.31</v>
      </c>
      <c r="GZ9">
        <v>13.27</v>
      </c>
      <c r="HH9">
        <v>5.77</v>
      </c>
      <c r="HK9">
        <v>11.06</v>
      </c>
      <c r="HN9">
        <v>3.64</v>
      </c>
      <c r="HQ9">
        <v>11.47</v>
      </c>
      <c r="HT9">
        <v>9.07</v>
      </c>
      <c r="HU9">
        <v>5.71</v>
      </c>
      <c r="HW9">
        <v>9.09</v>
      </c>
      <c r="HZ9">
        <v>7.62</v>
      </c>
      <c r="IC9">
        <v>13.92</v>
      </c>
      <c r="IG9">
        <v>5.77</v>
      </c>
      <c r="IH9">
        <v>7.13</v>
      </c>
      <c r="II9">
        <v>2.57</v>
      </c>
      <c r="IJ9">
        <v>6.51</v>
      </c>
      <c r="IM9">
        <v>5.94</v>
      </c>
      <c r="IO9">
        <v>7.23</v>
      </c>
      <c r="IR9">
        <v>6.33</v>
      </c>
      <c r="IU9">
        <v>7.3</v>
      </c>
      <c r="JA9">
        <v>7.39</v>
      </c>
      <c r="JB9">
        <v>7.24</v>
      </c>
      <c r="JG9">
        <v>4.8499999999999899</v>
      </c>
      <c r="JJ9">
        <v>4.12</v>
      </c>
      <c r="JM9">
        <v>3.47</v>
      </c>
      <c r="JN9">
        <v>4.24</v>
      </c>
      <c r="JQ9">
        <v>2.92</v>
      </c>
      <c r="JU9">
        <v>6.96</v>
      </c>
      <c r="JX9">
        <v>10.72</v>
      </c>
      <c r="KC9">
        <v>5.53</v>
      </c>
      <c r="KF9">
        <v>6.84</v>
      </c>
      <c r="KL9">
        <v>5.56</v>
      </c>
      <c r="KN9">
        <v>8.42</v>
      </c>
      <c r="KR9">
        <v>7.04</v>
      </c>
      <c r="KU9">
        <v>8.6999999999999904</v>
      </c>
      <c r="KX9">
        <v>7.32</v>
      </c>
      <c r="LA9">
        <v>6.53</v>
      </c>
      <c r="LD9">
        <v>7.19</v>
      </c>
    </row>
    <row r="10" spans="1:319" x14ac:dyDescent="0.2">
      <c r="A10" s="37" t="s">
        <v>328</v>
      </c>
      <c r="B10">
        <v>28.28</v>
      </c>
      <c r="C10">
        <v>0.54384615384615387</v>
      </c>
      <c r="D10" s="37" t="s">
        <v>320</v>
      </c>
      <c r="E10" s="37" t="s">
        <v>321</v>
      </c>
      <c r="DF10">
        <v>8.84</v>
      </c>
      <c r="DJ10">
        <v>7.44</v>
      </c>
      <c r="HE10">
        <v>12</v>
      </c>
    </row>
    <row r="11" spans="1:319" x14ac:dyDescent="0.2">
      <c r="A11" s="37" t="s">
        <v>329</v>
      </c>
      <c r="B11">
        <v>1256.5700000000002</v>
      </c>
      <c r="C11">
        <v>24.164807692307697</v>
      </c>
      <c r="D11" s="37" t="s">
        <v>320</v>
      </c>
      <c r="E11" s="37" t="s">
        <v>321</v>
      </c>
      <c r="F11">
        <v>6.59</v>
      </c>
      <c r="G11">
        <v>7.06</v>
      </c>
      <c r="I11">
        <v>13.3</v>
      </c>
      <c r="K11">
        <v>5.71</v>
      </c>
      <c r="L11">
        <v>5.96</v>
      </c>
      <c r="N11">
        <v>16.43</v>
      </c>
      <c r="Q11">
        <v>15.76</v>
      </c>
      <c r="T11">
        <v>7.25</v>
      </c>
      <c r="U11">
        <v>7.38</v>
      </c>
      <c r="Y11">
        <v>12.54</v>
      </c>
      <c r="Z11">
        <v>6.07</v>
      </c>
      <c r="AB11">
        <v>13.93</v>
      </c>
      <c r="AD11">
        <v>6.68</v>
      </c>
      <c r="AG11">
        <v>17.32</v>
      </c>
      <c r="AJ11">
        <v>6.28</v>
      </c>
      <c r="AK11">
        <v>7.91</v>
      </c>
      <c r="AL11">
        <v>4.7</v>
      </c>
      <c r="AP11">
        <v>8.5399999999999991</v>
      </c>
      <c r="AQ11">
        <v>10.35</v>
      </c>
      <c r="AW11">
        <v>7.4</v>
      </c>
      <c r="AX11">
        <v>12.61</v>
      </c>
      <c r="AZ11">
        <v>3.69</v>
      </c>
      <c r="BC11">
        <v>8.3000000000000007</v>
      </c>
      <c r="BH11">
        <v>8.4600000000000009</v>
      </c>
      <c r="BI11">
        <v>8.69</v>
      </c>
      <c r="BJ11">
        <v>7.33</v>
      </c>
      <c r="BO11">
        <v>14.05</v>
      </c>
      <c r="BQ11">
        <v>9.52</v>
      </c>
      <c r="BS11">
        <v>8.58</v>
      </c>
      <c r="BT11">
        <v>18.190000000000001</v>
      </c>
      <c r="BY11">
        <v>7.98</v>
      </c>
      <c r="CB11">
        <v>7.7</v>
      </c>
      <c r="CC11">
        <v>13.26</v>
      </c>
      <c r="CF11">
        <v>6.6</v>
      </c>
      <c r="CJ11">
        <v>13.96</v>
      </c>
      <c r="CL11">
        <v>0.01</v>
      </c>
      <c r="CM11">
        <v>6.73</v>
      </c>
      <c r="CP11">
        <v>9.07</v>
      </c>
      <c r="CS11">
        <v>8.91</v>
      </c>
      <c r="CU11">
        <v>8.35</v>
      </c>
      <c r="CV11">
        <v>8.27</v>
      </c>
      <c r="CX11">
        <v>8.09</v>
      </c>
      <c r="DB11">
        <v>16.28</v>
      </c>
      <c r="DE11">
        <v>5.28</v>
      </c>
      <c r="DG11">
        <v>6.49</v>
      </c>
      <c r="DL11">
        <v>6.32</v>
      </c>
      <c r="DN11">
        <v>6.58</v>
      </c>
      <c r="DQ11">
        <v>7.91</v>
      </c>
      <c r="DS11">
        <v>8.2200000000000006</v>
      </c>
      <c r="DT11">
        <v>7.87</v>
      </c>
      <c r="DU11">
        <v>4.8099999999999898</v>
      </c>
      <c r="DV11">
        <v>0.86</v>
      </c>
      <c r="DW11">
        <v>1.8</v>
      </c>
      <c r="DX11">
        <v>15.89</v>
      </c>
      <c r="DY11">
        <v>6.83</v>
      </c>
      <c r="DZ11">
        <v>4.2300000000000004</v>
      </c>
      <c r="EC11">
        <v>19.86</v>
      </c>
      <c r="EE11">
        <v>4.87</v>
      </c>
      <c r="EG11">
        <v>6.62</v>
      </c>
      <c r="EH11">
        <v>5.41</v>
      </c>
      <c r="EI11">
        <v>4.6500000000000004</v>
      </c>
      <c r="EJ11">
        <v>7.66</v>
      </c>
      <c r="EK11">
        <v>2.64</v>
      </c>
      <c r="EN11">
        <v>7.48</v>
      </c>
      <c r="EO11">
        <v>2.25</v>
      </c>
      <c r="EP11">
        <v>5.8</v>
      </c>
      <c r="ER11">
        <v>7.78</v>
      </c>
      <c r="ET11">
        <v>5.19</v>
      </c>
      <c r="EU11">
        <v>4.24</v>
      </c>
      <c r="EV11">
        <v>7.25</v>
      </c>
      <c r="EY11">
        <v>7.95</v>
      </c>
      <c r="FA11">
        <v>7.15</v>
      </c>
      <c r="FB11">
        <v>7.41</v>
      </c>
      <c r="FD11">
        <v>8.15</v>
      </c>
      <c r="FE11">
        <v>6.52</v>
      </c>
      <c r="FF11">
        <v>2.29</v>
      </c>
      <c r="FG11">
        <v>2.19</v>
      </c>
      <c r="FH11">
        <v>6.36</v>
      </c>
      <c r="FJ11">
        <v>6.28</v>
      </c>
      <c r="FL11">
        <v>16.27</v>
      </c>
      <c r="FO11">
        <v>7.6</v>
      </c>
      <c r="FP11">
        <v>7.13</v>
      </c>
      <c r="FS11">
        <v>8.73</v>
      </c>
      <c r="FU11">
        <v>7.49</v>
      </c>
      <c r="FX11">
        <v>8.06</v>
      </c>
      <c r="FY11">
        <v>5.66</v>
      </c>
      <c r="FZ11">
        <v>6.31</v>
      </c>
      <c r="GC11">
        <v>16.38</v>
      </c>
      <c r="GD11">
        <v>4.7300000000000004</v>
      </c>
      <c r="GE11">
        <v>4.74</v>
      </c>
      <c r="GG11">
        <v>7.66</v>
      </c>
      <c r="GH11">
        <v>8.4</v>
      </c>
      <c r="GJ11">
        <v>6.14</v>
      </c>
      <c r="GM11">
        <v>7.82</v>
      </c>
      <c r="GP11">
        <v>8.8800000000000008</v>
      </c>
      <c r="GQ11">
        <v>4.87</v>
      </c>
      <c r="GS11">
        <v>9.7100000000000009</v>
      </c>
      <c r="GT11">
        <v>7.62</v>
      </c>
      <c r="GX11">
        <v>3.42</v>
      </c>
      <c r="GY11">
        <v>7.13</v>
      </c>
      <c r="GZ11">
        <v>5.87</v>
      </c>
      <c r="HA11">
        <v>6.82</v>
      </c>
      <c r="HC11">
        <v>7.92</v>
      </c>
      <c r="HF11">
        <v>12.14</v>
      </c>
      <c r="HI11">
        <v>7.61</v>
      </c>
      <c r="HK11">
        <v>8.09</v>
      </c>
      <c r="HL11">
        <v>13.88</v>
      </c>
      <c r="HN11">
        <v>4.58</v>
      </c>
      <c r="HO11">
        <v>6.19</v>
      </c>
      <c r="HQ11">
        <v>11.71</v>
      </c>
      <c r="HR11">
        <v>7.12</v>
      </c>
      <c r="HV11">
        <v>7.57</v>
      </c>
      <c r="HW11">
        <v>8.51</v>
      </c>
      <c r="HZ11">
        <v>7.35</v>
      </c>
      <c r="IA11">
        <v>12.08</v>
      </c>
      <c r="IC11">
        <v>16.45</v>
      </c>
      <c r="IE11">
        <v>15.72</v>
      </c>
      <c r="IG11">
        <v>10.46</v>
      </c>
      <c r="IH11">
        <v>5.95</v>
      </c>
      <c r="II11">
        <v>5.28</v>
      </c>
      <c r="IM11">
        <v>13.9</v>
      </c>
      <c r="IQ11">
        <v>9.3800000000000008</v>
      </c>
      <c r="IS11">
        <v>4.22</v>
      </c>
      <c r="IT11">
        <v>4.87</v>
      </c>
      <c r="IW11">
        <v>7.93</v>
      </c>
      <c r="IZ11">
        <v>6.66</v>
      </c>
      <c r="JB11">
        <v>5.27</v>
      </c>
      <c r="JC11">
        <v>5.55</v>
      </c>
      <c r="JD11">
        <v>6.89</v>
      </c>
      <c r="JF11">
        <v>9.91</v>
      </c>
      <c r="JJ11">
        <v>16.100000000000001</v>
      </c>
      <c r="JL11">
        <v>4.28</v>
      </c>
      <c r="JM11">
        <v>6.54</v>
      </c>
      <c r="JO11">
        <v>6.4</v>
      </c>
      <c r="JR11">
        <v>5.53</v>
      </c>
      <c r="JS11">
        <v>8.16</v>
      </c>
      <c r="JU11">
        <v>9.25</v>
      </c>
      <c r="JW11">
        <v>7.01</v>
      </c>
      <c r="JX11">
        <v>8.58</v>
      </c>
      <c r="JY11">
        <v>2.25</v>
      </c>
      <c r="KF11">
        <v>6.87</v>
      </c>
      <c r="KG11">
        <v>8.27</v>
      </c>
      <c r="KJ11">
        <v>6.74</v>
      </c>
      <c r="KO11">
        <v>15.63</v>
      </c>
      <c r="KP11">
        <v>16.350000000000001</v>
      </c>
      <c r="KS11">
        <v>8.18</v>
      </c>
      <c r="KU11">
        <v>5.72</v>
      </c>
      <c r="KV11">
        <v>8.92</v>
      </c>
      <c r="LA11">
        <v>18.600000000000001</v>
      </c>
      <c r="LB11">
        <v>9.66</v>
      </c>
      <c r="LG11">
        <v>26.02</v>
      </c>
    </row>
    <row r="12" spans="1:319" x14ac:dyDescent="0.2">
      <c r="A12" s="37" t="s">
        <v>330</v>
      </c>
      <c r="B12">
        <v>37.070000000000007</v>
      </c>
      <c r="C12">
        <v>0.71288461538461556</v>
      </c>
      <c r="D12" s="37" t="s">
        <v>320</v>
      </c>
      <c r="E12" s="37" t="s">
        <v>321</v>
      </c>
      <c r="DE12">
        <v>14.51</v>
      </c>
      <c r="DG12">
        <v>12.91</v>
      </c>
      <c r="FT12">
        <v>8.1300000000000008</v>
      </c>
      <c r="KB12">
        <v>1.52</v>
      </c>
    </row>
    <row r="13" spans="1:319" x14ac:dyDescent="0.2">
      <c r="A13" s="37" t="s">
        <v>331</v>
      </c>
      <c r="B13">
        <v>505.70999999999992</v>
      </c>
      <c r="C13">
        <v>9.725192307692307</v>
      </c>
      <c r="D13" s="37" t="s">
        <v>320</v>
      </c>
      <c r="E13" s="37" t="s">
        <v>321</v>
      </c>
      <c r="G13">
        <v>4.8899999999999997</v>
      </c>
      <c r="K13">
        <v>7.66</v>
      </c>
      <c r="M13">
        <v>4.88</v>
      </c>
      <c r="Q13">
        <v>7.52</v>
      </c>
      <c r="S13">
        <v>5.91</v>
      </c>
      <c r="W13">
        <v>7.51</v>
      </c>
      <c r="Y13">
        <v>5.49</v>
      </c>
      <c r="AC13">
        <v>7.51</v>
      </c>
      <c r="AD13">
        <v>10.42</v>
      </c>
      <c r="AJ13">
        <v>10.47</v>
      </c>
      <c r="AP13">
        <v>7.96</v>
      </c>
      <c r="AV13">
        <v>10.41</v>
      </c>
      <c r="BB13">
        <v>6.97</v>
      </c>
      <c r="BP13">
        <v>7.45</v>
      </c>
      <c r="BU13">
        <v>8.57</v>
      </c>
      <c r="CL13">
        <v>8.84</v>
      </c>
      <c r="CU13">
        <v>10.050000000000001</v>
      </c>
      <c r="DA13">
        <v>5.54</v>
      </c>
      <c r="DF13">
        <v>5.18</v>
      </c>
      <c r="DJ13">
        <v>8.41</v>
      </c>
      <c r="DM13">
        <v>5.04</v>
      </c>
      <c r="DQ13">
        <v>6.35</v>
      </c>
      <c r="DS13">
        <v>4.72</v>
      </c>
      <c r="DW13">
        <v>7.68</v>
      </c>
      <c r="DZ13">
        <v>8.17</v>
      </c>
      <c r="EC13">
        <v>5.23</v>
      </c>
      <c r="EE13">
        <v>4.84</v>
      </c>
      <c r="EI13">
        <v>6.87</v>
      </c>
      <c r="EK13">
        <v>5</v>
      </c>
      <c r="EO13">
        <v>6.91</v>
      </c>
      <c r="EQ13">
        <v>5.14</v>
      </c>
      <c r="EU13">
        <v>6.17</v>
      </c>
      <c r="EW13">
        <v>5.15</v>
      </c>
      <c r="FA13">
        <v>6.65</v>
      </c>
      <c r="FD13">
        <v>7.2</v>
      </c>
      <c r="FG13">
        <v>4.92</v>
      </c>
      <c r="FI13">
        <v>5.29</v>
      </c>
      <c r="FL13">
        <v>4.8600000000000003</v>
      </c>
      <c r="FO13">
        <v>5.0199999999999898</v>
      </c>
      <c r="FS13">
        <v>5.76</v>
      </c>
      <c r="FU13">
        <v>4.38</v>
      </c>
      <c r="GA13">
        <v>5.3</v>
      </c>
      <c r="GE13">
        <v>6.93</v>
      </c>
      <c r="GK13">
        <v>6.11</v>
      </c>
      <c r="GM13">
        <v>4.71</v>
      </c>
      <c r="GQ13">
        <v>5.88</v>
      </c>
      <c r="GV13">
        <v>8.5399999999999903</v>
      </c>
      <c r="GW13">
        <v>1.62</v>
      </c>
      <c r="GY13">
        <v>9.8699999999999903</v>
      </c>
      <c r="HC13">
        <v>6.74</v>
      </c>
      <c r="HE13">
        <v>5.94</v>
      </c>
      <c r="HI13">
        <v>6.42</v>
      </c>
      <c r="HK13">
        <v>4.67</v>
      </c>
      <c r="HO13">
        <v>6.85</v>
      </c>
      <c r="HU13">
        <v>6.39</v>
      </c>
      <c r="HW13">
        <v>4.7</v>
      </c>
      <c r="IA13">
        <v>8.07</v>
      </c>
      <c r="IC13">
        <v>4.3899999999999899</v>
      </c>
      <c r="IG13">
        <v>7.06</v>
      </c>
      <c r="IM13">
        <v>6.65</v>
      </c>
      <c r="IO13">
        <v>6.35</v>
      </c>
      <c r="IS13">
        <v>8.16</v>
      </c>
      <c r="JA13">
        <v>5.87</v>
      </c>
      <c r="JE13">
        <v>7.12</v>
      </c>
      <c r="JG13">
        <v>5.67</v>
      </c>
      <c r="JK13">
        <v>6.59</v>
      </c>
      <c r="JM13">
        <v>5.55</v>
      </c>
      <c r="JQ13">
        <v>5.67</v>
      </c>
      <c r="JS13">
        <v>5.64</v>
      </c>
      <c r="JW13">
        <v>6.53</v>
      </c>
      <c r="JY13">
        <v>5.36</v>
      </c>
      <c r="KE13">
        <v>4.3</v>
      </c>
      <c r="KK13">
        <v>4.59</v>
      </c>
      <c r="KO13">
        <v>7</v>
      </c>
      <c r="KQ13">
        <v>10.88</v>
      </c>
      <c r="KV13">
        <v>7.66</v>
      </c>
      <c r="LC13">
        <v>4.8</v>
      </c>
      <c r="LG13">
        <v>8.14</v>
      </c>
    </row>
    <row r="14" spans="1:319" x14ac:dyDescent="0.2">
      <c r="A14" s="37" t="s">
        <v>332</v>
      </c>
      <c r="B14">
        <v>775.78999999999974</v>
      </c>
      <c r="C14">
        <v>14.919038461538456</v>
      </c>
      <c r="D14" s="37" t="s">
        <v>320</v>
      </c>
      <c r="E14" s="37" t="s">
        <v>321</v>
      </c>
      <c r="AD14">
        <v>12.2</v>
      </c>
      <c r="AH14">
        <v>10.16</v>
      </c>
      <c r="AJ14">
        <v>11.57</v>
      </c>
      <c r="AN14">
        <v>11.13</v>
      </c>
      <c r="AP14">
        <v>10.82</v>
      </c>
      <c r="AS14">
        <v>8.7200000000000006</v>
      </c>
      <c r="AV14">
        <v>8.5299999999999994</v>
      </c>
      <c r="AY14">
        <v>10.72</v>
      </c>
      <c r="BB14">
        <v>10.16</v>
      </c>
      <c r="BH14">
        <v>10.94</v>
      </c>
      <c r="BK14">
        <v>10.31</v>
      </c>
      <c r="BN14">
        <v>10.67</v>
      </c>
      <c r="BQ14">
        <v>9.15</v>
      </c>
      <c r="BS14">
        <v>9.56</v>
      </c>
      <c r="BT14">
        <v>9.4700000000000006</v>
      </c>
      <c r="BW14">
        <v>9.5500000000000007</v>
      </c>
      <c r="CA14">
        <v>11.95</v>
      </c>
      <c r="CC14">
        <v>7.84</v>
      </c>
      <c r="CE14">
        <v>5.12</v>
      </c>
      <c r="CG14">
        <v>6.86</v>
      </c>
      <c r="CJ14">
        <v>8.7100000000000009</v>
      </c>
      <c r="CM14">
        <v>6.72</v>
      </c>
      <c r="CS14">
        <v>9.2799999999999994</v>
      </c>
      <c r="CV14">
        <v>8.7100000000000009</v>
      </c>
      <c r="CY14">
        <v>8.4700000000000006</v>
      </c>
      <c r="DB14">
        <v>11.03</v>
      </c>
      <c r="DG14">
        <v>8.9600000000000009</v>
      </c>
      <c r="DR14">
        <v>7.5</v>
      </c>
      <c r="DT14">
        <v>6.29</v>
      </c>
      <c r="EN14">
        <v>9.67</v>
      </c>
      <c r="EP14">
        <v>8.7200000000000006</v>
      </c>
      <c r="FO14">
        <v>9.6199999999999903</v>
      </c>
      <c r="FS14">
        <v>9.67</v>
      </c>
      <c r="FT14">
        <v>6.45</v>
      </c>
      <c r="FY14">
        <v>5.73</v>
      </c>
      <c r="GB14">
        <v>9.1199999999999903</v>
      </c>
      <c r="GD14">
        <v>6.59</v>
      </c>
      <c r="GF14">
        <v>8.1300000000000008</v>
      </c>
      <c r="GH14">
        <v>6.2</v>
      </c>
      <c r="GJ14">
        <v>6.88</v>
      </c>
      <c r="GL14">
        <v>7.8</v>
      </c>
      <c r="GN14">
        <v>4.84</v>
      </c>
      <c r="GO14">
        <v>9.57</v>
      </c>
      <c r="GR14">
        <v>9.48</v>
      </c>
      <c r="GT14">
        <v>7.12</v>
      </c>
      <c r="GW14">
        <v>9.8000000000000007</v>
      </c>
      <c r="GX14">
        <v>7.39</v>
      </c>
      <c r="GZ14">
        <v>7.24</v>
      </c>
      <c r="HB14">
        <v>7.09</v>
      </c>
      <c r="HD14">
        <v>8.0299999999999905</v>
      </c>
      <c r="HH14">
        <v>5.12</v>
      </c>
      <c r="HJ14">
        <v>9.09</v>
      </c>
      <c r="HN14">
        <v>5.78</v>
      </c>
      <c r="HP14">
        <v>7.77</v>
      </c>
      <c r="HR14">
        <v>7.34</v>
      </c>
      <c r="HW14">
        <v>9.6199999999999903</v>
      </c>
      <c r="HX14">
        <v>4.95</v>
      </c>
      <c r="HZ14">
        <v>6.23</v>
      </c>
      <c r="ID14">
        <v>5.87</v>
      </c>
      <c r="IF14">
        <v>6.3</v>
      </c>
      <c r="IH14">
        <v>7.66</v>
      </c>
      <c r="IJ14">
        <v>7.35</v>
      </c>
      <c r="IL14">
        <v>5.91</v>
      </c>
      <c r="IN14">
        <v>8.2200000000000006</v>
      </c>
      <c r="IP14">
        <v>7.01</v>
      </c>
      <c r="IR14">
        <v>5.43</v>
      </c>
      <c r="IV14">
        <v>6.92</v>
      </c>
      <c r="IX14">
        <v>10.66</v>
      </c>
      <c r="IZ14">
        <v>7.67</v>
      </c>
      <c r="JB14">
        <v>5.47</v>
      </c>
      <c r="JD14">
        <v>5.86</v>
      </c>
      <c r="JF14">
        <v>9.1999999999999904</v>
      </c>
      <c r="JH14">
        <v>6.31</v>
      </c>
      <c r="JJ14">
        <v>8.17</v>
      </c>
      <c r="JL14">
        <v>8.9499999999999904</v>
      </c>
      <c r="JN14">
        <v>8.2899999999999903</v>
      </c>
      <c r="JP14">
        <v>5.78</v>
      </c>
      <c r="JR14">
        <v>9.02</v>
      </c>
      <c r="JT14">
        <v>5.9</v>
      </c>
      <c r="JV14">
        <v>5.66</v>
      </c>
      <c r="JX14">
        <v>8.64</v>
      </c>
      <c r="JZ14">
        <v>6.79</v>
      </c>
      <c r="KB14">
        <v>6.59</v>
      </c>
      <c r="KD14">
        <v>8.61</v>
      </c>
      <c r="KF14">
        <v>3.85</v>
      </c>
      <c r="KH14">
        <v>7.42</v>
      </c>
      <c r="KL14">
        <v>11.26</v>
      </c>
      <c r="KN14">
        <v>10.61</v>
      </c>
      <c r="KP14">
        <v>9.43</v>
      </c>
      <c r="KS14">
        <v>10.73</v>
      </c>
      <c r="KV14">
        <v>10.15</v>
      </c>
      <c r="KY14">
        <v>9.27</v>
      </c>
      <c r="LB14">
        <v>9.44</v>
      </c>
      <c r="LD14">
        <v>6.76</v>
      </c>
      <c r="LF14">
        <v>6.49</v>
      </c>
    </row>
    <row r="15" spans="1:319" x14ac:dyDescent="0.2">
      <c r="A15" s="37" t="s">
        <v>333</v>
      </c>
      <c r="B15">
        <v>1547.6899999999998</v>
      </c>
      <c r="C15">
        <v>29.763269230769229</v>
      </c>
      <c r="D15" s="37" t="s">
        <v>320</v>
      </c>
      <c r="E15" s="37" t="s">
        <v>321</v>
      </c>
      <c r="F15">
        <v>7.95</v>
      </c>
      <c r="G15">
        <v>7.68</v>
      </c>
      <c r="H15">
        <v>8.23</v>
      </c>
      <c r="J15">
        <v>7.31</v>
      </c>
      <c r="K15">
        <v>8.1199999999999992</v>
      </c>
      <c r="L15">
        <v>8.8000000000000007</v>
      </c>
      <c r="N15">
        <v>8.6</v>
      </c>
      <c r="P15">
        <v>8.1999999999999993</v>
      </c>
      <c r="S15">
        <v>6.76</v>
      </c>
      <c r="U15">
        <v>17.8</v>
      </c>
      <c r="W15">
        <v>16.96</v>
      </c>
      <c r="X15">
        <v>9.31</v>
      </c>
      <c r="Z15">
        <v>13.21</v>
      </c>
      <c r="AC15">
        <v>16.95</v>
      </c>
      <c r="AD15">
        <v>9.93</v>
      </c>
      <c r="AF15">
        <v>18.940000000000001</v>
      </c>
      <c r="AJ15">
        <v>16.59</v>
      </c>
      <c r="AK15">
        <v>8.76</v>
      </c>
      <c r="AO15">
        <v>15.73</v>
      </c>
      <c r="AS15">
        <v>7.99</v>
      </c>
      <c r="AU15">
        <v>18.579999999999998</v>
      </c>
      <c r="AV15">
        <v>7.13</v>
      </c>
      <c r="AW15">
        <v>16.95</v>
      </c>
      <c r="BA15">
        <v>8.73</v>
      </c>
      <c r="BB15">
        <v>18.55</v>
      </c>
      <c r="BD15">
        <v>8.3699999999999992</v>
      </c>
      <c r="BG15">
        <v>7.55</v>
      </c>
      <c r="BJ15">
        <v>8.7899999999999991</v>
      </c>
      <c r="BL15">
        <v>14.69</v>
      </c>
      <c r="BO15">
        <v>6.71</v>
      </c>
      <c r="BP15">
        <v>7.04</v>
      </c>
      <c r="BQ15">
        <v>10.7</v>
      </c>
      <c r="BT15">
        <v>9.0299999999999994</v>
      </c>
      <c r="CB15">
        <v>7.06</v>
      </c>
      <c r="CC15">
        <v>8.7899999999999991</v>
      </c>
      <c r="CE15">
        <v>4.9400000000000004</v>
      </c>
      <c r="CF15">
        <v>7.09</v>
      </c>
      <c r="CG15">
        <v>8.59</v>
      </c>
      <c r="CH15">
        <v>27.61</v>
      </c>
      <c r="CN15">
        <v>20.98</v>
      </c>
      <c r="CQ15">
        <v>8.26</v>
      </c>
      <c r="CT15">
        <v>8.44</v>
      </c>
      <c r="CU15">
        <v>8.85</v>
      </c>
      <c r="CV15">
        <v>12.45</v>
      </c>
      <c r="CY15">
        <v>15.92</v>
      </c>
      <c r="CZ15">
        <v>8.18</v>
      </c>
      <c r="DC15">
        <v>8.2799999999999994</v>
      </c>
      <c r="DD15">
        <v>16.87</v>
      </c>
      <c r="DG15">
        <v>6.78</v>
      </c>
      <c r="DM15">
        <v>7.94</v>
      </c>
      <c r="DN15">
        <v>18.649999999999899</v>
      </c>
      <c r="DP15">
        <v>6.63</v>
      </c>
      <c r="DS15">
        <v>14</v>
      </c>
      <c r="DT15">
        <v>8.48</v>
      </c>
      <c r="DW15">
        <v>7.21</v>
      </c>
      <c r="DZ15">
        <v>18.59</v>
      </c>
      <c r="EC15">
        <v>15</v>
      </c>
      <c r="EE15">
        <v>8.3699999999999903</v>
      </c>
      <c r="EF15">
        <v>15.06</v>
      </c>
      <c r="EG15">
        <v>8.61</v>
      </c>
      <c r="EI15">
        <v>15.08</v>
      </c>
      <c r="EL15">
        <v>7.73</v>
      </c>
      <c r="EN15">
        <v>7.99</v>
      </c>
      <c r="EO15">
        <v>9.52</v>
      </c>
      <c r="EP15">
        <v>8.8000000000000007</v>
      </c>
      <c r="ES15">
        <v>7.88</v>
      </c>
      <c r="ET15">
        <v>17.510000000000002</v>
      </c>
      <c r="EW15">
        <v>8.8800000000000008</v>
      </c>
      <c r="EX15">
        <v>8.65</v>
      </c>
      <c r="EY15">
        <v>8.42</v>
      </c>
      <c r="FA15">
        <v>7.26</v>
      </c>
      <c r="FC15">
        <v>7.29</v>
      </c>
      <c r="FD15">
        <v>17.63</v>
      </c>
      <c r="FG15">
        <v>15.99</v>
      </c>
      <c r="FI15">
        <v>9.4499999999999904</v>
      </c>
      <c r="FJ15">
        <v>8.1999999999999904</v>
      </c>
      <c r="FL15">
        <v>7.99</v>
      </c>
      <c r="FM15">
        <v>6.25</v>
      </c>
      <c r="FQ15">
        <v>8.66</v>
      </c>
      <c r="FR15">
        <v>5.71</v>
      </c>
      <c r="FS15">
        <v>9.49</v>
      </c>
      <c r="FV15">
        <v>18.309999999999899</v>
      </c>
      <c r="FW15">
        <v>7.92</v>
      </c>
      <c r="GB15">
        <v>18.98</v>
      </c>
      <c r="GI15">
        <v>9.48</v>
      </c>
      <c r="GJ15">
        <v>8.6</v>
      </c>
      <c r="GM15">
        <v>10.49</v>
      </c>
      <c r="GN15">
        <v>19.190000000000001</v>
      </c>
      <c r="GP15">
        <v>9.09</v>
      </c>
      <c r="GR15">
        <v>8.02</v>
      </c>
      <c r="GU15">
        <v>15.43</v>
      </c>
      <c r="GX15">
        <v>9.43</v>
      </c>
      <c r="HB15">
        <v>18.73</v>
      </c>
      <c r="HC15">
        <v>8.3699999999999903</v>
      </c>
      <c r="HD15">
        <v>6.41</v>
      </c>
      <c r="HF15">
        <v>10.49</v>
      </c>
      <c r="HI15">
        <v>7.95</v>
      </c>
      <c r="HJ15">
        <v>7.5</v>
      </c>
      <c r="HL15">
        <v>8.86</v>
      </c>
      <c r="HM15">
        <v>5.45</v>
      </c>
      <c r="HN15">
        <v>10.24</v>
      </c>
      <c r="HR15">
        <v>19.45</v>
      </c>
      <c r="HT15">
        <v>6.09</v>
      </c>
      <c r="HU15">
        <v>8.36</v>
      </c>
      <c r="HV15">
        <v>7.83</v>
      </c>
      <c r="HX15">
        <v>5.93</v>
      </c>
      <c r="IA15">
        <v>10.01</v>
      </c>
      <c r="ID15">
        <v>11.1</v>
      </c>
      <c r="IE15">
        <v>8.73</v>
      </c>
      <c r="IH15">
        <v>9.98</v>
      </c>
      <c r="IJ15">
        <v>20.16</v>
      </c>
      <c r="IM15">
        <v>11.27</v>
      </c>
      <c r="IP15">
        <v>14.56</v>
      </c>
      <c r="IR15">
        <v>10.63</v>
      </c>
      <c r="IS15">
        <v>5.05</v>
      </c>
      <c r="IU15">
        <v>9.59</v>
      </c>
      <c r="IV15">
        <v>10.88</v>
      </c>
      <c r="IX15">
        <v>8.89</v>
      </c>
      <c r="IZ15">
        <v>8.06</v>
      </c>
      <c r="JA15">
        <v>10.96</v>
      </c>
      <c r="JB15">
        <v>4.83</v>
      </c>
      <c r="JE15">
        <v>7.67</v>
      </c>
      <c r="JF15">
        <v>9.7799999999999905</v>
      </c>
      <c r="JH15">
        <v>8.9600000000000009</v>
      </c>
      <c r="JK15">
        <v>9.4700000000000006</v>
      </c>
      <c r="JN15">
        <v>10.83</v>
      </c>
      <c r="JO15">
        <v>9.8000000000000007</v>
      </c>
      <c r="JQ15">
        <v>7.36</v>
      </c>
      <c r="JS15">
        <v>9.89</v>
      </c>
      <c r="JT15">
        <v>8.4</v>
      </c>
      <c r="KC15">
        <v>14.45</v>
      </c>
      <c r="KE15">
        <v>12.49</v>
      </c>
      <c r="KG15">
        <v>7.08</v>
      </c>
      <c r="KH15">
        <v>7.71</v>
      </c>
      <c r="KK15">
        <v>17.61</v>
      </c>
      <c r="KL15">
        <v>9.42</v>
      </c>
      <c r="KO15">
        <v>9.84</v>
      </c>
      <c r="KQ15">
        <v>9.07</v>
      </c>
      <c r="KS15">
        <v>13.38</v>
      </c>
      <c r="KU15">
        <v>16.46</v>
      </c>
      <c r="KY15">
        <v>15.15</v>
      </c>
      <c r="LB15">
        <v>9.2799999999999905</v>
      </c>
      <c r="LC15">
        <v>6.93</v>
      </c>
      <c r="LF15">
        <v>7.8</v>
      </c>
      <c r="LG15">
        <v>8.91</v>
      </c>
    </row>
    <row r="16" spans="1:319" x14ac:dyDescent="0.2">
      <c r="A16" s="37" t="s">
        <v>334</v>
      </c>
      <c r="B16">
        <v>1439.6999999999998</v>
      </c>
      <c r="C16">
        <v>27.686538461538458</v>
      </c>
      <c r="D16" s="37" t="s">
        <v>320</v>
      </c>
      <c r="E16" s="37" t="s">
        <v>321</v>
      </c>
      <c r="F16">
        <v>7.59</v>
      </c>
      <c r="I16">
        <v>5.25</v>
      </c>
      <c r="J16">
        <v>4.8899999999999997</v>
      </c>
      <c r="K16">
        <v>4.66</v>
      </c>
      <c r="L16">
        <v>5.05</v>
      </c>
      <c r="M16">
        <v>5.99</v>
      </c>
      <c r="N16">
        <v>5.99</v>
      </c>
      <c r="O16">
        <v>5.79</v>
      </c>
      <c r="Q16">
        <v>8.2100000000000009</v>
      </c>
      <c r="R16">
        <v>7.84</v>
      </c>
      <c r="S16">
        <v>5.5</v>
      </c>
      <c r="T16">
        <v>4.26</v>
      </c>
      <c r="V16">
        <v>7.3</v>
      </c>
      <c r="W16">
        <v>3.84</v>
      </c>
      <c r="Y16">
        <v>7.85</v>
      </c>
      <c r="Z16">
        <v>7.11</v>
      </c>
      <c r="AA16">
        <v>7.78</v>
      </c>
      <c r="AB16">
        <v>2.4900000000000002</v>
      </c>
      <c r="AC16">
        <v>7.3</v>
      </c>
      <c r="AF16">
        <v>6.44</v>
      </c>
      <c r="AG16">
        <v>9.3800000000000008</v>
      </c>
      <c r="AK16">
        <v>16.93</v>
      </c>
      <c r="AM16">
        <v>17.55</v>
      </c>
      <c r="AO16">
        <v>5.38</v>
      </c>
      <c r="AP16">
        <v>8.48</v>
      </c>
      <c r="AS16">
        <v>5.72</v>
      </c>
      <c r="AU16">
        <v>15.78</v>
      </c>
      <c r="AV16">
        <v>5.08</v>
      </c>
      <c r="AW16">
        <v>16.149999999999999</v>
      </c>
      <c r="AZ16">
        <v>8.3000000000000007</v>
      </c>
      <c r="BA16">
        <v>8.4499999999999993</v>
      </c>
      <c r="BC16">
        <v>15.43</v>
      </c>
      <c r="BF16">
        <v>7.08</v>
      </c>
      <c r="BG16">
        <v>7.61</v>
      </c>
      <c r="BI16">
        <v>7.88</v>
      </c>
      <c r="BJ16">
        <v>7.07</v>
      </c>
      <c r="BL16">
        <v>16.21</v>
      </c>
      <c r="BN16">
        <v>4.43</v>
      </c>
      <c r="BP16">
        <v>7.8</v>
      </c>
      <c r="BQ16">
        <v>9.2799999999999994</v>
      </c>
      <c r="BS16">
        <v>6.68</v>
      </c>
      <c r="BV16">
        <v>16.600000000000001</v>
      </c>
      <c r="BX16">
        <v>7.37</v>
      </c>
      <c r="CA16">
        <v>17.260000000000002</v>
      </c>
      <c r="CE16">
        <v>4.8899999999999997</v>
      </c>
      <c r="CF16">
        <v>8.09</v>
      </c>
      <c r="CG16">
        <v>13.88</v>
      </c>
      <c r="CJ16">
        <v>6.74</v>
      </c>
      <c r="CK16">
        <v>7.27</v>
      </c>
      <c r="CN16">
        <v>5.01</v>
      </c>
      <c r="CP16">
        <v>14.46</v>
      </c>
      <c r="CS16">
        <v>8.34</v>
      </c>
      <c r="CT16">
        <v>15.08</v>
      </c>
      <c r="CV16">
        <v>9.7200000000000006</v>
      </c>
      <c r="CZ16">
        <v>17.940000000000001</v>
      </c>
      <c r="DA16">
        <v>7.15</v>
      </c>
      <c r="DC16">
        <v>5.95</v>
      </c>
      <c r="DF16">
        <v>16.12</v>
      </c>
      <c r="DJ16">
        <v>6.01</v>
      </c>
      <c r="DM16">
        <v>9.58</v>
      </c>
      <c r="DN16">
        <v>7.63</v>
      </c>
      <c r="DP16">
        <v>7.92</v>
      </c>
      <c r="DQ16">
        <v>5.94</v>
      </c>
      <c r="DR16">
        <v>4.29</v>
      </c>
      <c r="DS16">
        <v>2.11</v>
      </c>
      <c r="DT16">
        <v>5.05</v>
      </c>
      <c r="DU16">
        <v>3.61</v>
      </c>
      <c r="DX16">
        <v>7.47</v>
      </c>
      <c r="DY16">
        <v>4.5999999999999899</v>
      </c>
      <c r="EB16">
        <v>8.68</v>
      </c>
      <c r="EC16">
        <v>4.08</v>
      </c>
      <c r="ED16">
        <v>4.88</v>
      </c>
      <c r="EE16">
        <v>4.66</v>
      </c>
      <c r="EF16">
        <v>4.3</v>
      </c>
      <c r="EI16">
        <v>2.52</v>
      </c>
      <c r="EM16">
        <v>4.6500000000000004</v>
      </c>
      <c r="EN16">
        <v>6.31</v>
      </c>
      <c r="EO16">
        <v>9.67</v>
      </c>
      <c r="EP16">
        <v>6.55</v>
      </c>
      <c r="ER16">
        <v>4.3</v>
      </c>
      <c r="ES16">
        <v>4.92</v>
      </c>
      <c r="ET16">
        <v>3.12</v>
      </c>
      <c r="EV16">
        <v>7.08</v>
      </c>
      <c r="EW16">
        <v>4.49</v>
      </c>
      <c r="EX16">
        <v>4.4400000000000004</v>
      </c>
      <c r="EY16">
        <v>3.51</v>
      </c>
      <c r="EZ16">
        <v>3.51</v>
      </c>
      <c r="FA16">
        <v>3.54</v>
      </c>
      <c r="FB16">
        <v>3.54</v>
      </c>
      <c r="FC16">
        <v>9.02</v>
      </c>
      <c r="FD16">
        <v>6.6</v>
      </c>
      <c r="FE16">
        <v>6.54</v>
      </c>
      <c r="FG16">
        <v>6.88</v>
      </c>
      <c r="FH16">
        <v>6.68</v>
      </c>
      <c r="FI16">
        <v>5.67</v>
      </c>
      <c r="FL16">
        <v>6.21</v>
      </c>
      <c r="FM16">
        <v>8.7200000000000006</v>
      </c>
      <c r="FN16">
        <v>3.43</v>
      </c>
      <c r="FO16">
        <v>9.83</v>
      </c>
      <c r="FQ16">
        <v>5.82</v>
      </c>
      <c r="FR16">
        <v>6.31</v>
      </c>
      <c r="FS16">
        <v>4.8</v>
      </c>
      <c r="FT16">
        <v>6.29</v>
      </c>
      <c r="FV16">
        <v>5.36</v>
      </c>
      <c r="FZ16">
        <v>8.74</v>
      </c>
      <c r="GA16">
        <v>6.88</v>
      </c>
      <c r="GC16">
        <v>7.6</v>
      </c>
      <c r="GE16">
        <v>8.4600000000000009</v>
      </c>
      <c r="GG16">
        <v>8.69</v>
      </c>
      <c r="GH16">
        <v>8.52</v>
      </c>
      <c r="GK16">
        <v>7.87</v>
      </c>
      <c r="GM16">
        <v>17.05</v>
      </c>
      <c r="GO16">
        <v>6.97</v>
      </c>
      <c r="GP16">
        <v>10.62</v>
      </c>
      <c r="GS16">
        <v>14.9</v>
      </c>
      <c r="GU16">
        <v>7.5</v>
      </c>
      <c r="GV16">
        <v>5.19</v>
      </c>
      <c r="GX16">
        <v>10.54</v>
      </c>
      <c r="GY16">
        <v>6.63</v>
      </c>
      <c r="GZ16">
        <v>6.5</v>
      </c>
      <c r="HB16">
        <v>14.33</v>
      </c>
      <c r="HG16">
        <v>7.41</v>
      </c>
      <c r="HH16">
        <v>7.33</v>
      </c>
      <c r="HI16">
        <v>7.71</v>
      </c>
      <c r="HK16">
        <v>10.75</v>
      </c>
      <c r="HN16">
        <v>15.56</v>
      </c>
      <c r="HQ16">
        <v>16.61</v>
      </c>
      <c r="HX16">
        <v>24.76</v>
      </c>
      <c r="IA16">
        <v>13.56</v>
      </c>
      <c r="IC16">
        <v>19.43</v>
      </c>
      <c r="IG16">
        <v>13.71</v>
      </c>
      <c r="II16">
        <v>5.04</v>
      </c>
      <c r="IJ16">
        <v>9.9499999999999904</v>
      </c>
      <c r="IL16">
        <v>8.31</v>
      </c>
      <c r="IM16">
        <v>7.56</v>
      </c>
      <c r="IO16">
        <v>10.85</v>
      </c>
      <c r="IP16">
        <v>7.04</v>
      </c>
      <c r="IQ16">
        <v>6.96</v>
      </c>
      <c r="IS16">
        <v>9.89</v>
      </c>
      <c r="IU16">
        <v>13.97</v>
      </c>
      <c r="IW16">
        <v>6.31</v>
      </c>
      <c r="IX16">
        <v>6.49</v>
      </c>
      <c r="IY16">
        <v>6.18</v>
      </c>
      <c r="IZ16">
        <v>7.63</v>
      </c>
      <c r="JA16">
        <v>13.53</v>
      </c>
      <c r="JC16">
        <v>4.2699999999999898</v>
      </c>
      <c r="JE16">
        <v>7.54</v>
      </c>
      <c r="JF16">
        <v>6.76</v>
      </c>
      <c r="JH16">
        <v>10.31</v>
      </c>
      <c r="JJ16">
        <v>12.96</v>
      </c>
      <c r="JL16">
        <v>8.42</v>
      </c>
      <c r="JO16">
        <v>13.71</v>
      </c>
      <c r="JR16">
        <v>8.7899999999999903</v>
      </c>
      <c r="JS16">
        <v>8.4700000000000006</v>
      </c>
      <c r="JV16">
        <v>6.77</v>
      </c>
      <c r="JW16">
        <v>10.89</v>
      </c>
      <c r="KA16">
        <v>9.14</v>
      </c>
      <c r="KC16">
        <v>5.03</v>
      </c>
      <c r="KD16">
        <v>4.8899999999999899</v>
      </c>
      <c r="KE16">
        <v>9.6199999999999903</v>
      </c>
      <c r="KF16">
        <v>6.48</v>
      </c>
      <c r="KG16">
        <v>3.98</v>
      </c>
      <c r="KH16">
        <v>10.0399999999999</v>
      </c>
      <c r="KJ16">
        <v>7.57</v>
      </c>
      <c r="KM16">
        <v>15.1</v>
      </c>
      <c r="KO16">
        <v>5.64</v>
      </c>
      <c r="KQ16">
        <v>16.16</v>
      </c>
      <c r="KS16">
        <v>5.98</v>
      </c>
      <c r="KU16">
        <v>8.4600000000000009</v>
      </c>
      <c r="KV16">
        <v>4.5999999999999899</v>
      </c>
      <c r="KX16">
        <v>15.73</v>
      </c>
      <c r="LB16">
        <v>5.73</v>
      </c>
      <c r="LD16">
        <v>15.29</v>
      </c>
      <c r="LF16">
        <v>7.05</v>
      </c>
    </row>
    <row r="17" spans="1:319" x14ac:dyDescent="0.2">
      <c r="A17" s="37" t="s">
        <v>335</v>
      </c>
      <c r="B17">
        <v>1032.0087999999996</v>
      </c>
      <c r="C17">
        <v>19.846323076923071</v>
      </c>
      <c r="D17" s="37" t="s">
        <v>320</v>
      </c>
      <c r="E17" s="37" t="s">
        <v>336</v>
      </c>
      <c r="H17">
        <v>6.76</v>
      </c>
      <c r="K17">
        <v>10.07</v>
      </c>
      <c r="N17">
        <v>16.34</v>
      </c>
      <c r="Q17">
        <v>8.6</v>
      </c>
      <c r="T17">
        <v>8.6199999999999992</v>
      </c>
      <c r="W17">
        <v>9.43</v>
      </c>
      <c r="Z17">
        <v>8.8699999999999992</v>
      </c>
      <c r="AB17">
        <v>8.34</v>
      </c>
      <c r="AC17">
        <v>8.1</v>
      </c>
      <c r="AF17">
        <v>9.6999999999999993</v>
      </c>
      <c r="AI17">
        <v>8.98</v>
      </c>
      <c r="AM17">
        <v>8.89</v>
      </c>
      <c r="AO17">
        <v>9.7100000000000009</v>
      </c>
      <c r="AS17">
        <v>9.4588000000000001</v>
      </c>
      <c r="AX17">
        <v>9.67</v>
      </c>
      <c r="BD17">
        <v>8.57</v>
      </c>
      <c r="BG17">
        <v>8.92</v>
      </c>
      <c r="BI17">
        <v>7.76</v>
      </c>
      <c r="BK17">
        <v>10</v>
      </c>
      <c r="BM17">
        <v>7.41</v>
      </c>
      <c r="BP17">
        <v>8.6300000000000008</v>
      </c>
      <c r="BS17">
        <v>5.64</v>
      </c>
      <c r="BV17">
        <v>8.92</v>
      </c>
      <c r="BY17">
        <v>8.26</v>
      </c>
      <c r="CA17">
        <v>9.4700000000000006</v>
      </c>
      <c r="CC17">
        <v>7.24</v>
      </c>
      <c r="CD17">
        <v>6.9</v>
      </c>
      <c r="CF17">
        <v>7.12</v>
      </c>
      <c r="CH17">
        <v>9.26</v>
      </c>
      <c r="CJ17">
        <v>9.48</v>
      </c>
      <c r="CK17">
        <v>8.5</v>
      </c>
      <c r="CO17">
        <v>6.72</v>
      </c>
      <c r="CR17">
        <v>7.58</v>
      </c>
      <c r="CS17">
        <v>7.98</v>
      </c>
      <c r="CU17">
        <v>8.19</v>
      </c>
      <c r="CX17">
        <v>8.1300000000000008</v>
      </c>
      <c r="DA17">
        <v>7.99</v>
      </c>
      <c r="DC17">
        <v>9.14</v>
      </c>
      <c r="DE17">
        <v>8.01</v>
      </c>
      <c r="DG17">
        <v>7.25</v>
      </c>
      <c r="DN17">
        <v>7.92</v>
      </c>
      <c r="DQ17">
        <v>9.4499999999999904</v>
      </c>
      <c r="DT17">
        <v>9</v>
      </c>
      <c r="DW17">
        <v>9.15</v>
      </c>
      <c r="DZ17">
        <v>8.67</v>
      </c>
      <c r="EC17">
        <v>7.75</v>
      </c>
      <c r="EF17">
        <v>8.33</v>
      </c>
      <c r="EI17">
        <v>8.5</v>
      </c>
      <c r="EL17">
        <v>15.2</v>
      </c>
      <c r="EO17">
        <v>8.57</v>
      </c>
      <c r="ER17">
        <v>8.61</v>
      </c>
      <c r="EU17">
        <v>14.44</v>
      </c>
      <c r="EX17">
        <v>16.8</v>
      </c>
      <c r="FA17">
        <v>8.4700000000000006</v>
      </c>
      <c r="FE17">
        <v>8.56</v>
      </c>
      <c r="FG17">
        <v>8.4499999999999904</v>
      </c>
      <c r="FJ17">
        <v>14.46</v>
      </c>
      <c r="FM17">
        <v>8.11</v>
      </c>
      <c r="FP17">
        <v>9.56</v>
      </c>
      <c r="FS17">
        <v>9.68</v>
      </c>
      <c r="FV17">
        <v>9.68</v>
      </c>
      <c r="GB17">
        <v>17.41</v>
      </c>
      <c r="GE17">
        <v>8.33</v>
      </c>
      <c r="GI17">
        <v>9.68</v>
      </c>
      <c r="GK17">
        <v>9.42</v>
      </c>
      <c r="GN17">
        <v>18.14</v>
      </c>
      <c r="GQ17">
        <v>6.77</v>
      </c>
      <c r="GT17">
        <v>9.89</v>
      </c>
      <c r="GW17">
        <v>9.07</v>
      </c>
      <c r="GZ17">
        <v>8.4700000000000006</v>
      </c>
      <c r="HC17">
        <v>10.0399999999999</v>
      </c>
      <c r="HI17">
        <v>14.65</v>
      </c>
      <c r="HL17">
        <v>7.22</v>
      </c>
      <c r="HO17">
        <v>10.23</v>
      </c>
      <c r="HR17">
        <v>10.19</v>
      </c>
      <c r="HU17">
        <v>18.100000000000001</v>
      </c>
      <c r="HZ17">
        <v>11.59</v>
      </c>
      <c r="IA17">
        <v>9.32</v>
      </c>
      <c r="ID17">
        <v>8.56</v>
      </c>
      <c r="IG17">
        <v>14.52</v>
      </c>
      <c r="II17">
        <v>8.94</v>
      </c>
      <c r="IM17">
        <v>10.29</v>
      </c>
      <c r="IP17">
        <v>17.95</v>
      </c>
      <c r="IS17">
        <v>9.84</v>
      </c>
      <c r="IV17">
        <v>8.77</v>
      </c>
      <c r="IX17">
        <v>5.67</v>
      </c>
      <c r="IY17">
        <v>8.48</v>
      </c>
      <c r="JD17">
        <v>10.9</v>
      </c>
      <c r="JE17">
        <v>4.1100000000000003</v>
      </c>
      <c r="JH17">
        <v>11.23</v>
      </c>
      <c r="JK17">
        <v>9.43</v>
      </c>
      <c r="JN17">
        <v>19.25</v>
      </c>
      <c r="JQ17">
        <v>8.23</v>
      </c>
      <c r="JT17">
        <v>9.59</v>
      </c>
      <c r="JW17">
        <v>8.65</v>
      </c>
      <c r="JZ17">
        <v>10.18</v>
      </c>
      <c r="KC17">
        <v>9.09</v>
      </c>
      <c r="KD17">
        <v>6.9</v>
      </c>
      <c r="KI17">
        <v>9.3800000000000008</v>
      </c>
      <c r="KL17">
        <v>9.15</v>
      </c>
      <c r="KO17">
        <v>9.57</v>
      </c>
      <c r="KR17">
        <v>9.41</v>
      </c>
      <c r="KU17">
        <v>6.13</v>
      </c>
      <c r="KV17">
        <v>8.25</v>
      </c>
      <c r="KX17">
        <v>9.4600000000000009</v>
      </c>
      <c r="LA17">
        <v>8.68</v>
      </c>
      <c r="LE17">
        <v>8.81</v>
      </c>
      <c r="LF17">
        <v>10.1</v>
      </c>
    </row>
    <row r="18" spans="1:319" x14ac:dyDescent="0.2">
      <c r="A18" s="37" t="s">
        <v>337</v>
      </c>
      <c r="B18">
        <v>36.159999999999997</v>
      </c>
      <c r="C18">
        <v>0.69538461538461527</v>
      </c>
      <c r="D18" s="37" t="s">
        <v>320</v>
      </c>
      <c r="E18" s="37" t="s">
        <v>336</v>
      </c>
      <c r="AU18">
        <v>7.13</v>
      </c>
      <c r="DE18">
        <v>4.63</v>
      </c>
      <c r="DG18">
        <v>15.57</v>
      </c>
      <c r="DJ18">
        <v>8.83</v>
      </c>
    </row>
    <row r="19" spans="1:319" x14ac:dyDescent="0.2">
      <c r="A19" s="37" t="s">
        <v>338</v>
      </c>
      <c r="B19">
        <v>773.13</v>
      </c>
      <c r="C19">
        <v>14.867884615384614</v>
      </c>
      <c r="D19" s="37" t="s">
        <v>320</v>
      </c>
      <c r="E19" s="37" t="s">
        <v>336</v>
      </c>
      <c r="F19">
        <v>4.29</v>
      </c>
      <c r="G19">
        <v>6.24</v>
      </c>
      <c r="J19">
        <v>6.89</v>
      </c>
      <c r="L19">
        <v>4.3</v>
      </c>
      <c r="N19">
        <v>7.96</v>
      </c>
      <c r="O19">
        <v>5.41</v>
      </c>
      <c r="R19">
        <v>14.09</v>
      </c>
      <c r="U19">
        <v>3.48</v>
      </c>
      <c r="X19">
        <v>6.03</v>
      </c>
      <c r="Z19">
        <v>8.91</v>
      </c>
      <c r="AA19">
        <v>5.7</v>
      </c>
      <c r="AD19">
        <v>5.94</v>
      </c>
      <c r="AG19">
        <v>7.93</v>
      </c>
      <c r="AI19">
        <v>6.92</v>
      </c>
      <c r="AM19">
        <v>13.91</v>
      </c>
      <c r="AQ19">
        <v>5.22</v>
      </c>
      <c r="AT19">
        <v>9.52</v>
      </c>
      <c r="AV19">
        <v>13.89</v>
      </c>
      <c r="BA19">
        <v>5.89</v>
      </c>
      <c r="BD19">
        <v>6.57</v>
      </c>
      <c r="BH19">
        <v>13.77</v>
      </c>
      <c r="BM19">
        <v>6.99</v>
      </c>
      <c r="BN19">
        <v>8.83</v>
      </c>
      <c r="BQ19">
        <v>6.34</v>
      </c>
      <c r="BT19">
        <v>6.56</v>
      </c>
      <c r="BY19">
        <v>8.34</v>
      </c>
      <c r="CD19">
        <v>6.94</v>
      </c>
      <c r="CE19">
        <v>6.88</v>
      </c>
      <c r="CG19">
        <v>9.3000000000000007</v>
      </c>
      <c r="CH19">
        <v>6.32</v>
      </c>
      <c r="CN19">
        <v>6.85</v>
      </c>
      <c r="CR19">
        <v>8.1</v>
      </c>
      <c r="CS19">
        <v>6.82</v>
      </c>
      <c r="CX19">
        <v>7.92</v>
      </c>
      <c r="CY19">
        <v>9.52</v>
      </c>
      <c r="DC19">
        <v>7.47</v>
      </c>
      <c r="DD19">
        <v>7.97</v>
      </c>
      <c r="DF19">
        <v>6.66</v>
      </c>
      <c r="DJ19">
        <v>7.56</v>
      </c>
      <c r="DL19">
        <v>12.07</v>
      </c>
      <c r="DO19">
        <v>3.52</v>
      </c>
      <c r="DR19">
        <v>14.3</v>
      </c>
      <c r="DX19">
        <v>13.8</v>
      </c>
      <c r="EA19">
        <v>5.6</v>
      </c>
      <c r="ED19">
        <v>6.14</v>
      </c>
      <c r="EG19">
        <v>6.37</v>
      </c>
      <c r="EK19">
        <v>18.71</v>
      </c>
      <c r="EP19">
        <v>8.56</v>
      </c>
      <c r="ES19">
        <v>7.18</v>
      </c>
      <c r="EV19">
        <v>8.24</v>
      </c>
      <c r="EW19">
        <v>1.86</v>
      </c>
      <c r="EY19">
        <v>7.47</v>
      </c>
      <c r="FB19">
        <v>11.64</v>
      </c>
      <c r="FE19">
        <v>3.15</v>
      </c>
      <c r="FH19">
        <v>12.57</v>
      </c>
      <c r="FK19">
        <v>6.36</v>
      </c>
      <c r="FN19">
        <v>12.48</v>
      </c>
      <c r="FR19">
        <v>5.72</v>
      </c>
      <c r="FT19">
        <v>11.44</v>
      </c>
      <c r="FZ19">
        <v>14.42</v>
      </c>
      <c r="GF19">
        <v>6.14</v>
      </c>
      <c r="GJ19">
        <v>5.42</v>
      </c>
      <c r="GL19">
        <v>4.49</v>
      </c>
      <c r="GO19">
        <v>4.82</v>
      </c>
      <c r="GR19">
        <v>5.0599999999999898</v>
      </c>
      <c r="GU19">
        <v>5.48</v>
      </c>
      <c r="HA19">
        <v>4.87</v>
      </c>
      <c r="HE19">
        <v>14.81</v>
      </c>
      <c r="HK19">
        <v>5.93</v>
      </c>
      <c r="HM19">
        <v>4.63</v>
      </c>
      <c r="HQ19">
        <v>12.19</v>
      </c>
      <c r="HV19">
        <v>5.59</v>
      </c>
      <c r="HY19">
        <v>5.18</v>
      </c>
      <c r="IC19">
        <v>11.64</v>
      </c>
      <c r="IE19">
        <v>4.3899999999999899</v>
      </c>
      <c r="IH19">
        <v>6.2</v>
      </c>
      <c r="IK19">
        <v>5.43</v>
      </c>
      <c r="IM19">
        <v>4.05</v>
      </c>
      <c r="IN19">
        <v>5.2</v>
      </c>
      <c r="IT19">
        <v>6.51</v>
      </c>
      <c r="IW19">
        <v>6.72</v>
      </c>
      <c r="IZ19">
        <v>10.02</v>
      </c>
      <c r="JC19">
        <v>6.17</v>
      </c>
      <c r="JE19">
        <v>4.97</v>
      </c>
      <c r="JF19">
        <v>4.92</v>
      </c>
      <c r="JI19">
        <v>6.63</v>
      </c>
      <c r="JK19">
        <v>5.46</v>
      </c>
      <c r="JM19">
        <v>5.59</v>
      </c>
      <c r="JO19">
        <v>5.09</v>
      </c>
      <c r="JQ19">
        <v>4.6900000000000004</v>
      </c>
      <c r="JS19">
        <v>12.08</v>
      </c>
      <c r="JW19">
        <v>5.9</v>
      </c>
      <c r="JX19">
        <v>5.28</v>
      </c>
      <c r="JY19">
        <v>2.93</v>
      </c>
      <c r="KC19">
        <v>4.8499999999999899</v>
      </c>
      <c r="KF19">
        <v>13.15</v>
      </c>
      <c r="KI19">
        <v>4.8899999999999899</v>
      </c>
      <c r="KJ19">
        <v>6.71</v>
      </c>
      <c r="KM19">
        <v>5.93</v>
      </c>
      <c r="KO19">
        <v>5.89</v>
      </c>
      <c r="KT19">
        <v>6.8</v>
      </c>
      <c r="KV19">
        <v>8.14</v>
      </c>
      <c r="KX19">
        <v>6.19</v>
      </c>
      <c r="LE19">
        <v>6.27</v>
      </c>
    </row>
    <row r="20" spans="1:319" x14ac:dyDescent="0.2">
      <c r="A20" s="37" t="s">
        <v>339</v>
      </c>
      <c r="B20">
        <v>268.83000000000004</v>
      </c>
      <c r="C20">
        <v>5.1698076923076934</v>
      </c>
      <c r="D20" s="37" t="s">
        <v>320</v>
      </c>
      <c r="E20" s="37" t="s">
        <v>336</v>
      </c>
      <c r="K20">
        <v>5.16</v>
      </c>
      <c r="V20">
        <v>4.76</v>
      </c>
      <c r="AC20">
        <v>5.04</v>
      </c>
      <c r="AH20">
        <v>6.88</v>
      </c>
      <c r="AN20">
        <v>6.27</v>
      </c>
      <c r="AT20">
        <v>4.1399999999999997</v>
      </c>
      <c r="AZ20">
        <v>5.77</v>
      </c>
      <c r="BF20">
        <v>4.53</v>
      </c>
      <c r="BM20">
        <v>5.47</v>
      </c>
      <c r="BX20">
        <v>5</v>
      </c>
      <c r="CB20">
        <v>4.54</v>
      </c>
      <c r="CG20">
        <v>6.27</v>
      </c>
      <c r="CN20">
        <v>5.49</v>
      </c>
      <c r="CT20">
        <v>8.67</v>
      </c>
      <c r="CU20">
        <v>5.98</v>
      </c>
      <c r="CZ20">
        <v>5.57</v>
      </c>
      <c r="DE20">
        <v>8.4600000000000009</v>
      </c>
      <c r="DG20">
        <v>7.56</v>
      </c>
      <c r="DP20">
        <v>3.94</v>
      </c>
      <c r="EC20">
        <v>5.87</v>
      </c>
      <c r="EI20">
        <v>6.14</v>
      </c>
      <c r="EN20">
        <v>4.68</v>
      </c>
      <c r="EU20">
        <v>5.2</v>
      </c>
      <c r="EX20">
        <v>7.3</v>
      </c>
      <c r="FA20">
        <v>1.68</v>
      </c>
      <c r="FG20">
        <v>7.99</v>
      </c>
      <c r="FR20">
        <v>4.2300000000000004</v>
      </c>
      <c r="FX20">
        <v>4.26</v>
      </c>
      <c r="GD20">
        <v>4.21</v>
      </c>
      <c r="GJ20">
        <v>3</v>
      </c>
      <c r="GP20">
        <v>5.58</v>
      </c>
      <c r="GW20">
        <v>4.88</v>
      </c>
      <c r="HB20">
        <v>4.57</v>
      </c>
      <c r="HN20">
        <v>4.58</v>
      </c>
      <c r="HT20">
        <v>7.09</v>
      </c>
      <c r="HZ20">
        <v>4.2300000000000004</v>
      </c>
      <c r="IF20">
        <v>5.03</v>
      </c>
      <c r="IL20">
        <v>5.77</v>
      </c>
      <c r="IS20">
        <v>7.09</v>
      </c>
      <c r="IX20">
        <v>4.3899999999999899</v>
      </c>
      <c r="JD20">
        <v>4.84</v>
      </c>
      <c r="JJ20">
        <v>4.88</v>
      </c>
      <c r="JP20">
        <v>5.88</v>
      </c>
      <c r="JV20">
        <v>4.4400000000000004</v>
      </c>
      <c r="KB20">
        <v>5.0999999999999899</v>
      </c>
      <c r="KH20">
        <v>4.7699999999999898</v>
      </c>
      <c r="KN20">
        <v>4.99</v>
      </c>
      <c r="KT20">
        <v>5.57</v>
      </c>
      <c r="KZ20">
        <v>5.24</v>
      </c>
      <c r="LF20">
        <v>5.85</v>
      </c>
    </row>
    <row r="21" spans="1:319" x14ac:dyDescent="0.2">
      <c r="A21" s="37" t="s">
        <v>340</v>
      </c>
      <c r="B21">
        <v>29.85</v>
      </c>
      <c r="C21">
        <v>0.57403846153846161</v>
      </c>
      <c r="D21" s="37" t="s">
        <v>320</v>
      </c>
      <c r="E21" s="37" t="s">
        <v>336</v>
      </c>
      <c r="DE21">
        <v>15.94</v>
      </c>
      <c r="DG21">
        <v>8.65</v>
      </c>
      <c r="DJ21">
        <v>5.26</v>
      </c>
    </row>
    <row r="22" spans="1:319" x14ac:dyDescent="0.2">
      <c r="A22" s="37" t="s">
        <v>341</v>
      </c>
      <c r="B22">
        <v>1343.8399999999992</v>
      </c>
      <c r="C22">
        <v>25.843076923076907</v>
      </c>
      <c r="D22" s="37" t="s">
        <v>320</v>
      </c>
      <c r="E22" s="37" t="s">
        <v>342</v>
      </c>
      <c r="F22">
        <v>6.84</v>
      </c>
      <c r="G22">
        <v>7.08</v>
      </c>
      <c r="H22">
        <v>4.58</v>
      </c>
      <c r="J22">
        <v>6.38</v>
      </c>
      <c r="K22">
        <v>9.48</v>
      </c>
      <c r="M22">
        <v>6.54</v>
      </c>
      <c r="O22">
        <v>8.1</v>
      </c>
      <c r="P22">
        <v>7.2</v>
      </c>
      <c r="S22">
        <v>5.36</v>
      </c>
      <c r="V22">
        <v>15.39</v>
      </c>
      <c r="Z22">
        <v>21.84</v>
      </c>
      <c r="AB22">
        <v>7.67</v>
      </c>
      <c r="AG22">
        <v>15.68</v>
      </c>
      <c r="AI22">
        <v>7.59</v>
      </c>
      <c r="AL22">
        <v>14.81</v>
      </c>
      <c r="AO22">
        <v>9.1999999999999993</v>
      </c>
      <c r="AQ22">
        <v>8.93</v>
      </c>
      <c r="AS22">
        <v>7.28</v>
      </c>
      <c r="AT22">
        <v>8.77</v>
      </c>
      <c r="AW22">
        <v>6.27</v>
      </c>
      <c r="AZ22">
        <v>14.5</v>
      </c>
      <c r="BE22">
        <v>5.8</v>
      </c>
      <c r="BF22">
        <v>9.2200000000000006</v>
      </c>
      <c r="BI22">
        <v>19.29</v>
      </c>
      <c r="BJ22">
        <v>10.050000000000001</v>
      </c>
      <c r="BL22">
        <v>7.49</v>
      </c>
      <c r="BM22">
        <v>9.59</v>
      </c>
      <c r="BO22">
        <v>16.91</v>
      </c>
      <c r="BR22">
        <v>9.58</v>
      </c>
      <c r="BU22">
        <v>17.55</v>
      </c>
      <c r="BW22">
        <v>9.35</v>
      </c>
      <c r="CB22">
        <v>26.58</v>
      </c>
      <c r="CG22">
        <v>14.97</v>
      </c>
      <c r="CI22">
        <v>8.17</v>
      </c>
      <c r="CJ22">
        <v>9.8000000000000007</v>
      </c>
      <c r="CK22">
        <v>7.95</v>
      </c>
      <c r="CN22">
        <v>17.190000000000001</v>
      </c>
      <c r="CO22">
        <v>8.82</v>
      </c>
      <c r="CQ22">
        <v>7.58</v>
      </c>
      <c r="CR22">
        <v>7.83</v>
      </c>
      <c r="CU22">
        <v>15.74</v>
      </c>
      <c r="CW22">
        <v>8.4</v>
      </c>
      <c r="CX22">
        <v>7.02</v>
      </c>
      <c r="CZ22">
        <v>10.08</v>
      </c>
      <c r="DA22">
        <v>16.32</v>
      </c>
      <c r="DG22">
        <v>14.07</v>
      </c>
      <c r="DJ22">
        <v>7.82</v>
      </c>
      <c r="DM22">
        <v>13.61</v>
      </c>
      <c r="DO22">
        <v>8.41</v>
      </c>
      <c r="DP22">
        <v>7.25</v>
      </c>
      <c r="DQ22">
        <v>8.26</v>
      </c>
      <c r="DS22">
        <v>5.6</v>
      </c>
      <c r="DU22">
        <v>15.9</v>
      </c>
      <c r="DW22">
        <v>7.34</v>
      </c>
      <c r="DY22">
        <v>7.27</v>
      </c>
      <c r="EA22">
        <v>9.23</v>
      </c>
      <c r="EC22">
        <v>5.7</v>
      </c>
      <c r="EE22">
        <v>7.96</v>
      </c>
      <c r="EG22">
        <v>5.52</v>
      </c>
      <c r="EI22">
        <v>11.43</v>
      </c>
      <c r="EL22">
        <v>7.44</v>
      </c>
      <c r="EO22">
        <v>16</v>
      </c>
      <c r="EQ22">
        <v>5.21</v>
      </c>
      <c r="ER22">
        <v>6.44</v>
      </c>
      <c r="ET22">
        <v>13.07</v>
      </c>
      <c r="EU22">
        <v>6.51</v>
      </c>
      <c r="EW22">
        <v>5.9</v>
      </c>
      <c r="EX22">
        <v>8.74</v>
      </c>
      <c r="EY22">
        <v>4.55</v>
      </c>
      <c r="FA22">
        <v>8.36</v>
      </c>
      <c r="FC22">
        <v>8.5500000000000007</v>
      </c>
      <c r="FE22">
        <v>7.98</v>
      </c>
      <c r="FF22">
        <v>6.29</v>
      </c>
      <c r="FI22">
        <v>4.42</v>
      </c>
      <c r="FK22">
        <v>14.61</v>
      </c>
      <c r="FO22">
        <v>13.06</v>
      </c>
      <c r="FR22">
        <v>9.2200000000000006</v>
      </c>
      <c r="FS22">
        <v>4.1100000000000003</v>
      </c>
      <c r="FV22">
        <v>8.5500000000000007</v>
      </c>
      <c r="FX22">
        <v>4.47</v>
      </c>
      <c r="FY22">
        <v>6.69</v>
      </c>
      <c r="FZ22">
        <v>3.95</v>
      </c>
      <c r="GA22">
        <v>9.01</v>
      </c>
      <c r="GB22">
        <v>7.27</v>
      </c>
      <c r="GG22">
        <v>16.22</v>
      </c>
      <c r="GM22">
        <v>8.94</v>
      </c>
      <c r="GO22">
        <v>4.28</v>
      </c>
      <c r="GS22">
        <v>18.46</v>
      </c>
      <c r="GU22">
        <v>5.89</v>
      </c>
      <c r="GV22">
        <v>9.42</v>
      </c>
      <c r="GY22">
        <v>9.92</v>
      </c>
      <c r="HB22">
        <v>7.4</v>
      </c>
      <c r="HF22">
        <v>17.059999999999899</v>
      </c>
      <c r="HH22">
        <v>7.97</v>
      </c>
      <c r="HI22">
        <v>7.4</v>
      </c>
      <c r="HK22">
        <v>6.72</v>
      </c>
      <c r="HL22">
        <v>3.97</v>
      </c>
      <c r="HM22">
        <v>6.94</v>
      </c>
      <c r="HQ22">
        <v>21.46</v>
      </c>
      <c r="HT22">
        <v>7.48</v>
      </c>
      <c r="HU22">
        <v>10.7</v>
      </c>
      <c r="HV22">
        <v>4.28</v>
      </c>
      <c r="HX22">
        <v>14.94</v>
      </c>
      <c r="HY22">
        <v>5</v>
      </c>
      <c r="IC22">
        <v>10.01</v>
      </c>
      <c r="IG22">
        <v>12.74</v>
      </c>
      <c r="II22">
        <v>5.68</v>
      </c>
      <c r="IJ22">
        <v>7.33</v>
      </c>
      <c r="IL22">
        <v>2.84</v>
      </c>
      <c r="IM22">
        <v>5.37</v>
      </c>
      <c r="IO22">
        <v>9.24</v>
      </c>
      <c r="IQ22">
        <v>7.1</v>
      </c>
      <c r="IS22">
        <v>15.54</v>
      </c>
      <c r="IX22">
        <v>12.37</v>
      </c>
      <c r="JA22">
        <v>6.43</v>
      </c>
      <c r="JB22">
        <v>7.86</v>
      </c>
      <c r="JC22">
        <v>5.43</v>
      </c>
      <c r="JE22">
        <v>13.37</v>
      </c>
      <c r="JK22">
        <v>17.03</v>
      </c>
      <c r="JN22">
        <v>14.86</v>
      </c>
      <c r="JP22">
        <v>5.65</v>
      </c>
      <c r="JS22">
        <v>11.03</v>
      </c>
      <c r="JU22">
        <v>6.68</v>
      </c>
      <c r="JW22">
        <v>4.3</v>
      </c>
      <c r="JY22">
        <v>19.559999999999899</v>
      </c>
      <c r="KC22">
        <v>8.02</v>
      </c>
      <c r="KE22">
        <v>20.37</v>
      </c>
      <c r="KF22">
        <v>7.5</v>
      </c>
      <c r="KI22">
        <v>7.98</v>
      </c>
      <c r="KJ22">
        <v>3.7</v>
      </c>
      <c r="KK22">
        <v>4.8</v>
      </c>
      <c r="KL22">
        <v>8.34</v>
      </c>
      <c r="KO22">
        <v>9.01</v>
      </c>
      <c r="KQ22">
        <v>10.050000000000001</v>
      </c>
      <c r="KU22">
        <v>9.52</v>
      </c>
      <c r="KZ22">
        <v>27.87</v>
      </c>
      <c r="LC22">
        <v>9.94</v>
      </c>
      <c r="LD22">
        <v>8.5500000000000007</v>
      </c>
      <c r="LG22">
        <v>6.78</v>
      </c>
    </row>
    <row r="23" spans="1:319" x14ac:dyDescent="0.2">
      <c r="A23" s="37" t="s">
        <v>343</v>
      </c>
      <c r="B23">
        <v>34.33</v>
      </c>
      <c r="C23">
        <v>0.66019230769230763</v>
      </c>
      <c r="D23" s="37" t="s">
        <v>320</v>
      </c>
      <c r="E23" s="37" t="s">
        <v>342</v>
      </c>
      <c r="P23">
        <v>7.73</v>
      </c>
      <c r="BY23">
        <v>10.36</v>
      </c>
      <c r="DG23">
        <v>8.42</v>
      </c>
      <c r="DJ23">
        <v>7.82</v>
      </c>
    </row>
    <row r="24" spans="1:319" x14ac:dyDescent="0.2">
      <c r="A24" s="37" t="s">
        <v>344</v>
      </c>
      <c r="B24">
        <v>1056.6029999999992</v>
      </c>
      <c r="C24">
        <v>20.319288461538445</v>
      </c>
      <c r="D24" s="37" t="s">
        <v>320</v>
      </c>
      <c r="E24" s="37" t="s">
        <v>342</v>
      </c>
      <c r="H24">
        <v>15.98</v>
      </c>
      <c r="I24">
        <v>3.93</v>
      </c>
      <c r="M24">
        <v>6.93</v>
      </c>
      <c r="O24">
        <v>8.9700000000000006</v>
      </c>
      <c r="Q24">
        <v>7.2229999999999999</v>
      </c>
      <c r="S24">
        <v>5.61</v>
      </c>
      <c r="T24">
        <v>4.58</v>
      </c>
      <c r="V24">
        <v>7.43</v>
      </c>
      <c r="Y24">
        <v>5.21</v>
      </c>
      <c r="Z24">
        <v>4.25</v>
      </c>
      <c r="AB24">
        <v>7.26</v>
      </c>
      <c r="AD24">
        <v>6.5</v>
      </c>
      <c r="AG24">
        <v>9.3000000000000007</v>
      </c>
      <c r="AJ24">
        <v>5.8</v>
      </c>
      <c r="AK24">
        <v>7.03</v>
      </c>
      <c r="AN24">
        <v>7.27</v>
      </c>
      <c r="AQ24">
        <v>6.55</v>
      </c>
      <c r="AT24">
        <v>7.67</v>
      </c>
      <c r="AW24">
        <v>14.34</v>
      </c>
      <c r="AZ24">
        <v>3.92</v>
      </c>
      <c r="BA24">
        <v>6.52</v>
      </c>
      <c r="BE24">
        <v>9.1199999999999992</v>
      </c>
      <c r="BG24">
        <v>8.1999999999999993</v>
      </c>
      <c r="BJ24">
        <v>7.1</v>
      </c>
      <c r="BK24">
        <v>5.98</v>
      </c>
      <c r="BL24">
        <v>9.68</v>
      </c>
      <c r="BQ24">
        <v>8.52</v>
      </c>
      <c r="BS24">
        <v>8.52</v>
      </c>
      <c r="BV24">
        <v>7.9</v>
      </c>
      <c r="BX24">
        <v>9.76</v>
      </c>
      <c r="BY24">
        <v>4.47</v>
      </c>
      <c r="CB24">
        <v>8.84</v>
      </c>
      <c r="CD24">
        <v>7.57</v>
      </c>
      <c r="CI24">
        <v>8.5500000000000007</v>
      </c>
      <c r="CK24">
        <v>4.92</v>
      </c>
      <c r="CL24">
        <v>3.59</v>
      </c>
      <c r="CN24">
        <v>8.23</v>
      </c>
      <c r="CQ24">
        <v>7.63</v>
      </c>
      <c r="CU24">
        <v>8.07</v>
      </c>
      <c r="CV24">
        <v>8.74</v>
      </c>
      <c r="CX24">
        <v>7.56</v>
      </c>
      <c r="CZ24">
        <v>9.0399999999999991</v>
      </c>
      <c r="DB24">
        <v>5.92</v>
      </c>
      <c r="DE24">
        <v>7.1</v>
      </c>
      <c r="DG24">
        <v>7.67</v>
      </c>
      <c r="DJ24">
        <v>10.039999999999999</v>
      </c>
      <c r="DL24">
        <v>4.21</v>
      </c>
      <c r="DM24">
        <v>5.14</v>
      </c>
      <c r="DO24">
        <v>3.69</v>
      </c>
      <c r="DP24">
        <v>7.75</v>
      </c>
      <c r="DQ24">
        <v>4.87</v>
      </c>
      <c r="DS24">
        <v>2.88</v>
      </c>
      <c r="DU24">
        <v>5.58</v>
      </c>
      <c r="DV24">
        <v>5.32</v>
      </c>
      <c r="DW24">
        <v>4.29</v>
      </c>
      <c r="DY24">
        <v>10.84</v>
      </c>
      <c r="EA24">
        <v>4.9000000000000004</v>
      </c>
      <c r="EE24">
        <v>12.15</v>
      </c>
      <c r="EF24">
        <v>4.62</v>
      </c>
      <c r="EI24">
        <v>5.88</v>
      </c>
      <c r="EJ24">
        <v>7.9</v>
      </c>
      <c r="EK24">
        <v>3.35</v>
      </c>
      <c r="EN24">
        <v>5.22</v>
      </c>
      <c r="EP24">
        <v>5.64</v>
      </c>
      <c r="EQ24">
        <v>4.6900000000000004</v>
      </c>
      <c r="ER24">
        <v>6.32</v>
      </c>
      <c r="ES24">
        <v>7.06</v>
      </c>
      <c r="EW24">
        <v>6</v>
      </c>
      <c r="EY24">
        <v>7.4</v>
      </c>
      <c r="EZ24">
        <v>4.09</v>
      </c>
      <c r="FB24">
        <v>5.69</v>
      </c>
      <c r="FE24">
        <v>13.34</v>
      </c>
      <c r="FG24">
        <v>4.99</v>
      </c>
      <c r="FK24">
        <v>14.47</v>
      </c>
      <c r="FO24">
        <v>10.81</v>
      </c>
      <c r="FP24">
        <v>5.25</v>
      </c>
      <c r="FT24">
        <v>10.220000000000001</v>
      </c>
      <c r="FU24">
        <v>6.77</v>
      </c>
      <c r="FW24">
        <v>7.29</v>
      </c>
      <c r="GA24">
        <v>13</v>
      </c>
      <c r="GE24">
        <v>11.02</v>
      </c>
      <c r="GG24">
        <v>12.01</v>
      </c>
      <c r="GI24">
        <v>7.54</v>
      </c>
      <c r="GJ24">
        <v>5.18</v>
      </c>
      <c r="GM24">
        <v>7.15</v>
      </c>
      <c r="GN24">
        <v>7.71</v>
      </c>
      <c r="GQ24">
        <v>6.4</v>
      </c>
      <c r="GS24">
        <v>5.55</v>
      </c>
      <c r="GU24">
        <v>6.13</v>
      </c>
      <c r="GV24">
        <v>7.66</v>
      </c>
      <c r="GY24">
        <v>14.66</v>
      </c>
      <c r="HA24">
        <v>5.0199999999999898</v>
      </c>
      <c r="HB24">
        <v>7.73</v>
      </c>
      <c r="HH24">
        <v>6.41</v>
      </c>
      <c r="HI24">
        <v>6.41</v>
      </c>
      <c r="HJ24">
        <v>7.09</v>
      </c>
      <c r="HK24">
        <v>4.8099999999999898</v>
      </c>
      <c r="HM24">
        <v>6.07</v>
      </c>
      <c r="HO24">
        <v>5.62</v>
      </c>
      <c r="HQ24">
        <v>9.8000000000000007</v>
      </c>
      <c r="HT24">
        <v>7.99</v>
      </c>
      <c r="HW24">
        <v>6.93</v>
      </c>
      <c r="HX24">
        <v>6.33</v>
      </c>
      <c r="HY24">
        <v>4.95</v>
      </c>
      <c r="IA24">
        <v>7.93</v>
      </c>
      <c r="IB24">
        <v>7.56</v>
      </c>
      <c r="IC24">
        <v>7.84</v>
      </c>
      <c r="IF24">
        <v>6.31</v>
      </c>
      <c r="IJ24">
        <v>7.14</v>
      </c>
      <c r="IK24">
        <v>13.43</v>
      </c>
      <c r="IO24">
        <v>8.6199999999999903</v>
      </c>
      <c r="IP24">
        <v>6.96</v>
      </c>
      <c r="IS24">
        <v>9.67</v>
      </c>
      <c r="IU24">
        <v>8.8000000000000007</v>
      </c>
      <c r="IX24">
        <v>7.54</v>
      </c>
      <c r="IZ24">
        <v>5.05</v>
      </c>
      <c r="JA24">
        <v>6.72</v>
      </c>
      <c r="JB24">
        <v>4.21</v>
      </c>
      <c r="JE24">
        <v>5.56</v>
      </c>
      <c r="JG24">
        <v>8.69</v>
      </c>
      <c r="JJ24">
        <v>8.7799999999999905</v>
      </c>
      <c r="JM24">
        <v>6.88</v>
      </c>
      <c r="JO24">
        <v>7.76</v>
      </c>
      <c r="JP24">
        <v>5.97</v>
      </c>
      <c r="JS24">
        <v>6.92</v>
      </c>
      <c r="JT24">
        <v>9.6300000000000008</v>
      </c>
      <c r="JY24">
        <v>7.02</v>
      </c>
      <c r="JZ24">
        <v>9.77</v>
      </c>
      <c r="KC24">
        <v>12.67</v>
      </c>
      <c r="KD24">
        <v>6</v>
      </c>
      <c r="KH24">
        <v>9.5399999999999903</v>
      </c>
      <c r="KI24">
        <v>6.85</v>
      </c>
      <c r="KK24">
        <v>7.78</v>
      </c>
      <c r="KL24">
        <v>7.64</v>
      </c>
      <c r="KN24">
        <v>8.02</v>
      </c>
      <c r="KO24">
        <v>4.72</v>
      </c>
      <c r="KQ24">
        <v>12.38</v>
      </c>
      <c r="KT24">
        <v>8.1</v>
      </c>
      <c r="KW24">
        <v>9.17</v>
      </c>
      <c r="KZ24">
        <v>7.78</v>
      </c>
      <c r="LD24">
        <v>6.24</v>
      </c>
      <c r="LE24">
        <v>7.73</v>
      </c>
      <c r="LG24">
        <v>4.4400000000000004</v>
      </c>
    </row>
    <row r="25" spans="1:319" x14ac:dyDescent="0.2">
      <c r="A25" s="37" t="s">
        <v>345</v>
      </c>
      <c r="B25">
        <v>10.64</v>
      </c>
      <c r="C25">
        <v>0.20461538461538462</v>
      </c>
      <c r="D25" s="37" t="s">
        <v>320</v>
      </c>
      <c r="E25" s="37" t="s">
        <v>342</v>
      </c>
      <c r="DJ25">
        <v>6.44</v>
      </c>
      <c r="IR25">
        <v>4.2</v>
      </c>
    </row>
    <row r="26" spans="1:319" x14ac:dyDescent="0.2">
      <c r="A26" s="37" t="s">
        <v>346</v>
      </c>
      <c r="B26">
        <v>916.26999999999964</v>
      </c>
      <c r="C26">
        <v>17.620576923076918</v>
      </c>
      <c r="D26" s="37" t="s">
        <v>320</v>
      </c>
      <c r="E26" s="37" t="s">
        <v>347</v>
      </c>
      <c r="H26">
        <v>6.61</v>
      </c>
      <c r="J26">
        <v>10.08</v>
      </c>
      <c r="M26">
        <v>9.57</v>
      </c>
      <c r="P26">
        <v>8.84</v>
      </c>
      <c r="S26">
        <v>9.66</v>
      </c>
      <c r="V26">
        <v>9.32</v>
      </c>
      <c r="Z26">
        <v>9.9600000000000009</v>
      </c>
      <c r="AB26">
        <v>10.06</v>
      </c>
      <c r="AE26">
        <v>9.77</v>
      </c>
      <c r="AH26">
        <v>9.23</v>
      </c>
      <c r="AK26">
        <v>9.74</v>
      </c>
      <c r="AN26">
        <v>7.5</v>
      </c>
      <c r="AQ26">
        <v>9.34</v>
      </c>
      <c r="AT26">
        <v>7.21</v>
      </c>
      <c r="AW26">
        <v>9.89</v>
      </c>
      <c r="AZ26">
        <v>6.8</v>
      </c>
      <c r="BC26">
        <v>9.94</v>
      </c>
      <c r="BF26">
        <v>7.38</v>
      </c>
      <c r="BI26">
        <v>9.69</v>
      </c>
      <c r="BL26">
        <v>8.56</v>
      </c>
      <c r="BO26">
        <v>10.27</v>
      </c>
      <c r="BR26">
        <v>8.9</v>
      </c>
      <c r="BU26">
        <v>10.050000000000001</v>
      </c>
      <c r="CB26">
        <v>9.0399999999999991</v>
      </c>
      <c r="CE26">
        <v>9.1</v>
      </c>
      <c r="CH26">
        <v>9.31</v>
      </c>
      <c r="CK26">
        <v>10.210000000000001</v>
      </c>
      <c r="CN26">
        <v>9.34</v>
      </c>
      <c r="CQ26">
        <v>8.7100000000000009</v>
      </c>
      <c r="CT26">
        <v>9.74</v>
      </c>
      <c r="CW26">
        <v>9.1300000000000008</v>
      </c>
      <c r="CZ26">
        <v>8.7100000000000009</v>
      </c>
      <c r="DC26">
        <v>10.49</v>
      </c>
      <c r="DM26">
        <v>10.08</v>
      </c>
      <c r="DP26">
        <v>9.83</v>
      </c>
      <c r="DS26">
        <v>9.07</v>
      </c>
      <c r="DV26">
        <v>8.58</v>
      </c>
      <c r="EB26">
        <v>8.31</v>
      </c>
      <c r="EE26">
        <v>9.36</v>
      </c>
      <c r="EH26">
        <v>8.9499999999999904</v>
      </c>
      <c r="EK26">
        <v>9.39</v>
      </c>
      <c r="EN26">
        <v>8.9499999999999904</v>
      </c>
      <c r="EQ26">
        <v>9.84</v>
      </c>
      <c r="ET26">
        <v>9.67</v>
      </c>
      <c r="EW26">
        <v>9.0399999999999903</v>
      </c>
      <c r="EZ26">
        <v>9.32</v>
      </c>
      <c r="FC26">
        <v>8.9499999999999904</v>
      </c>
      <c r="FF26">
        <v>10.57</v>
      </c>
      <c r="FI26">
        <v>8.68</v>
      </c>
      <c r="FL26">
        <v>10.4</v>
      </c>
      <c r="FO26">
        <v>9.76</v>
      </c>
      <c r="FR26">
        <v>9.6999999999999904</v>
      </c>
      <c r="FU26">
        <v>9.5299999999999905</v>
      </c>
      <c r="FX26">
        <v>8.09</v>
      </c>
      <c r="GA26">
        <v>9.8000000000000007</v>
      </c>
      <c r="GE26">
        <v>9.8000000000000007</v>
      </c>
      <c r="GG26">
        <v>9.98</v>
      </c>
      <c r="GJ26">
        <v>8.2899999999999903</v>
      </c>
      <c r="GM26">
        <v>9.99</v>
      </c>
      <c r="GP26">
        <v>8.3000000000000007</v>
      </c>
      <c r="GT26">
        <v>9.58</v>
      </c>
      <c r="GV26">
        <v>9.74</v>
      </c>
      <c r="HB26">
        <v>8.15</v>
      </c>
      <c r="HE26">
        <v>10.050000000000001</v>
      </c>
      <c r="HH26">
        <v>6.98</v>
      </c>
      <c r="HK26">
        <v>9.82</v>
      </c>
      <c r="HN26">
        <v>7.26</v>
      </c>
      <c r="HQ26">
        <v>9.8800000000000008</v>
      </c>
      <c r="HT26">
        <v>10.28</v>
      </c>
      <c r="HW26">
        <v>9.94</v>
      </c>
      <c r="HZ26">
        <v>8.85</v>
      </c>
      <c r="IC26">
        <v>11.04</v>
      </c>
      <c r="IF26">
        <v>9</v>
      </c>
      <c r="II26">
        <v>10.43</v>
      </c>
      <c r="IL26">
        <v>8.7899999999999903</v>
      </c>
      <c r="IO26">
        <v>10.5</v>
      </c>
      <c r="IR26">
        <v>7.85</v>
      </c>
      <c r="IU26">
        <v>8.82</v>
      </c>
      <c r="IY26">
        <v>10.51</v>
      </c>
      <c r="JA26">
        <v>9.9499999999999904</v>
      </c>
      <c r="JD26">
        <v>8.3699999999999903</v>
      </c>
      <c r="JG26">
        <v>10.07</v>
      </c>
      <c r="JJ26">
        <v>9.01</v>
      </c>
      <c r="JM26">
        <v>9.92</v>
      </c>
      <c r="JP26">
        <v>8.4600000000000009</v>
      </c>
      <c r="JS26">
        <v>10.99</v>
      </c>
      <c r="JV26">
        <v>7.82</v>
      </c>
      <c r="JY26">
        <v>10.1199999999999</v>
      </c>
      <c r="KB26">
        <v>7.76</v>
      </c>
      <c r="KE26">
        <v>8.99</v>
      </c>
      <c r="KH26">
        <v>9.02</v>
      </c>
      <c r="KK26">
        <v>9.74</v>
      </c>
      <c r="KN26">
        <v>9.8000000000000007</v>
      </c>
      <c r="KQ26">
        <v>9.56</v>
      </c>
      <c r="KT26">
        <v>8.1999999999999904</v>
      </c>
      <c r="KW26">
        <v>10.0399999999999</v>
      </c>
      <c r="KZ26">
        <v>7.28</v>
      </c>
      <c r="LC26">
        <v>10.94</v>
      </c>
      <c r="LF26">
        <v>8.3800000000000008</v>
      </c>
    </row>
    <row r="27" spans="1:319" x14ac:dyDescent="0.2">
      <c r="A27" s="37" t="s">
        <v>348</v>
      </c>
      <c r="B27">
        <v>241.72000000000003</v>
      </c>
      <c r="C27">
        <v>4.6484615384615386</v>
      </c>
      <c r="D27" s="37" t="s">
        <v>320</v>
      </c>
      <c r="E27" s="37" t="s">
        <v>349</v>
      </c>
      <c r="AC27">
        <v>6.08</v>
      </c>
      <c r="AH27">
        <v>9.76</v>
      </c>
      <c r="AR27">
        <v>6.46</v>
      </c>
      <c r="AV27">
        <v>9.49</v>
      </c>
      <c r="BH27">
        <v>8.41</v>
      </c>
      <c r="BK27">
        <v>2.0699999999999998</v>
      </c>
      <c r="BS27">
        <v>8.1300000000000008</v>
      </c>
      <c r="BU27">
        <v>4.93</v>
      </c>
      <c r="BX27">
        <v>8.2100000000000009</v>
      </c>
      <c r="CT27">
        <v>8.3000000000000007</v>
      </c>
      <c r="DD27">
        <v>7.25</v>
      </c>
      <c r="EP27">
        <v>8.7100000000000009</v>
      </c>
      <c r="FB27">
        <v>7.22</v>
      </c>
      <c r="FG27">
        <v>5.34</v>
      </c>
      <c r="FM27">
        <v>6.36</v>
      </c>
      <c r="FS27">
        <v>5.16</v>
      </c>
      <c r="GE27">
        <v>6.79</v>
      </c>
      <c r="GJ27">
        <v>8.92</v>
      </c>
      <c r="GQ27">
        <v>7.48</v>
      </c>
      <c r="GW27">
        <v>7.61</v>
      </c>
      <c r="HB27">
        <v>8.17</v>
      </c>
      <c r="HO27">
        <v>4.2</v>
      </c>
      <c r="IA27">
        <v>7.75</v>
      </c>
      <c r="IG27">
        <v>5.63</v>
      </c>
      <c r="IM27">
        <v>6.75</v>
      </c>
      <c r="IS27">
        <v>6.18</v>
      </c>
      <c r="IY27">
        <v>4.3600000000000003</v>
      </c>
      <c r="JE27">
        <v>5.65</v>
      </c>
      <c r="JK27">
        <v>5.56</v>
      </c>
      <c r="JQ27">
        <v>5.5</v>
      </c>
      <c r="JW27">
        <v>6.58</v>
      </c>
      <c r="KC27">
        <v>6.99</v>
      </c>
      <c r="KI27">
        <v>4.55</v>
      </c>
      <c r="KO27">
        <v>5.45</v>
      </c>
      <c r="KV27">
        <v>7.6</v>
      </c>
      <c r="LG27">
        <v>8.1199999999999903</v>
      </c>
    </row>
    <row r="28" spans="1:319" x14ac:dyDescent="0.2">
      <c r="A28" s="37" t="s">
        <v>350</v>
      </c>
      <c r="B28">
        <v>1893.8299999999997</v>
      </c>
      <c r="C28">
        <v>36.419807692307685</v>
      </c>
      <c r="D28" s="37" t="s">
        <v>320</v>
      </c>
      <c r="E28" s="37" t="s">
        <v>349</v>
      </c>
      <c r="F28">
        <v>7.03</v>
      </c>
      <c r="G28">
        <v>5.63</v>
      </c>
      <c r="H28">
        <v>5.98</v>
      </c>
      <c r="J28">
        <v>17.36</v>
      </c>
      <c r="L28">
        <v>11.17</v>
      </c>
      <c r="N28">
        <v>12.71</v>
      </c>
      <c r="O28">
        <v>6.65</v>
      </c>
      <c r="P28">
        <v>10.77</v>
      </c>
      <c r="R28">
        <v>7.03</v>
      </c>
      <c r="S28">
        <v>6.78</v>
      </c>
      <c r="T28">
        <v>13.21</v>
      </c>
      <c r="V28">
        <v>9.94</v>
      </c>
      <c r="X28">
        <v>12.33</v>
      </c>
      <c r="Y28">
        <v>6.72</v>
      </c>
      <c r="Z28">
        <v>15.14</v>
      </c>
      <c r="AB28">
        <v>13.27</v>
      </c>
      <c r="AD28">
        <v>6.52</v>
      </c>
      <c r="AF28">
        <v>12.55</v>
      </c>
      <c r="AG28">
        <v>7.79</v>
      </c>
      <c r="AJ28">
        <v>16.510000000000002</v>
      </c>
      <c r="AM28">
        <v>19.64</v>
      </c>
      <c r="AO28">
        <v>7.9</v>
      </c>
      <c r="AP28">
        <v>16.64</v>
      </c>
      <c r="AR28">
        <v>16.329999999999998</v>
      </c>
      <c r="AT28">
        <v>13.44</v>
      </c>
      <c r="AV28">
        <v>11.05</v>
      </c>
      <c r="AX28">
        <v>10.47</v>
      </c>
      <c r="BA28">
        <v>8.7100000000000009</v>
      </c>
      <c r="BB28">
        <v>5.87</v>
      </c>
      <c r="BE28">
        <v>16.39</v>
      </c>
      <c r="BF28">
        <v>19.62</v>
      </c>
      <c r="BH28">
        <v>13.33</v>
      </c>
      <c r="BJ28">
        <v>8.4700000000000006</v>
      </c>
      <c r="BL28">
        <v>6.6</v>
      </c>
      <c r="BN28">
        <v>13.78</v>
      </c>
      <c r="BQ28">
        <v>17.62</v>
      </c>
      <c r="BR28">
        <v>6.76</v>
      </c>
      <c r="BT28">
        <v>8.1300000000000008</v>
      </c>
      <c r="BU28">
        <v>5.19</v>
      </c>
      <c r="BX28">
        <v>17.649999999999999</v>
      </c>
      <c r="CA28">
        <v>15.7</v>
      </c>
      <c r="CD28">
        <v>16.89</v>
      </c>
      <c r="CF28">
        <v>9.75</v>
      </c>
      <c r="CG28">
        <v>23.18</v>
      </c>
      <c r="CI28">
        <v>7.04</v>
      </c>
      <c r="CJ28">
        <v>9.4600000000000009</v>
      </c>
      <c r="CK28">
        <v>3.84</v>
      </c>
      <c r="CL28">
        <v>6.91</v>
      </c>
      <c r="CM28">
        <v>6.86</v>
      </c>
      <c r="CO28">
        <v>17.079999999999998</v>
      </c>
      <c r="CQ28">
        <v>7.98</v>
      </c>
      <c r="CR28">
        <v>14.31</v>
      </c>
      <c r="CU28">
        <v>16.27</v>
      </c>
      <c r="CW28">
        <v>14.37</v>
      </c>
      <c r="CY28">
        <v>10.89</v>
      </c>
      <c r="DB28">
        <v>17.96</v>
      </c>
      <c r="DL28">
        <v>5.67</v>
      </c>
      <c r="DM28">
        <v>7</v>
      </c>
      <c r="DN28">
        <v>20.64</v>
      </c>
      <c r="DP28">
        <v>10.63</v>
      </c>
      <c r="DR28">
        <v>11.52</v>
      </c>
      <c r="DT28">
        <v>10.14</v>
      </c>
      <c r="DV28">
        <v>13.53</v>
      </c>
      <c r="DX28">
        <v>13.6</v>
      </c>
      <c r="DZ28">
        <v>13.58</v>
      </c>
      <c r="EB28">
        <v>10.01</v>
      </c>
      <c r="ED28">
        <v>10.17</v>
      </c>
      <c r="EF28">
        <v>19.96</v>
      </c>
      <c r="EH28">
        <v>11.49</v>
      </c>
      <c r="EJ28">
        <v>13.07</v>
      </c>
      <c r="EL28">
        <v>4.6900000000000004</v>
      </c>
      <c r="EN28">
        <v>21.14</v>
      </c>
      <c r="EP28">
        <v>12.75</v>
      </c>
      <c r="ER28">
        <v>10.91</v>
      </c>
      <c r="ET28">
        <v>10.72</v>
      </c>
      <c r="EV28">
        <v>12.58</v>
      </c>
      <c r="EX28">
        <v>9.64</v>
      </c>
      <c r="EZ28">
        <v>11.92</v>
      </c>
      <c r="FB28">
        <v>11.56</v>
      </c>
      <c r="FC28">
        <v>7.23</v>
      </c>
      <c r="FD28">
        <v>14.27</v>
      </c>
      <c r="FF28">
        <v>11.99</v>
      </c>
      <c r="FH28">
        <v>7.73</v>
      </c>
      <c r="FJ28">
        <v>13.97</v>
      </c>
      <c r="FL28">
        <v>11.86</v>
      </c>
      <c r="FN28">
        <v>14.88</v>
      </c>
      <c r="FP28">
        <v>11.75</v>
      </c>
      <c r="FR28">
        <v>10.56</v>
      </c>
      <c r="FT28">
        <v>6.87</v>
      </c>
      <c r="FU28">
        <v>3.72</v>
      </c>
      <c r="FV28">
        <v>13.77</v>
      </c>
      <c r="FX28">
        <v>10.8</v>
      </c>
      <c r="FZ28">
        <v>14.44</v>
      </c>
      <c r="GB28">
        <v>13.66</v>
      </c>
      <c r="GD28">
        <v>10.99</v>
      </c>
      <c r="GF28">
        <v>12.73</v>
      </c>
      <c r="GH28">
        <v>11.05</v>
      </c>
      <c r="GJ28">
        <v>11.02</v>
      </c>
      <c r="GL28">
        <v>13.28</v>
      </c>
      <c r="GN28">
        <v>14.79</v>
      </c>
      <c r="GP28">
        <v>11.31</v>
      </c>
      <c r="GR28">
        <v>12.69</v>
      </c>
      <c r="GT28">
        <v>12.34</v>
      </c>
      <c r="GV28">
        <v>10.65</v>
      </c>
      <c r="GX28">
        <v>11.56</v>
      </c>
      <c r="GZ28">
        <v>13.79</v>
      </c>
      <c r="HB28">
        <v>12.26</v>
      </c>
      <c r="HD28">
        <v>13.27</v>
      </c>
      <c r="HF28">
        <v>14.79</v>
      </c>
      <c r="HH28">
        <v>13.24</v>
      </c>
      <c r="HJ28">
        <v>3.88</v>
      </c>
      <c r="HL28">
        <v>21.07</v>
      </c>
      <c r="HN28">
        <v>14.32</v>
      </c>
      <c r="HP28">
        <v>11.31</v>
      </c>
      <c r="HR28">
        <v>10.130000000000001</v>
      </c>
      <c r="HT28">
        <v>12.8</v>
      </c>
      <c r="HV28">
        <v>14.22</v>
      </c>
      <c r="HW28">
        <v>5.76</v>
      </c>
      <c r="HX28">
        <v>4.6399999999999899</v>
      </c>
      <c r="HZ28">
        <v>12.87</v>
      </c>
      <c r="IB28">
        <v>21.88</v>
      </c>
      <c r="ID28">
        <v>9.82</v>
      </c>
      <c r="IF28">
        <v>9.07</v>
      </c>
      <c r="IJ28">
        <v>14.34</v>
      </c>
      <c r="IL28">
        <v>10.06</v>
      </c>
      <c r="IO28">
        <v>15.28</v>
      </c>
      <c r="IQ28">
        <v>18.18</v>
      </c>
      <c r="IT28">
        <v>15.8</v>
      </c>
      <c r="IU28">
        <v>8.18</v>
      </c>
      <c r="IV28">
        <v>14.32</v>
      </c>
      <c r="IX28">
        <v>11.76</v>
      </c>
      <c r="IZ28">
        <v>12.45</v>
      </c>
      <c r="JC28">
        <v>16.09</v>
      </c>
      <c r="JF28">
        <v>13.87</v>
      </c>
      <c r="JH28">
        <v>13.26</v>
      </c>
      <c r="JK28">
        <v>5.76</v>
      </c>
      <c r="JL28">
        <v>11.92</v>
      </c>
      <c r="JM28">
        <v>9.02</v>
      </c>
      <c r="JN28">
        <v>3.9</v>
      </c>
      <c r="JP28">
        <v>11.46</v>
      </c>
      <c r="JR28">
        <v>11.09</v>
      </c>
      <c r="JT28">
        <v>12.92</v>
      </c>
      <c r="JV28">
        <v>8.98</v>
      </c>
      <c r="JW28">
        <v>6.9</v>
      </c>
      <c r="JX28">
        <v>6.09</v>
      </c>
      <c r="JZ28">
        <v>19.38</v>
      </c>
      <c r="KD28">
        <v>15.51</v>
      </c>
      <c r="KG28">
        <v>18.079999999999899</v>
      </c>
      <c r="KH28">
        <v>9.24</v>
      </c>
      <c r="KJ28">
        <v>7.49</v>
      </c>
      <c r="KL28">
        <v>11.89</v>
      </c>
      <c r="KN28">
        <v>15.16</v>
      </c>
      <c r="KP28">
        <v>8.23</v>
      </c>
      <c r="KR28">
        <v>8.39</v>
      </c>
      <c r="KS28">
        <v>4.5199999999999898</v>
      </c>
      <c r="KT28">
        <v>8.17</v>
      </c>
      <c r="KV28">
        <v>8.1999999999999904</v>
      </c>
      <c r="KW28">
        <v>8.36</v>
      </c>
      <c r="KX28">
        <v>10.75</v>
      </c>
      <c r="KZ28">
        <v>8.85</v>
      </c>
      <c r="LB28">
        <v>5.56</v>
      </c>
      <c r="LC28">
        <v>5.83</v>
      </c>
      <c r="LD28">
        <v>11.09</v>
      </c>
      <c r="LF28">
        <v>7.92</v>
      </c>
      <c r="LG28">
        <v>6.46</v>
      </c>
    </row>
    <row r="29" spans="1:319" x14ac:dyDescent="0.2">
      <c r="A29" s="37" t="s">
        <v>351</v>
      </c>
      <c r="B29">
        <v>1399.4100000000003</v>
      </c>
      <c r="C29">
        <v>26.911730769230775</v>
      </c>
      <c r="D29" s="37" t="s">
        <v>320</v>
      </c>
      <c r="E29" s="37" t="s">
        <v>349</v>
      </c>
      <c r="G29">
        <v>6.79</v>
      </c>
      <c r="J29">
        <v>8.9499999999999993</v>
      </c>
      <c r="K29">
        <v>8.64</v>
      </c>
      <c r="M29">
        <v>9.82</v>
      </c>
      <c r="P29">
        <v>7.57</v>
      </c>
      <c r="S29">
        <v>17.23</v>
      </c>
      <c r="V29">
        <v>10.28</v>
      </c>
      <c r="W29">
        <v>6.36</v>
      </c>
      <c r="Z29">
        <v>17</v>
      </c>
      <c r="AA29">
        <v>8.6999999999999993</v>
      </c>
      <c r="AC29">
        <v>7.39</v>
      </c>
      <c r="AD29">
        <v>7.54</v>
      </c>
      <c r="AF29">
        <v>11.5</v>
      </c>
      <c r="AH29">
        <v>14.79</v>
      </c>
      <c r="AJ29">
        <v>8.2200000000000006</v>
      </c>
      <c r="AL29">
        <v>10.76</v>
      </c>
      <c r="AO29">
        <v>12.81</v>
      </c>
      <c r="AQ29">
        <v>8.7100000000000009</v>
      </c>
      <c r="AS29">
        <v>10.41</v>
      </c>
      <c r="AU29">
        <v>7.5</v>
      </c>
      <c r="AV29">
        <v>12.16</v>
      </c>
      <c r="AW29">
        <v>5.9</v>
      </c>
      <c r="AY29">
        <v>12.29</v>
      </c>
      <c r="BB29">
        <v>6.56</v>
      </c>
      <c r="BD29">
        <v>8.4</v>
      </c>
      <c r="BE29">
        <v>7.64</v>
      </c>
      <c r="BH29">
        <v>7.83</v>
      </c>
      <c r="BJ29">
        <v>8.5399999999999991</v>
      </c>
      <c r="BK29">
        <v>4.55</v>
      </c>
      <c r="BL29">
        <v>8.4499999999999993</v>
      </c>
      <c r="BO29">
        <v>9.57</v>
      </c>
      <c r="BS29">
        <v>20.79</v>
      </c>
      <c r="BT29">
        <v>6.98</v>
      </c>
      <c r="BU29">
        <v>3.62</v>
      </c>
      <c r="BW29">
        <v>10.39</v>
      </c>
      <c r="BY29">
        <v>6.65</v>
      </c>
      <c r="CA29">
        <v>5.78</v>
      </c>
      <c r="CB29">
        <v>5.71</v>
      </c>
      <c r="CD29">
        <v>8.93</v>
      </c>
      <c r="CH29">
        <v>8.56</v>
      </c>
      <c r="CI29">
        <v>6.8</v>
      </c>
      <c r="CJ29">
        <v>7.09</v>
      </c>
      <c r="CK29">
        <v>5</v>
      </c>
      <c r="CN29">
        <v>18.95</v>
      </c>
      <c r="CR29">
        <v>9.91</v>
      </c>
      <c r="CS29">
        <v>8.17</v>
      </c>
      <c r="CU29">
        <v>8.41</v>
      </c>
      <c r="CV29">
        <v>6.55</v>
      </c>
      <c r="CW29">
        <v>5.96</v>
      </c>
      <c r="CX29">
        <v>5.97</v>
      </c>
      <c r="CZ29">
        <v>7.42</v>
      </c>
      <c r="DA29">
        <v>8.7200000000000006</v>
      </c>
      <c r="DB29">
        <v>9.4600000000000009</v>
      </c>
      <c r="DC29">
        <v>5.31</v>
      </c>
      <c r="DL29">
        <v>10.6</v>
      </c>
      <c r="DN29">
        <v>8.65</v>
      </c>
      <c r="DP29">
        <v>7.74</v>
      </c>
      <c r="DQ29">
        <v>3.25</v>
      </c>
      <c r="DR29">
        <v>5.87</v>
      </c>
      <c r="DT29">
        <v>8.1</v>
      </c>
      <c r="DV29">
        <v>6.67</v>
      </c>
      <c r="DY29">
        <v>5.56</v>
      </c>
      <c r="EA29">
        <v>9.0399999999999903</v>
      </c>
      <c r="EB29">
        <v>6.66</v>
      </c>
      <c r="EC29">
        <v>5.47</v>
      </c>
      <c r="ED29">
        <v>6.55</v>
      </c>
      <c r="EE29">
        <v>8.44</v>
      </c>
      <c r="EF29">
        <v>8.18</v>
      </c>
      <c r="EH29">
        <v>8.35</v>
      </c>
      <c r="EK29">
        <v>8.25</v>
      </c>
      <c r="EL29">
        <v>5.16</v>
      </c>
      <c r="EP29">
        <v>8.64</v>
      </c>
      <c r="EQ29">
        <v>10.46</v>
      </c>
      <c r="ER29">
        <v>6.21</v>
      </c>
      <c r="ET29">
        <v>10.75</v>
      </c>
      <c r="EV29">
        <v>8.3800000000000008</v>
      </c>
      <c r="EW29">
        <v>3.13</v>
      </c>
      <c r="EX29">
        <v>7.11</v>
      </c>
      <c r="EZ29">
        <v>7.59</v>
      </c>
      <c r="FB29">
        <v>8.7200000000000006</v>
      </c>
      <c r="FC29">
        <v>6.45</v>
      </c>
      <c r="FE29">
        <v>8.7799999999999905</v>
      </c>
      <c r="FF29">
        <v>5.39</v>
      </c>
      <c r="FG29">
        <v>8.6199999999999903</v>
      </c>
      <c r="FI29">
        <v>7.63</v>
      </c>
      <c r="FJ29">
        <v>8.1</v>
      </c>
      <c r="FL29">
        <v>9.06</v>
      </c>
      <c r="FN29">
        <v>13.44</v>
      </c>
      <c r="FR29">
        <v>15.05</v>
      </c>
      <c r="FU29">
        <v>5.25</v>
      </c>
      <c r="FV29">
        <v>4</v>
      </c>
      <c r="FX29">
        <v>10.87</v>
      </c>
      <c r="GA29">
        <v>14.98</v>
      </c>
      <c r="GC29">
        <v>6.57</v>
      </c>
      <c r="GD29">
        <v>7.47</v>
      </c>
      <c r="GE29">
        <v>3.8</v>
      </c>
      <c r="GF29">
        <v>8.2899999999999903</v>
      </c>
      <c r="GG29">
        <v>7.06</v>
      </c>
      <c r="GI29">
        <v>8.56</v>
      </c>
      <c r="GJ29">
        <v>3.62</v>
      </c>
      <c r="GM29">
        <v>15.16</v>
      </c>
      <c r="GP29">
        <v>11.37</v>
      </c>
      <c r="GS29">
        <v>8.75</v>
      </c>
      <c r="GT29">
        <v>7.37</v>
      </c>
      <c r="GU29">
        <v>7.69</v>
      </c>
      <c r="GW29">
        <v>6.93</v>
      </c>
      <c r="GY29">
        <v>15.34</v>
      </c>
      <c r="HB29">
        <v>12.04</v>
      </c>
      <c r="HD29">
        <v>5.07</v>
      </c>
      <c r="HE29">
        <v>12.9</v>
      </c>
      <c r="HG29">
        <v>6.78</v>
      </c>
      <c r="HJ29">
        <v>7.13</v>
      </c>
      <c r="HK29">
        <v>7.89</v>
      </c>
      <c r="HL29">
        <v>4.4000000000000004</v>
      </c>
      <c r="HN29">
        <v>7.66</v>
      </c>
      <c r="HP29">
        <v>6.27</v>
      </c>
      <c r="HR29">
        <v>9.31</v>
      </c>
      <c r="HT29">
        <v>8.67</v>
      </c>
      <c r="HU29">
        <v>4.8</v>
      </c>
      <c r="HW29">
        <v>9.9499999999999904</v>
      </c>
      <c r="HX29">
        <v>6.39</v>
      </c>
      <c r="HZ29">
        <v>5.29</v>
      </c>
      <c r="IC29">
        <v>9.39</v>
      </c>
      <c r="IF29">
        <v>10</v>
      </c>
      <c r="IG29">
        <v>9.52</v>
      </c>
      <c r="IH29">
        <v>9.94</v>
      </c>
      <c r="II29">
        <v>5.73</v>
      </c>
      <c r="IL29">
        <v>10.58</v>
      </c>
      <c r="IO29">
        <v>8.39</v>
      </c>
      <c r="IQ29">
        <v>10.53</v>
      </c>
      <c r="IR29">
        <v>5.83</v>
      </c>
      <c r="IS29">
        <v>5.05</v>
      </c>
      <c r="IT29">
        <v>7.45</v>
      </c>
      <c r="IV29">
        <v>10.44</v>
      </c>
      <c r="IW29">
        <v>4.37</v>
      </c>
      <c r="IX29">
        <v>4.43</v>
      </c>
      <c r="IY29">
        <v>4.8899999999999899</v>
      </c>
      <c r="JA29">
        <v>6.23</v>
      </c>
      <c r="JB29">
        <v>7.56</v>
      </c>
      <c r="JD29">
        <v>8.25</v>
      </c>
      <c r="JG29">
        <v>12.3</v>
      </c>
      <c r="JH29">
        <v>16.14</v>
      </c>
      <c r="JJ29">
        <v>5.75</v>
      </c>
      <c r="JL29">
        <v>8.68</v>
      </c>
      <c r="JM29">
        <v>6.38</v>
      </c>
      <c r="JQ29">
        <v>15.94</v>
      </c>
      <c r="JS29">
        <v>8.26</v>
      </c>
      <c r="JT29">
        <v>5.64</v>
      </c>
      <c r="JW29">
        <v>10.26</v>
      </c>
      <c r="JY29">
        <v>9.81</v>
      </c>
      <c r="KA29">
        <v>7.37</v>
      </c>
      <c r="KB29">
        <v>1.63</v>
      </c>
      <c r="KE29">
        <v>9.08</v>
      </c>
      <c r="KG29">
        <v>8.17</v>
      </c>
      <c r="KH29">
        <v>6.09</v>
      </c>
      <c r="KI29">
        <v>6.64</v>
      </c>
      <c r="KJ29">
        <v>4.24</v>
      </c>
      <c r="KL29">
        <v>8.08</v>
      </c>
      <c r="KN29">
        <v>10.06</v>
      </c>
      <c r="KP29">
        <v>6.5</v>
      </c>
      <c r="KR29">
        <v>8.19</v>
      </c>
      <c r="KU29">
        <v>9.8800000000000008</v>
      </c>
      <c r="KW29">
        <v>10.95</v>
      </c>
      <c r="KY29">
        <v>8.3800000000000008</v>
      </c>
      <c r="LB29">
        <v>9.98</v>
      </c>
      <c r="LD29">
        <v>8.77</v>
      </c>
      <c r="LG29">
        <v>9.99</v>
      </c>
    </row>
    <row r="30" spans="1:319" x14ac:dyDescent="0.2">
      <c r="A30" s="37" t="s">
        <v>352</v>
      </c>
      <c r="B30">
        <v>4.97</v>
      </c>
      <c r="C30">
        <v>9.5576923076923073E-2</v>
      </c>
      <c r="D30" s="37" t="s">
        <v>320</v>
      </c>
      <c r="E30" s="37" t="s">
        <v>349</v>
      </c>
      <c r="HH30">
        <v>4.97</v>
      </c>
    </row>
    <row r="31" spans="1:319" x14ac:dyDescent="0.2">
      <c r="A31" s="37" t="s">
        <v>353</v>
      </c>
      <c r="D31" s="37" t="s">
        <v>320</v>
      </c>
      <c r="E31" s="37" t="s">
        <v>349</v>
      </c>
    </row>
    <row r="32" spans="1:319" x14ac:dyDescent="0.2">
      <c r="A32" s="37" t="s">
        <v>354</v>
      </c>
      <c r="B32">
        <v>1030.9699999999998</v>
      </c>
      <c r="C32">
        <v>19.826346153846149</v>
      </c>
      <c r="D32" s="37" t="s">
        <v>320</v>
      </c>
      <c r="E32" s="37" t="s">
        <v>355</v>
      </c>
      <c r="F32">
        <v>8.17</v>
      </c>
      <c r="H32">
        <v>3.81</v>
      </c>
      <c r="J32">
        <v>6.67</v>
      </c>
      <c r="K32">
        <v>4.6900000000000004</v>
      </c>
      <c r="L32">
        <v>6.29</v>
      </c>
      <c r="N32">
        <v>4.43</v>
      </c>
      <c r="Q32">
        <v>7.44</v>
      </c>
      <c r="R32">
        <v>5.81</v>
      </c>
      <c r="T32">
        <v>7.66</v>
      </c>
      <c r="U32">
        <v>5.13</v>
      </c>
      <c r="W32">
        <v>6.79</v>
      </c>
      <c r="X32">
        <v>3.96</v>
      </c>
      <c r="Y32">
        <v>5.39</v>
      </c>
      <c r="AA32">
        <v>7.72</v>
      </c>
      <c r="AC32">
        <v>4.78</v>
      </c>
      <c r="AE32">
        <v>8.52</v>
      </c>
      <c r="AG32">
        <v>7.56</v>
      </c>
      <c r="AI32">
        <v>6.42</v>
      </c>
      <c r="AK32">
        <v>9.06</v>
      </c>
      <c r="AN32">
        <v>6.78</v>
      </c>
      <c r="AR32">
        <v>8.49</v>
      </c>
      <c r="AT32">
        <v>4.67</v>
      </c>
      <c r="AV32">
        <v>8.0299999999999994</v>
      </c>
      <c r="AY32">
        <v>8.67</v>
      </c>
      <c r="BA32">
        <v>7.63</v>
      </c>
      <c r="BD32">
        <v>4.63</v>
      </c>
      <c r="BG32">
        <v>7.63</v>
      </c>
      <c r="BH32">
        <v>5</v>
      </c>
      <c r="BJ32">
        <v>7.19</v>
      </c>
      <c r="BL32">
        <v>5.64</v>
      </c>
      <c r="BO32">
        <v>8.06</v>
      </c>
      <c r="BP32">
        <v>4.5999999999999996</v>
      </c>
      <c r="BS32">
        <v>9.36</v>
      </c>
      <c r="BU32">
        <v>8.2899999999999991</v>
      </c>
      <c r="BW32">
        <v>7.09</v>
      </c>
      <c r="BY32">
        <v>4.1900000000000004</v>
      </c>
      <c r="CA32">
        <v>6.52</v>
      </c>
      <c r="CC32">
        <v>6.62</v>
      </c>
      <c r="CF32">
        <v>6.89</v>
      </c>
      <c r="CH32">
        <v>6.96</v>
      </c>
      <c r="CJ32">
        <v>8.44</v>
      </c>
      <c r="CL32">
        <v>6.99</v>
      </c>
      <c r="CM32">
        <v>6.2</v>
      </c>
      <c r="CP32">
        <v>8.6199999999999992</v>
      </c>
      <c r="CQ32">
        <v>5.45</v>
      </c>
      <c r="CS32">
        <v>7.59</v>
      </c>
      <c r="CU32">
        <v>7.06</v>
      </c>
      <c r="CV32">
        <v>5.56</v>
      </c>
      <c r="CY32">
        <v>6.22</v>
      </c>
      <c r="CZ32">
        <v>8.51</v>
      </c>
      <c r="DD32">
        <v>6.84</v>
      </c>
      <c r="DL32">
        <v>7.38</v>
      </c>
      <c r="DM32">
        <v>6.68</v>
      </c>
      <c r="DN32">
        <v>8.51</v>
      </c>
      <c r="DO32">
        <v>5.7</v>
      </c>
      <c r="DQ32">
        <v>5.71</v>
      </c>
      <c r="DS32">
        <v>4.9800000000000004</v>
      </c>
      <c r="DW32">
        <v>6.7</v>
      </c>
      <c r="DX32">
        <v>4.8499999999999899</v>
      </c>
      <c r="DZ32">
        <v>5.44</v>
      </c>
      <c r="ED32">
        <v>4.16</v>
      </c>
      <c r="EF32">
        <v>4.5</v>
      </c>
      <c r="EG32">
        <v>7.07</v>
      </c>
      <c r="EI32">
        <v>5.14</v>
      </c>
      <c r="EJ32">
        <v>5.39</v>
      </c>
      <c r="EM32">
        <v>5.0199999999999898</v>
      </c>
      <c r="EN32">
        <v>7.34</v>
      </c>
      <c r="EO32">
        <v>4.92</v>
      </c>
      <c r="ER32">
        <v>4.83</v>
      </c>
      <c r="ET32">
        <v>6.48</v>
      </c>
      <c r="EU32">
        <v>5.08</v>
      </c>
      <c r="EV32">
        <v>8.41</v>
      </c>
      <c r="EX32">
        <v>5.19</v>
      </c>
      <c r="EY32">
        <v>6.28</v>
      </c>
      <c r="FA32">
        <v>5.08</v>
      </c>
      <c r="FB32">
        <v>3.91</v>
      </c>
      <c r="FD32">
        <v>7.41</v>
      </c>
      <c r="FF32">
        <v>4.95</v>
      </c>
      <c r="FG32">
        <v>3.2</v>
      </c>
      <c r="FH32">
        <v>4.72</v>
      </c>
      <c r="FJ32">
        <v>5.31</v>
      </c>
      <c r="FK32">
        <v>3.12</v>
      </c>
      <c r="FM32">
        <v>5.74</v>
      </c>
      <c r="FN32">
        <v>4.57</v>
      </c>
      <c r="FP32">
        <v>5.91</v>
      </c>
      <c r="FR32">
        <v>5.59</v>
      </c>
      <c r="FS32">
        <v>7.61</v>
      </c>
      <c r="FT32">
        <v>5.23</v>
      </c>
      <c r="FV32">
        <v>6.04</v>
      </c>
      <c r="FX32">
        <v>5.35</v>
      </c>
      <c r="FY32">
        <v>3.46</v>
      </c>
      <c r="FZ32">
        <v>5.29</v>
      </c>
      <c r="GA32">
        <v>4.28</v>
      </c>
      <c r="GC32">
        <v>5.37</v>
      </c>
      <c r="GE32">
        <v>5.24</v>
      </c>
      <c r="GF32">
        <v>6.18</v>
      </c>
      <c r="GH32">
        <v>8.44</v>
      </c>
      <c r="GJ32">
        <v>6.01</v>
      </c>
      <c r="GK32">
        <v>4.58</v>
      </c>
      <c r="GL32">
        <v>4.67</v>
      </c>
      <c r="GN32">
        <v>8.1</v>
      </c>
      <c r="GQ32">
        <v>4.6399999999999899</v>
      </c>
      <c r="GR32">
        <v>7.27</v>
      </c>
      <c r="GU32">
        <v>4.57</v>
      </c>
      <c r="GV32">
        <v>8.89</v>
      </c>
      <c r="GW32">
        <v>5.3</v>
      </c>
      <c r="GX32">
        <v>3.18</v>
      </c>
      <c r="GY32">
        <v>5.12</v>
      </c>
      <c r="GZ32">
        <v>3.74</v>
      </c>
      <c r="HC32">
        <v>6.52</v>
      </c>
      <c r="HD32">
        <v>4.7</v>
      </c>
      <c r="HH32">
        <v>5.8</v>
      </c>
      <c r="HI32">
        <v>4.41</v>
      </c>
      <c r="HJ32">
        <v>5.23</v>
      </c>
      <c r="HL32">
        <v>3.88</v>
      </c>
      <c r="HM32">
        <v>3.55</v>
      </c>
      <c r="HO32">
        <v>5.65</v>
      </c>
      <c r="HQ32">
        <v>5.05</v>
      </c>
      <c r="HR32">
        <v>5.12</v>
      </c>
      <c r="HT32">
        <v>7.17</v>
      </c>
      <c r="HV32">
        <v>5.4</v>
      </c>
      <c r="HX32">
        <v>5.62</v>
      </c>
      <c r="IA32">
        <v>7.23</v>
      </c>
      <c r="IB32">
        <v>4.97</v>
      </c>
      <c r="ID32">
        <v>5.93</v>
      </c>
      <c r="IE32">
        <v>7.57</v>
      </c>
      <c r="IG32">
        <v>2.64</v>
      </c>
      <c r="IH32">
        <v>9.1</v>
      </c>
      <c r="II32">
        <v>4.84</v>
      </c>
      <c r="IK32">
        <v>8.0500000000000007</v>
      </c>
      <c r="IM32">
        <v>6.2</v>
      </c>
      <c r="IN32">
        <v>7.52</v>
      </c>
      <c r="IR32">
        <v>4.8499999999999899</v>
      </c>
      <c r="IS32">
        <v>9.69</v>
      </c>
      <c r="IV32">
        <v>6.12</v>
      </c>
      <c r="IW32">
        <v>9.36</v>
      </c>
      <c r="IY32">
        <v>5.64</v>
      </c>
      <c r="IZ32">
        <v>5.31</v>
      </c>
      <c r="JD32">
        <v>5.64</v>
      </c>
      <c r="JF32">
        <v>5.0199999999999898</v>
      </c>
      <c r="JH32">
        <v>9.27</v>
      </c>
      <c r="JK32">
        <v>5.08</v>
      </c>
      <c r="JL32">
        <v>8.84</v>
      </c>
      <c r="JN32">
        <v>5.39</v>
      </c>
      <c r="JO32">
        <v>8.73</v>
      </c>
      <c r="JQ32">
        <v>5.9</v>
      </c>
      <c r="JR32">
        <v>6.73</v>
      </c>
      <c r="JT32">
        <v>5.33</v>
      </c>
      <c r="JV32">
        <v>7.07</v>
      </c>
      <c r="JX32">
        <v>6.5</v>
      </c>
      <c r="KA32">
        <v>5.5</v>
      </c>
      <c r="KC32">
        <v>7.29</v>
      </c>
      <c r="KD32">
        <v>6.41</v>
      </c>
      <c r="KF32">
        <v>4.1500000000000004</v>
      </c>
      <c r="KH32">
        <v>6.21</v>
      </c>
      <c r="KJ32">
        <v>5.12</v>
      </c>
      <c r="KM32">
        <v>8.77</v>
      </c>
      <c r="KN32">
        <v>5.54</v>
      </c>
      <c r="KO32">
        <v>0.57999999999999896</v>
      </c>
      <c r="KP32">
        <v>6.75</v>
      </c>
      <c r="KQ32">
        <v>9.93</v>
      </c>
      <c r="KT32">
        <v>6.45</v>
      </c>
      <c r="KV32">
        <v>8.01</v>
      </c>
      <c r="KX32">
        <v>7.17</v>
      </c>
      <c r="LD32">
        <v>13.43</v>
      </c>
      <c r="LE32">
        <v>6.51</v>
      </c>
      <c r="LG32">
        <v>5.98</v>
      </c>
    </row>
    <row r="33" spans="1:319" x14ac:dyDescent="0.2">
      <c r="A33" s="37" t="s">
        <v>356</v>
      </c>
      <c r="B33">
        <v>703.84</v>
      </c>
      <c r="C33">
        <v>13.535384615384617</v>
      </c>
      <c r="D33" s="37" t="s">
        <v>320</v>
      </c>
      <c r="E33" s="37" t="s">
        <v>355</v>
      </c>
      <c r="H33">
        <v>7.67</v>
      </c>
      <c r="J33">
        <v>5.77</v>
      </c>
      <c r="M33">
        <v>6.54</v>
      </c>
      <c r="N33">
        <v>8.2100000000000009</v>
      </c>
      <c r="Q33">
        <v>5.58</v>
      </c>
      <c r="U33">
        <v>16.579999999999998</v>
      </c>
      <c r="W33">
        <v>4.87</v>
      </c>
      <c r="Y33">
        <v>5.12</v>
      </c>
      <c r="AA33">
        <v>7.02</v>
      </c>
      <c r="AD33">
        <v>6.86</v>
      </c>
      <c r="AH33">
        <v>6.6</v>
      </c>
      <c r="AJ33">
        <v>9.7899999999999991</v>
      </c>
      <c r="AM33">
        <v>8.07</v>
      </c>
      <c r="AR33">
        <v>9.1300000000000008</v>
      </c>
      <c r="AT33">
        <v>8.11</v>
      </c>
      <c r="AZ33">
        <v>7.24</v>
      </c>
      <c r="BE33">
        <v>8.74</v>
      </c>
      <c r="BG33">
        <v>7.37</v>
      </c>
      <c r="BM33">
        <v>7.48</v>
      </c>
      <c r="BR33">
        <v>8.24</v>
      </c>
      <c r="BS33">
        <v>8.98</v>
      </c>
      <c r="BY33">
        <v>7.4</v>
      </c>
      <c r="CC33">
        <v>8.68</v>
      </c>
      <c r="CF33">
        <v>7.38</v>
      </c>
      <c r="CI33">
        <v>7.44</v>
      </c>
      <c r="CL33">
        <v>8.0399999999999991</v>
      </c>
      <c r="CN33">
        <v>8.11</v>
      </c>
      <c r="CX33">
        <v>5.36</v>
      </c>
      <c r="DA33">
        <v>9.24</v>
      </c>
      <c r="DD33">
        <v>6.01</v>
      </c>
      <c r="DL33">
        <v>7.53</v>
      </c>
      <c r="DT33">
        <v>8.5</v>
      </c>
      <c r="DW33">
        <v>9.4700000000000006</v>
      </c>
      <c r="DX33">
        <v>4.82</v>
      </c>
      <c r="EA33">
        <v>7.93</v>
      </c>
      <c r="ED33">
        <v>7.25</v>
      </c>
      <c r="EG33">
        <v>7.68</v>
      </c>
      <c r="EI33">
        <v>8.09</v>
      </c>
      <c r="EN33">
        <v>7.52</v>
      </c>
      <c r="ER33">
        <v>8.4600000000000009</v>
      </c>
      <c r="EU33">
        <v>7.53</v>
      </c>
      <c r="EV33">
        <v>9.35</v>
      </c>
      <c r="EW33">
        <v>7.58</v>
      </c>
      <c r="EZ33">
        <v>8.83</v>
      </c>
      <c r="FE33">
        <v>8.8000000000000007</v>
      </c>
      <c r="FJ33">
        <v>7.45</v>
      </c>
      <c r="FM33">
        <v>8.44</v>
      </c>
      <c r="FY33">
        <v>7.55</v>
      </c>
      <c r="FZ33">
        <v>8.7100000000000009</v>
      </c>
      <c r="GE33">
        <v>8.43</v>
      </c>
      <c r="GF33">
        <v>8.51</v>
      </c>
      <c r="GM33">
        <v>5.43</v>
      </c>
      <c r="GQ33">
        <v>5.08</v>
      </c>
      <c r="GT33">
        <v>6.56</v>
      </c>
      <c r="GZ33">
        <v>9.23</v>
      </c>
      <c r="HE33">
        <v>7.36</v>
      </c>
      <c r="HG33">
        <v>6.79</v>
      </c>
      <c r="HH33">
        <v>5.44</v>
      </c>
      <c r="HJ33">
        <v>8.3800000000000008</v>
      </c>
      <c r="HN33">
        <v>6.25</v>
      </c>
      <c r="HQ33">
        <v>8.8000000000000007</v>
      </c>
      <c r="HT33">
        <v>9.34</v>
      </c>
      <c r="HV33">
        <v>8.73</v>
      </c>
      <c r="HW33">
        <v>7.49</v>
      </c>
      <c r="IF33">
        <v>8.4700000000000006</v>
      </c>
      <c r="IG33">
        <v>6.86</v>
      </c>
      <c r="IK33">
        <v>6.94</v>
      </c>
      <c r="IO33">
        <v>9.69</v>
      </c>
      <c r="IS33">
        <v>6.43</v>
      </c>
      <c r="IU33">
        <v>9.41</v>
      </c>
      <c r="JB33">
        <v>9.4</v>
      </c>
      <c r="JD33">
        <v>8.44</v>
      </c>
      <c r="JE33">
        <v>7.57</v>
      </c>
      <c r="JH33">
        <v>7.03</v>
      </c>
      <c r="JL33">
        <v>9.33</v>
      </c>
      <c r="JQ33">
        <v>9.56</v>
      </c>
      <c r="JV33">
        <v>8.4600000000000009</v>
      </c>
      <c r="JW33">
        <v>8.32</v>
      </c>
      <c r="JX33">
        <v>9.01</v>
      </c>
      <c r="JY33">
        <v>8.65</v>
      </c>
      <c r="KC33">
        <v>7.23</v>
      </c>
      <c r="KD33">
        <v>6.58</v>
      </c>
      <c r="KE33">
        <v>4.99</v>
      </c>
      <c r="KM33">
        <v>5.28</v>
      </c>
      <c r="KP33">
        <v>9.34</v>
      </c>
      <c r="KS33">
        <v>8.11</v>
      </c>
      <c r="KV33">
        <v>4.24</v>
      </c>
      <c r="KY33">
        <v>9.49</v>
      </c>
      <c r="LA33">
        <v>3.91</v>
      </c>
      <c r="LC33">
        <v>6.13</v>
      </c>
      <c r="LF33">
        <v>10.0299999999999</v>
      </c>
    </row>
    <row r="34" spans="1:319" x14ac:dyDescent="0.2">
      <c r="A34" s="37" t="s">
        <v>357</v>
      </c>
      <c r="B34">
        <v>18.170000000000002</v>
      </c>
      <c r="C34">
        <v>0.34942307692307695</v>
      </c>
      <c r="D34" s="37" t="s">
        <v>320</v>
      </c>
      <c r="E34" s="37" t="s">
        <v>355</v>
      </c>
      <c r="BK34">
        <v>8.49</v>
      </c>
      <c r="BU34">
        <v>9.68</v>
      </c>
    </row>
    <row r="35" spans="1:319" x14ac:dyDescent="0.2">
      <c r="A35" s="37" t="s">
        <v>358</v>
      </c>
      <c r="B35">
        <v>1325.6299999999994</v>
      </c>
      <c r="C35">
        <v>25.492884615384604</v>
      </c>
      <c r="D35" s="37" t="s">
        <v>320</v>
      </c>
      <c r="E35" s="37" t="s">
        <v>355</v>
      </c>
      <c r="G35">
        <v>7.66</v>
      </c>
      <c r="H35">
        <v>4.43</v>
      </c>
      <c r="I35">
        <v>5.0999999999999996</v>
      </c>
      <c r="K35">
        <v>5.63</v>
      </c>
      <c r="M35">
        <v>7.53</v>
      </c>
      <c r="N35">
        <v>14.51</v>
      </c>
      <c r="O35">
        <v>3.34</v>
      </c>
      <c r="Q35">
        <v>5.78</v>
      </c>
      <c r="S35">
        <v>6.38</v>
      </c>
      <c r="T35">
        <v>8.67</v>
      </c>
      <c r="W35">
        <v>11.39</v>
      </c>
      <c r="Z35">
        <v>17.03</v>
      </c>
      <c r="AC35">
        <v>13.75</v>
      </c>
      <c r="AF35">
        <v>14.87</v>
      </c>
      <c r="AI35">
        <v>12.01</v>
      </c>
      <c r="AL35">
        <v>14.61</v>
      </c>
      <c r="AO35">
        <v>11.68</v>
      </c>
      <c r="AR35">
        <v>13.75</v>
      </c>
      <c r="AU35">
        <v>11.06</v>
      </c>
      <c r="AV35">
        <v>5.82</v>
      </c>
      <c r="AX35">
        <v>13.46</v>
      </c>
      <c r="BA35">
        <v>11.34</v>
      </c>
      <c r="BD35">
        <v>8.4499999999999993</v>
      </c>
      <c r="BG35">
        <v>16.899999999999999</v>
      </c>
      <c r="BJ35">
        <v>16.54</v>
      </c>
      <c r="BM35">
        <v>13.63</v>
      </c>
      <c r="BP35">
        <v>15.14</v>
      </c>
      <c r="BS35">
        <v>13.26</v>
      </c>
      <c r="BV35">
        <v>16.04</v>
      </c>
      <c r="BY35">
        <v>12.21</v>
      </c>
      <c r="CA35">
        <v>7.15</v>
      </c>
      <c r="CC35">
        <v>12.51</v>
      </c>
      <c r="CF35">
        <v>10.9</v>
      </c>
      <c r="CI35">
        <v>16.559999999999999</v>
      </c>
      <c r="CL35">
        <v>11.36</v>
      </c>
      <c r="CO35">
        <v>14.78</v>
      </c>
      <c r="CR35">
        <v>11.15</v>
      </c>
      <c r="CU35">
        <v>15.25</v>
      </c>
      <c r="CV35">
        <v>6.83</v>
      </c>
      <c r="CX35">
        <v>8.4</v>
      </c>
      <c r="CY35">
        <v>7.02</v>
      </c>
      <c r="DA35">
        <v>10.69</v>
      </c>
      <c r="DD35">
        <v>5.09</v>
      </c>
      <c r="DN35">
        <v>11.24</v>
      </c>
      <c r="DQ35">
        <v>10.72</v>
      </c>
      <c r="DT35">
        <v>13.88</v>
      </c>
      <c r="DW35">
        <v>9.85</v>
      </c>
      <c r="DZ35">
        <v>14.24</v>
      </c>
      <c r="EE35">
        <v>7.36</v>
      </c>
      <c r="EF35">
        <v>8.2100000000000009</v>
      </c>
      <c r="EI35">
        <v>9.66</v>
      </c>
      <c r="EL35">
        <v>11.57</v>
      </c>
      <c r="EO35">
        <v>13.55</v>
      </c>
      <c r="ER35">
        <v>14.94</v>
      </c>
      <c r="EU35">
        <v>12.46</v>
      </c>
      <c r="EX35">
        <v>14.61</v>
      </c>
      <c r="EY35">
        <v>4.74</v>
      </c>
      <c r="FA35">
        <v>7.75</v>
      </c>
      <c r="FD35">
        <v>16.28</v>
      </c>
      <c r="FG35">
        <v>13.31</v>
      </c>
      <c r="FJ35">
        <v>14.23</v>
      </c>
      <c r="FM35">
        <v>11.47</v>
      </c>
      <c r="FP35">
        <v>14.77</v>
      </c>
      <c r="FS35">
        <v>11.44</v>
      </c>
      <c r="FV35">
        <v>11.76</v>
      </c>
      <c r="FY35">
        <v>12.93</v>
      </c>
      <c r="GB35">
        <v>14.52</v>
      </c>
      <c r="GE35">
        <v>12.34</v>
      </c>
      <c r="GH35">
        <v>15.53</v>
      </c>
      <c r="GK35">
        <v>11.64</v>
      </c>
      <c r="GN35">
        <v>7.09</v>
      </c>
      <c r="GP35">
        <v>7.43</v>
      </c>
      <c r="GQ35">
        <v>11.1</v>
      </c>
      <c r="GT35">
        <v>15.86</v>
      </c>
      <c r="GW35">
        <v>12.5</v>
      </c>
      <c r="GY35">
        <v>6.42</v>
      </c>
      <c r="GZ35">
        <v>7.53</v>
      </c>
      <c r="HC35">
        <v>12.77</v>
      </c>
      <c r="HI35">
        <v>9.93</v>
      </c>
      <c r="HL35">
        <v>14.25</v>
      </c>
      <c r="HO35">
        <v>13.07</v>
      </c>
      <c r="HR35">
        <v>16.829999999999899</v>
      </c>
      <c r="HU35">
        <v>10.72</v>
      </c>
      <c r="HX35">
        <v>13.63</v>
      </c>
      <c r="IA35">
        <v>11.6</v>
      </c>
      <c r="ID35">
        <v>15.27</v>
      </c>
      <c r="IG35">
        <v>12.64</v>
      </c>
      <c r="IJ35">
        <v>14.7</v>
      </c>
      <c r="IM35">
        <v>12.4</v>
      </c>
      <c r="IP35">
        <v>16.809999999999899</v>
      </c>
      <c r="IV35">
        <v>16.2</v>
      </c>
      <c r="IY35">
        <v>12.91</v>
      </c>
      <c r="JA35">
        <v>8.0500000000000007</v>
      </c>
      <c r="JC35">
        <v>6.83</v>
      </c>
      <c r="JD35">
        <v>7.44</v>
      </c>
      <c r="JE35">
        <v>5.42</v>
      </c>
      <c r="JH35">
        <v>15.36</v>
      </c>
      <c r="JK35">
        <v>5.66</v>
      </c>
      <c r="JM35">
        <v>16.64</v>
      </c>
      <c r="JO35">
        <v>8.0500000000000007</v>
      </c>
      <c r="JQ35">
        <v>8.15</v>
      </c>
      <c r="JR35">
        <v>7.93</v>
      </c>
      <c r="JT35">
        <v>7.9</v>
      </c>
      <c r="JW35">
        <v>11.85</v>
      </c>
      <c r="JZ35">
        <v>14.93</v>
      </c>
      <c r="KC35">
        <v>12.29</v>
      </c>
      <c r="KF35">
        <v>13.81</v>
      </c>
      <c r="KI35">
        <v>7.58</v>
      </c>
      <c r="KL35">
        <v>14.04</v>
      </c>
      <c r="KO35">
        <v>9.75</v>
      </c>
      <c r="KP35">
        <v>4.58</v>
      </c>
      <c r="KR35">
        <v>5.1100000000000003</v>
      </c>
      <c r="KS35">
        <v>8.83</v>
      </c>
      <c r="KU35">
        <v>10.54</v>
      </c>
      <c r="KX35">
        <v>14.52</v>
      </c>
      <c r="LA35">
        <v>5.81</v>
      </c>
      <c r="LD35">
        <v>16.73</v>
      </c>
      <c r="LG35">
        <v>11.51</v>
      </c>
    </row>
    <row r="36" spans="1:319" x14ac:dyDescent="0.2">
      <c r="A36" s="37" t="s">
        <v>359</v>
      </c>
      <c r="B36">
        <v>1655.85</v>
      </c>
      <c r="C36">
        <v>31.843269230769231</v>
      </c>
      <c r="D36" s="37" t="s">
        <v>320</v>
      </c>
      <c r="E36" s="37" t="s">
        <v>355</v>
      </c>
      <c r="F36">
        <v>4.99</v>
      </c>
      <c r="G36">
        <v>3.74</v>
      </c>
      <c r="I36">
        <v>17.37</v>
      </c>
      <c r="K36">
        <v>12.23</v>
      </c>
      <c r="M36">
        <v>14.23</v>
      </c>
      <c r="O36">
        <v>7.94</v>
      </c>
      <c r="Q36">
        <v>7.67</v>
      </c>
      <c r="R36">
        <v>7.05</v>
      </c>
      <c r="S36">
        <v>8.33</v>
      </c>
      <c r="U36">
        <v>6.9</v>
      </c>
      <c r="V36">
        <v>3.54</v>
      </c>
      <c r="W36">
        <v>11.55</v>
      </c>
      <c r="Y36">
        <v>15.42</v>
      </c>
      <c r="AA36">
        <v>14.37</v>
      </c>
      <c r="AC36">
        <v>7</v>
      </c>
      <c r="AE36">
        <v>7.87</v>
      </c>
      <c r="AF36">
        <v>6.38</v>
      </c>
      <c r="AG36">
        <v>10.4</v>
      </c>
      <c r="AI36">
        <v>7.22</v>
      </c>
      <c r="AK36">
        <v>8.19</v>
      </c>
      <c r="AL36">
        <v>16.8</v>
      </c>
      <c r="AO36">
        <v>15.35</v>
      </c>
      <c r="AR36">
        <v>8.58</v>
      </c>
      <c r="AS36">
        <v>7.72</v>
      </c>
      <c r="AT36">
        <v>6.78</v>
      </c>
      <c r="AW36">
        <v>13.4</v>
      </c>
      <c r="AY36">
        <v>6.54</v>
      </c>
      <c r="AZ36">
        <v>7.97</v>
      </c>
      <c r="BD36">
        <v>14.96</v>
      </c>
      <c r="BF36">
        <v>8.35</v>
      </c>
      <c r="BG36">
        <v>11.45</v>
      </c>
      <c r="BI36">
        <v>8.6199999999999992</v>
      </c>
      <c r="BK36">
        <v>14.04</v>
      </c>
      <c r="BM36">
        <v>8.89</v>
      </c>
      <c r="BN36">
        <v>6.15</v>
      </c>
      <c r="BO36">
        <v>8.07</v>
      </c>
      <c r="BS36">
        <v>8.33</v>
      </c>
      <c r="BT36">
        <v>11.31</v>
      </c>
      <c r="BU36">
        <v>8.1999999999999993</v>
      </c>
      <c r="BY36">
        <v>8.57</v>
      </c>
      <c r="CA36">
        <v>6.92</v>
      </c>
      <c r="CC36">
        <v>13.36</v>
      </c>
      <c r="CF36">
        <v>7.27</v>
      </c>
      <c r="CG36">
        <v>8.6199999999999992</v>
      </c>
      <c r="CH36">
        <v>15.16</v>
      </c>
      <c r="CL36">
        <v>17.059999999999999</v>
      </c>
      <c r="CN36">
        <v>9.44</v>
      </c>
      <c r="CO36">
        <v>7.99</v>
      </c>
      <c r="CP36">
        <v>6.84</v>
      </c>
      <c r="CS36">
        <v>6.76</v>
      </c>
      <c r="CT36">
        <v>7.34</v>
      </c>
      <c r="CU36">
        <v>8.0399999999999991</v>
      </c>
      <c r="CW36">
        <v>4.67</v>
      </c>
      <c r="CX36">
        <v>15.42</v>
      </c>
      <c r="CZ36">
        <v>7.45</v>
      </c>
      <c r="DA36">
        <v>7.2</v>
      </c>
      <c r="DB36">
        <v>9.1</v>
      </c>
      <c r="DD36">
        <v>6.77</v>
      </c>
      <c r="DL36">
        <v>6.04</v>
      </c>
      <c r="DM36">
        <v>8.9700000000000006</v>
      </c>
      <c r="DP36">
        <v>7.72</v>
      </c>
      <c r="DQ36">
        <v>8.6300000000000008</v>
      </c>
      <c r="DR36">
        <v>7.55</v>
      </c>
      <c r="DS36">
        <v>12.28</v>
      </c>
      <c r="DU36">
        <v>11.98</v>
      </c>
      <c r="DW36">
        <v>9.42</v>
      </c>
      <c r="DY36">
        <v>5.95</v>
      </c>
      <c r="DZ36">
        <v>7.96</v>
      </c>
      <c r="EB36">
        <v>7.01</v>
      </c>
      <c r="EC36">
        <v>9.16</v>
      </c>
      <c r="EE36">
        <v>10.06</v>
      </c>
      <c r="EG36">
        <v>11.69</v>
      </c>
      <c r="EJ36">
        <v>6.78</v>
      </c>
      <c r="EK36">
        <v>8.1300000000000008</v>
      </c>
      <c r="EN36">
        <v>13.51</v>
      </c>
      <c r="EP36">
        <v>6.8</v>
      </c>
      <c r="ER36">
        <v>8.02</v>
      </c>
      <c r="ES36">
        <v>13</v>
      </c>
      <c r="ET36">
        <v>7.25</v>
      </c>
      <c r="EU36">
        <v>5.41</v>
      </c>
      <c r="EW36">
        <v>10.95</v>
      </c>
      <c r="EY36">
        <v>12.33</v>
      </c>
      <c r="FA36">
        <v>10.7</v>
      </c>
      <c r="FB36">
        <v>7.63</v>
      </c>
      <c r="FC36">
        <v>13.39</v>
      </c>
      <c r="FG36">
        <v>19.52</v>
      </c>
      <c r="FI36">
        <v>12.69</v>
      </c>
      <c r="FL36">
        <v>14.48</v>
      </c>
      <c r="FO36">
        <v>16.12</v>
      </c>
      <c r="FQ36">
        <v>5.56</v>
      </c>
      <c r="FW36">
        <v>16.93</v>
      </c>
      <c r="GA36">
        <v>11.9</v>
      </c>
      <c r="GD36">
        <v>7.73</v>
      </c>
      <c r="GE36">
        <v>15.77</v>
      </c>
      <c r="GG36">
        <v>7.46</v>
      </c>
      <c r="GH36">
        <v>8.89</v>
      </c>
      <c r="GI36">
        <v>6.76</v>
      </c>
      <c r="GJ36">
        <v>4.1500000000000004</v>
      </c>
      <c r="GK36">
        <v>5.34</v>
      </c>
      <c r="GM36">
        <v>16.41</v>
      </c>
      <c r="GP36">
        <v>13.98</v>
      </c>
      <c r="GT36">
        <v>17.329999999999899</v>
      </c>
      <c r="GV36">
        <v>7.84</v>
      </c>
      <c r="GW36">
        <v>10.1999999999999</v>
      </c>
      <c r="GY36">
        <v>19.13</v>
      </c>
      <c r="HA36">
        <v>7.8</v>
      </c>
      <c r="HB36">
        <v>8.41</v>
      </c>
      <c r="HC36">
        <v>5.88</v>
      </c>
      <c r="HE36">
        <v>5.49</v>
      </c>
      <c r="HF36">
        <v>10.89</v>
      </c>
      <c r="HH36">
        <v>16.72</v>
      </c>
      <c r="HJ36">
        <v>4.78</v>
      </c>
      <c r="HK36">
        <v>6.86</v>
      </c>
      <c r="HM36">
        <v>10.37</v>
      </c>
      <c r="HO36">
        <v>17.78</v>
      </c>
      <c r="HQ36">
        <v>9.1</v>
      </c>
      <c r="HR36">
        <v>8.4499999999999904</v>
      </c>
      <c r="HS36">
        <v>10.0399999999999</v>
      </c>
      <c r="HV36">
        <v>5.18</v>
      </c>
      <c r="HY36">
        <v>15.91</v>
      </c>
      <c r="IA36">
        <v>4.08</v>
      </c>
      <c r="IC36">
        <v>8.43</v>
      </c>
      <c r="IE36">
        <v>19.100000000000001</v>
      </c>
      <c r="II36">
        <v>6.78</v>
      </c>
      <c r="IJ36">
        <v>8.52</v>
      </c>
      <c r="IL36">
        <v>7.47</v>
      </c>
      <c r="IM36">
        <v>10.67</v>
      </c>
      <c r="IO36">
        <v>14.13</v>
      </c>
      <c r="IP36">
        <v>7.53</v>
      </c>
      <c r="IR36">
        <v>8</v>
      </c>
      <c r="IU36">
        <v>15.3</v>
      </c>
      <c r="IV36">
        <v>11.04</v>
      </c>
      <c r="IX36">
        <v>7.31</v>
      </c>
      <c r="IY36">
        <v>8.07</v>
      </c>
      <c r="JA36">
        <v>10.82</v>
      </c>
      <c r="JB36">
        <v>20.73</v>
      </c>
      <c r="JE36">
        <v>16.579999999999899</v>
      </c>
      <c r="JG36">
        <v>8.1199999999999903</v>
      </c>
      <c r="JJ36">
        <v>16.63</v>
      </c>
      <c r="JK36">
        <v>10.47</v>
      </c>
      <c r="JM36">
        <v>6.4</v>
      </c>
      <c r="JN36">
        <v>14.64</v>
      </c>
      <c r="JQ36">
        <v>18.25</v>
      </c>
      <c r="JR36">
        <v>4.2300000000000004</v>
      </c>
      <c r="JV36">
        <v>18.420000000000002</v>
      </c>
      <c r="JW36">
        <v>7.93</v>
      </c>
      <c r="JY36">
        <v>10</v>
      </c>
      <c r="KB36">
        <v>8.0500000000000007</v>
      </c>
      <c r="KC36">
        <v>9.23</v>
      </c>
      <c r="KE36">
        <v>7.87</v>
      </c>
      <c r="KG36">
        <v>16.43</v>
      </c>
      <c r="KI36">
        <v>7.89</v>
      </c>
      <c r="KK36">
        <v>15.52</v>
      </c>
      <c r="KM36">
        <v>8.9600000000000009</v>
      </c>
      <c r="KP36">
        <v>7.08</v>
      </c>
      <c r="KR36">
        <v>16.59</v>
      </c>
      <c r="KU36">
        <v>14.47</v>
      </c>
      <c r="KW36">
        <v>7.66</v>
      </c>
      <c r="KX36">
        <v>7.3</v>
      </c>
      <c r="LA36">
        <v>13.85</v>
      </c>
      <c r="LB36">
        <v>6.86</v>
      </c>
      <c r="LD36">
        <v>6.95</v>
      </c>
      <c r="LE36">
        <v>7.15</v>
      </c>
      <c r="LG36">
        <v>16.29</v>
      </c>
    </row>
    <row r="37" spans="1:319" x14ac:dyDescent="0.2">
      <c r="A37" s="37" t="s">
        <v>360</v>
      </c>
      <c r="B37">
        <v>906.70000000000039</v>
      </c>
      <c r="C37">
        <v>17.436538461538468</v>
      </c>
      <c r="D37" s="37" t="s">
        <v>320</v>
      </c>
      <c r="E37" s="37" t="s">
        <v>355</v>
      </c>
      <c r="I37">
        <v>8.39</v>
      </c>
      <c r="K37">
        <v>7.74</v>
      </c>
      <c r="M37">
        <v>7.59</v>
      </c>
      <c r="P37">
        <v>6.74</v>
      </c>
      <c r="R37">
        <v>7.15</v>
      </c>
      <c r="V37">
        <v>9.0500000000000007</v>
      </c>
      <c r="W37">
        <v>7.06</v>
      </c>
      <c r="Y37">
        <v>5.32</v>
      </c>
      <c r="AA37">
        <v>10.82</v>
      </c>
      <c r="AC37">
        <v>7.01</v>
      </c>
      <c r="AG37">
        <v>8.4600000000000009</v>
      </c>
      <c r="AH37">
        <v>10.37</v>
      </c>
      <c r="AL37">
        <v>7.28</v>
      </c>
      <c r="AN37">
        <v>8.2200000000000006</v>
      </c>
      <c r="AQ37">
        <v>9.14</v>
      </c>
      <c r="AU37">
        <v>9.92</v>
      </c>
      <c r="AX37">
        <v>13.23</v>
      </c>
      <c r="BB37">
        <v>9.14</v>
      </c>
      <c r="BD37">
        <v>7.62</v>
      </c>
      <c r="BE37">
        <v>8.5399999999999991</v>
      </c>
      <c r="BI37">
        <v>15.44</v>
      </c>
      <c r="BM37">
        <v>6.7</v>
      </c>
      <c r="BO37">
        <v>7.01</v>
      </c>
      <c r="BS37">
        <v>14.11</v>
      </c>
      <c r="BT37">
        <v>6.98</v>
      </c>
      <c r="CB37">
        <v>7.51</v>
      </c>
      <c r="CE37">
        <v>8.31</v>
      </c>
      <c r="CG37">
        <v>4.91</v>
      </c>
      <c r="CI37">
        <v>8.93</v>
      </c>
      <c r="CL37">
        <v>8.48</v>
      </c>
      <c r="CN37">
        <v>6.91</v>
      </c>
      <c r="CP37">
        <v>6.15</v>
      </c>
      <c r="CT37">
        <v>8.1199999999999992</v>
      </c>
      <c r="CU37">
        <v>13.63</v>
      </c>
      <c r="DC37">
        <v>16.170000000000002</v>
      </c>
      <c r="DO37">
        <v>7.3</v>
      </c>
      <c r="DQ37">
        <v>7.74</v>
      </c>
      <c r="DS37">
        <v>6.81</v>
      </c>
      <c r="DT37">
        <v>8.11</v>
      </c>
      <c r="EA37">
        <v>7.77</v>
      </c>
      <c r="EC37">
        <v>12.44</v>
      </c>
      <c r="EF37">
        <v>6.77</v>
      </c>
      <c r="EG37">
        <v>6.04</v>
      </c>
      <c r="EI37">
        <v>7.73</v>
      </c>
      <c r="EO37">
        <v>14.78</v>
      </c>
      <c r="EQ37">
        <v>7.58</v>
      </c>
      <c r="ES37">
        <v>7.08</v>
      </c>
      <c r="EU37">
        <v>6.69</v>
      </c>
      <c r="EV37">
        <v>7.94</v>
      </c>
      <c r="EX37">
        <v>7.38</v>
      </c>
      <c r="FA37">
        <v>7.69</v>
      </c>
      <c r="FC37">
        <v>7.29</v>
      </c>
      <c r="FI37">
        <v>7.83</v>
      </c>
      <c r="FK37">
        <v>13.95</v>
      </c>
      <c r="FM37">
        <v>4.42</v>
      </c>
      <c r="FO37">
        <v>5.04</v>
      </c>
      <c r="FQ37">
        <v>6.67</v>
      </c>
      <c r="FU37">
        <v>14.41</v>
      </c>
      <c r="GA37">
        <v>15.98</v>
      </c>
      <c r="GC37">
        <v>7.59</v>
      </c>
      <c r="GG37">
        <v>6.31</v>
      </c>
      <c r="GI37">
        <v>7.89</v>
      </c>
      <c r="GM37">
        <v>7.79</v>
      </c>
      <c r="GO37">
        <v>8.0500000000000007</v>
      </c>
      <c r="GS37">
        <v>8.33</v>
      </c>
      <c r="GY37">
        <v>8.6300000000000008</v>
      </c>
      <c r="HA37">
        <v>9.1999999999999904</v>
      </c>
      <c r="HC37">
        <v>8.0500000000000007</v>
      </c>
      <c r="HF37">
        <v>9.39</v>
      </c>
      <c r="HG37">
        <v>6.35</v>
      </c>
      <c r="HK37">
        <v>9.59</v>
      </c>
      <c r="HM37">
        <v>8.6999999999999904</v>
      </c>
      <c r="HS37">
        <v>8.3000000000000007</v>
      </c>
      <c r="HU37">
        <v>16.190000000000001</v>
      </c>
      <c r="HV37">
        <v>8.2899999999999903</v>
      </c>
      <c r="HW37">
        <v>2.71</v>
      </c>
      <c r="HZ37">
        <v>9.4499999999999904</v>
      </c>
      <c r="IC37">
        <v>8.02</v>
      </c>
      <c r="IG37">
        <v>8.7100000000000009</v>
      </c>
      <c r="IH37">
        <v>9.8699999999999903</v>
      </c>
      <c r="IJ37">
        <v>7.75</v>
      </c>
      <c r="IO37">
        <v>8.09</v>
      </c>
      <c r="IP37">
        <v>9.56</v>
      </c>
      <c r="IS37">
        <v>3.21</v>
      </c>
      <c r="IU37">
        <v>6.98</v>
      </c>
      <c r="IY37">
        <v>3.84</v>
      </c>
      <c r="JC37">
        <v>8.64</v>
      </c>
      <c r="JG37">
        <v>7.41</v>
      </c>
      <c r="JJ37">
        <v>10.15</v>
      </c>
      <c r="JN37">
        <v>17.47</v>
      </c>
      <c r="JQ37">
        <v>7.32</v>
      </c>
      <c r="JS37">
        <v>7.08</v>
      </c>
      <c r="JV37">
        <v>8.33</v>
      </c>
      <c r="JW37">
        <v>5.37</v>
      </c>
      <c r="JX37">
        <v>7.58</v>
      </c>
      <c r="JZ37">
        <v>7.07</v>
      </c>
      <c r="KD37">
        <v>8.01</v>
      </c>
      <c r="KE37">
        <v>8.3800000000000008</v>
      </c>
      <c r="KI37">
        <v>13.72</v>
      </c>
      <c r="KL37">
        <v>7.13</v>
      </c>
      <c r="KM37">
        <v>5.03</v>
      </c>
      <c r="KS37">
        <v>15.36</v>
      </c>
      <c r="KY37">
        <v>8.4499999999999904</v>
      </c>
      <c r="LA37">
        <v>8.23</v>
      </c>
      <c r="LC37">
        <v>7.65</v>
      </c>
      <c r="LD37">
        <v>7.89</v>
      </c>
    </row>
    <row r="38" spans="1:319" x14ac:dyDescent="0.2">
      <c r="A38" s="37" t="s">
        <v>361</v>
      </c>
      <c r="B38">
        <v>1477.4399999999987</v>
      </c>
      <c r="C38">
        <v>28.412307692307667</v>
      </c>
      <c r="D38" s="37" t="s">
        <v>320</v>
      </c>
      <c r="E38" s="37" t="s">
        <v>355</v>
      </c>
      <c r="F38">
        <v>12.98</v>
      </c>
      <c r="H38">
        <v>6.6</v>
      </c>
      <c r="J38">
        <v>6.48</v>
      </c>
      <c r="K38">
        <v>5.25</v>
      </c>
      <c r="L38">
        <v>12.25</v>
      </c>
      <c r="M38">
        <v>3.89</v>
      </c>
      <c r="Q38">
        <v>6.45</v>
      </c>
      <c r="R38">
        <v>12.09</v>
      </c>
      <c r="T38">
        <v>6.83</v>
      </c>
      <c r="U38">
        <v>6.16</v>
      </c>
      <c r="V38">
        <v>7.31</v>
      </c>
      <c r="X38">
        <v>5.21</v>
      </c>
      <c r="Y38">
        <v>6.51</v>
      </c>
      <c r="Z38">
        <v>6.96</v>
      </c>
      <c r="AA38">
        <v>6.38</v>
      </c>
      <c r="AB38">
        <v>7.01</v>
      </c>
      <c r="AE38">
        <v>6.63</v>
      </c>
      <c r="AG38">
        <v>8.61</v>
      </c>
      <c r="AH38">
        <v>8.18</v>
      </c>
      <c r="AI38">
        <v>6.91</v>
      </c>
      <c r="AJ38">
        <v>6.55</v>
      </c>
      <c r="AL38">
        <v>15.77</v>
      </c>
      <c r="AP38">
        <v>14.22</v>
      </c>
      <c r="AR38">
        <v>7.45</v>
      </c>
      <c r="AU38">
        <v>6.52</v>
      </c>
      <c r="AV38">
        <v>6.86</v>
      </c>
      <c r="AW38">
        <v>7.37</v>
      </c>
      <c r="AZ38">
        <v>14.99</v>
      </c>
      <c r="BB38">
        <v>5.86</v>
      </c>
      <c r="BF38">
        <v>15.12</v>
      </c>
      <c r="BH38">
        <v>6.08</v>
      </c>
      <c r="BJ38">
        <v>13.69</v>
      </c>
      <c r="BL38">
        <v>6.4</v>
      </c>
      <c r="BM38">
        <v>6.41</v>
      </c>
      <c r="BN38">
        <v>5.92</v>
      </c>
      <c r="BP38">
        <v>10.49</v>
      </c>
      <c r="BR38">
        <v>6.91</v>
      </c>
      <c r="BS38">
        <v>7.76</v>
      </c>
      <c r="BT38">
        <v>6.68</v>
      </c>
      <c r="BV38">
        <v>12.98</v>
      </c>
      <c r="BY38">
        <v>7.2</v>
      </c>
      <c r="CA38">
        <v>6.97</v>
      </c>
      <c r="CC38">
        <v>14.28</v>
      </c>
      <c r="CF38">
        <v>7.12</v>
      </c>
      <c r="CG38">
        <v>6.25</v>
      </c>
      <c r="CK38">
        <v>15.91</v>
      </c>
      <c r="CM38">
        <v>6.98</v>
      </c>
      <c r="CO38">
        <v>6.81</v>
      </c>
      <c r="CP38">
        <v>8.69</v>
      </c>
      <c r="CR38">
        <v>7.01</v>
      </c>
      <c r="CS38">
        <v>5.98</v>
      </c>
      <c r="CU38">
        <v>12.71</v>
      </c>
      <c r="CW38">
        <v>7.15</v>
      </c>
      <c r="CX38">
        <v>6.65</v>
      </c>
      <c r="CY38">
        <v>7.38</v>
      </c>
      <c r="DA38">
        <v>15.23</v>
      </c>
      <c r="DB38">
        <v>6.94</v>
      </c>
      <c r="DD38">
        <v>7.46</v>
      </c>
      <c r="DL38">
        <v>4.8499999999999899</v>
      </c>
      <c r="DM38">
        <v>12.3</v>
      </c>
      <c r="DO38">
        <v>4.78</v>
      </c>
      <c r="DP38">
        <v>5.37</v>
      </c>
      <c r="DR38">
        <v>5.47</v>
      </c>
      <c r="DT38">
        <v>13.98</v>
      </c>
      <c r="DW38">
        <v>5.25</v>
      </c>
      <c r="DX38">
        <v>7.22</v>
      </c>
      <c r="DZ38">
        <v>12.6</v>
      </c>
      <c r="EB38">
        <v>6.3</v>
      </c>
      <c r="EE38">
        <v>11.25</v>
      </c>
      <c r="EF38">
        <v>5.67</v>
      </c>
      <c r="EG38">
        <v>6.29</v>
      </c>
      <c r="EI38">
        <v>3.98</v>
      </c>
      <c r="EJ38">
        <v>4.05</v>
      </c>
      <c r="EK38">
        <v>7.33</v>
      </c>
      <c r="EM38">
        <v>8.15</v>
      </c>
      <c r="EO38">
        <v>7.79</v>
      </c>
      <c r="EP38">
        <v>6.26</v>
      </c>
      <c r="EQ38">
        <v>6.38</v>
      </c>
      <c r="ES38">
        <v>12.49</v>
      </c>
      <c r="EU38">
        <v>6.81</v>
      </c>
      <c r="EV38">
        <v>5.92</v>
      </c>
      <c r="EX38">
        <v>12.26</v>
      </c>
      <c r="EZ38">
        <v>12</v>
      </c>
      <c r="FA38">
        <v>5.23</v>
      </c>
      <c r="FB38">
        <v>3.3</v>
      </c>
      <c r="FD38">
        <v>6.6</v>
      </c>
      <c r="FE38">
        <v>6.3</v>
      </c>
      <c r="FF38">
        <v>5.88</v>
      </c>
      <c r="FG38">
        <v>5.78</v>
      </c>
      <c r="FH38">
        <v>5.76</v>
      </c>
      <c r="FI38">
        <v>5.27</v>
      </c>
      <c r="FJ38">
        <v>7.82</v>
      </c>
      <c r="FL38">
        <v>6.67</v>
      </c>
      <c r="FM38">
        <v>7.44</v>
      </c>
      <c r="FN38">
        <v>4.8</v>
      </c>
      <c r="FO38">
        <v>7.43</v>
      </c>
      <c r="FP38">
        <v>5.9</v>
      </c>
      <c r="FR38">
        <v>7.03</v>
      </c>
      <c r="FS38">
        <v>5.13</v>
      </c>
      <c r="FT38">
        <v>7.37</v>
      </c>
      <c r="FU38">
        <v>5.2</v>
      </c>
      <c r="FX38">
        <v>13.79</v>
      </c>
      <c r="FY38">
        <v>6.33</v>
      </c>
      <c r="FZ38">
        <v>6.18</v>
      </c>
      <c r="GA38">
        <v>5.67</v>
      </c>
      <c r="GB38">
        <v>5.6</v>
      </c>
      <c r="GD38">
        <v>9.2100000000000009</v>
      </c>
      <c r="GG38">
        <v>6.3</v>
      </c>
      <c r="GH38">
        <v>7.66</v>
      </c>
      <c r="GI38">
        <v>6.38</v>
      </c>
      <c r="GJ38">
        <v>4.62</v>
      </c>
      <c r="GM38">
        <v>7.69</v>
      </c>
      <c r="GN38">
        <v>7.14</v>
      </c>
      <c r="GO38">
        <v>7.98</v>
      </c>
      <c r="GR38">
        <v>6.93</v>
      </c>
      <c r="GS38">
        <v>7.77</v>
      </c>
      <c r="GT38">
        <v>5.79</v>
      </c>
      <c r="GU38">
        <v>7.43</v>
      </c>
      <c r="GV38">
        <v>5.86</v>
      </c>
      <c r="GW38">
        <v>5.26</v>
      </c>
      <c r="GX38">
        <v>8</v>
      </c>
      <c r="GZ38">
        <v>5.04</v>
      </c>
      <c r="HA38">
        <v>7.84</v>
      </c>
      <c r="HB38">
        <v>5.18</v>
      </c>
      <c r="HC38">
        <v>4.0999999999999899</v>
      </c>
      <c r="HD38">
        <v>5.86</v>
      </c>
      <c r="HE38">
        <v>6.78</v>
      </c>
      <c r="HG38">
        <v>5.29</v>
      </c>
      <c r="HH38">
        <v>7.19</v>
      </c>
      <c r="HK38">
        <v>8.43</v>
      </c>
      <c r="HL38">
        <v>7.57</v>
      </c>
      <c r="HN38">
        <v>7.53</v>
      </c>
      <c r="HO38">
        <v>6.47</v>
      </c>
      <c r="HP38">
        <v>6.62</v>
      </c>
      <c r="HQ38">
        <v>6.21</v>
      </c>
      <c r="HR38">
        <v>4.72</v>
      </c>
      <c r="HU38">
        <v>7.47</v>
      </c>
      <c r="HV38">
        <v>5.81</v>
      </c>
      <c r="HW38">
        <v>4.2</v>
      </c>
      <c r="HY38">
        <v>7.85</v>
      </c>
      <c r="HZ38">
        <v>4.37</v>
      </c>
      <c r="IA38">
        <v>5.44</v>
      </c>
      <c r="IB38">
        <v>12.93</v>
      </c>
      <c r="IE38">
        <v>8.2799999999999905</v>
      </c>
      <c r="IF38">
        <v>7.49</v>
      </c>
      <c r="IH38">
        <v>13.88</v>
      </c>
      <c r="IJ38">
        <v>7.11</v>
      </c>
      <c r="IL38">
        <v>13.33</v>
      </c>
      <c r="IO38">
        <v>7.36</v>
      </c>
      <c r="IP38">
        <v>16.260000000000002</v>
      </c>
      <c r="IS38">
        <v>11.85</v>
      </c>
      <c r="IT38">
        <v>7.86</v>
      </c>
      <c r="IV38">
        <v>14</v>
      </c>
      <c r="IX38">
        <v>7.19</v>
      </c>
      <c r="IZ38">
        <v>7.11</v>
      </c>
      <c r="JB38">
        <v>6.38</v>
      </c>
      <c r="JD38">
        <v>13.27</v>
      </c>
      <c r="JF38">
        <v>15.62</v>
      </c>
      <c r="JJ38">
        <v>6.6</v>
      </c>
      <c r="JK38">
        <v>7.74</v>
      </c>
      <c r="JL38">
        <v>7.23</v>
      </c>
      <c r="JM38">
        <v>6.86</v>
      </c>
      <c r="JO38">
        <v>6.26</v>
      </c>
      <c r="JQ38">
        <v>5.96</v>
      </c>
      <c r="JR38">
        <v>6.3</v>
      </c>
      <c r="JS38">
        <v>7.19</v>
      </c>
      <c r="JT38">
        <v>3.4</v>
      </c>
      <c r="JU38">
        <v>6.22</v>
      </c>
      <c r="JV38">
        <v>8.34</v>
      </c>
      <c r="JX38">
        <v>6.13</v>
      </c>
      <c r="JZ38">
        <v>14.31</v>
      </c>
      <c r="KC38">
        <v>6.51</v>
      </c>
      <c r="KD38">
        <v>6.26</v>
      </c>
      <c r="KF38">
        <v>5.35</v>
      </c>
      <c r="KG38">
        <v>5.72</v>
      </c>
      <c r="KH38">
        <v>6.8</v>
      </c>
      <c r="KI38">
        <v>3.61</v>
      </c>
      <c r="KK38">
        <v>13.59</v>
      </c>
      <c r="KN38">
        <v>7.17</v>
      </c>
      <c r="KO38">
        <v>13.24</v>
      </c>
      <c r="KR38">
        <v>14.53</v>
      </c>
      <c r="KT38">
        <v>6.7</v>
      </c>
      <c r="KU38">
        <v>7.52</v>
      </c>
      <c r="KV38">
        <v>6.26</v>
      </c>
      <c r="KX38">
        <v>12.49</v>
      </c>
      <c r="LA38">
        <v>6.75</v>
      </c>
      <c r="LC38">
        <v>7.83</v>
      </c>
      <c r="LD38">
        <v>6.74</v>
      </c>
      <c r="LF38">
        <v>13.25</v>
      </c>
    </row>
    <row r="39" spans="1:319" x14ac:dyDescent="0.2">
      <c r="A39" s="37" t="s">
        <v>362</v>
      </c>
      <c r="B39">
        <v>1180.4799999999996</v>
      </c>
      <c r="C39">
        <v>22.701538461538455</v>
      </c>
      <c r="D39" s="37" t="s">
        <v>320</v>
      </c>
      <c r="E39" s="37" t="s">
        <v>363</v>
      </c>
      <c r="F39">
        <v>6.76</v>
      </c>
      <c r="H39">
        <v>9.52</v>
      </c>
      <c r="K39">
        <v>6.42</v>
      </c>
      <c r="N39">
        <v>9.64</v>
      </c>
      <c r="O39">
        <v>5.77</v>
      </c>
      <c r="Q39">
        <v>9.75</v>
      </c>
      <c r="S39">
        <v>8.36</v>
      </c>
      <c r="T39">
        <v>5.8</v>
      </c>
      <c r="V39">
        <v>8.23</v>
      </c>
      <c r="Y39">
        <v>8.34</v>
      </c>
      <c r="Z39">
        <v>8.7799999999999994</v>
      </c>
      <c r="AC39">
        <v>6.78</v>
      </c>
      <c r="AD39">
        <v>6.38</v>
      </c>
      <c r="AG39">
        <v>7.24</v>
      </c>
      <c r="AI39">
        <v>9.7100000000000009</v>
      </c>
      <c r="AK39">
        <v>8.99</v>
      </c>
      <c r="AM39">
        <v>7.28</v>
      </c>
      <c r="AO39">
        <v>5.82</v>
      </c>
      <c r="AQ39">
        <v>7.64</v>
      </c>
      <c r="AR39">
        <v>5.69</v>
      </c>
      <c r="AT39">
        <v>5.05</v>
      </c>
      <c r="AW39">
        <v>8.8699999999999992</v>
      </c>
      <c r="AZ39">
        <v>8.59</v>
      </c>
      <c r="BB39">
        <v>7.79</v>
      </c>
      <c r="BD39">
        <v>7.38</v>
      </c>
      <c r="BF39">
        <v>7.38</v>
      </c>
      <c r="BI39">
        <v>7.1</v>
      </c>
      <c r="BJ39">
        <v>8.02</v>
      </c>
      <c r="BK39">
        <v>8.86</v>
      </c>
      <c r="BM39">
        <v>6.21</v>
      </c>
      <c r="BO39">
        <v>8.4499999999999993</v>
      </c>
      <c r="BR39">
        <v>13.54</v>
      </c>
      <c r="BU39">
        <v>6.57</v>
      </c>
      <c r="BV39">
        <v>8.94</v>
      </c>
      <c r="BY39">
        <v>7.41</v>
      </c>
      <c r="CC39">
        <v>8.27</v>
      </c>
      <c r="CF39">
        <v>6.19</v>
      </c>
      <c r="CH39">
        <v>16.75</v>
      </c>
      <c r="CJ39">
        <v>7.2</v>
      </c>
      <c r="CK39">
        <v>4.33</v>
      </c>
      <c r="CN39">
        <v>8.19</v>
      </c>
      <c r="CP39">
        <v>5.7</v>
      </c>
      <c r="CR39">
        <v>7.2</v>
      </c>
      <c r="CT39">
        <v>9.15</v>
      </c>
      <c r="CV39">
        <v>8.58</v>
      </c>
      <c r="CX39">
        <v>5.16</v>
      </c>
      <c r="CY39">
        <v>5.47</v>
      </c>
      <c r="CZ39">
        <v>7.85</v>
      </c>
      <c r="DB39">
        <v>6.52</v>
      </c>
      <c r="DD39">
        <v>7.43</v>
      </c>
      <c r="DM39">
        <v>8.5</v>
      </c>
      <c r="DN39">
        <v>9.92</v>
      </c>
      <c r="DO39">
        <v>5.15</v>
      </c>
      <c r="DQ39">
        <v>6.26</v>
      </c>
      <c r="DT39">
        <v>7.67</v>
      </c>
      <c r="DV39">
        <v>6.76</v>
      </c>
      <c r="DW39">
        <v>7.33</v>
      </c>
      <c r="DY39">
        <v>8.09</v>
      </c>
      <c r="DZ39">
        <v>7.57</v>
      </c>
      <c r="EB39">
        <v>6.05</v>
      </c>
      <c r="EC39">
        <v>5.05</v>
      </c>
      <c r="EE39">
        <v>7.65</v>
      </c>
      <c r="EG39">
        <v>3.96</v>
      </c>
      <c r="EI39">
        <v>6.17</v>
      </c>
      <c r="EK39">
        <v>16.18</v>
      </c>
      <c r="EO39">
        <v>8.5500000000000007</v>
      </c>
      <c r="EQ39">
        <v>6.15</v>
      </c>
      <c r="ER39">
        <v>8.18</v>
      </c>
      <c r="ET39">
        <v>9.89</v>
      </c>
      <c r="EW39">
        <v>9.83</v>
      </c>
      <c r="EZ39">
        <v>6.43</v>
      </c>
      <c r="FA39">
        <v>7.89</v>
      </c>
      <c r="FC39">
        <v>13.11</v>
      </c>
      <c r="FE39">
        <v>7.21</v>
      </c>
      <c r="FG39">
        <v>6.27</v>
      </c>
      <c r="FI39">
        <v>7.63</v>
      </c>
      <c r="FK39">
        <v>8.69</v>
      </c>
      <c r="FM39">
        <v>8.52</v>
      </c>
      <c r="FO39">
        <v>8.27</v>
      </c>
      <c r="FQ39">
        <v>7.31</v>
      </c>
      <c r="FS39">
        <v>7.27</v>
      </c>
      <c r="FU39">
        <v>7.43</v>
      </c>
      <c r="GA39">
        <v>5.15</v>
      </c>
      <c r="GB39">
        <v>8.17</v>
      </c>
      <c r="GE39">
        <v>11.24</v>
      </c>
      <c r="GG39">
        <v>8.01</v>
      </c>
      <c r="GH39">
        <v>6.54</v>
      </c>
      <c r="GK39">
        <v>6.15</v>
      </c>
      <c r="GM39">
        <v>7.4</v>
      </c>
      <c r="GN39">
        <v>8.68</v>
      </c>
      <c r="GP39">
        <v>7.11</v>
      </c>
      <c r="GQ39">
        <v>3.98</v>
      </c>
      <c r="GT39">
        <v>7.78</v>
      </c>
      <c r="GW39">
        <v>8.23</v>
      </c>
      <c r="GX39">
        <v>8.3800000000000008</v>
      </c>
      <c r="GY39">
        <v>8.1199999999999903</v>
      </c>
      <c r="HB39">
        <v>7.6</v>
      </c>
      <c r="HC39">
        <v>6.24</v>
      </c>
      <c r="HE39">
        <v>8.15</v>
      </c>
      <c r="HI39">
        <v>7.85</v>
      </c>
      <c r="HK39">
        <v>9.31</v>
      </c>
      <c r="HL39">
        <v>8.93</v>
      </c>
      <c r="HO39">
        <v>7.06</v>
      </c>
      <c r="HQ39">
        <v>8.31</v>
      </c>
      <c r="HR39">
        <v>6</v>
      </c>
      <c r="HS39">
        <v>8.7200000000000006</v>
      </c>
      <c r="HU39">
        <v>6.94</v>
      </c>
      <c r="HX39">
        <v>8.67</v>
      </c>
      <c r="HY39">
        <v>10.26</v>
      </c>
      <c r="IA39">
        <v>6.63</v>
      </c>
      <c r="ID39">
        <v>9.64</v>
      </c>
      <c r="IG39">
        <v>9.16</v>
      </c>
      <c r="II39">
        <v>8.81</v>
      </c>
      <c r="IL39">
        <v>9.82</v>
      </c>
      <c r="IM39">
        <v>5.48</v>
      </c>
      <c r="IP39">
        <v>8.98</v>
      </c>
      <c r="IR39">
        <v>8.89</v>
      </c>
      <c r="IU39">
        <v>8.66</v>
      </c>
      <c r="IV39">
        <v>9.57</v>
      </c>
      <c r="IX39">
        <v>7.43</v>
      </c>
      <c r="IZ39">
        <v>6.13</v>
      </c>
      <c r="JB39">
        <v>8.48</v>
      </c>
      <c r="JC39">
        <v>8.34</v>
      </c>
      <c r="JE39">
        <v>8.33</v>
      </c>
      <c r="JH39">
        <v>12.66</v>
      </c>
      <c r="JK39">
        <v>9.49</v>
      </c>
      <c r="JM39">
        <v>7.19</v>
      </c>
      <c r="JN39">
        <v>9.15</v>
      </c>
      <c r="JP39">
        <v>7.84</v>
      </c>
      <c r="JR39">
        <v>9.9</v>
      </c>
      <c r="JT39">
        <v>4.87</v>
      </c>
      <c r="JV39">
        <v>9.65</v>
      </c>
      <c r="JY39">
        <v>9.35</v>
      </c>
      <c r="KA39">
        <v>9.4600000000000009</v>
      </c>
      <c r="KC39">
        <v>4.92</v>
      </c>
      <c r="KF39">
        <v>12.45</v>
      </c>
      <c r="KI39">
        <v>8.06</v>
      </c>
      <c r="KJ39">
        <v>6.75</v>
      </c>
      <c r="KK39">
        <v>6.28</v>
      </c>
      <c r="KN39">
        <v>6.05</v>
      </c>
      <c r="KO39">
        <v>4</v>
      </c>
      <c r="KQ39">
        <v>8.3000000000000007</v>
      </c>
      <c r="KS39">
        <v>9.4700000000000006</v>
      </c>
      <c r="KU39">
        <v>9.0299999999999905</v>
      </c>
      <c r="KX39">
        <v>8.61</v>
      </c>
      <c r="KY39">
        <v>7.22</v>
      </c>
      <c r="LA39">
        <v>6.88</v>
      </c>
      <c r="LD39">
        <v>8.94</v>
      </c>
      <c r="LE39">
        <v>6.48</v>
      </c>
      <c r="LG39">
        <v>6.16</v>
      </c>
    </row>
    <row r="40" spans="1:319" x14ac:dyDescent="0.2">
      <c r="A40" s="37" t="s">
        <v>364</v>
      </c>
      <c r="B40">
        <v>867.77999999999986</v>
      </c>
      <c r="C40">
        <v>16.68807692307692</v>
      </c>
      <c r="D40" s="37" t="s">
        <v>320</v>
      </c>
      <c r="E40" s="37" t="s">
        <v>363</v>
      </c>
      <c r="F40">
        <v>5.52</v>
      </c>
      <c r="G40">
        <v>4.9000000000000004</v>
      </c>
      <c r="K40">
        <v>6.56</v>
      </c>
      <c r="M40">
        <v>5.0599999999999996</v>
      </c>
      <c r="N40">
        <v>6.87</v>
      </c>
      <c r="Q40">
        <v>8.7899999999999991</v>
      </c>
      <c r="R40">
        <v>3.1</v>
      </c>
      <c r="S40">
        <v>4.82</v>
      </c>
      <c r="W40">
        <v>8.2799999999999994</v>
      </c>
      <c r="X40">
        <v>6.78</v>
      </c>
      <c r="Z40">
        <v>5.63</v>
      </c>
      <c r="AC40">
        <v>5.67</v>
      </c>
      <c r="AD40">
        <v>9.9700000000000006</v>
      </c>
      <c r="AI40">
        <v>9.4499999999999993</v>
      </c>
      <c r="AJ40">
        <v>9.82</v>
      </c>
      <c r="AP40">
        <v>10.17</v>
      </c>
      <c r="AQ40">
        <v>10.06</v>
      </c>
      <c r="AV40">
        <v>9.16</v>
      </c>
      <c r="AX40">
        <v>3.79</v>
      </c>
      <c r="BE40">
        <v>7.38</v>
      </c>
      <c r="BF40">
        <v>8.2799999999999994</v>
      </c>
      <c r="BK40">
        <v>10.36</v>
      </c>
      <c r="BM40">
        <v>8.7899999999999991</v>
      </c>
      <c r="BQ40">
        <v>9.1300000000000008</v>
      </c>
      <c r="BS40">
        <v>8.8800000000000008</v>
      </c>
      <c r="BT40">
        <v>9.52</v>
      </c>
      <c r="BW40">
        <v>11.33</v>
      </c>
      <c r="CE40">
        <v>6.08</v>
      </c>
      <c r="CF40">
        <v>8.64</v>
      </c>
      <c r="CK40">
        <v>9.9499999999999993</v>
      </c>
      <c r="CL40">
        <v>9.76</v>
      </c>
      <c r="CR40">
        <v>16.45</v>
      </c>
      <c r="CW40">
        <v>16.100000000000001</v>
      </c>
      <c r="DC40">
        <v>8.3000000000000007</v>
      </c>
      <c r="DD40">
        <v>10.3</v>
      </c>
      <c r="DL40">
        <v>5.84</v>
      </c>
      <c r="DM40">
        <v>5.1100000000000003</v>
      </c>
      <c r="DQ40">
        <v>7.82</v>
      </c>
      <c r="DR40">
        <v>5.0599999999999898</v>
      </c>
      <c r="DS40">
        <v>5.99</v>
      </c>
      <c r="DW40">
        <v>7.78</v>
      </c>
      <c r="DX40">
        <v>5.31</v>
      </c>
      <c r="DY40">
        <v>5.27</v>
      </c>
      <c r="EC40">
        <v>5.64</v>
      </c>
      <c r="ED40">
        <v>5.33</v>
      </c>
      <c r="EE40">
        <v>6.17</v>
      </c>
      <c r="EI40">
        <v>7.11</v>
      </c>
      <c r="EJ40">
        <v>6.98</v>
      </c>
      <c r="EK40">
        <v>6.06</v>
      </c>
      <c r="EO40">
        <v>5.69</v>
      </c>
      <c r="EP40">
        <v>5.4</v>
      </c>
      <c r="EQ40">
        <v>5.54</v>
      </c>
      <c r="ET40">
        <v>6.73</v>
      </c>
      <c r="EV40">
        <v>6.21</v>
      </c>
      <c r="EW40">
        <v>5.54</v>
      </c>
      <c r="FA40">
        <v>7.39</v>
      </c>
      <c r="FB40">
        <v>5.59</v>
      </c>
      <c r="FC40">
        <v>7.12</v>
      </c>
      <c r="FG40">
        <v>7.15</v>
      </c>
      <c r="FH40">
        <v>6.69</v>
      </c>
      <c r="FI40">
        <v>5.48</v>
      </c>
      <c r="FN40">
        <v>5.66</v>
      </c>
      <c r="FP40">
        <v>8</v>
      </c>
      <c r="FQ40">
        <v>7.29</v>
      </c>
      <c r="FS40">
        <v>4.01</v>
      </c>
      <c r="FT40">
        <v>2.68</v>
      </c>
      <c r="FU40">
        <v>5.45</v>
      </c>
      <c r="FY40">
        <v>6.44</v>
      </c>
      <c r="FZ40">
        <v>5.62</v>
      </c>
      <c r="GB40">
        <v>7.2</v>
      </c>
      <c r="GE40">
        <v>4.55</v>
      </c>
      <c r="GF40">
        <v>6.06</v>
      </c>
      <c r="GG40">
        <v>2.8</v>
      </c>
      <c r="GK40">
        <v>6.67</v>
      </c>
      <c r="GL40">
        <v>4.75</v>
      </c>
      <c r="GR40">
        <v>4.88</v>
      </c>
      <c r="GS40">
        <v>5.2</v>
      </c>
      <c r="GX40">
        <v>4.5199999999999898</v>
      </c>
      <c r="GY40">
        <v>5.83</v>
      </c>
      <c r="HC40">
        <v>5.63</v>
      </c>
      <c r="HD40">
        <v>6.01</v>
      </c>
      <c r="HE40">
        <v>5.13</v>
      </c>
      <c r="HI40">
        <v>7.43</v>
      </c>
      <c r="HJ40">
        <v>5</v>
      </c>
      <c r="HK40">
        <v>5.17</v>
      </c>
      <c r="HO40">
        <v>7.12</v>
      </c>
      <c r="HP40">
        <v>4.99</v>
      </c>
      <c r="HQ40">
        <v>5.75</v>
      </c>
      <c r="HV40">
        <v>7.79</v>
      </c>
      <c r="HW40">
        <v>7.91</v>
      </c>
      <c r="IA40">
        <v>8.0299999999999905</v>
      </c>
      <c r="IB40">
        <v>6.88</v>
      </c>
      <c r="IF40">
        <v>10.220000000000001</v>
      </c>
      <c r="IG40">
        <v>7.16</v>
      </c>
      <c r="II40">
        <v>4.74</v>
      </c>
      <c r="IM40">
        <v>8.15</v>
      </c>
      <c r="IN40">
        <v>7.68</v>
      </c>
      <c r="IQ40">
        <v>7.21</v>
      </c>
      <c r="IT40">
        <v>11.99</v>
      </c>
      <c r="IY40">
        <v>9.17</v>
      </c>
      <c r="JA40">
        <v>7.13</v>
      </c>
      <c r="JE40">
        <v>14.23</v>
      </c>
      <c r="JF40">
        <v>6.89</v>
      </c>
      <c r="JG40">
        <v>6.54</v>
      </c>
      <c r="JK40">
        <v>7.48</v>
      </c>
      <c r="JL40">
        <v>4.57</v>
      </c>
      <c r="JM40">
        <v>5.51</v>
      </c>
      <c r="JQ40">
        <v>7.25</v>
      </c>
      <c r="JS40">
        <v>11.28</v>
      </c>
      <c r="JW40">
        <v>7.47</v>
      </c>
      <c r="JX40">
        <v>5.01</v>
      </c>
      <c r="JY40">
        <v>4.51</v>
      </c>
      <c r="KC40">
        <v>5.76</v>
      </c>
      <c r="KD40">
        <v>8.5399999999999903</v>
      </c>
      <c r="KE40">
        <v>5.36</v>
      </c>
      <c r="KI40">
        <v>7.3</v>
      </c>
      <c r="KJ40">
        <v>3.59</v>
      </c>
      <c r="KK40">
        <v>4.46</v>
      </c>
      <c r="KO40">
        <v>5.95</v>
      </c>
      <c r="KP40">
        <v>5.01</v>
      </c>
      <c r="KQ40">
        <v>4.8899999999999899</v>
      </c>
      <c r="KV40">
        <v>10.77</v>
      </c>
      <c r="KW40">
        <v>5.57</v>
      </c>
      <c r="LC40">
        <v>5.83</v>
      </c>
      <c r="LF40">
        <v>6.46</v>
      </c>
    </row>
    <row r="41" spans="1:319" x14ac:dyDescent="0.2">
      <c r="A41" s="37" t="s">
        <v>365</v>
      </c>
      <c r="B41">
        <v>890.97999999999979</v>
      </c>
      <c r="C41">
        <v>17.134230769230765</v>
      </c>
      <c r="D41" s="37" t="s">
        <v>320</v>
      </c>
      <c r="E41" s="37" t="s">
        <v>363</v>
      </c>
      <c r="F41">
        <v>5.08</v>
      </c>
      <c r="I41">
        <v>5.38</v>
      </c>
      <c r="N41">
        <v>6.21</v>
      </c>
      <c r="P41">
        <v>5.32</v>
      </c>
      <c r="S41">
        <v>6.74</v>
      </c>
      <c r="V41">
        <v>7.71</v>
      </c>
      <c r="W41">
        <v>2.21</v>
      </c>
      <c r="Y41">
        <v>7.23</v>
      </c>
      <c r="Z41">
        <v>4.09</v>
      </c>
      <c r="AB41">
        <v>5.48</v>
      </c>
      <c r="AC41">
        <v>3.66</v>
      </c>
      <c r="AE41">
        <v>3.61</v>
      </c>
      <c r="AG41">
        <v>5.07</v>
      </c>
      <c r="AI41">
        <v>6.81</v>
      </c>
      <c r="AJ41">
        <v>6.79</v>
      </c>
      <c r="AL41">
        <v>8.65</v>
      </c>
      <c r="AP41">
        <v>7.08</v>
      </c>
      <c r="AR41">
        <v>6.25</v>
      </c>
      <c r="AS41">
        <v>10.050000000000001</v>
      </c>
      <c r="AU41">
        <v>12.21</v>
      </c>
      <c r="AV41">
        <v>7.06</v>
      </c>
      <c r="AW41">
        <v>6.21</v>
      </c>
      <c r="AY41">
        <v>6.4</v>
      </c>
      <c r="BA41">
        <v>5.84</v>
      </c>
      <c r="BC41">
        <v>6.9</v>
      </c>
      <c r="BE41">
        <v>8.14</v>
      </c>
      <c r="BG41">
        <v>5.58</v>
      </c>
      <c r="BH41">
        <v>7.32</v>
      </c>
      <c r="BJ41">
        <v>4.84</v>
      </c>
      <c r="BK41">
        <v>9.2899999999999991</v>
      </c>
      <c r="BM41">
        <v>5.58</v>
      </c>
      <c r="BN41">
        <v>6.33</v>
      </c>
      <c r="BP41">
        <v>7.08</v>
      </c>
      <c r="BR41">
        <v>6.12</v>
      </c>
      <c r="BW41">
        <v>6.86</v>
      </c>
      <c r="BY41">
        <v>5.78</v>
      </c>
      <c r="CB41">
        <v>5.24</v>
      </c>
      <c r="CD41">
        <v>5.31</v>
      </c>
      <c r="CF41">
        <v>4.29</v>
      </c>
      <c r="CG41">
        <v>6.64</v>
      </c>
      <c r="CI41">
        <v>6.25</v>
      </c>
      <c r="CJ41">
        <v>4.6399999999999997</v>
      </c>
      <c r="CL41">
        <v>5.08</v>
      </c>
      <c r="CN41">
        <v>5</v>
      </c>
      <c r="CP41">
        <v>5.26</v>
      </c>
      <c r="CQ41">
        <v>6.02</v>
      </c>
      <c r="CU41">
        <v>6.88</v>
      </c>
      <c r="CV41">
        <v>8.6300000000000008</v>
      </c>
      <c r="CX41">
        <v>5.97</v>
      </c>
      <c r="CZ41">
        <v>5.48</v>
      </c>
      <c r="DB41">
        <v>6</v>
      </c>
      <c r="DD41">
        <v>5.25</v>
      </c>
      <c r="DM41">
        <v>4.43</v>
      </c>
      <c r="DQ41">
        <v>6.6</v>
      </c>
      <c r="DR41">
        <v>5.19</v>
      </c>
      <c r="DT41">
        <v>5.92</v>
      </c>
      <c r="DV41">
        <v>5.32</v>
      </c>
      <c r="DX41">
        <v>7.14</v>
      </c>
      <c r="EB41">
        <v>5.52</v>
      </c>
      <c r="ED41">
        <v>5.25</v>
      </c>
      <c r="EF41">
        <v>5.27</v>
      </c>
      <c r="EH41">
        <v>4.68</v>
      </c>
      <c r="EJ41">
        <v>7.26</v>
      </c>
      <c r="EL41">
        <v>5.83</v>
      </c>
      <c r="EN41">
        <v>5.1100000000000003</v>
      </c>
      <c r="EP41">
        <v>5.87</v>
      </c>
      <c r="ER41">
        <v>5.99</v>
      </c>
      <c r="ET41">
        <v>5.15</v>
      </c>
      <c r="EV41">
        <v>6.66</v>
      </c>
      <c r="EX41">
        <v>6.16</v>
      </c>
      <c r="FA41">
        <v>6.27</v>
      </c>
      <c r="FB41">
        <v>6.81</v>
      </c>
      <c r="FD41">
        <v>5.23</v>
      </c>
      <c r="FG41">
        <v>7</v>
      </c>
      <c r="FI41">
        <v>6.81</v>
      </c>
      <c r="FK41">
        <v>6.59</v>
      </c>
      <c r="FM41">
        <v>4.9800000000000004</v>
      </c>
      <c r="FN41">
        <v>5.2</v>
      </c>
      <c r="FP41">
        <v>5.62</v>
      </c>
      <c r="FT41">
        <v>11.71</v>
      </c>
      <c r="FU41">
        <v>2.52</v>
      </c>
      <c r="FX41">
        <v>5.12</v>
      </c>
      <c r="FY41">
        <v>3.03</v>
      </c>
      <c r="FZ41">
        <v>4.84</v>
      </c>
      <c r="GB41">
        <v>6.29</v>
      </c>
      <c r="GD41">
        <v>4.97</v>
      </c>
      <c r="GE41">
        <v>2.61</v>
      </c>
      <c r="GF41">
        <v>6.19</v>
      </c>
      <c r="GH41">
        <v>5.65</v>
      </c>
      <c r="GJ41">
        <v>5.17</v>
      </c>
      <c r="GN41">
        <v>13.63</v>
      </c>
      <c r="GQ41">
        <v>5.47</v>
      </c>
      <c r="GT41">
        <v>7.16</v>
      </c>
      <c r="GU41">
        <v>7.44</v>
      </c>
      <c r="GW41">
        <v>7.12</v>
      </c>
      <c r="GX41">
        <v>4.58</v>
      </c>
      <c r="GZ41">
        <v>6.36</v>
      </c>
      <c r="HB41">
        <v>5.79</v>
      </c>
      <c r="HD41">
        <v>3.82</v>
      </c>
      <c r="HI41">
        <v>6.73</v>
      </c>
      <c r="HJ41">
        <v>5.99</v>
      </c>
      <c r="HL41">
        <v>5.19</v>
      </c>
      <c r="HN41">
        <v>5.07</v>
      </c>
      <c r="HP41">
        <v>6.66</v>
      </c>
      <c r="HR41">
        <v>7.02</v>
      </c>
      <c r="HU41">
        <v>7.37</v>
      </c>
      <c r="HW41">
        <v>4.99</v>
      </c>
      <c r="HY41">
        <v>6.77</v>
      </c>
      <c r="IA41">
        <v>5.8</v>
      </c>
      <c r="IB41">
        <v>5.49</v>
      </c>
      <c r="ID41">
        <v>5.92</v>
      </c>
      <c r="IF41">
        <v>4.87</v>
      </c>
      <c r="IH41">
        <v>6.29</v>
      </c>
      <c r="IJ41">
        <v>5.75</v>
      </c>
      <c r="IM41">
        <v>6.17</v>
      </c>
      <c r="IN41">
        <v>5.27</v>
      </c>
      <c r="IP41">
        <v>8.89</v>
      </c>
      <c r="IS41">
        <v>6.95</v>
      </c>
      <c r="IV41">
        <v>12.87</v>
      </c>
      <c r="IW41">
        <v>10.66</v>
      </c>
      <c r="IX41">
        <v>5.1100000000000003</v>
      </c>
      <c r="IZ41">
        <v>7.01</v>
      </c>
      <c r="JC41">
        <v>7.4</v>
      </c>
      <c r="JD41">
        <v>4.41</v>
      </c>
      <c r="JN41">
        <v>5.12</v>
      </c>
      <c r="JT41">
        <v>4.26</v>
      </c>
      <c r="JX41">
        <v>18.809999999999899</v>
      </c>
      <c r="JZ41">
        <v>5.37</v>
      </c>
      <c r="KC41">
        <v>6.9</v>
      </c>
      <c r="KE41">
        <v>5.51</v>
      </c>
      <c r="KF41">
        <v>5.82</v>
      </c>
      <c r="KH41">
        <v>6.49</v>
      </c>
      <c r="KJ41">
        <v>7.17</v>
      </c>
      <c r="KL41">
        <v>6.18</v>
      </c>
      <c r="KN41">
        <v>3.34</v>
      </c>
      <c r="KP41">
        <v>7.23</v>
      </c>
      <c r="KQ41">
        <v>4.91</v>
      </c>
      <c r="KT41">
        <v>6.56</v>
      </c>
      <c r="KW41">
        <v>6.38</v>
      </c>
      <c r="KX41">
        <v>7.17</v>
      </c>
      <c r="LC41">
        <v>4.45</v>
      </c>
      <c r="LD41">
        <v>7.41</v>
      </c>
      <c r="LG41">
        <v>7.02</v>
      </c>
    </row>
    <row r="42" spans="1:319" x14ac:dyDescent="0.2">
      <c r="A42" s="37" t="s">
        <v>366</v>
      </c>
      <c r="B42">
        <v>1605.4100000000003</v>
      </c>
      <c r="C42">
        <v>30.873269230769235</v>
      </c>
      <c r="D42" s="37" t="s">
        <v>320</v>
      </c>
      <c r="E42" s="37" t="s">
        <v>363</v>
      </c>
      <c r="H42">
        <v>13.9</v>
      </c>
      <c r="J42">
        <v>8.09</v>
      </c>
      <c r="K42">
        <v>7.11</v>
      </c>
      <c r="N42">
        <v>15.28</v>
      </c>
      <c r="Q42">
        <v>19.34</v>
      </c>
      <c r="R42">
        <v>4.91</v>
      </c>
      <c r="T42">
        <v>11.3</v>
      </c>
      <c r="V42">
        <v>14.56</v>
      </c>
      <c r="W42">
        <v>15.52</v>
      </c>
      <c r="X42">
        <v>6.1</v>
      </c>
      <c r="Y42">
        <v>6.84</v>
      </c>
      <c r="AC42">
        <v>12.44</v>
      </c>
      <c r="AH42">
        <v>16.100000000000001</v>
      </c>
      <c r="AI42">
        <v>14.44</v>
      </c>
      <c r="AL42">
        <v>15.03</v>
      </c>
      <c r="AO42">
        <v>14.37</v>
      </c>
      <c r="AQ42">
        <v>13.57</v>
      </c>
      <c r="AT42">
        <v>13.58</v>
      </c>
      <c r="AW42">
        <v>7.14</v>
      </c>
      <c r="AX42">
        <v>14.64</v>
      </c>
      <c r="BA42">
        <v>14.82</v>
      </c>
      <c r="BC42">
        <v>15.5</v>
      </c>
      <c r="BD42">
        <v>13.51</v>
      </c>
      <c r="BG42">
        <v>15.48</v>
      </c>
      <c r="BJ42">
        <v>5.89</v>
      </c>
      <c r="BL42">
        <v>7.83</v>
      </c>
      <c r="BM42">
        <v>13.18</v>
      </c>
      <c r="BN42">
        <v>6.64</v>
      </c>
      <c r="BR42">
        <v>14.78</v>
      </c>
      <c r="BU42">
        <v>15.96</v>
      </c>
      <c r="BX42">
        <v>14.14</v>
      </c>
      <c r="CB42">
        <v>12.47</v>
      </c>
      <c r="CE42">
        <v>14.52</v>
      </c>
      <c r="CH42">
        <v>12.74</v>
      </c>
      <c r="CI42">
        <v>13.77</v>
      </c>
      <c r="CK42">
        <v>12.38</v>
      </c>
      <c r="CO42">
        <v>13.62</v>
      </c>
      <c r="CP42">
        <v>11.47</v>
      </c>
      <c r="CR42">
        <v>14.32</v>
      </c>
      <c r="CU42">
        <v>14.19</v>
      </c>
      <c r="CV42">
        <v>9.77</v>
      </c>
      <c r="CZ42">
        <v>13.55</v>
      </c>
      <c r="DB42">
        <v>10.51</v>
      </c>
      <c r="DC42">
        <v>14.43</v>
      </c>
      <c r="DL42">
        <v>13.23</v>
      </c>
      <c r="DN42">
        <v>4.97</v>
      </c>
      <c r="DO42">
        <v>12.44</v>
      </c>
      <c r="DQ42">
        <v>11.54</v>
      </c>
      <c r="DT42">
        <v>13.67</v>
      </c>
      <c r="DW42">
        <v>12.35</v>
      </c>
      <c r="DY42">
        <v>11.11</v>
      </c>
      <c r="EA42">
        <v>7.99</v>
      </c>
      <c r="EC42">
        <v>4.01</v>
      </c>
      <c r="EE42">
        <v>15.58</v>
      </c>
      <c r="EF42">
        <v>14.7</v>
      </c>
      <c r="EI42">
        <v>14.58</v>
      </c>
      <c r="EM42">
        <v>16.899999999999899</v>
      </c>
      <c r="EO42">
        <v>12.53</v>
      </c>
      <c r="EQ42">
        <v>7.63</v>
      </c>
      <c r="ER42">
        <v>7.64</v>
      </c>
      <c r="EU42">
        <v>19.5</v>
      </c>
      <c r="EW42">
        <v>14.99</v>
      </c>
      <c r="EZ42">
        <v>14.28</v>
      </c>
      <c r="FD42">
        <v>20.440000000000001</v>
      </c>
      <c r="FG42">
        <v>10.94</v>
      </c>
      <c r="FJ42">
        <v>13.88</v>
      </c>
      <c r="FM42">
        <v>14.94</v>
      </c>
      <c r="FO42">
        <v>10.19</v>
      </c>
      <c r="FS42">
        <v>15.12</v>
      </c>
      <c r="FX42">
        <v>10.99</v>
      </c>
      <c r="FY42">
        <v>8.76</v>
      </c>
      <c r="GB42">
        <v>7.93</v>
      </c>
      <c r="GD42">
        <v>15.77</v>
      </c>
      <c r="GE42">
        <v>14.4</v>
      </c>
      <c r="GJ42">
        <v>24.69</v>
      </c>
      <c r="GN42">
        <v>16.27</v>
      </c>
      <c r="GQ42">
        <v>7.68</v>
      </c>
      <c r="GT42">
        <v>15.46</v>
      </c>
      <c r="GV42">
        <v>7.94</v>
      </c>
      <c r="GW42">
        <v>16.97</v>
      </c>
      <c r="GX42">
        <v>9.56</v>
      </c>
      <c r="HC42">
        <v>16.46</v>
      </c>
      <c r="HG42">
        <v>8.1</v>
      </c>
      <c r="HH42">
        <v>5.44</v>
      </c>
      <c r="HI42">
        <v>5.93</v>
      </c>
      <c r="HL42">
        <v>15.4</v>
      </c>
      <c r="HM42">
        <v>6.45</v>
      </c>
      <c r="HO42">
        <v>14.99</v>
      </c>
      <c r="HR42">
        <v>14.8</v>
      </c>
      <c r="HU42">
        <v>18.39</v>
      </c>
      <c r="HW42">
        <v>14.08</v>
      </c>
      <c r="HX42">
        <v>2.83</v>
      </c>
      <c r="IA42">
        <v>16.420000000000002</v>
      </c>
      <c r="ID42">
        <v>16.170000000000002</v>
      </c>
      <c r="IF42">
        <v>6.84</v>
      </c>
      <c r="IG42">
        <v>8.32</v>
      </c>
      <c r="II42">
        <v>15.02</v>
      </c>
      <c r="IJ42">
        <v>7.7</v>
      </c>
      <c r="IM42">
        <v>8.6300000000000008</v>
      </c>
      <c r="IN42">
        <v>8.6</v>
      </c>
      <c r="IP42">
        <v>9.19</v>
      </c>
      <c r="IR42">
        <v>7.99</v>
      </c>
      <c r="IS42">
        <v>14.38</v>
      </c>
      <c r="IV42">
        <v>12.25</v>
      </c>
      <c r="IY42">
        <v>13.79</v>
      </c>
      <c r="IZ42">
        <v>4.79</v>
      </c>
      <c r="JD42">
        <v>13.87</v>
      </c>
      <c r="JE42">
        <v>9.6300000000000008</v>
      </c>
      <c r="JH42">
        <v>8</v>
      </c>
      <c r="JI42">
        <v>17.37</v>
      </c>
      <c r="JM42">
        <v>15.88</v>
      </c>
      <c r="JO42">
        <v>15.8</v>
      </c>
      <c r="JQ42">
        <v>14.19</v>
      </c>
      <c r="JT42">
        <v>14.43</v>
      </c>
      <c r="JW42">
        <v>14.79</v>
      </c>
      <c r="JX42">
        <v>7.83</v>
      </c>
      <c r="JZ42">
        <v>14.11</v>
      </c>
      <c r="KB42">
        <v>7.65</v>
      </c>
      <c r="KC42">
        <v>6.93</v>
      </c>
      <c r="KE42">
        <v>8.77</v>
      </c>
      <c r="KF42">
        <v>13.67</v>
      </c>
      <c r="KG42">
        <v>7.73</v>
      </c>
      <c r="KL42">
        <v>15.26</v>
      </c>
      <c r="KO42">
        <v>13.86</v>
      </c>
      <c r="KP42">
        <v>7.14</v>
      </c>
      <c r="KR42">
        <v>14.48</v>
      </c>
      <c r="KU42">
        <v>8.0500000000000007</v>
      </c>
      <c r="KW42">
        <v>8.02</v>
      </c>
      <c r="KY42">
        <v>14.28</v>
      </c>
      <c r="KZ42">
        <v>10.49</v>
      </c>
      <c r="LC42">
        <v>6.19</v>
      </c>
      <c r="LE42">
        <v>15.8</v>
      </c>
      <c r="LG42">
        <v>6.93</v>
      </c>
    </row>
    <row r="43" spans="1:319" x14ac:dyDescent="0.2">
      <c r="A43" s="37" t="s">
        <v>367</v>
      </c>
      <c r="B43">
        <v>1316.5699999999997</v>
      </c>
      <c r="C43">
        <v>25.31865384615384</v>
      </c>
      <c r="D43" s="37" t="s">
        <v>320</v>
      </c>
      <c r="E43" s="37" t="s">
        <v>363</v>
      </c>
      <c r="F43">
        <v>11.93</v>
      </c>
      <c r="I43">
        <v>12.24</v>
      </c>
      <c r="L43">
        <v>7.63</v>
      </c>
      <c r="N43">
        <v>6.71</v>
      </c>
      <c r="O43">
        <v>13.65</v>
      </c>
      <c r="R43">
        <v>4.9400000000000004</v>
      </c>
      <c r="S43">
        <v>6.86</v>
      </c>
      <c r="U43">
        <v>12.89</v>
      </c>
      <c r="X43">
        <v>11.51</v>
      </c>
      <c r="Z43">
        <v>5.94</v>
      </c>
      <c r="AA43">
        <v>11.84</v>
      </c>
      <c r="AE43">
        <v>6.06</v>
      </c>
      <c r="AF43">
        <v>8.77</v>
      </c>
      <c r="AG43">
        <v>6.65</v>
      </c>
      <c r="AJ43">
        <v>14.46</v>
      </c>
      <c r="AM43">
        <v>11.68</v>
      </c>
      <c r="AP43">
        <v>13.41</v>
      </c>
      <c r="AS43">
        <v>11.88</v>
      </c>
      <c r="AV43">
        <v>5.19</v>
      </c>
      <c r="AX43">
        <v>6.88</v>
      </c>
      <c r="BA43">
        <v>7.36</v>
      </c>
      <c r="BB43">
        <v>15.5</v>
      </c>
      <c r="BE43">
        <v>6.43</v>
      </c>
      <c r="BF43">
        <v>7.69</v>
      </c>
      <c r="BH43">
        <v>12.61</v>
      </c>
      <c r="BK43">
        <v>12.82</v>
      </c>
      <c r="BN43">
        <v>14.67</v>
      </c>
      <c r="BQ43">
        <v>7.14</v>
      </c>
      <c r="BT43">
        <v>12.7</v>
      </c>
      <c r="BW43">
        <v>12.38</v>
      </c>
      <c r="CA43">
        <v>13.37</v>
      </c>
      <c r="CD43">
        <v>13.85</v>
      </c>
      <c r="CG43">
        <v>7.29</v>
      </c>
      <c r="CH43">
        <v>6.7</v>
      </c>
      <c r="CJ43">
        <v>8.9600000000000009</v>
      </c>
      <c r="CK43">
        <v>5.28</v>
      </c>
      <c r="CM43">
        <v>12.92</v>
      </c>
      <c r="CP43">
        <v>12.43</v>
      </c>
      <c r="CS43">
        <v>13.65</v>
      </c>
      <c r="CV43">
        <v>14.51</v>
      </c>
      <c r="CY43">
        <v>8.34</v>
      </c>
      <c r="CZ43">
        <v>7.44</v>
      </c>
      <c r="DB43">
        <v>4.38</v>
      </c>
      <c r="DC43">
        <v>6.29</v>
      </c>
      <c r="DL43">
        <v>7.33</v>
      </c>
      <c r="DM43">
        <v>6.49</v>
      </c>
      <c r="DO43">
        <v>10.53</v>
      </c>
      <c r="DQ43">
        <v>8.61</v>
      </c>
      <c r="DS43">
        <v>7.15</v>
      </c>
      <c r="DU43">
        <v>9.69</v>
      </c>
      <c r="DX43">
        <v>13.09</v>
      </c>
      <c r="EA43">
        <v>5.03</v>
      </c>
      <c r="EB43">
        <v>7.81</v>
      </c>
      <c r="ED43">
        <v>13.1</v>
      </c>
      <c r="EG43">
        <v>12.84</v>
      </c>
      <c r="EJ43">
        <v>13.5</v>
      </c>
      <c r="EK43">
        <v>4.79</v>
      </c>
      <c r="EM43">
        <v>8.6199999999999903</v>
      </c>
      <c r="EP43">
        <v>13.18</v>
      </c>
      <c r="ES43">
        <v>12.05</v>
      </c>
      <c r="EV43">
        <v>13.69</v>
      </c>
      <c r="EY43">
        <v>12.32</v>
      </c>
      <c r="FB43">
        <v>13.31</v>
      </c>
      <c r="FE43">
        <v>13.27</v>
      </c>
      <c r="FH43">
        <v>13.54</v>
      </c>
      <c r="FK43">
        <v>13.5</v>
      </c>
      <c r="FN43">
        <v>13.2</v>
      </c>
      <c r="FQ43">
        <v>8.0299999999999905</v>
      </c>
      <c r="FT43">
        <v>12.93</v>
      </c>
      <c r="FW43">
        <v>11.82</v>
      </c>
      <c r="FZ43">
        <v>12.35</v>
      </c>
      <c r="GC43">
        <v>12.57</v>
      </c>
      <c r="GF43">
        <v>14.75</v>
      </c>
      <c r="GI43">
        <v>12.52</v>
      </c>
      <c r="GL43">
        <v>7.41</v>
      </c>
      <c r="GM43">
        <v>7.44</v>
      </c>
      <c r="GO43">
        <v>10.66</v>
      </c>
      <c r="GS43">
        <v>13.47</v>
      </c>
      <c r="GV43">
        <v>8.64</v>
      </c>
      <c r="GW43">
        <v>6.95</v>
      </c>
      <c r="GX43">
        <v>12.64</v>
      </c>
      <c r="HA43">
        <v>12.43</v>
      </c>
      <c r="HD43">
        <v>7.31</v>
      </c>
      <c r="HE43">
        <v>7.51</v>
      </c>
      <c r="HG43">
        <v>7.16</v>
      </c>
      <c r="HJ43">
        <v>7.65</v>
      </c>
      <c r="HK43">
        <v>7.5</v>
      </c>
      <c r="HM43">
        <v>11.92</v>
      </c>
      <c r="HP43">
        <v>13.11</v>
      </c>
      <c r="HS43">
        <v>13.3</v>
      </c>
      <c r="HV43">
        <v>6.25</v>
      </c>
      <c r="HX43">
        <v>8.01</v>
      </c>
      <c r="HZ43">
        <v>7.35</v>
      </c>
      <c r="IB43">
        <v>14.74</v>
      </c>
      <c r="IF43">
        <v>13.73</v>
      </c>
      <c r="IG43">
        <v>3.96</v>
      </c>
      <c r="II43">
        <v>3.88</v>
      </c>
      <c r="IK43">
        <v>2.27</v>
      </c>
      <c r="IL43">
        <v>5.95</v>
      </c>
      <c r="IN43">
        <v>14.03</v>
      </c>
      <c r="IQ43">
        <v>13.14</v>
      </c>
      <c r="IT43">
        <v>15.05</v>
      </c>
      <c r="IW43">
        <v>8.2899999999999903</v>
      </c>
      <c r="IX43">
        <v>8.56</v>
      </c>
      <c r="IZ43">
        <v>5.86</v>
      </c>
      <c r="JA43">
        <v>5.83</v>
      </c>
      <c r="JC43">
        <v>1.58</v>
      </c>
      <c r="JE43">
        <v>8.49</v>
      </c>
      <c r="JF43">
        <v>15.65</v>
      </c>
      <c r="JI43">
        <v>13.72</v>
      </c>
      <c r="JL43">
        <v>14.73</v>
      </c>
      <c r="JO43">
        <v>12.98</v>
      </c>
      <c r="JR43">
        <v>14.18</v>
      </c>
      <c r="JU43">
        <v>12.79</v>
      </c>
      <c r="JX43">
        <v>13.74</v>
      </c>
      <c r="KA43">
        <v>14.08</v>
      </c>
      <c r="KD43">
        <v>15</v>
      </c>
      <c r="KG43">
        <v>13.17</v>
      </c>
      <c r="KJ43">
        <v>14.9</v>
      </c>
      <c r="KM43">
        <v>12.06</v>
      </c>
      <c r="KP43">
        <v>13.45</v>
      </c>
      <c r="KS43">
        <v>12.02</v>
      </c>
      <c r="KV43">
        <v>11.73</v>
      </c>
      <c r="KX43">
        <v>6.99</v>
      </c>
      <c r="LA43">
        <v>6.4</v>
      </c>
      <c r="LB43">
        <v>14.06</v>
      </c>
      <c r="LE43">
        <v>15.41</v>
      </c>
    </row>
    <row r="44" spans="1:319" x14ac:dyDescent="0.2">
      <c r="A44" s="37" t="s">
        <v>368</v>
      </c>
      <c r="B44">
        <v>593.75999999999988</v>
      </c>
      <c r="C44">
        <v>11.418461538461536</v>
      </c>
      <c r="D44" s="37" t="s">
        <v>320</v>
      </c>
      <c r="E44" s="37" t="s">
        <v>363</v>
      </c>
      <c r="G44">
        <v>5.61</v>
      </c>
      <c r="J44">
        <v>6.01</v>
      </c>
      <c r="O44">
        <v>8.02</v>
      </c>
      <c r="P44">
        <v>5.81</v>
      </c>
      <c r="S44">
        <v>4.34</v>
      </c>
      <c r="V44">
        <v>6.27</v>
      </c>
      <c r="Z44">
        <v>8.6</v>
      </c>
      <c r="AB44">
        <v>6.5</v>
      </c>
      <c r="AG44">
        <v>14.11</v>
      </c>
      <c r="AM44">
        <v>15.15</v>
      </c>
      <c r="AY44">
        <v>7.96</v>
      </c>
      <c r="AZ44">
        <v>5.8</v>
      </c>
      <c r="BC44">
        <v>5.48</v>
      </c>
      <c r="BG44">
        <v>6.49</v>
      </c>
      <c r="BI44">
        <v>6.19</v>
      </c>
      <c r="BM44">
        <v>4.0599999999999996</v>
      </c>
      <c r="BO44">
        <v>9.18</v>
      </c>
      <c r="BS44">
        <v>7.51</v>
      </c>
      <c r="BX44">
        <v>14.08</v>
      </c>
      <c r="CF44">
        <v>12.81</v>
      </c>
      <c r="CI44">
        <v>8.19</v>
      </c>
      <c r="CL44">
        <v>6.66</v>
      </c>
      <c r="CS44">
        <v>16.3</v>
      </c>
      <c r="DB44">
        <v>6.67</v>
      </c>
      <c r="DD44">
        <v>6.76</v>
      </c>
      <c r="DM44">
        <v>6.32</v>
      </c>
      <c r="DP44">
        <v>6.71</v>
      </c>
      <c r="DS44">
        <v>5.65</v>
      </c>
      <c r="DW44">
        <v>6.65</v>
      </c>
      <c r="DY44">
        <v>6.44</v>
      </c>
      <c r="EB44">
        <v>5.52</v>
      </c>
      <c r="EE44">
        <v>4.13</v>
      </c>
      <c r="EH44">
        <v>5.87</v>
      </c>
      <c r="EK44">
        <v>6.16</v>
      </c>
      <c r="EN44">
        <v>6.15</v>
      </c>
      <c r="ER44">
        <v>7.48</v>
      </c>
      <c r="ET44">
        <v>7.4</v>
      </c>
      <c r="EX44">
        <v>7.9</v>
      </c>
      <c r="EZ44">
        <v>8.02</v>
      </c>
      <c r="FD44">
        <v>7.18</v>
      </c>
      <c r="FF44">
        <v>5.91</v>
      </c>
      <c r="FJ44">
        <v>7.84</v>
      </c>
      <c r="FL44">
        <v>6.34</v>
      </c>
      <c r="FO44">
        <v>5.67</v>
      </c>
      <c r="GA44">
        <v>5.97</v>
      </c>
      <c r="GM44">
        <v>5.64</v>
      </c>
      <c r="GN44">
        <v>6.53</v>
      </c>
      <c r="GT44">
        <v>13.25</v>
      </c>
      <c r="GV44">
        <v>3.01</v>
      </c>
      <c r="HE44">
        <v>4.29</v>
      </c>
      <c r="HI44">
        <v>8.8800000000000008</v>
      </c>
      <c r="HK44">
        <v>6.08</v>
      </c>
      <c r="HN44">
        <v>4.8099999999999898</v>
      </c>
      <c r="HQ44">
        <v>6.85</v>
      </c>
      <c r="HT44">
        <v>6.29</v>
      </c>
      <c r="HY44">
        <v>13.5</v>
      </c>
      <c r="IC44">
        <v>8.35</v>
      </c>
      <c r="IF44">
        <v>7.46</v>
      </c>
      <c r="II44">
        <v>7.7</v>
      </c>
      <c r="IM44">
        <v>8.1999999999999904</v>
      </c>
      <c r="IR44">
        <v>5.93</v>
      </c>
      <c r="IU44">
        <v>7.12</v>
      </c>
      <c r="IY44">
        <v>6.7</v>
      </c>
      <c r="JA44">
        <v>6.59</v>
      </c>
      <c r="JD44">
        <v>6.06</v>
      </c>
      <c r="JG44">
        <v>6.51</v>
      </c>
      <c r="JJ44">
        <v>6.6</v>
      </c>
      <c r="JM44">
        <v>7.77</v>
      </c>
      <c r="JP44">
        <v>6.44</v>
      </c>
      <c r="JS44">
        <v>6.67</v>
      </c>
      <c r="JV44">
        <v>6.11</v>
      </c>
      <c r="JY44">
        <v>6.22</v>
      </c>
      <c r="KB44">
        <v>5.44</v>
      </c>
      <c r="KE44">
        <v>7.04</v>
      </c>
      <c r="KH44">
        <v>6.42</v>
      </c>
      <c r="KK44">
        <v>6.07</v>
      </c>
      <c r="KN44">
        <v>5.77</v>
      </c>
      <c r="KQ44">
        <v>6.67</v>
      </c>
      <c r="KT44">
        <v>6.03</v>
      </c>
      <c r="KW44">
        <v>6.27</v>
      </c>
      <c r="KZ44">
        <v>8.14</v>
      </c>
      <c r="LC44">
        <v>6.59</v>
      </c>
      <c r="LF44">
        <v>5.89</v>
      </c>
    </row>
    <row r="45" spans="1:319" x14ac:dyDescent="0.2">
      <c r="A45" s="37" t="s">
        <v>369</v>
      </c>
      <c r="B45">
        <v>1253.25</v>
      </c>
      <c r="C45">
        <v>24.10096153846154</v>
      </c>
      <c r="D45" s="37" t="s">
        <v>320</v>
      </c>
      <c r="E45" s="37" t="s">
        <v>363</v>
      </c>
      <c r="F45">
        <v>12.67</v>
      </c>
      <c r="I45">
        <v>12.61</v>
      </c>
      <c r="L45">
        <v>13.91</v>
      </c>
      <c r="O45">
        <v>11.15</v>
      </c>
      <c r="R45">
        <v>15.94</v>
      </c>
      <c r="U45">
        <v>12.44</v>
      </c>
      <c r="X45">
        <v>15.6</v>
      </c>
      <c r="AA45">
        <v>12.08</v>
      </c>
      <c r="AD45">
        <v>12.39</v>
      </c>
      <c r="AG45">
        <v>12.19</v>
      </c>
      <c r="AJ45">
        <v>13</v>
      </c>
      <c r="AM45">
        <v>11.15</v>
      </c>
      <c r="AP45">
        <v>12.84</v>
      </c>
      <c r="AS45">
        <v>11.44</v>
      </c>
      <c r="AV45">
        <v>11.09</v>
      </c>
      <c r="AY45">
        <v>12.08</v>
      </c>
      <c r="BB45">
        <v>12.43</v>
      </c>
      <c r="BE45">
        <v>11.5</v>
      </c>
      <c r="BH45">
        <v>11.73</v>
      </c>
      <c r="BK45">
        <v>12.12</v>
      </c>
      <c r="BN45">
        <v>14.79</v>
      </c>
      <c r="BP45">
        <v>7.24</v>
      </c>
      <c r="BS45">
        <v>7.02</v>
      </c>
      <c r="BT45">
        <v>12.28</v>
      </c>
      <c r="BW45">
        <v>11.63</v>
      </c>
      <c r="CA45">
        <v>12.98</v>
      </c>
      <c r="CD45">
        <v>10.76</v>
      </c>
      <c r="CF45">
        <v>5.1100000000000003</v>
      </c>
      <c r="CG45">
        <v>12.53</v>
      </c>
      <c r="CJ45">
        <v>12.56</v>
      </c>
      <c r="CM45">
        <v>4.9800000000000004</v>
      </c>
      <c r="CP45">
        <v>6.45</v>
      </c>
      <c r="CR45">
        <v>5.37</v>
      </c>
      <c r="CT45">
        <v>7.34</v>
      </c>
      <c r="CU45">
        <v>6.98</v>
      </c>
      <c r="CV45">
        <v>10.220000000000001</v>
      </c>
      <c r="CY45">
        <v>13.29</v>
      </c>
      <c r="DB45">
        <v>12.68</v>
      </c>
      <c r="DL45">
        <v>15.13</v>
      </c>
      <c r="DO45">
        <v>11.29</v>
      </c>
      <c r="DR45">
        <v>12.88</v>
      </c>
      <c r="DV45">
        <v>14.25</v>
      </c>
      <c r="DX45">
        <v>12.52</v>
      </c>
      <c r="EA45">
        <v>11.3</v>
      </c>
      <c r="ED45">
        <v>13.13</v>
      </c>
      <c r="EG45">
        <v>12.33</v>
      </c>
      <c r="EJ45">
        <v>12.66</v>
      </c>
      <c r="EM45">
        <v>12.56</v>
      </c>
      <c r="EP45">
        <v>6.14</v>
      </c>
      <c r="ES45">
        <v>6.38</v>
      </c>
      <c r="ET45">
        <v>3.44</v>
      </c>
      <c r="EV45">
        <v>10.42</v>
      </c>
      <c r="EY45">
        <v>11.38</v>
      </c>
      <c r="FB45">
        <v>15.69</v>
      </c>
      <c r="FD45">
        <v>8.2100000000000009</v>
      </c>
      <c r="FE45">
        <v>4.03</v>
      </c>
      <c r="FH45">
        <v>6.97</v>
      </c>
      <c r="FK45">
        <v>11.4</v>
      </c>
      <c r="FN45">
        <v>14.34</v>
      </c>
      <c r="FQ45">
        <v>11.53</v>
      </c>
      <c r="FT45">
        <v>12.94</v>
      </c>
      <c r="FZ45">
        <v>8.94</v>
      </c>
      <c r="GC45">
        <v>9.15</v>
      </c>
      <c r="GE45">
        <v>8.42</v>
      </c>
      <c r="GF45">
        <v>14.06</v>
      </c>
      <c r="GI45">
        <v>11.52</v>
      </c>
      <c r="GL45">
        <v>12.97</v>
      </c>
      <c r="GO45">
        <v>11.42</v>
      </c>
      <c r="GS45">
        <v>14.48</v>
      </c>
      <c r="GV45">
        <v>7.28</v>
      </c>
      <c r="GW45">
        <v>6.02</v>
      </c>
      <c r="GX45">
        <v>12.38</v>
      </c>
      <c r="HA45">
        <v>12.56</v>
      </c>
      <c r="HD45">
        <v>3.67</v>
      </c>
      <c r="HG45">
        <v>14.56</v>
      </c>
      <c r="HJ45">
        <v>13.98</v>
      </c>
      <c r="HM45">
        <v>11.88</v>
      </c>
      <c r="HP45">
        <v>14.08</v>
      </c>
      <c r="HS45">
        <v>11.76</v>
      </c>
      <c r="HX45">
        <v>16.62</v>
      </c>
      <c r="IA45">
        <v>10.3</v>
      </c>
      <c r="IB45">
        <v>13.52</v>
      </c>
      <c r="IE45">
        <v>11.79</v>
      </c>
      <c r="IH45">
        <v>14.12</v>
      </c>
      <c r="IK45">
        <v>11.42</v>
      </c>
      <c r="IN45">
        <v>13.52</v>
      </c>
      <c r="IQ45">
        <v>11.76</v>
      </c>
      <c r="IT45">
        <v>15.53</v>
      </c>
      <c r="IX45">
        <v>14.84</v>
      </c>
      <c r="IZ45">
        <v>13.3</v>
      </c>
      <c r="JC45">
        <v>11.4</v>
      </c>
      <c r="JF45">
        <v>14.94</v>
      </c>
      <c r="JI45">
        <v>12.52</v>
      </c>
      <c r="JL45">
        <v>12.78</v>
      </c>
      <c r="JO45">
        <v>11.62</v>
      </c>
      <c r="JR45">
        <v>13.47</v>
      </c>
      <c r="JU45">
        <v>10.69</v>
      </c>
      <c r="JX45">
        <v>9.6199999999999903</v>
      </c>
      <c r="KA45">
        <v>11.63</v>
      </c>
      <c r="KD45">
        <v>14.37</v>
      </c>
      <c r="KG45">
        <v>11.42</v>
      </c>
      <c r="KJ45">
        <v>13.84</v>
      </c>
      <c r="KM45">
        <v>5.96</v>
      </c>
      <c r="KO45">
        <v>7.42</v>
      </c>
      <c r="KP45">
        <v>12.45</v>
      </c>
      <c r="KS45">
        <v>11.22</v>
      </c>
      <c r="KV45">
        <v>12.67</v>
      </c>
      <c r="KY45">
        <v>11.17</v>
      </c>
      <c r="LB45">
        <v>6.98</v>
      </c>
      <c r="LE45">
        <v>15.74</v>
      </c>
    </row>
    <row r="46" spans="1:319" x14ac:dyDescent="0.2">
      <c r="A46" s="37" t="s">
        <v>370</v>
      </c>
      <c r="B46">
        <v>1.49</v>
      </c>
      <c r="C46">
        <v>2.8653846153846155E-2</v>
      </c>
      <c r="D46" s="37" t="s">
        <v>320</v>
      </c>
      <c r="E46" s="37" t="s">
        <v>363</v>
      </c>
      <c r="IX46">
        <v>1.49</v>
      </c>
    </row>
    <row r="47" spans="1:319" x14ac:dyDescent="0.2">
      <c r="A47" s="37" t="s">
        <v>371</v>
      </c>
      <c r="B47">
        <v>1234.1299999999999</v>
      </c>
      <c r="C47">
        <v>23.733269230769228</v>
      </c>
      <c r="D47" s="37" t="s">
        <v>320</v>
      </c>
      <c r="E47" s="37" t="s">
        <v>363</v>
      </c>
      <c r="H47">
        <v>18.399999999999999</v>
      </c>
      <c r="I47">
        <v>7.17</v>
      </c>
      <c r="N47">
        <v>23.79</v>
      </c>
      <c r="T47">
        <v>17.79</v>
      </c>
      <c r="Z47">
        <v>25.52</v>
      </c>
      <c r="AA47">
        <v>7.24</v>
      </c>
      <c r="AF47">
        <v>21.68</v>
      </c>
      <c r="AJ47">
        <v>6.74</v>
      </c>
      <c r="AL47">
        <v>14.03</v>
      </c>
      <c r="AO47">
        <v>15.45</v>
      </c>
      <c r="AR47">
        <v>9.68</v>
      </c>
      <c r="AU47">
        <v>16.07</v>
      </c>
      <c r="AV47">
        <v>5.3</v>
      </c>
      <c r="AX47">
        <v>12.51</v>
      </c>
      <c r="AY47">
        <v>8.85</v>
      </c>
      <c r="BJ47">
        <v>23.96</v>
      </c>
      <c r="BK47">
        <v>7.99</v>
      </c>
      <c r="BQ47">
        <v>24.17</v>
      </c>
      <c r="BS47">
        <v>7.33</v>
      </c>
      <c r="BV47">
        <v>11.38</v>
      </c>
      <c r="BW47">
        <v>4.7</v>
      </c>
      <c r="BY47">
        <v>6.83</v>
      </c>
      <c r="CC47">
        <v>22.78</v>
      </c>
      <c r="CI47">
        <v>14.88</v>
      </c>
      <c r="CK47">
        <v>7.61</v>
      </c>
      <c r="CO47">
        <v>19.510000000000002</v>
      </c>
      <c r="CQ47">
        <v>8.4499999999999993</v>
      </c>
      <c r="CU47">
        <v>18.18</v>
      </c>
      <c r="CY47">
        <v>9.4</v>
      </c>
      <c r="DA47">
        <v>14.36</v>
      </c>
      <c r="DB47">
        <v>6.23</v>
      </c>
      <c r="DN47">
        <v>26.34</v>
      </c>
      <c r="DU47">
        <v>18.059999999999899</v>
      </c>
      <c r="DV47">
        <v>6.38</v>
      </c>
      <c r="DZ47">
        <v>25.96</v>
      </c>
      <c r="EF47">
        <v>20.25</v>
      </c>
      <c r="EM47">
        <v>21.83</v>
      </c>
      <c r="EO47">
        <v>5.98</v>
      </c>
      <c r="ER47">
        <v>21.74</v>
      </c>
      <c r="ES47">
        <v>6.68</v>
      </c>
      <c r="EX47">
        <v>23.4</v>
      </c>
      <c r="FD47">
        <v>20.21</v>
      </c>
      <c r="FE47">
        <v>7.95</v>
      </c>
      <c r="FI47">
        <v>5.85</v>
      </c>
      <c r="FJ47">
        <v>19.04</v>
      </c>
      <c r="FP47">
        <v>27.64</v>
      </c>
      <c r="FV47">
        <v>25.15</v>
      </c>
      <c r="GB47">
        <v>26.34</v>
      </c>
      <c r="GH47">
        <v>26.55</v>
      </c>
      <c r="GN47">
        <v>22.7</v>
      </c>
      <c r="GT47">
        <v>22.9</v>
      </c>
      <c r="GV47">
        <v>7.56</v>
      </c>
      <c r="GZ47">
        <v>23.94</v>
      </c>
      <c r="HF47">
        <v>5.0999999999999899</v>
      </c>
      <c r="HL47">
        <v>23.07</v>
      </c>
      <c r="HM47">
        <v>9.4</v>
      </c>
      <c r="HR47">
        <v>16.170000000000002</v>
      </c>
      <c r="HS47">
        <v>8</v>
      </c>
      <c r="HX47">
        <v>12.93</v>
      </c>
      <c r="HY47">
        <v>7.41</v>
      </c>
      <c r="IA47">
        <v>8.41</v>
      </c>
      <c r="ID47">
        <v>22.93</v>
      </c>
      <c r="IJ47">
        <v>17.34</v>
      </c>
      <c r="IO47">
        <v>15.77</v>
      </c>
      <c r="IR47">
        <v>11.94</v>
      </c>
      <c r="IV47">
        <v>7.84</v>
      </c>
      <c r="IW47">
        <v>8.11</v>
      </c>
      <c r="JA47">
        <v>6.02</v>
      </c>
      <c r="JB47">
        <v>4.87</v>
      </c>
      <c r="JC47">
        <v>7.49</v>
      </c>
      <c r="JH47">
        <v>16.05</v>
      </c>
      <c r="JN47">
        <v>23.93</v>
      </c>
      <c r="JT47">
        <v>29.52</v>
      </c>
      <c r="JX47">
        <v>7.57</v>
      </c>
      <c r="KA47">
        <v>15.37</v>
      </c>
      <c r="KF47">
        <v>19.559999999999899</v>
      </c>
      <c r="KG47">
        <v>8.6300000000000008</v>
      </c>
      <c r="KL47">
        <v>10.41</v>
      </c>
      <c r="KO47">
        <v>14.68</v>
      </c>
      <c r="KQ47">
        <v>7.39</v>
      </c>
      <c r="KR47">
        <v>15.32</v>
      </c>
      <c r="KX47">
        <v>21</v>
      </c>
      <c r="LD47">
        <v>14.47</v>
      </c>
      <c r="LF47">
        <v>7</v>
      </c>
    </row>
    <row r="48" spans="1:319" x14ac:dyDescent="0.2">
      <c r="A48" s="37" t="s">
        <v>372</v>
      </c>
      <c r="B48">
        <v>513.02999999999986</v>
      </c>
      <c r="C48">
        <v>9.8659615384615353</v>
      </c>
      <c r="D48" s="37" t="s">
        <v>320</v>
      </c>
      <c r="E48" s="37" t="s">
        <v>363</v>
      </c>
      <c r="J48">
        <v>8.32</v>
      </c>
      <c r="N48">
        <v>6.43</v>
      </c>
      <c r="U48">
        <v>9.83</v>
      </c>
      <c r="W48">
        <v>8.6199999999999992</v>
      </c>
      <c r="Y48">
        <v>5.59</v>
      </c>
      <c r="AB48">
        <v>7.25</v>
      </c>
      <c r="AF48">
        <v>7.79</v>
      </c>
      <c r="AK48">
        <v>9.8000000000000007</v>
      </c>
      <c r="AQ48">
        <v>7.17</v>
      </c>
      <c r="AX48">
        <v>9.5500000000000007</v>
      </c>
      <c r="BF48">
        <v>9.1199999999999992</v>
      </c>
      <c r="BM48">
        <v>9.1999999999999993</v>
      </c>
      <c r="BO48">
        <v>9.58</v>
      </c>
      <c r="BV48">
        <v>8.84</v>
      </c>
      <c r="BX48">
        <v>8.6</v>
      </c>
      <c r="CD48">
        <v>8.59</v>
      </c>
      <c r="CF48">
        <v>5.34</v>
      </c>
      <c r="CI48">
        <v>8.68</v>
      </c>
      <c r="CJ48">
        <v>7.64</v>
      </c>
      <c r="CP48">
        <v>4.76</v>
      </c>
      <c r="CU48">
        <v>5.66</v>
      </c>
      <c r="CV48">
        <v>8.9700000000000006</v>
      </c>
      <c r="DD48">
        <v>9.08</v>
      </c>
      <c r="DP48">
        <v>9.2200000000000006</v>
      </c>
      <c r="DU48">
        <v>7.52</v>
      </c>
      <c r="EC48">
        <v>7.88</v>
      </c>
      <c r="EI48">
        <v>9.18</v>
      </c>
      <c r="EN48">
        <v>7.2</v>
      </c>
      <c r="ER48">
        <v>8.8800000000000008</v>
      </c>
      <c r="FA48">
        <v>9.75</v>
      </c>
      <c r="FC48">
        <v>9.1</v>
      </c>
      <c r="FH48">
        <v>4.4400000000000004</v>
      </c>
      <c r="FN48">
        <v>10.27</v>
      </c>
      <c r="FT48">
        <v>7.79</v>
      </c>
      <c r="FY48">
        <v>8.24</v>
      </c>
      <c r="FZ48">
        <v>10.61</v>
      </c>
      <c r="GD48">
        <v>9.5500000000000007</v>
      </c>
      <c r="GJ48">
        <v>9.4499999999999904</v>
      </c>
      <c r="GN48">
        <v>9.27</v>
      </c>
      <c r="GT48">
        <v>6.08</v>
      </c>
      <c r="GV48">
        <v>9.1300000000000008</v>
      </c>
      <c r="HD48">
        <v>6.14</v>
      </c>
      <c r="HR48">
        <v>6.88</v>
      </c>
      <c r="HT48">
        <v>9.33</v>
      </c>
      <c r="HX48">
        <v>8.1199999999999903</v>
      </c>
      <c r="ID48">
        <v>6.69</v>
      </c>
      <c r="IJ48">
        <v>9.0500000000000007</v>
      </c>
      <c r="IM48">
        <v>6.72</v>
      </c>
      <c r="IP48">
        <v>6.09</v>
      </c>
      <c r="IV48">
        <v>9.27</v>
      </c>
      <c r="JB48">
        <v>7.92</v>
      </c>
      <c r="JE48">
        <v>7.83</v>
      </c>
      <c r="JF48">
        <v>7.38</v>
      </c>
      <c r="JH48">
        <v>7.08</v>
      </c>
      <c r="JL48">
        <v>6.01</v>
      </c>
      <c r="JP48">
        <v>6.68</v>
      </c>
      <c r="JY48">
        <v>8.7799999999999905</v>
      </c>
      <c r="KI48">
        <v>10.58</v>
      </c>
      <c r="KJ48">
        <v>8.83</v>
      </c>
      <c r="KL48">
        <v>8.5500000000000007</v>
      </c>
      <c r="KT48">
        <v>9.4600000000000009</v>
      </c>
      <c r="KX48">
        <v>7.49</v>
      </c>
      <c r="LD48">
        <v>10.18</v>
      </c>
    </row>
    <row r="49" spans="1:319" x14ac:dyDescent="0.2">
      <c r="A49" s="37" t="s">
        <v>373</v>
      </c>
      <c r="D49" s="37" t="s">
        <v>320</v>
      </c>
      <c r="E49" s="37" t="s">
        <v>363</v>
      </c>
    </row>
    <row r="50" spans="1:319" x14ac:dyDescent="0.2">
      <c r="A50" s="37" t="s">
        <v>374</v>
      </c>
      <c r="B50">
        <v>2084.5900000000006</v>
      </c>
      <c r="C50">
        <v>40.088269230769242</v>
      </c>
      <c r="D50" s="37" t="s">
        <v>320</v>
      </c>
      <c r="E50" s="37" t="s">
        <v>363</v>
      </c>
      <c r="F50">
        <v>7.32</v>
      </c>
      <c r="G50">
        <v>13.46</v>
      </c>
      <c r="I50">
        <v>5.76</v>
      </c>
      <c r="K50">
        <v>23.29</v>
      </c>
      <c r="N50">
        <v>4.26</v>
      </c>
      <c r="O50">
        <v>6.2</v>
      </c>
      <c r="P50">
        <v>13.48</v>
      </c>
      <c r="Q50">
        <v>13.12</v>
      </c>
      <c r="S50">
        <v>14.11</v>
      </c>
      <c r="T50">
        <v>5.65</v>
      </c>
      <c r="U50">
        <v>6.02</v>
      </c>
      <c r="V50">
        <v>8.1999999999999993</v>
      </c>
      <c r="X50">
        <v>4.99</v>
      </c>
      <c r="Z50">
        <v>4.1500000000000004</v>
      </c>
      <c r="AA50">
        <v>15.72</v>
      </c>
      <c r="AC50">
        <v>20.05</v>
      </c>
      <c r="AD50">
        <v>10.08</v>
      </c>
      <c r="AE50">
        <v>7.05</v>
      </c>
      <c r="AG50">
        <v>13.68</v>
      </c>
      <c r="AI50">
        <v>7.46</v>
      </c>
      <c r="AK50">
        <v>17.62</v>
      </c>
      <c r="AN50">
        <v>12.49</v>
      </c>
      <c r="AP50">
        <v>15.66</v>
      </c>
      <c r="AQ50">
        <v>18.649999999999999</v>
      </c>
      <c r="AS50">
        <v>10.119999999999999</v>
      </c>
      <c r="AV50">
        <v>14.18</v>
      </c>
      <c r="AW50">
        <v>8.26</v>
      </c>
      <c r="AX50">
        <v>9.4700000000000006</v>
      </c>
      <c r="AY50">
        <v>5.86</v>
      </c>
      <c r="BA50">
        <v>7.59</v>
      </c>
      <c r="BC50">
        <v>7.73</v>
      </c>
      <c r="BD50">
        <v>8.85</v>
      </c>
      <c r="BF50">
        <v>17.18</v>
      </c>
      <c r="BG50">
        <v>9.23</v>
      </c>
      <c r="BJ50">
        <v>13.83</v>
      </c>
      <c r="BK50">
        <v>18.440000000000001</v>
      </c>
      <c r="BO50">
        <v>25.01</v>
      </c>
      <c r="BR50">
        <v>12.77</v>
      </c>
      <c r="BS50">
        <v>15.83</v>
      </c>
      <c r="BU50">
        <v>20.18</v>
      </c>
      <c r="BV50">
        <v>8.6999999999999993</v>
      </c>
      <c r="BX50">
        <v>9.8000000000000007</v>
      </c>
      <c r="CA50">
        <v>10.92</v>
      </c>
      <c r="CB50">
        <v>13.82</v>
      </c>
      <c r="CD50">
        <v>6.83</v>
      </c>
      <c r="CG50">
        <v>9.7899999999999991</v>
      </c>
      <c r="CH50">
        <v>2.61</v>
      </c>
      <c r="CL50">
        <v>26.5</v>
      </c>
      <c r="CN50">
        <v>22.35</v>
      </c>
      <c r="CP50">
        <v>5.92</v>
      </c>
      <c r="CQ50">
        <v>6.43</v>
      </c>
      <c r="CT50">
        <v>23.98</v>
      </c>
      <c r="CW50">
        <v>11.35</v>
      </c>
      <c r="CZ50">
        <v>8.69</v>
      </c>
      <c r="DA50">
        <v>6.97</v>
      </c>
      <c r="DD50">
        <v>17.329999999999998</v>
      </c>
      <c r="DL50">
        <v>16.14</v>
      </c>
      <c r="DM50">
        <v>17.02</v>
      </c>
      <c r="DO50">
        <v>16.12</v>
      </c>
      <c r="DQ50">
        <v>14.35</v>
      </c>
      <c r="DR50">
        <v>7.03</v>
      </c>
      <c r="DT50">
        <v>6.35</v>
      </c>
      <c r="DW50">
        <v>23.15</v>
      </c>
      <c r="DY50">
        <v>7.57</v>
      </c>
      <c r="DZ50">
        <v>10.59</v>
      </c>
      <c r="EA50">
        <v>5.91</v>
      </c>
      <c r="ED50">
        <v>14.55</v>
      </c>
      <c r="EG50">
        <v>8.11</v>
      </c>
      <c r="EH50">
        <v>11.61</v>
      </c>
      <c r="EJ50">
        <v>12.57</v>
      </c>
      <c r="EK50">
        <v>21.63</v>
      </c>
      <c r="EM50">
        <v>3.66</v>
      </c>
      <c r="EN50">
        <v>14.55</v>
      </c>
      <c r="EP50">
        <v>7.03</v>
      </c>
      <c r="EQ50">
        <v>15.44</v>
      </c>
      <c r="ES50">
        <v>11.39</v>
      </c>
      <c r="EU50">
        <v>15.58</v>
      </c>
      <c r="EV50">
        <v>6.04</v>
      </c>
      <c r="EX50">
        <v>8.1</v>
      </c>
      <c r="EY50">
        <v>18.32</v>
      </c>
      <c r="EZ50">
        <v>7.73</v>
      </c>
      <c r="FB50">
        <v>6.03</v>
      </c>
      <c r="FC50">
        <v>12.28</v>
      </c>
      <c r="FD50">
        <v>7.04</v>
      </c>
      <c r="FF50">
        <v>14.02</v>
      </c>
      <c r="FG50">
        <v>5.0999999999999899</v>
      </c>
      <c r="FJ50">
        <v>13.42</v>
      </c>
      <c r="FL50">
        <v>14.6</v>
      </c>
      <c r="FM50">
        <v>15.36</v>
      </c>
      <c r="FN50">
        <v>6.26</v>
      </c>
      <c r="FQ50">
        <v>8.3800000000000008</v>
      </c>
      <c r="FS50">
        <v>24.72</v>
      </c>
      <c r="FV50">
        <v>9.08</v>
      </c>
      <c r="FW50">
        <v>19.04</v>
      </c>
      <c r="FX50">
        <v>8.93</v>
      </c>
      <c r="FZ50">
        <v>14.43</v>
      </c>
      <c r="GB50">
        <v>8.7799999999999905</v>
      </c>
      <c r="GC50">
        <v>14.09</v>
      </c>
      <c r="GE50">
        <v>13.2</v>
      </c>
      <c r="GG50">
        <v>42.59</v>
      </c>
      <c r="GJ50">
        <v>7.13</v>
      </c>
      <c r="GL50">
        <v>19.440000000000001</v>
      </c>
      <c r="GP50">
        <v>6.6</v>
      </c>
      <c r="GQ50">
        <v>7.3</v>
      </c>
      <c r="GR50">
        <v>16.170000000000002</v>
      </c>
      <c r="GS50">
        <v>9.4</v>
      </c>
      <c r="GU50">
        <v>12.69</v>
      </c>
      <c r="GV50">
        <v>5.8</v>
      </c>
      <c r="GW50">
        <v>6.75</v>
      </c>
      <c r="GX50">
        <v>8.11</v>
      </c>
      <c r="GY50">
        <v>13</v>
      </c>
      <c r="HA50">
        <v>6.92</v>
      </c>
      <c r="HD50">
        <v>3.51</v>
      </c>
      <c r="HE50">
        <v>6.43</v>
      </c>
      <c r="HG50">
        <v>17.38</v>
      </c>
      <c r="HI50">
        <v>8.7200000000000006</v>
      </c>
      <c r="HK50">
        <v>30.29</v>
      </c>
      <c r="HO50">
        <v>20.14</v>
      </c>
      <c r="HP50">
        <v>6.59</v>
      </c>
      <c r="HR50">
        <v>14.59</v>
      </c>
      <c r="HS50">
        <v>3.69</v>
      </c>
      <c r="HT50">
        <v>6.63</v>
      </c>
      <c r="HW50">
        <v>9.92</v>
      </c>
      <c r="HX50">
        <v>13.93</v>
      </c>
      <c r="HY50">
        <v>5.0199999999999898</v>
      </c>
      <c r="HZ50">
        <v>9.06</v>
      </c>
      <c r="IB50">
        <v>7.38</v>
      </c>
      <c r="IC50">
        <v>10.35</v>
      </c>
      <c r="IE50">
        <v>23.28</v>
      </c>
      <c r="IG50">
        <v>6.38</v>
      </c>
      <c r="IJ50">
        <v>27.93</v>
      </c>
      <c r="IK50">
        <v>7.85</v>
      </c>
      <c r="IM50">
        <v>8.7100000000000009</v>
      </c>
      <c r="IO50">
        <v>7.49</v>
      </c>
      <c r="IP50">
        <v>5.57</v>
      </c>
      <c r="IQ50">
        <v>9.68</v>
      </c>
      <c r="IR50">
        <v>8.92</v>
      </c>
      <c r="IT50">
        <v>8.7200000000000006</v>
      </c>
      <c r="IV50">
        <v>8.1999999999999904</v>
      </c>
      <c r="IW50">
        <v>42</v>
      </c>
      <c r="IX50">
        <v>6.3</v>
      </c>
      <c r="IZ50">
        <v>3.95</v>
      </c>
      <c r="JB50">
        <v>11.69</v>
      </c>
      <c r="JC50">
        <v>16.93</v>
      </c>
      <c r="JF50">
        <v>15.42</v>
      </c>
      <c r="JG50">
        <v>6.91</v>
      </c>
      <c r="JJ50">
        <v>9.33</v>
      </c>
      <c r="JL50">
        <v>24.71</v>
      </c>
      <c r="JO50">
        <v>16.170000000000002</v>
      </c>
      <c r="JS50">
        <v>20.23</v>
      </c>
      <c r="JV50">
        <v>10.09</v>
      </c>
      <c r="JW50">
        <v>10.61</v>
      </c>
      <c r="JY50">
        <v>18.329999999999899</v>
      </c>
      <c r="KA50">
        <v>17.829999999999899</v>
      </c>
      <c r="KD50">
        <v>7.83</v>
      </c>
      <c r="KE50">
        <v>9.11</v>
      </c>
      <c r="KF50">
        <v>16.440000000000001</v>
      </c>
      <c r="KH50">
        <v>7.12</v>
      </c>
      <c r="KI50">
        <v>13.29</v>
      </c>
      <c r="KK50">
        <v>10.86</v>
      </c>
      <c r="KL50">
        <v>7.82</v>
      </c>
      <c r="KM50">
        <v>9.1199999999999903</v>
      </c>
      <c r="KN50">
        <v>8.42</v>
      </c>
      <c r="KO50">
        <v>7.66</v>
      </c>
      <c r="KP50">
        <v>7.72</v>
      </c>
      <c r="KR50">
        <v>9.73</v>
      </c>
      <c r="KS50">
        <v>6.72</v>
      </c>
      <c r="KT50">
        <v>9.35</v>
      </c>
      <c r="KV50">
        <v>23.27</v>
      </c>
      <c r="KW50">
        <v>4.82</v>
      </c>
      <c r="KY50">
        <v>12.77</v>
      </c>
      <c r="LA50">
        <v>6.45</v>
      </c>
      <c r="LB50">
        <v>4.0199999999999898</v>
      </c>
      <c r="LD50">
        <v>15.63</v>
      </c>
      <c r="LE50">
        <v>4.43</v>
      </c>
      <c r="LG50">
        <v>12.96</v>
      </c>
    </row>
    <row r="51" spans="1:319" x14ac:dyDescent="0.2">
      <c r="A51" s="37" t="s">
        <v>375</v>
      </c>
      <c r="B51">
        <v>2021.7900000000002</v>
      </c>
      <c r="C51">
        <v>38.88057692307693</v>
      </c>
      <c r="D51" s="37" t="s">
        <v>320</v>
      </c>
      <c r="E51" s="37" t="s">
        <v>363</v>
      </c>
      <c r="G51">
        <v>6.32</v>
      </c>
      <c r="H51">
        <v>16.96</v>
      </c>
      <c r="I51">
        <v>7.01</v>
      </c>
      <c r="K51">
        <v>19.47</v>
      </c>
      <c r="M51">
        <v>13.2</v>
      </c>
      <c r="O51">
        <v>13.73</v>
      </c>
      <c r="Q51">
        <v>13.51</v>
      </c>
      <c r="S51">
        <v>20.52</v>
      </c>
      <c r="T51">
        <v>9.68</v>
      </c>
      <c r="V51">
        <v>13.6</v>
      </c>
      <c r="Y51">
        <v>12.93</v>
      </c>
      <c r="Z51">
        <v>6.85</v>
      </c>
      <c r="AB51">
        <v>13.26</v>
      </c>
      <c r="AC51">
        <v>6.62</v>
      </c>
      <c r="AD51">
        <v>7.23</v>
      </c>
      <c r="AE51">
        <v>6.06</v>
      </c>
      <c r="AF51">
        <v>9.19</v>
      </c>
      <c r="AG51">
        <v>6.98</v>
      </c>
      <c r="AH51">
        <v>7.54</v>
      </c>
      <c r="AJ51">
        <v>16.64</v>
      </c>
      <c r="AK51">
        <v>6.21</v>
      </c>
      <c r="AM51">
        <v>5.43</v>
      </c>
      <c r="AN51">
        <v>8.4</v>
      </c>
      <c r="AO51">
        <v>6.44</v>
      </c>
      <c r="AQ51">
        <v>20.77</v>
      </c>
      <c r="AS51">
        <v>15.39</v>
      </c>
      <c r="AU51">
        <v>5.47</v>
      </c>
      <c r="AW51">
        <v>14.52</v>
      </c>
      <c r="AX51">
        <v>6.64</v>
      </c>
      <c r="AZ51">
        <v>8.09</v>
      </c>
      <c r="BA51">
        <v>7.53</v>
      </c>
      <c r="BB51">
        <v>17.690000000000001</v>
      </c>
      <c r="BD51">
        <v>9.06</v>
      </c>
      <c r="BE51">
        <v>9.6199999999999992</v>
      </c>
      <c r="BF51">
        <v>5.81</v>
      </c>
      <c r="BG51">
        <v>6.41</v>
      </c>
      <c r="BI51">
        <v>14.35</v>
      </c>
      <c r="BJ51">
        <v>6.16</v>
      </c>
      <c r="BK51">
        <v>6.16</v>
      </c>
      <c r="BL51">
        <v>12.82</v>
      </c>
      <c r="BO51">
        <v>16.11</v>
      </c>
      <c r="BP51">
        <v>7.74</v>
      </c>
      <c r="BR51">
        <v>15.37</v>
      </c>
      <c r="BS51">
        <v>10.73</v>
      </c>
      <c r="BT51">
        <v>6.67</v>
      </c>
      <c r="BV51">
        <v>6.75</v>
      </c>
      <c r="BW51">
        <v>17.5</v>
      </c>
      <c r="CB51">
        <v>15.54</v>
      </c>
      <c r="CE51">
        <v>12.73</v>
      </c>
      <c r="CF51">
        <v>6.91</v>
      </c>
      <c r="CH51">
        <v>16.649999999999999</v>
      </c>
      <c r="CJ51">
        <v>8.4600000000000009</v>
      </c>
      <c r="CK51">
        <v>9.9600000000000009</v>
      </c>
      <c r="CL51">
        <v>7.44</v>
      </c>
      <c r="CN51">
        <v>15.94</v>
      </c>
      <c r="CO51">
        <v>6.71</v>
      </c>
      <c r="CQ51">
        <v>13.35</v>
      </c>
      <c r="CR51">
        <v>5.96</v>
      </c>
      <c r="CS51">
        <v>6.42</v>
      </c>
      <c r="CU51">
        <v>15.23</v>
      </c>
      <c r="CV51">
        <v>8.07</v>
      </c>
      <c r="CW51">
        <v>13.53</v>
      </c>
      <c r="CZ51">
        <v>12.7</v>
      </c>
      <c r="DA51">
        <v>7.6</v>
      </c>
      <c r="DB51">
        <v>5.34</v>
      </c>
      <c r="DC51">
        <v>15.03</v>
      </c>
      <c r="DD51">
        <v>8.19</v>
      </c>
      <c r="DL51">
        <v>12.04</v>
      </c>
      <c r="DM51">
        <v>16.02</v>
      </c>
      <c r="DN51">
        <v>7.41</v>
      </c>
      <c r="DO51">
        <v>7.8</v>
      </c>
      <c r="DP51">
        <v>5.38</v>
      </c>
      <c r="DS51">
        <v>15.25</v>
      </c>
      <c r="DV51">
        <v>18.59</v>
      </c>
      <c r="DX51">
        <v>10.29</v>
      </c>
      <c r="DY51">
        <v>11.22</v>
      </c>
      <c r="EA51">
        <v>14.36</v>
      </c>
      <c r="EC51">
        <v>12.12</v>
      </c>
      <c r="EE51">
        <v>13.25</v>
      </c>
      <c r="EF51">
        <v>20.73</v>
      </c>
      <c r="EI51">
        <v>14.18</v>
      </c>
      <c r="EK51">
        <v>13.05</v>
      </c>
      <c r="EL51">
        <v>5.29</v>
      </c>
      <c r="EN51">
        <v>11.89</v>
      </c>
      <c r="EO51">
        <v>8.6199999999999903</v>
      </c>
      <c r="EP51">
        <v>7.45</v>
      </c>
      <c r="EQ51">
        <v>11.09</v>
      </c>
      <c r="ES51">
        <v>12.66</v>
      </c>
      <c r="ET51">
        <v>4.33</v>
      </c>
      <c r="EU51">
        <v>15.11</v>
      </c>
      <c r="EV51">
        <v>12.76</v>
      </c>
      <c r="EW51">
        <v>5.96</v>
      </c>
      <c r="EX51">
        <v>5.78</v>
      </c>
      <c r="EY51">
        <v>7.39</v>
      </c>
      <c r="FA51">
        <v>6.45</v>
      </c>
      <c r="FB51">
        <v>7.55</v>
      </c>
      <c r="FC51">
        <v>8.8000000000000007</v>
      </c>
      <c r="FE51">
        <v>8.41</v>
      </c>
      <c r="FF51">
        <v>10.1999999999999</v>
      </c>
      <c r="FH51">
        <v>16.11</v>
      </c>
      <c r="FI51">
        <v>8.86</v>
      </c>
      <c r="FL51">
        <v>14.38</v>
      </c>
      <c r="FM51">
        <v>11.21</v>
      </c>
      <c r="FO51">
        <v>13.25</v>
      </c>
      <c r="FR51">
        <v>5.04</v>
      </c>
      <c r="FS51">
        <v>7.72</v>
      </c>
      <c r="FT51">
        <v>6.32</v>
      </c>
      <c r="FX51">
        <v>14.45</v>
      </c>
      <c r="FY51">
        <v>11.07</v>
      </c>
      <c r="FZ51">
        <v>15.25</v>
      </c>
      <c r="GB51">
        <v>6.25</v>
      </c>
      <c r="GC51">
        <v>19.38</v>
      </c>
      <c r="GG51">
        <v>24.17</v>
      </c>
      <c r="GI51">
        <v>9.6199999999999903</v>
      </c>
      <c r="GJ51">
        <v>7.37</v>
      </c>
      <c r="GM51">
        <v>19.2</v>
      </c>
      <c r="GN51">
        <v>13.52</v>
      </c>
      <c r="GP51">
        <v>12.84</v>
      </c>
      <c r="GS51">
        <v>10.44</v>
      </c>
      <c r="GT51">
        <v>6.59</v>
      </c>
      <c r="GU51">
        <v>14.06</v>
      </c>
      <c r="GV51">
        <v>10.69</v>
      </c>
      <c r="GX51">
        <v>13.97</v>
      </c>
      <c r="HA51">
        <v>6.3</v>
      </c>
      <c r="HB51">
        <v>13.89</v>
      </c>
      <c r="HC51">
        <v>10.96</v>
      </c>
      <c r="HH51">
        <v>11.79</v>
      </c>
      <c r="HI51">
        <v>6.28</v>
      </c>
      <c r="HJ51">
        <v>2.98</v>
      </c>
      <c r="HK51">
        <v>12.32</v>
      </c>
      <c r="HN51">
        <v>10.58</v>
      </c>
      <c r="HP51">
        <v>14.64</v>
      </c>
      <c r="HQ51">
        <v>8.9600000000000009</v>
      </c>
      <c r="HR51">
        <v>6.36</v>
      </c>
      <c r="HT51">
        <v>11.92</v>
      </c>
      <c r="HW51">
        <v>17.64</v>
      </c>
      <c r="HY51">
        <v>5.7</v>
      </c>
      <c r="IB51">
        <v>6.46</v>
      </c>
      <c r="IC51">
        <v>15.91</v>
      </c>
      <c r="IF51">
        <v>13.6</v>
      </c>
      <c r="IG51">
        <v>13.91</v>
      </c>
      <c r="II51">
        <v>6.72</v>
      </c>
      <c r="IJ51">
        <v>16.45</v>
      </c>
      <c r="IK51">
        <v>6.32</v>
      </c>
      <c r="IM51">
        <v>6.29</v>
      </c>
      <c r="IN51">
        <v>12.41</v>
      </c>
      <c r="IO51">
        <v>8.23</v>
      </c>
      <c r="IP51">
        <v>10.0399999999999</v>
      </c>
      <c r="IR51">
        <v>6.94</v>
      </c>
      <c r="IS51">
        <v>3.61</v>
      </c>
      <c r="IT51">
        <v>8.48</v>
      </c>
      <c r="IU51">
        <v>9.08</v>
      </c>
      <c r="IW51">
        <v>7.17</v>
      </c>
      <c r="JB51">
        <v>15.86</v>
      </c>
      <c r="JE51">
        <v>22.03</v>
      </c>
      <c r="JG51">
        <v>19.350000000000001</v>
      </c>
      <c r="JH51">
        <v>6.48</v>
      </c>
      <c r="JJ51">
        <v>15</v>
      </c>
      <c r="JM51">
        <v>14.94</v>
      </c>
      <c r="JN51">
        <v>4.71</v>
      </c>
      <c r="JP51">
        <v>19.940000000000001</v>
      </c>
      <c r="JR51">
        <v>8.5399999999999903</v>
      </c>
      <c r="JT51">
        <v>10.09</v>
      </c>
      <c r="JU51">
        <v>7.77</v>
      </c>
      <c r="JV51">
        <v>8.3000000000000007</v>
      </c>
      <c r="JW51">
        <v>5.41</v>
      </c>
      <c r="JY51">
        <v>26.62</v>
      </c>
      <c r="KB51">
        <v>13.43</v>
      </c>
      <c r="KE51">
        <v>20.68</v>
      </c>
      <c r="KH51">
        <v>13.78</v>
      </c>
      <c r="KI51">
        <v>7.43</v>
      </c>
      <c r="KK51">
        <v>13.99</v>
      </c>
      <c r="KL51">
        <v>13.99</v>
      </c>
      <c r="KM51">
        <v>9.07</v>
      </c>
      <c r="KP51">
        <v>4.01</v>
      </c>
      <c r="KQ51">
        <v>14.27</v>
      </c>
      <c r="KT51">
        <v>11.26</v>
      </c>
      <c r="KV51">
        <v>5.71</v>
      </c>
      <c r="KW51">
        <v>16.66</v>
      </c>
      <c r="KZ51">
        <v>14.52</v>
      </c>
      <c r="LB51">
        <v>4.57</v>
      </c>
      <c r="LC51">
        <v>7.6</v>
      </c>
      <c r="LD51">
        <v>13.41</v>
      </c>
      <c r="LF51">
        <v>6.7</v>
      </c>
      <c r="LG51">
        <v>7.64</v>
      </c>
    </row>
    <row r="52" spans="1:319" x14ac:dyDescent="0.2">
      <c r="A52" s="37" t="s">
        <v>376</v>
      </c>
      <c r="B52">
        <v>1030.8199999999995</v>
      </c>
      <c r="C52">
        <v>19.82346153846153</v>
      </c>
      <c r="D52" s="37" t="s">
        <v>320</v>
      </c>
      <c r="E52" s="37" t="s">
        <v>363</v>
      </c>
      <c r="G52">
        <v>6.66</v>
      </c>
      <c r="J52">
        <v>7.83</v>
      </c>
      <c r="K52">
        <v>8.49</v>
      </c>
      <c r="L52">
        <v>12.75</v>
      </c>
      <c r="O52">
        <v>6.81</v>
      </c>
      <c r="Q52">
        <v>6.33</v>
      </c>
      <c r="R52">
        <v>5.29</v>
      </c>
      <c r="T52">
        <v>7.95</v>
      </c>
      <c r="V52">
        <v>6.42</v>
      </c>
      <c r="Y52">
        <v>7.52</v>
      </c>
      <c r="AA52">
        <v>7.74</v>
      </c>
      <c r="AC52">
        <v>5.67</v>
      </c>
      <c r="AF52">
        <v>8.84</v>
      </c>
      <c r="AI52">
        <v>7.5</v>
      </c>
      <c r="AJ52">
        <v>6.76</v>
      </c>
      <c r="AN52">
        <v>7.78</v>
      </c>
      <c r="AR52">
        <v>8.3000000000000007</v>
      </c>
      <c r="AS52">
        <v>8.43</v>
      </c>
      <c r="AV52">
        <v>7.41</v>
      </c>
      <c r="AX52">
        <v>7.29</v>
      </c>
      <c r="BA52">
        <v>7.6</v>
      </c>
      <c r="BD52">
        <v>7.58</v>
      </c>
      <c r="BF52">
        <v>7.45</v>
      </c>
      <c r="BI52">
        <v>9.91</v>
      </c>
      <c r="BL52">
        <v>7.72</v>
      </c>
      <c r="BM52">
        <v>8.18</v>
      </c>
      <c r="BO52">
        <v>7.84</v>
      </c>
      <c r="BQ52">
        <v>6.07</v>
      </c>
      <c r="BS52">
        <v>9.41</v>
      </c>
      <c r="BT52">
        <v>8.83</v>
      </c>
      <c r="BV52">
        <v>8.35</v>
      </c>
      <c r="BY52">
        <v>7.48</v>
      </c>
      <c r="CA52">
        <v>7.23</v>
      </c>
      <c r="CC52">
        <v>8.58</v>
      </c>
      <c r="CF52">
        <v>7.32</v>
      </c>
      <c r="CH52">
        <v>6.06</v>
      </c>
      <c r="CJ52">
        <v>7.71</v>
      </c>
      <c r="CN52">
        <v>4.96</v>
      </c>
      <c r="CP52">
        <v>8.69</v>
      </c>
      <c r="CR52">
        <v>6.78</v>
      </c>
      <c r="CU52">
        <v>7.89</v>
      </c>
      <c r="CV52">
        <v>5.12</v>
      </c>
      <c r="CX52">
        <v>7.1</v>
      </c>
      <c r="CY52">
        <v>14.04</v>
      </c>
      <c r="DA52">
        <v>7.35</v>
      </c>
      <c r="DC52">
        <v>5.65</v>
      </c>
      <c r="DL52">
        <v>5.12</v>
      </c>
      <c r="DO52">
        <v>8.2899999999999903</v>
      </c>
      <c r="DQ52">
        <v>7.64</v>
      </c>
      <c r="DR52">
        <v>6.44</v>
      </c>
      <c r="DU52">
        <v>6.88</v>
      </c>
      <c r="DW52">
        <v>6.19</v>
      </c>
      <c r="DY52">
        <v>8.81</v>
      </c>
      <c r="DZ52">
        <v>7.39</v>
      </c>
      <c r="EB52">
        <v>8.08</v>
      </c>
      <c r="EC52">
        <v>4.75</v>
      </c>
      <c r="ED52">
        <v>5.19</v>
      </c>
      <c r="EF52">
        <v>6.04</v>
      </c>
      <c r="EI52">
        <v>7.57</v>
      </c>
      <c r="EJ52">
        <v>6.23</v>
      </c>
      <c r="EN52">
        <v>8.0399999999999903</v>
      </c>
      <c r="EO52">
        <v>6.74</v>
      </c>
      <c r="EQ52">
        <v>7.17</v>
      </c>
      <c r="ES52">
        <v>5.09</v>
      </c>
      <c r="EU52">
        <v>5.1100000000000003</v>
      </c>
      <c r="EV52">
        <v>8.16</v>
      </c>
      <c r="EY52">
        <v>6.58</v>
      </c>
      <c r="FA52">
        <v>6.27</v>
      </c>
      <c r="FB52">
        <v>5.49</v>
      </c>
      <c r="FD52">
        <v>6.16</v>
      </c>
      <c r="FF52">
        <v>5.81</v>
      </c>
      <c r="FH52">
        <v>5</v>
      </c>
      <c r="FI52">
        <v>3.53</v>
      </c>
      <c r="FL52">
        <v>6.79</v>
      </c>
      <c r="FO52">
        <v>7.57</v>
      </c>
      <c r="FR52">
        <v>7.09</v>
      </c>
      <c r="FS52">
        <v>2.99</v>
      </c>
      <c r="FU52">
        <v>5.78</v>
      </c>
      <c r="FV52">
        <v>5.38</v>
      </c>
      <c r="FY52">
        <v>2.4300000000000002</v>
      </c>
      <c r="FZ52">
        <v>7.14</v>
      </c>
      <c r="GB52">
        <v>6.93</v>
      </c>
      <c r="GE52">
        <v>7.74</v>
      </c>
      <c r="GF52">
        <v>10.48</v>
      </c>
      <c r="GH52">
        <v>7.49</v>
      </c>
      <c r="GI52">
        <v>3.05</v>
      </c>
      <c r="GM52">
        <v>7.28</v>
      </c>
      <c r="GO52">
        <v>8.33</v>
      </c>
      <c r="GQ52">
        <v>6.84</v>
      </c>
      <c r="GT52">
        <v>7.49</v>
      </c>
      <c r="GW52">
        <v>7.48</v>
      </c>
      <c r="GX52">
        <v>5.64</v>
      </c>
      <c r="GY52">
        <v>3.93</v>
      </c>
      <c r="HB52">
        <v>5.8</v>
      </c>
      <c r="HD52">
        <v>7.19</v>
      </c>
      <c r="HH52">
        <v>13.13</v>
      </c>
      <c r="HJ52">
        <v>5.38</v>
      </c>
      <c r="HL52">
        <v>5.74</v>
      </c>
      <c r="HO52">
        <v>7.41</v>
      </c>
      <c r="HP52">
        <v>4.76</v>
      </c>
      <c r="HR52">
        <v>5.91</v>
      </c>
      <c r="HS52">
        <v>6.48</v>
      </c>
      <c r="HU52">
        <v>4.82</v>
      </c>
      <c r="HV52">
        <v>6.97</v>
      </c>
      <c r="HX52">
        <v>5.92</v>
      </c>
      <c r="HZ52">
        <v>7.04</v>
      </c>
      <c r="IC52">
        <v>6.42</v>
      </c>
      <c r="IE52">
        <v>6.33</v>
      </c>
      <c r="IG52">
        <v>6.04</v>
      </c>
      <c r="IH52">
        <v>15.4</v>
      </c>
      <c r="IK52">
        <v>5.2</v>
      </c>
      <c r="IL52">
        <v>6.35</v>
      </c>
      <c r="IN52">
        <v>6.8</v>
      </c>
      <c r="IO52">
        <v>6.18</v>
      </c>
      <c r="IS52">
        <v>7.01</v>
      </c>
      <c r="IU52">
        <v>9.5500000000000007</v>
      </c>
      <c r="IW52">
        <v>7.81</v>
      </c>
      <c r="IY52">
        <v>5.55</v>
      </c>
      <c r="IZ52">
        <v>4.59</v>
      </c>
      <c r="JB52">
        <v>5.07</v>
      </c>
      <c r="JE52">
        <v>5.83</v>
      </c>
      <c r="JF52">
        <v>15.44</v>
      </c>
      <c r="JG52">
        <v>6.28</v>
      </c>
      <c r="JH52">
        <v>5.51</v>
      </c>
      <c r="JI52">
        <v>5.62</v>
      </c>
      <c r="JJ52">
        <v>4.99</v>
      </c>
      <c r="JK52">
        <v>4.8600000000000003</v>
      </c>
      <c r="JL52">
        <v>6</v>
      </c>
      <c r="JN52">
        <v>6.87</v>
      </c>
      <c r="JP52">
        <v>5.3</v>
      </c>
      <c r="JQ52">
        <v>3.9</v>
      </c>
      <c r="JS52">
        <v>7.97</v>
      </c>
      <c r="JU52">
        <v>5.67</v>
      </c>
      <c r="JW52">
        <v>5.25</v>
      </c>
      <c r="JY52">
        <v>5.95</v>
      </c>
      <c r="KA52">
        <v>9.89</v>
      </c>
      <c r="KE52">
        <v>9.86</v>
      </c>
      <c r="KG52">
        <v>4.8899999999999899</v>
      </c>
      <c r="KK52">
        <v>6.59</v>
      </c>
      <c r="KM52">
        <v>7.18</v>
      </c>
      <c r="KP52">
        <v>7.28</v>
      </c>
      <c r="KS52">
        <v>9.24</v>
      </c>
      <c r="KU52">
        <v>5.95</v>
      </c>
      <c r="KW52">
        <v>7.05</v>
      </c>
      <c r="LA52">
        <v>7.95</v>
      </c>
      <c r="LC52">
        <v>9.5</v>
      </c>
      <c r="LE52">
        <v>5.58</v>
      </c>
      <c r="LG52">
        <v>5.28</v>
      </c>
    </row>
    <row r="53" spans="1:319" x14ac:dyDescent="0.2">
      <c r="A53" s="37" t="s">
        <v>377</v>
      </c>
      <c r="D53" s="37" t="s">
        <v>320</v>
      </c>
      <c r="E53" s="37" t="s">
        <v>378</v>
      </c>
    </row>
    <row r="54" spans="1:319" x14ac:dyDescent="0.2">
      <c r="A54" s="37" t="s">
        <v>379</v>
      </c>
      <c r="B54">
        <v>1123.5000000000007</v>
      </c>
      <c r="C54">
        <v>21.605769230769244</v>
      </c>
      <c r="D54" s="37" t="s">
        <v>320</v>
      </c>
      <c r="E54" s="37" t="s">
        <v>378</v>
      </c>
      <c r="G54">
        <v>9.1</v>
      </c>
      <c r="I54">
        <v>8.0299999999999994</v>
      </c>
      <c r="K54">
        <v>8.06</v>
      </c>
      <c r="M54">
        <v>6.84</v>
      </c>
      <c r="Q54">
        <v>15.17</v>
      </c>
      <c r="S54">
        <v>9</v>
      </c>
      <c r="V54">
        <v>11.33</v>
      </c>
      <c r="Y54">
        <v>8.9600000000000009</v>
      </c>
      <c r="Z54">
        <v>7.31</v>
      </c>
      <c r="AB54">
        <v>7.67</v>
      </c>
      <c r="AE54">
        <v>11.03</v>
      </c>
      <c r="AJ54">
        <v>9.2799999999999994</v>
      </c>
      <c r="AK54">
        <v>11.88</v>
      </c>
      <c r="AO54">
        <v>8.5299999999999994</v>
      </c>
      <c r="AP54">
        <v>7.68</v>
      </c>
      <c r="AU54">
        <v>20.239999999999998</v>
      </c>
      <c r="AW54">
        <v>18.05</v>
      </c>
      <c r="AZ54">
        <v>9.3699999999999992</v>
      </c>
      <c r="BE54">
        <v>10.02</v>
      </c>
      <c r="BI54">
        <v>7.58</v>
      </c>
      <c r="BJ54">
        <v>8.25</v>
      </c>
      <c r="BL54">
        <v>8.5500000000000007</v>
      </c>
      <c r="BO54">
        <v>8.1199999999999992</v>
      </c>
      <c r="BS54">
        <v>18.91</v>
      </c>
      <c r="BU54">
        <v>10.48</v>
      </c>
      <c r="BY54">
        <v>9.34</v>
      </c>
      <c r="CA54">
        <v>7.77</v>
      </c>
      <c r="CC54">
        <v>8.43</v>
      </c>
      <c r="CF54">
        <v>7.04</v>
      </c>
      <c r="CH54">
        <v>8.1300000000000008</v>
      </c>
      <c r="CJ54">
        <v>8.31</v>
      </c>
      <c r="CN54">
        <v>8.85</v>
      </c>
      <c r="CQ54">
        <v>8.61</v>
      </c>
      <c r="CT54">
        <v>16.489999999999998</v>
      </c>
      <c r="CW54">
        <v>7.2</v>
      </c>
      <c r="CZ54">
        <v>15.65</v>
      </c>
      <c r="DD54">
        <v>9.4700000000000006</v>
      </c>
      <c r="DM54">
        <v>8.5399999999999903</v>
      </c>
      <c r="DN54">
        <v>6.48</v>
      </c>
      <c r="DP54">
        <v>6.96</v>
      </c>
      <c r="DQ54">
        <v>4.18</v>
      </c>
      <c r="DS54">
        <v>6.05</v>
      </c>
      <c r="DW54">
        <v>15.72</v>
      </c>
      <c r="DY54">
        <v>7.3</v>
      </c>
      <c r="EB54">
        <v>14.74</v>
      </c>
      <c r="EE54">
        <v>5.67</v>
      </c>
      <c r="EH54">
        <v>14.65</v>
      </c>
      <c r="EK54">
        <v>6.15</v>
      </c>
      <c r="EM54">
        <v>6.3</v>
      </c>
      <c r="EN54">
        <v>9.0299999999999905</v>
      </c>
      <c r="EP54">
        <v>6.61</v>
      </c>
      <c r="EQ54">
        <v>6.7</v>
      </c>
      <c r="ES54">
        <v>8.42</v>
      </c>
      <c r="EU54">
        <v>6.7</v>
      </c>
      <c r="EW54">
        <v>8.9600000000000009</v>
      </c>
      <c r="EZ54">
        <v>8.61</v>
      </c>
      <c r="FA54">
        <v>6.15</v>
      </c>
      <c r="FB54">
        <v>6.17</v>
      </c>
      <c r="FD54">
        <v>7.19</v>
      </c>
      <c r="FF54">
        <v>8.08</v>
      </c>
      <c r="FH54">
        <v>8.6199999999999903</v>
      </c>
      <c r="FI54">
        <v>6.2</v>
      </c>
      <c r="FK54">
        <v>6.16</v>
      </c>
      <c r="FL54">
        <v>4.5199999999999898</v>
      </c>
      <c r="FM54">
        <v>4.29</v>
      </c>
      <c r="FN54">
        <v>5.62</v>
      </c>
      <c r="FO54">
        <v>6.4</v>
      </c>
      <c r="FS54">
        <v>8.18</v>
      </c>
      <c r="FU54">
        <v>8.85</v>
      </c>
      <c r="FW54">
        <v>5.73</v>
      </c>
      <c r="FY54">
        <v>6.33</v>
      </c>
      <c r="FZ54">
        <v>7.48</v>
      </c>
      <c r="GA54">
        <v>7</v>
      </c>
      <c r="GD54">
        <v>10.01</v>
      </c>
      <c r="GG54">
        <v>8.74</v>
      </c>
      <c r="GK54">
        <v>14.38</v>
      </c>
      <c r="GM54">
        <v>8.4700000000000006</v>
      </c>
      <c r="GQ54">
        <v>7.14</v>
      </c>
      <c r="GT54">
        <v>16.600000000000001</v>
      </c>
      <c r="GY54">
        <v>6.67</v>
      </c>
      <c r="HC54">
        <v>17.2</v>
      </c>
      <c r="HE54">
        <v>8.92</v>
      </c>
      <c r="HH54">
        <v>6.01</v>
      </c>
      <c r="HI54">
        <v>9.1300000000000008</v>
      </c>
      <c r="HJ54">
        <v>3.7</v>
      </c>
      <c r="HK54">
        <v>6.85</v>
      </c>
      <c r="HN54">
        <v>9.58</v>
      </c>
      <c r="HQ54">
        <v>15.05</v>
      </c>
      <c r="HW54">
        <v>9.9700000000000006</v>
      </c>
      <c r="IA54">
        <v>20.21</v>
      </c>
      <c r="IC54">
        <v>7.44</v>
      </c>
      <c r="IG54">
        <v>10.54</v>
      </c>
      <c r="II54">
        <v>17.82</v>
      </c>
      <c r="IL54">
        <v>10.26</v>
      </c>
      <c r="IO54">
        <v>8.42</v>
      </c>
      <c r="IP54">
        <v>9.5</v>
      </c>
      <c r="IS54">
        <v>9.6300000000000008</v>
      </c>
      <c r="IU54">
        <v>9.32</v>
      </c>
      <c r="IY54">
        <v>13.44</v>
      </c>
      <c r="JA54">
        <v>11.6</v>
      </c>
      <c r="JB54">
        <v>8.64</v>
      </c>
      <c r="JH54">
        <v>8.15</v>
      </c>
      <c r="JJ54">
        <v>11.3</v>
      </c>
      <c r="JK54">
        <v>7.27</v>
      </c>
      <c r="JM54">
        <v>9.93</v>
      </c>
      <c r="JQ54">
        <v>9.9700000000000006</v>
      </c>
      <c r="JS54">
        <v>10.210000000000001</v>
      </c>
      <c r="JV54">
        <v>9.11</v>
      </c>
      <c r="JZ54">
        <v>8.85</v>
      </c>
      <c r="KC54">
        <v>9.85</v>
      </c>
      <c r="KD54">
        <v>9.82</v>
      </c>
      <c r="KG54">
        <v>12.69</v>
      </c>
      <c r="KL54">
        <v>17.64</v>
      </c>
      <c r="KP54">
        <v>9.74</v>
      </c>
      <c r="KR54">
        <v>8.76</v>
      </c>
      <c r="KX54">
        <v>19.22</v>
      </c>
      <c r="LC54">
        <v>9.6300000000000008</v>
      </c>
      <c r="LD54">
        <v>10.65</v>
      </c>
    </row>
    <row r="55" spans="1:319" x14ac:dyDescent="0.2">
      <c r="A55" s="37" t="s">
        <v>380</v>
      </c>
      <c r="B55">
        <v>87.75</v>
      </c>
      <c r="C55">
        <v>1.6875</v>
      </c>
      <c r="D55" s="37" t="s">
        <v>381</v>
      </c>
      <c r="E55" s="37" t="s">
        <v>382</v>
      </c>
      <c r="L55">
        <v>6.42</v>
      </c>
      <c r="Q55">
        <v>5.55</v>
      </c>
      <c r="BZ55">
        <v>8.35</v>
      </c>
      <c r="ES55">
        <v>7.16</v>
      </c>
      <c r="EU55">
        <v>6.43</v>
      </c>
      <c r="GG55">
        <v>8.6</v>
      </c>
      <c r="GL55">
        <v>7.2</v>
      </c>
      <c r="GO55">
        <v>7.33</v>
      </c>
      <c r="IE55">
        <v>7.13</v>
      </c>
      <c r="KV55">
        <v>8.65</v>
      </c>
      <c r="LA55">
        <v>7.27</v>
      </c>
      <c r="LG55">
        <v>7.66</v>
      </c>
    </row>
    <row r="56" spans="1:319" x14ac:dyDescent="0.2">
      <c r="A56" s="37" t="s">
        <v>383</v>
      </c>
      <c r="B56">
        <v>57.529999999999994</v>
      </c>
      <c r="C56">
        <v>1.1063461538461536</v>
      </c>
      <c r="D56" s="37" t="s">
        <v>381</v>
      </c>
      <c r="E56" s="37" t="s">
        <v>382</v>
      </c>
      <c r="M56">
        <v>7.85</v>
      </c>
      <c r="BZ56">
        <v>8.61</v>
      </c>
      <c r="GG56">
        <v>9.98</v>
      </c>
      <c r="GJ56">
        <v>4.0999999999999899</v>
      </c>
      <c r="KF56">
        <v>10.82</v>
      </c>
      <c r="KS56">
        <v>7.61</v>
      </c>
      <c r="KX56">
        <v>8.56</v>
      </c>
    </row>
    <row r="57" spans="1:319" x14ac:dyDescent="0.2">
      <c r="A57" s="37" t="s">
        <v>384</v>
      </c>
      <c r="B57">
        <v>1049.6600000000001</v>
      </c>
      <c r="C57">
        <v>20.185769230769232</v>
      </c>
      <c r="D57" s="37" t="s">
        <v>381</v>
      </c>
      <c r="E57" s="37" t="s">
        <v>382</v>
      </c>
      <c r="F57">
        <v>6.08</v>
      </c>
      <c r="H57">
        <v>5.07</v>
      </c>
      <c r="K57">
        <v>7.83</v>
      </c>
      <c r="L57">
        <v>7.95</v>
      </c>
      <c r="N57">
        <v>7.11</v>
      </c>
      <c r="Q57">
        <v>7.77</v>
      </c>
      <c r="R57">
        <v>7.57</v>
      </c>
      <c r="T57">
        <v>7.34</v>
      </c>
      <c r="W57">
        <v>7.66</v>
      </c>
      <c r="X57">
        <v>7.11</v>
      </c>
      <c r="Z57">
        <v>7.41</v>
      </c>
      <c r="AC57">
        <v>7.4</v>
      </c>
      <c r="AJ57">
        <v>7.18</v>
      </c>
      <c r="AL57">
        <v>6.8</v>
      </c>
      <c r="AO57">
        <v>7.52</v>
      </c>
      <c r="AP57">
        <v>6.91</v>
      </c>
      <c r="AS57">
        <v>7.82</v>
      </c>
      <c r="AU57">
        <v>7.9</v>
      </c>
      <c r="AV57">
        <v>8.0399999999999903</v>
      </c>
      <c r="AY57">
        <v>6.94</v>
      </c>
      <c r="BA57">
        <v>8.93</v>
      </c>
      <c r="BB57">
        <v>7.66</v>
      </c>
      <c r="BD57">
        <v>6.96</v>
      </c>
      <c r="BG57">
        <v>7.34</v>
      </c>
      <c r="BH57">
        <v>5.89</v>
      </c>
      <c r="BJ57">
        <v>7.26</v>
      </c>
      <c r="BM57">
        <v>7.2</v>
      </c>
      <c r="BN57">
        <v>7.91</v>
      </c>
      <c r="BP57">
        <v>6.85</v>
      </c>
      <c r="BS57">
        <v>7.82</v>
      </c>
      <c r="BT57">
        <v>7.13</v>
      </c>
      <c r="BV57">
        <v>7.37</v>
      </c>
      <c r="BY57">
        <v>8.2799999999999905</v>
      </c>
      <c r="BZ57">
        <v>7.66</v>
      </c>
      <c r="CA57">
        <v>6.95</v>
      </c>
      <c r="CD57">
        <v>8.81</v>
      </c>
      <c r="CF57">
        <v>7.08</v>
      </c>
      <c r="CG57">
        <v>7.34</v>
      </c>
      <c r="CI57">
        <v>7.05</v>
      </c>
      <c r="CL57">
        <v>7.95</v>
      </c>
      <c r="CM57">
        <v>6.02</v>
      </c>
      <c r="CO57">
        <v>6.79</v>
      </c>
      <c r="CR57">
        <v>7.11</v>
      </c>
      <c r="CS57">
        <v>6.56</v>
      </c>
      <c r="CU57">
        <v>7.17</v>
      </c>
      <c r="CX57">
        <v>6.13</v>
      </c>
      <c r="CY57">
        <v>8.1199999999999903</v>
      </c>
      <c r="DA57">
        <v>6.7</v>
      </c>
      <c r="DE57">
        <v>5.9</v>
      </c>
      <c r="DG57">
        <v>7.04</v>
      </c>
      <c r="DJ57">
        <v>7.01</v>
      </c>
      <c r="DL57">
        <v>6.56</v>
      </c>
      <c r="DN57">
        <v>6.59</v>
      </c>
      <c r="DQ57">
        <v>7.5</v>
      </c>
      <c r="DR57">
        <v>6.75</v>
      </c>
      <c r="DT57">
        <v>6.92</v>
      </c>
      <c r="DW57">
        <v>7.24</v>
      </c>
      <c r="DX57">
        <v>7.41</v>
      </c>
      <c r="DZ57">
        <v>6.52</v>
      </c>
      <c r="EC57">
        <v>5.95</v>
      </c>
      <c r="ED57">
        <v>6.73</v>
      </c>
      <c r="EF57">
        <v>6.43</v>
      </c>
      <c r="EI57">
        <v>7.83</v>
      </c>
      <c r="EJ57">
        <v>7.22</v>
      </c>
      <c r="EL57">
        <v>6.04</v>
      </c>
      <c r="EO57">
        <v>6.18</v>
      </c>
      <c r="EP57">
        <v>7.48</v>
      </c>
      <c r="ER57">
        <v>6.22</v>
      </c>
      <c r="EU57">
        <v>6.49</v>
      </c>
      <c r="FB57">
        <v>6.67</v>
      </c>
      <c r="FE57">
        <v>7.83</v>
      </c>
      <c r="FG57">
        <v>8.31</v>
      </c>
      <c r="FN57">
        <v>7.1</v>
      </c>
      <c r="FO57">
        <v>6.88</v>
      </c>
      <c r="FS57">
        <v>7.47</v>
      </c>
      <c r="FT57">
        <v>8.1199999999999903</v>
      </c>
      <c r="FV57">
        <v>6.92</v>
      </c>
      <c r="FY57">
        <v>8.17</v>
      </c>
      <c r="FZ57">
        <v>7.88</v>
      </c>
      <c r="GB57">
        <v>6.89</v>
      </c>
      <c r="GE57">
        <v>5.44</v>
      </c>
      <c r="GH57">
        <v>15.31</v>
      </c>
      <c r="GL57">
        <v>14.19</v>
      </c>
      <c r="GN57">
        <v>8.33</v>
      </c>
      <c r="GQ57">
        <v>8.09</v>
      </c>
      <c r="GR57">
        <v>8.0299999999999905</v>
      </c>
      <c r="GT57">
        <v>7.15</v>
      </c>
      <c r="GW57">
        <v>7.89</v>
      </c>
      <c r="GX57">
        <v>7.33</v>
      </c>
      <c r="GZ57">
        <v>7</v>
      </c>
      <c r="HC57">
        <v>7.38</v>
      </c>
      <c r="HD57">
        <v>8.23</v>
      </c>
      <c r="HF57">
        <v>7.46</v>
      </c>
      <c r="HI57">
        <v>7.66</v>
      </c>
      <c r="HJ57">
        <v>7.46</v>
      </c>
      <c r="HM57">
        <v>8.69</v>
      </c>
      <c r="HO57">
        <v>7.8</v>
      </c>
      <c r="HP57">
        <v>7.99</v>
      </c>
      <c r="HR57">
        <v>5.89</v>
      </c>
      <c r="HU57">
        <v>8.0399999999999903</v>
      </c>
      <c r="HV57">
        <v>7.61</v>
      </c>
      <c r="HX57">
        <v>7.72</v>
      </c>
      <c r="IA57">
        <v>7.95</v>
      </c>
      <c r="IH57">
        <v>6.64</v>
      </c>
      <c r="IJ57">
        <v>7.71</v>
      </c>
      <c r="IM57">
        <v>8.35</v>
      </c>
      <c r="IN57">
        <v>6.31</v>
      </c>
      <c r="IP57">
        <v>6.62</v>
      </c>
      <c r="IS57">
        <v>8.8000000000000007</v>
      </c>
      <c r="IT57">
        <v>6.21</v>
      </c>
      <c r="IW57">
        <v>8.23</v>
      </c>
      <c r="IZ57">
        <v>7.28</v>
      </c>
      <c r="JB57">
        <v>6.1</v>
      </c>
      <c r="JE57">
        <v>8.39</v>
      </c>
      <c r="JF57">
        <v>7.45</v>
      </c>
      <c r="JH57">
        <v>7.45</v>
      </c>
      <c r="JK57">
        <v>8.23</v>
      </c>
      <c r="JL57">
        <v>5.38</v>
      </c>
      <c r="JN57">
        <v>8.43</v>
      </c>
      <c r="JQ57">
        <v>8.5299999999999905</v>
      </c>
      <c r="JR57">
        <v>7.44</v>
      </c>
      <c r="JT57">
        <v>7.66</v>
      </c>
      <c r="JW57">
        <v>7.93</v>
      </c>
      <c r="JX57">
        <v>8.39</v>
      </c>
      <c r="JZ57">
        <v>7.64</v>
      </c>
      <c r="KC57">
        <v>6.91</v>
      </c>
      <c r="KD57">
        <v>7.92</v>
      </c>
      <c r="KF57">
        <v>7.95</v>
      </c>
      <c r="KI57">
        <v>8.51</v>
      </c>
      <c r="KJ57">
        <v>7.34</v>
      </c>
      <c r="KL57">
        <v>7.75</v>
      </c>
      <c r="KO57">
        <v>8.1999999999999904</v>
      </c>
      <c r="KP57">
        <v>8.99</v>
      </c>
      <c r="KR57">
        <v>6.68</v>
      </c>
      <c r="KU57">
        <v>8.27</v>
      </c>
      <c r="KV57">
        <v>6.62</v>
      </c>
      <c r="KX57">
        <v>7.2</v>
      </c>
      <c r="LA57">
        <v>7.49</v>
      </c>
      <c r="LB57">
        <v>7.02</v>
      </c>
      <c r="LD57">
        <v>7.32</v>
      </c>
      <c r="LG57">
        <v>7.98</v>
      </c>
    </row>
    <row r="58" spans="1:319" x14ac:dyDescent="0.2">
      <c r="A58" s="37" t="s">
        <v>385</v>
      </c>
      <c r="B58">
        <v>824.35999999999945</v>
      </c>
      <c r="C58">
        <v>15.853076923076912</v>
      </c>
      <c r="D58" s="37" t="s">
        <v>381</v>
      </c>
      <c r="E58" s="37" t="s">
        <v>382</v>
      </c>
      <c r="F58">
        <v>14.13</v>
      </c>
      <c r="I58">
        <v>6.53</v>
      </c>
      <c r="K58">
        <v>6.62</v>
      </c>
      <c r="N58">
        <v>4.66</v>
      </c>
      <c r="R58">
        <v>8.7200000000000006</v>
      </c>
      <c r="AA58">
        <v>8.09</v>
      </c>
      <c r="AB58">
        <v>8.39</v>
      </c>
      <c r="AL58">
        <v>8.2899999999999903</v>
      </c>
      <c r="AO58">
        <v>7.8</v>
      </c>
      <c r="AP58">
        <v>9.06</v>
      </c>
      <c r="AT58">
        <v>8.1999999999999904</v>
      </c>
      <c r="AU58">
        <v>8.8000000000000007</v>
      </c>
      <c r="AV58">
        <v>9.2200000000000006</v>
      </c>
      <c r="AZ58">
        <v>8.5299999999999905</v>
      </c>
      <c r="BB58">
        <v>7.91</v>
      </c>
      <c r="BG58">
        <v>15.91</v>
      </c>
      <c r="BJ58">
        <v>7.73</v>
      </c>
      <c r="BN58">
        <v>7.85</v>
      </c>
      <c r="BO58">
        <v>9.6199999999999903</v>
      </c>
      <c r="BR58">
        <v>7.33</v>
      </c>
      <c r="BY58">
        <v>19.04</v>
      </c>
      <c r="CD58">
        <v>6.67</v>
      </c>
      <c r="CJ58">
        <v>8.75</v>
      </c>
      <c r="CM58">
        <v>8.1999999999999904</v>
      </c>
      <c r="CO58">
        <v>8.4499999999999904</v>
      </c>
      <c r="CQ58">
        <v>8.17</v>
      </c>
      <c r="CT58">
        <v>8.0299999999999905</v>
      </c>
      <c r="CU58">
        <v>7.47</v>
      </c>
      <c r="CY58">
        <v>8.35</v>
      </c>
      <c r="DA58">
        <v>8.17</v>
      </c>
      <c r="DD58">
        <v>7.99</v>
      </c>
      <c r="DF58">
        <v>6.84</v>
      </c>
      <c r="DO58">
        <v>6</v>
      </c>
      <c r="DP58">
        <v>8</v>
      </c>
      <c r="DR58">
        <v>7.14</v>
      </c>
      <c r="DU58">
        <v>6.9</v>
      </c>
      <c r="DV58">
        <v>3.41</v>
      </c>
      <c r="DX58">
        <v>8.68</v>
      </c>
      <c r="DZ58">
        <v>7.23</v>
      </c>
      <c r="EC58">
        <v>7.82</v>
      </c>
      <c r="EE58">
        <v>6.11</v>
      </c>
      <c r="EG58">
        <v>8.02</v>
      </c>
      <c r="EI58">
        <v>8.4499999999999904</v>
      </c>
      <c r="EJ58">
        <v>5.53</v>
      </c>
      <c r="EN58">
        <v>7.79</v>
      </c>
      <c r="EP58">
        <v>8.31</v>
      </c>
      <c r="FB58">
        <v>5.69</v>
      </c>
      <c r="FE58">
        <v>8.51</v>
      </c>
      <c r="FG58">
        <v>7.28</v>
      </c>
      <c r="FO58">
        <v>4.5199999999999898</v>
      </c>
      <c r="FR58">
        <v>6.92</v>
      </c>
      <c r="FT58">
        <v>8</v>
      </c>
      <c r="FW58">
        <v>6.04</v>
      </c>
      <c r="FY58">
        <v>4.08</v>
      </c>
      <c r="GA58">
        <v>7.49</v>
      </c>
      <c r="GC58">
        <v>6.71</v>
      </c>
      <c r="GG58">
        <v>8.2200000000000006</v>
      </c>
      <c r="GK58">
        <v>6.28</v>
      </c>
      <c r="GL58">
        <v>7.2</v>
      </c>
      <c r="GO58">
        <v>7.33</v>
      </c>
      <c r="GR58">
        <v>8.15</v>
      </c>
      <c r="GT58">
        <v>9.15</v>
      </c>
      <c r="GV58">
        <v>8.83</v>
      </c>
      <c r="GX58">
        <v>8.66</v>
      </c>
      <c r="GZ58">
        <v>5.71</v>
      </c>
      <c r="HF58">
        <v>7.51</v>
      </c>
      <c r="HG58">
        <v>7.2</v>
      </c>
      <c r="HI58">
        <v>8.8800000000000008</v>
      </c>
      <c r="HM58">
        <v>15.18</v>
      </c>
      <c r="HP58">
        <v>7.9</v>
      </c>
      <c r="HQ58">
        <v>10.0399999999999</v>
      </c>
      <c r="HT58">
        <v>8.67</v>
      </c>
      <c r="HV58">
        <v>9.81</v>
      </c>
      <c r="HY58">
        <v>8.19</v>
      </c>
      <c r="IA58">
        <v>9.11</v>
      </c>
      <c r="II58">
        <v>9.01</v>
      </c>
      <c r="IL58">
        <v>8.2799999999999905</v>
      </c>
      <c r="IO58">
        <v>6.65</v>
      </c>
      <c r="IQ58">
        <v>7.66</v>
      </c>
      <c r="IR58">
        <v>7.69</v>
      </c>
      <c r="IT58">
        <v>7.45</v>
      </c>
      <c r="IY58">
        <v>16.149999999999899</v>
      </c>
      <c r="JA58">
        <v>6.59</v>
      </c>
      <c r="JC58">
        <v>7.3</v>
      </c>
      <c r="JE58">
        <v>16.12</v>
      </c>
      <c r="JG58">
        <v>11.95</v>
      </c>
      <c r="JN58">
        <v>15.83</v>
      </c>
      <c r="JQ58">
        <v>9.01</v>
      </c>
      <c r="JR58">
        <v>4.6500000000000004</v>
      </c>
      <c r="JW58">
        <v>18.41</v>
      </c>
      <c r="KD58">
        <v>8.65</v>
      </c>
      <c r="KG58">
        <v>8.2100000000000009</v>
      </c>
      <c r="KI58">
        <v>7.54</v>
      </c>
      <c r="KN58">
        <v>7.68</v>
      </c>
      <c r="KP58">
        <v>7.32</v>
      </c>
      <c r="KV58">
        <v>7.66</v>
      </c>
      <c r="LB58">
        <v>8.98</v>
      </c>
      <c r="LD58">
        <v>9.4</v>
      </c>
    </row>
    <row r="59" spans="1:319" x14ac:dyDescent="0.2">
      <c r="A59" s="37" t="s">
        <v>386</v>
      </c>
      <c r="B59">
        <v>740.9</v>
      </c>
      <c r="C59">
        <v>14.248076923076923</v>
      </c>
      <c r="D59" s="37" t="s">
        <v>381</v>
      </c>
      <c r="E59" s="37" t="s">
        <v>382</v>
      </c>
      <c r="F59">
        <v>6.38</v>
      </c>
      <c r="I59">
        <v>5.85</v>
      </c>
      <c r="L59">
        <v>8.0500000000000007</v>
      </c>
      <c r="O59">
        <v>6.52</v>
      </c>
      <c r="Q59">
        <v>6.19</v>
      </c>
      <c r="S59">
        <v>6.76</v>
      </c>
      <c r="W59">
        <v>8.89</v>
      </c>
      <c r="X59">
        <v>7</v>
      </c>
      <c r="AB59">
        <v>14.81</v>
      </c>
      <c r="AM59">
        <v>16.899999999999899</v>
      </c>
      <c r="AP59">
        <v>7.13</v>
      </c>
      <c r="AV59">
        <v>6.74</v>
      </c>
      <c r="BA59">
        <v>9.01</v>
      </c>
      <c r="BD59">
        <v>11.09</v>
      </c>
      <c r="BF59">
        <v>6.78</v>
      </c>
      <c r="BJ59">
        <v>7.64</v>
      </c>
      <c r="BM59">
        <v>14.69</v>
      </c>
      <c r="BR59">
        <v>16.18</v>
      </c>
      <c r="BT59">
        <v>7.94</v>
      </c>
      <c r="BU59">
        <v>9.49</v>
      </c>
      <c r="BY59">
        <v>7.12</v>
      </c>
      <c r="CD59">
        <v>15.96</v>
      </c>
      <c r="CI59">
        <v>16.48</v>
      </c>
      <c r="CO59">
        <v>8.24</v>
      </c>
      <c r="CQ59">
        <v>6.08</v>
      </c>
      <c r="CU59">
        <v>16.739999999999899</v>
      </c>
      <c r="CY59">
        <v>15.99</v>
      </c>
      <c r="DC59">
        <v>5.87</v>
      </c>
      <c r="DG59">
        <v>6.55</v>
      </c>
      <c r="DI59">
        <v>6.83</v>
      </c>
      <c r="DL59">
        <v>7.47</v>
      </c>
      <c r="DO59">
        <v>8.18</v>
      </c>
      <c r="DS59">
        <v>6.17</v>
      </c>
      <c r="DW59">
        <v>13.01</v>
      </c>
      <c r="DZ59">
        <v>6.82</v>
      </c>
      <c r="EB59">
        <v>7.61</v>
      </c>
      <c r="EE59">
        <v>4.46</v>
      </c>
      <c r="EG59">
        <v>6.83</v>
      </c>
      <c r="EK59">
        <v>7.32</v>
      </c>
      <c r="EL59">
        <v>7.04</v>
      </c>
      <c r="EO59">
        <v>8.31</v>
      </c>
      <c r="ER59">
        <v>9.43</v>
      </c>
      <c r="FC59">
        <v>7.13</v>
      </c>
      <c r="FG59">
        <v>7.67</v>
      </c>
      <c r="FO59">
        <v>7.09</v>
      </c>
      <c r="FP59">
        <v>6.37</v>
      </c>
      <c r="FU59">
        <v>8.24</v>
      </c>
      <c r="FW59">
        <v>7.35</v>
      </c>
      <c r="FY59">
        <v>4.22</v>
      </c>
      <c r="GB59">
        <v>5.87</v>
      </c>
      <c r="GC59">
        <v>7.8</v>
      </c>
      <c r="GK59">
        <v>8.09</v>
      </c>
      <c r="GN59">
        <v>7.25</v>
      </c>
      <c r="GO59">
        <v>7.8</v>
      </c>
      <c r="GS59">
        <v>6.77</v>
      </c>
      <c r="GW59">
        <v>8.6300000000000008</v>
      </c>
      <c r="GZ59">
        <v>7.27</v>
      </c>
      <c r="HC59">
        <v>5.7</v>
      </c>
      <c r="HG59">
        <v>8.98</v>
      </c>
      <c r="HI59">
        <v>8.06</v>
      </c>
      <c r="HK59">
        <v>7.83</v>
      </c>
      <c r="HO59">
        <v>7.67</v>
      </c>
      <c r="HU59">
        <v>9.58</v>
      </c>
      <c r="HX59">
        <v>10.32</v>
      </c>
      <c r="IA59">
        <v>7.89</v>
      </c>
      <c r="IH59">
        <v>7.91</v>
      </c>
      <c r="IL59">
        <v>7.95</v>
      </c>
      <c r="IQ59">
        <v>7.98</v>
      </c>
      <c r="IS59">
        <v>7.83</v>
      </c>
      <c r="IW59">
        <v>7.56</v>
      </c>
      <c r="IY59">
        <v>9.2799999999999905</v>
      </c>
      <c r="IZ59">
        <v>13.88</v>
      </c>
      <c r="JD59">
        <v>5.52</v>
      </c>
      <c r="JG59">
        <v>7.23</v>
      </c>
      <c r="JH59">
        <v>11.34</v>
      </c>
      <c r="JL59">
        <v>8.4700000000000006</v>
      </c>
      <c r="JP59">
        <v>8.42</v>
      </c>
      <c r="JT59">
        <v>8.59</v>
      </c>
      <c r="KA59">
        <v>7.29</v>
      </c>
      <c r="KF59">
        <v>8.11</v>
      </c>
      <c r="KL59">
        <v>7.46</v>
      </c>
      <c r="KO59">
        <v>8.18</v>
      </c>
      <c r="KP59">
        <v>7.72</v>
      </c>
      <c r="KS59">
        <v>8.68</v>
      </c>
      <c r="KX59">
        <v>8.9499999999999904</v>
      </c>
      <c r="LD59">
        <v>7.45</v>
      </c>
      <c r="LG59">
        <v>8.9700000000000006</v>
      </c>
    </row>
    <row r="60" spans="1:319" x14ac:dyDescent="0.2">
      <c r="A60" s="37" t="s">
        <v>387</v>
      </c>
      <c r="B60">
        <v>1287.3199999999993</v>
      </c>
      <c r="C60">
        <v>24.756153846153833</v>
      </c>
      <c r="D60" s="37" t="s">
        <v>381</v>
      </c>
      <c r="E60" s="37" t="s">
        <v>382</v>
      </c>
      <c r="M60">
        <v>8.91</v>
      </c>
      <c r="N60">
        <v>7.94</v>
      </c>
      <c r="O60">
        <v>7.34</v>
      </c>
      <c r="R60">
        <v>8.6300000000000008</v>
      </c>
      <c r="S60">
        <v>8.8000000000000007</v>
      </c>
      <c r="T60">
        <v>7.3</v>
      </c>
      <c r="Y60">
        <v>3.64</v>
      </c>
      <c r="Z60">
        <v>16.63</v>
      </c>
      <c r="AB60">
        <v>6.46</v>
      </c>
      <c r="AK60">
        <v>17.75</v>
      </c>
      <c r="AM60">
        <v>8.83</v>
      </c>
      <c r="AO60">
        <v>5.0199999999999898</v>
      </c>
      <c r="AQ60">
        <v>15.93</v>
      </c>
      <c r="AS60">
        <v>7.27</v>
      </c>
      <c r="AW60">
        <v>10.18</v>
      </c>
      <c r="AX60">
        <v>9.33</v>
      </c>
      <c r="BA60">
        <v>17.04</v>
      </c>
      <c r="BB60">
        <v>10.38</v>
      </c>
      <c r="BF60">
        <v>16.2</v>
      </c>
      <c r="BK60">
        <v>17.52</v>
      </c>
      <c r="BM60">
        <v>6.29</v>
      </c>
      <c r="BQ60">
        <v>17.920000000000002</v>
      </c>
      <c r="BT60">
        <v>9.98</v>
      </c>
      <c r="BU60">
        <v>9.15</v>
      </c>
      <c r="BX60">
        <v>13.69</v>
      </c>
      <c r="BZ60">
        <v>8.1300000000000008</v>
      </c>
      <c r="CB60">
        <v>5.84</v>
      </c>
      <c r="CD60">
        <v>6.82</v>
      </c>
      <c r="CG60">
        <v>9.06</v>
      </c>
      <c r="CI60">
        <v>18.77</v>
      </c>
      <c r="CM60">
        <v>14.54</v>
      </c>
      <c r="CN60">
        <v>6.73</v>
      </c>
      <c r="CO60">
        <v>8.69</v>
      </c>
      <c r="CR60">
        <v>8.5500000000000007</v>
      </c>
      <c r="CS60">
        <v>7.02</v>
      </c>
      <c r="CV60">
        <v>6.86</v>
      </c>
      <c r="CW60">
        <v>7.27</v>
      </c>
      <c r="CY60">
        <v>8.66</v>
      </c>
      <c r="CZ60">
        <v>7.71</v>
      </c>
      <c r="DA60">
        <v>25.59</v>
      </c>
      <c r="DC60">
        <v>6.1</v>
      </c>
      <c r="DG60">
        <v>7.72</v>
      </c>
      <c r="DI60">
        <v>8.99</v>
      </c>
      <c r="DM60">
        <v>9.18</v>
      </c>
      <c r="DP60">
        <v>9.27</v>
      </c>
      <c r="DR60">
        <v>8.24</v>
      </c>
      <c r="DU60">
        <v>8.42</v>
      </c>
      <c r="DV60">
        <v>8.02</v>
      </c>
      <c r="DX60">
        <v>17.98</v>
      </c>
      <c r="DZ60">
        <v>6.09</v>
      </c>
      <c r="EC60">
        <v>15.56</v>
      </c>
      <c r="ED60">
        <v>5.89</v>
      </c>
      <c r="EF60">
        <v>7.53</v>
      </c>
      <c r="EG60">
        <v>8.76</v>
      </c>
      <c r="EI60">
        <v>8.01</v>
      </c>
      <c r="EM60">
        <v>13.04</v>
      </c>
      <c r="EO60">
        <v>20.79</v>
      </c>
      <c r="ES60">
        <v>9.4</v>
      </c>
      <c r="EU60">
        <v>7.26</v>
      </c>
      <c r="FF60">
        <v>6.63</v>
      </c>
      <c r="FG60">
        <v>7.44</v>
      </c>
      <c r="FP60">
        <v>14.48</v>
      </c>
      <c r="FQ60">
        <v>8.6</v>
      </c>
      <c r="FR60">
        <v>4.3499999999999899</v>
      </c>
      <c r="FT60">
        <v>7.99</v>
      </c>
      <c r="FV60">
        <v>9.59</v>
      </c>
      <c r="FX60">
        <v>14.47</v>
      </c>
      <c r="FZ60">
        <v>8.52</v>
      </c>
      <c r="GB60">
        <v>6.47</v>
      </c>
      <c r="GD60">
        <v>7.19</v>
      </c>
      <c r="GG60">
        <v>9.69</v>
      </c>
      <c r="GH60">
        <v>6.72</v>
      </c>
      <c r="GI60">
        <v>8.9</v>
      </c>
      <c r="GM60">
        <v>17.260000000000002</v>
      </c>
      <c r="GN60">
        <v>6.6</v>
      </c>
      <c r="GQ60">
        <v>14.01</v>
      </c>
      <c r="GT60">
        <v>7.11</v>
      </c>
      <c r="GU60">
        <v>13.89</v>
      </c>
      <c r="GZ60">
        <v>16.2</v>
      </c>
      <c r="HA60">
        <v>5.27</v>
      </c>
      <c r="HC60">
        <v>7.6</v>
      </c>
      <c r="HD60">
        <v>8.67</v>
      </c>
      <c r="HG60">
        <v>7.71</v>
      </c>
      <c r="HI60">
        <v>9.24</v>
      </c>
      <c r="HL60">
        <v>5.7</v>
      </c>
      <c r="HN60">
        <v>8.61</v>
      </c>
      <c r="HQ60">
        <v>18.41</v>
      </c>
      <c r="HS60">
        <v>7.35</v>
      </c>
      <c r="HT60">
        <v>5.86</v>
      </c>
      <c r="HX60">
        <v>18.53</v>
      </c>
      <c r="HY60">
        <v>8.64</v>
      </c>
      <c r="IA60">
        <v>6.55</v>
      </c>
      <c r="IB60">
        <v>8.26</v>
      </c>
      <c r="IF60">
        <v>7.15</v>
      </c>
      <c r="IH60">
        <v>5.4</v>
      </c>
      <c r="II60">
        <v>7.65</v>
      </c>
      <c r="IL60">
        <v>8.17</v>
      </c>
      <c r="IM60">
        <v>8.51</v>
      </c>
      <c r="IN60">
        <v>8.11</v>
      </c>
      <c r="IP60">
        <v>8.43</v>
      </c>
      <c r="IQ60">
        <v>6.54</v>
      </c>
      <c r="IS60">
        <v>6.67</v>
      </c>
      <c r="IV60">
        <v>7.2</v>
      </c>
      <c r="IW60">
        <v>8.59</v>
      </c>
      <c r="IX60">
        <v>7.42</v>
      </c>
      <c r="IZ60">
        <v>6.83</v>
      </c>
      <c r="JA60">
        <v>19.309999999999899</v>
      </c>
      <c r="JD60">
        <v>7.86</v>
      </c>
      <c r="JM60">
        <v>17.55</v>
      </c>
      <c r="JO60">
        <v>10.86</v>
      </c>
      <c r="JQ60">
        <v>16.41</v>
      </c>
      <c r="JS60">
        <v>5.0999999999999899</v>
      </c>
      <c r="JU60">
        <v>9.49</v>
      </c>
      <c r="JX60">
        <v>8.35</v>
      </c>
      <c r="KA60">
        <v>16.18</v>
      </c>
      <c r="KB60">
        <v>7.07</v>
      </c>
      <c r="KE60">
        <v>15.43</v>
      </c>
      <c r="KH60">
        <v>8.7899999999999903</v>
      </c>
      <c r="KK60">
        <v>17.09</v>
      </c>
      <c r="KM60">
        <v>10.1999999999999</v>
      </c>
      <c r="KO60">
        <v>8.01</v>
      </c>
      <c r="KP60">
        <v>6.31</v>
      </c>
      <c r="KR60">
        <v>9.3000000000000007</v>
      </c>
      <c r="KU60">
        <v>8.4499999999999904</v>
      </c>
      <c r="KV60">
        <v>9.3699999999999903</v>
      </c>
      <c r="KX60">
        <v>10.43</v>
      </c>
      <c r="LA60">
        <v>8.4499999999999904</v>
      </c>
      <c r="LD60">
        <v>17.14</v>
      </c>
      <c r="LG60">
        <v>16.37</v>
      </c>
    </row>
    <row r="61" spans="1:319" x14ac:dyDescent="0.2">
      <c r="A61" s="37" t="s">
        <v>388</v>
      </c>
      <c r="B61">
        <v>54.349999999999987</v>
      </c>
      <c r="C61">
        <v>1.0451923076923075</v>
      </c>
      <c r="D61" s="37" t="s">
        <v>381</v>
      </c>
      <c r="E61" s="37" t="s">
        <v>382</v>
      </c>
      <c r="F61">
        <v>16.920000000000002</v>
      </c>
      <c r="G61">
        <v>6.47</v>
      </c>
      <c r="H61">
        <v>7.06</v>
      </c>
      <c r="JF61">
        <v>7.66</v>
      </c>
      <c r="JH61">
        <v>8.4499999999999904</v>
      </c>
      <c r="JJ61">
        <v>7.79</v>
      </c>
    </row>
    <row r="62" spans="1:319" x14ac:dyDescent="0.2">
      <c r="A62" s="37" t="s">
        <v>389</v>
      </c>
      <c r="B62">
        <v>1605.1409999999989</v>
      </c>
      <c r="C62">
        <v>30.868096153846132</v>
      </c>
      <c r="D62" s="37" t="s">
        <v>381</v>
      </c>
      <c r="E62" s="37" t="s">
        <v>382</v>
      </c>
      <c r="H62">
        <v>12.27</v>
      </c>
      <c r="I62">
        <v>7.99</v>
      </c>
      <c r="K62">
        <v>13.01</v>
      </c>
      <c r="N62">
        <v>13.59</v>
      </c>
      <c r="O62">
        <v>6.49</v>
      </c>
      <c r="Q62">
        <v>16.440000000000001</v>
      </c>
      <c r="T62">
        <v>13.97</v>
      </c>
      <c r="V62">
        <v>9.27</v>
      </c>
      <c r="W62">
        <v>7.29</v>
      </c>
      <c r="Z62">
        <v>19.829999999999899</v>
      </c>
      <c r="AA62">
        <v>6.39</v>
      </c>
      <c r="AC62">
        <v>13.22</v>
      </c>
      <c r="AL62">
        <v>14.23</v>
      </c>
      <c r="AN62">
        <v>7.45</v>
      </c>
      <c r="AO62">
        <v>9.3699999999999903</v>
      </c>
      <c r="AR62">
        <v>14.68</v>
      </c>
      <c r="AU62">
        <v>15.36</v>
      </c>
      <c r="AX62">
        <v>7.4</v>
      </c>
      <c r="AY62">
        <v>16.760000000000002</v>
      </c>
      <c r="BA62">
        <v>15.11</v>
      </c>
      <c r="BD62">
        <v>14.44</v>
      </c>
      <c r="BF62">
        <v>10.0399999999999</v>
      </c>
      <c r="BG62">
        <v>13.92</v>
      </c>
      <c r="BJ62">
        <v>14.82</v>
      </c>
      <c r="BK62">
        <v>6.78</v>
      </c>
      <c r="BM62">
        <v>14.4</v>
      </c>
      <c r="BP62">
        <v>15.12</v>
      </c>
      <c r="BS62">
        <v>24.2</v>
      </c>
      <c r="BU62">
        <v>6.07</v>
      </c>
      <c r="BV62">
        <v>17.010000000000002</v>
      </c>
      <c r="BY62">
        <v>13.61</v>
      </c>
      <c r="CC62">
        <v>15.12</v>
      </c>
      <c r="CF62">
        <v>20.81</v>
      </c>
      <c r="CI62">
        <v>16.27</v>
      </c>
      <c r="CJ62">
        <v>7.09</v>
      </c>
      <c r="CL62">
        <v>14.89</v>
      </c>
      <c r="CO62">
        <v>14.86</v>
      </c>
      <c r="CR62">
        <v>18.25</v>
      </c>
      <c r="CU62">
        <v>20.72</v>
      </c>
      <c r="CW62">
        <v>5.56</v>
      </c>
      <c r="CX62">
        <v>14.55</v>
      </c>
      <c r="DA62">
        <v>21.38</v>
      </c>
      <c r="DD62">
        <v>14.12</v>
      </c>
      <c r="DG62">
        <v>14.12</v>
      </c>
      <c r="DJ62">
        <v>13.09</v>
      </c>
      <c r="DM62">
        <v>5.87</v>
      </c>
      <c r="DQ62">
        <v>14.83</v>
      </c>
      <c r="DT62">
        <v>14.09</v>
      </c>
      <c r="DV62">
        <v>11.521000000000001</v>
      </c>
      <c r="DW62">
        <v>6.84</v>
      </c>
      <c r="DY62">
        <v>7.77</v>
      </c>
      <c r="DZ62">
        <v>11.17</v>
      </c>
      <c r="EC62">
        <v>12.55</v>
      </c>
      <c r="ED62">
        <v>7.18</v>
      </c>
      <c r="EF62">
        <v>10.67</v>
      </c>
      <c r="EG62">
        <v>8.3000000000000007</v>
      </c>
      <c r="EI62">
        <v>13.02</v>
      </c>
      <c r="EJ62">
        <v>5.95</v>
      </c>
      <c r="EL62">
        <v>12.62</v>
      </c>
      <c r="EO62">
        <v>8.7200000000000006</v>
      </c>
      <c r="ER62">
        <v>8.8699999999999903</v>
      </c>
      <c r="EU62">
        <v>8.94</v>
      </c>
      <c r="FD62">
        <v>12.96</v>
      </c>
      <c r="FG62">
        <v>3.43</v>
      </c>
      <c r="FP62">
        <v>14.52</v>
      </c>
      <c r="FR62">
        <v>6.44</v>
      </c>
      <c r="FS62">
        <v>15.36</v>
      </c>
      <c r="FU62">
        <v>9.7200000000000006</v>
      </c>
      <c r="FX62">
        <v>7.74</v>
      </c>
      <c r="FZ62">
        <v>6.38</v>
      </c>
      <c r="GB62">
        <v>11.51</v>
      </c>
      <c r="GE62">
        <v>15.49</v>
      </c>
      <c r="GH62">
        <v>22.05</v>
      </c>
      <c r="GK62">
        <v>13.68</v>
      </c>
      <c r="GN62">
        <v>15.52</v>
      </c>
      <c r="GQ62">
        <v>7.34</v>
      </c>
      <c r="GT62">
        <v>21.73</v>
      </c>
      <c r="GW62">
        <v>25.03</v>
      </c>
      <c r="GZ62">
        <v>8.4</v>
      </c>
      <c r="HB62">
        <v>8.4</v>
      </c>
      <c r="HE62">
        <v>19.690000000000001</v>
      </c>
      <c r="HH62">
        <v>4.55</v>
      </c>
      <c r="HI62">
        <v>15.82</v>
      </c>
      <c r="HL62">
        <v>12.5</v>
      </c>
      <c r="HO62">
        <v>27.44</v>
      </c>
      <c r="HR62">
        <v>9.74</v>
      </c>
      <c r="HU62">
        <v>15</v>
      </c>
      <c r="HW62">
        <v>7.3</v>
      </c>
      <c r="HX62">
        <v>14.07</v>
      </c>
      <c r="IA62">
        <v>12.74</v>
      </c>
      <c r="ID62">
        <v>23.36</v>
      </c>
      <c r="IJ62">
        <v>11.98</v>
      </c>
      <c r="IM62">
        <v>15.1</v>
      </c>
      <c r="IO62">
        <v>16.32</v>
      </c>
      <c r="IP62">
        <v>7.75</v>
      </c>
      <c r="IS62">
        <v>22.9</v>
      </c>
      <c r="IV62">
        <v>9.77</v>
      </c>
      <c r="IW62">
        <v>7.75</v>
      </c>
      <c r="IY62">
        <v>16.32</v>
      </c>
      <c r="JB62">
        <v>11.08</v>
      </c>
      <c r="JH62">
        <v>12.19</v>
      </c>
      <c r="JI62">
        <v>8.32</v>
      </c>
      <c r="JK62">
        <v>16.59</v>
      </c>
      <c r="JN62">
        <v>17.7</v>
      </c>
      <c r="JQ62">
        <v>18.149999999999899</v>
      </c>
      <c r="JT62">
        <v>20.399999999999899</v>
      </c>
      <c r="JW62">
        <v>14.75</v>
      </c>
      <c r="JZ62">
        <v>18.47</v>
      </c>
      <c r="KC62">
        <v>16.399999999999899</v>
      </c>
      <c r="KF62">
        <v>18.5</v>
      </c>
      <c r="KG62">
        <v>5.96</v>
      </c>
      <c r="KI62">
        <v>15.66</v>
      </c>
      <c r="KJ62">
        <v>10.69</v>
      </c>
      <c r="KL62">
        <v>13.25</v>
      </c>
      <c r="KO62">
        <v>16.53</v>
      </c>
      <c r="KR62">
        <v>16.64</v>
      </c>
      <c r="KU62">
        <v>13.58</v>
      </c>
      <c r="KV62">
        <v>13.17</v>
      </c>
      <c r="KY62">
        <v>22.83</v>
      </c>
      <c r="LA62">
        <v>5.49</v>
      </c>
      <c r="LE62">
        <v>25.52</v>
      </c>
      <c r="LG62">
        <v>7.2</v>
      </c>
    </row>
    <row r="63" spans="1:319" x14ac:dyDescent="0.2">
      <c r="A63" s="37" t="s">
        <v>390</v>
      </c>
      <c r="B63">
        <v>489.68000000000023</v>
      </c>
      <c r="C63">
        <v>9.4169230769230818</v>
      </c>
      <c r="D63" s="37" t="s">
        <v>381</v>
      </c>
      <c r="E63" s="37" t="s">
        <v>382</v>
      </c>
      <c r="K63">
        <v>7.87</v>
      </c>
      <c r="O63">
        <v>6.17</v>
      </c>
      <c r="S63">
        <v>6.99</v>
      </c>
      <c r="W63">
        <v>6.67</v>
      </c>
      <c r="X63">
        <v>3.82</v>
      </c>
      <c r="AC63">
        <v>7.95</v>
      </c>
      <c r="AK63">
        <v>7.35</v>
      </c>
      <c r="AO63">
        <v>6.17</v>
      </c>
      <c r="AS63">
        <v>6.75</v>
      </c>
      <c r="AW63">
        <v>7.19</v>
      </c>
      <c r="BA63">
        <v>5.79</v>
      </c>
      <c r="BB63">
        <v>5.54</v>
      </c>
      <c r="BG63">
        <v>8.68</v>
      </c>
      <c r="BK63">
        <v>7.38</v>
      </c>
      <c r="BO63">
        <v>5.91</v>
      </c>
      <c r="BS63">
        <v>8.77</v>
      </c>
      <c r="BV63">
        <v>8.23</v>
      </c>
      <c r="CD63">
        <v>8.76</v>
      </c>
      <c r="CJ63">
        <v>7.36</v>
      </c>
      <c r="CN63">
        <v>6.91</v>
      </c>
      <c r="CR63">
        <v>5.56</v>
      </c>
      <c r="CU63">
        <v>6.86</v>
      </c>
      <c r="CV63">
        <v>5.36</v>
      </c>
      <c r="CX63">
        <v>5.63</v>
      </c>
      <c r="CY63">
        <v>5.58</v>
      </c>
      <c r="DF63">
        <v>7.61</v>
      </c>
      <c r="DO63">
        <v>6.21</v>
      </c>
      <c r="DS63">
        <v>7.02</v>
      </c>
      <c r="DW63">
        <v>5.68</v>
      </c>
      <c r="EA63">
        <v>6.59</v>
      </c>
      <c r="ED63">
        <v>5.45</v>
      </c>
      <c r="EI63">
        <v>7.07</v>
      </c>
      <c r="EQ63">
        <v>6.98</v>
      </c>
      <c r="EU63">
        <v>6.61</v>
      </c>
      <c r="FF63">
        <v>5.55</v>
      </c>
      <c r="FN63">
        <v>6.26</v>
      </c>
      <c r="FS63">
        <v>7.39</v>
      </c>
      <c r="FW63">
        <v>7.06</v>
      </c>
      <c r="GA63">
        <v>6.02</v>
      </c>
      <c r="GE63">
        <v>6.66</v>
      </c>
      <c r="GI63">
        <v>6.69</v>
      </c>
      <c r="GM63">
        <v>5.1100000000000003</v>
      </c>
      <c r="GQ63">
        <v>7.68</v>
      </c>
      <c r="GU63">
        <v>7.24</v>
      </c>
      <c r="GY63">
        <v>5.97</v>
      </c>
      <c r="HC63">
        <v>5.15</v>
      </c>
      <c r="HG63">
        <v>8.81</v>
      </c>
      <c r="HK63">
        <v>6.83</v>
      </c>
      <c r="HO63">
        <v>6.7</v>
      </c>
      <c r="HR63">
        <v>5.89</v>
      </c>
      <c r="HW63">
        <v>6.66</v>
      </c>
      <c r="IA63">
        <v>6.3</v>
      </c>
      <c r="IB63">
        <v>5.76</v>
      </c>
      <c r="IE63">
        <v>7.42</v>
      </c>
      <c r="II63">
        <v>7.54</v>
      </c>
      <c r="IO63">
        <v>6.3</v>
      </c>
      <c r="IR63">
        <v>6.63</v>
      </c>
      <c r="IV63">
        <v>6.92</v>
      </c>
      <c r="JC63">
        <v>6.49</v>
      </c>
      <c r="JE63">
        <v>8.32</v>
      </c>
      <c r="JI63">
        <v>6.41</v>
      </c>
      <c r="JM63">
        <v>6.44</v>
      </c>
      <c r="JR63">
        <v>7.81</v>
      </c>
      <c r="JW63">
        <v>7.69</v>
      </c>
      <c r="JX63">
        <v>5.62</v>
      </c>
      <c r="KC63">
        <v>8.6</v>
      </c>
      <c r="KG63">
        <v>6.22</v>
      </c>
      <c r="KM63">
        <v>7.31</v>
      </c>
      <c r="KQ63">
        <v>7.33</v>
      </c>
      <c r="KU63">
        <v>5.88</v>
      </c>
      <c r="KY63">
        <v>5.8</v>
      </c>
      <c r="LC63">
        <v>6.07</v>
      </c>
      <c r="LG63">
        <v>6.68</v>
      </c>
    </row>
    <row r="64" spans="1:319" x14ac:dyDescent="0.2">
      <c r="A64" s="37" t="s">
        <v>391</v>
      </c>
      <c r="B64">
        <v>1107.8100000000002</v>
      </c>
      <c r="C64">
        <v>21.304038461538465</v>
      </c>
      <c r="D64" s="37" t="s">
        <v>381</v>
      </c>
      <c r="E64" s="37" t="s">
        <v>382</v>
      </c>
      <c r="F64">
        <v>5.24</v>
      </c>
      <c r="H64">
        <v>6.79</v>
      </c>
      <c r="J64">
        <v>6.29</v>
      </c>
      <c r="L64">
        <v>6.75</v>
      </c>
      <c r="N64">
        <v>7.1</v>
      </c>
      <c r="P64">
        <v>6.37</v>
      </c>
      <c r="Q64">
        <v>5.65</v>
      </c>
      <c r="R64">
        <v>5.76</v>
      </c>
      <c r="T64">
        <v>7.3</v>
      </c>
      <c r="V64">
        <v>6.56</v>
      </c>
      <c r="X64">
        <v>6.24</v>
      </c>
      <c r="Z64">
        <v>12.47</v>
      </c>
      <c r="AB64">
        <v>6.63</v>
      </c>
      <c r="AC64">
        <v>4.67</v>
      </c>
      <c r="AK64">
        <v>7.58</v>
      </c>
      <c r="AM64">
        <v>7.28</v>
      </c>
      <c r="AN64">
        <v>5.91</v>
      </c>
      <c r="AP64">
        <v>7.4</v>
      </c>
      <c r="AT64">
        <v>9.11</v>
      </c>
      <c r="AV64">
        <v>7.75</v>
      </c>
      <c r="AW64">
        <v>8.39</v>
      </c>
      <c r="AZ64">
        <v>7.44</v>
      </c>
      <c r="BE64">
        <v>15.61</v>
      </c>
      <c r="BI64">
        <v>15.04</v>
      </c>
      <c r="BK64">
        <v>7.07</v>
      </c>
      <c r="BN64">
        <v>7.02</v>
      </c>
      <c r="BO64">
        <v>7.17</v>
      </c>
      <c r="BQ64">
        <v>6.66</v>
      </c>
      <c r="BU64">
        <v>9.57</v>
      </c>
      <c r="BV64">
        <v>7.43</v>
      </c>
      <c r="BX64">
        <v>7.16</v>
      </c>
      <c r="BY64">
        <v>7.12</v>
      </c>
      <c r="CB64">
        <v>13.9</v>
      </c>
      <c r="CE64">
        <v>8.23</v>
      </c>
      <c r="CG64">
        <v>7.06</v>
      </c>
      <c r="CH64">
        <v>8.32</v>
      </c>
      <c r="CJ64">
        <v>6.84</v>
      </c>
      <c r="CL64">
        <v>8.32</v>
      </c>
      <c r="CM64">
        <v>6.99</v>
      </c>
      <c r="CO64">
        <v>7.27</v>
      </c>
      <c r="CQ64">
        <v>5.72</v>
      </c>
      <c r="CR64">
        <v>7.09</v>
      </c>
      <c r="CT64">
        <v>6.88</v>
      </c>
      <c r="CU64">
        <v>6.34</v>
      </c>
      <c r="CX64">
        <v>7.29</v>
      </c>
      <c r="CY64">
        <v>5.43</v>
      </c>
      <c r="DA64">
        <v>7.18</v>
      </c>
      <c r="DC64">
        <v>6.7</v>
      </c>
      <c r="DE64">
        <v>6.26</v>
      </c>
      <c r="DF64">
        <v>5.94</v>
      </c>
      <c r="DG64">
        <v>8.98</v>
      </c>
      <c r="DJ64">
        <v>8.3800000000000008</v>
      </c>
      <c r="DL64">
        <v>6.73</v>
      </c>
      <c r="DN64">
        <v>7.27</v>
      </c>
      <c r="DP64">
        <v>6.84</v>
      </c>
      <c r="DT64">
        <v>6.95</v>
      </c>
      <c r="DU64">
        <v>8.0500000000000007</v>
      </c>
      <c r="DX64">
        <v>5.2</v>
      </c>
      <c r="DY64">
        <v>5.93</v>
      </c>
      <c r="EB64">
        <v>6.51</v>
      </c>
      <c r="ED64">
        <v>6.44</v>
      </c>
      <c r="EF64">
        <v>6.79</v>
      </c>
      <c r="EH64">
        <v>6.62</v>
      </c>
      <c r="EI64">
        <v>5.78</v>
      </c>
      <c r="EJ64">
        <v>5.63</v>
      </c>
      <c r="EM64">
        <v>11.63</v>
      </c>
      <c r="EP64">
        <v>5.84</v>
      </c>
      <c r="EQ64">
        <v>6.86</v>
      </c>
      <c r="ER64">
        <v>4.75</v>
      </c>
      <c r="EU64">
        <v>7.01</v>
      </c>
      <c r="FC64">
        <v>12.36</v>
      </c>
      <c r="FE64">
        <v>8.0399999999999903</v>
      </c>
      <c r="FG64">
        <v>7.74</v>
      </c>
      <c r="FN64">
        <v>9.7899999999999903</v>
      </c>
      <c r="FP64">
        <v>7.11</v>
      </c>
      <c r="FR64">
        <v>6.4</v>
      </c>
      <c r="FT64">
        <v>8.3699999999999903</v>
      </c>
      <c r="FV64">
        <v>7.78</v>
      </c>
      <c r="FX64">
        <v>6.07</v>
      </c>
      <c r="FZ64">
        <v>5.74</v>
      </c>
      <c r="GB64">
        <v>7.17</v>
      </c>
      <c r="GD64">
        <v>6.21</v>
      </c>
      <c r="GE64">
        <v>6.58</v>
      </c>
      <c r="GF64">
        <v>8.31</v>
      </c>
      <c r="GH64">
        <v>6.29</v>
      </c>
      <c r="GK64">
        <v>7.48</v>
      </c>
      <c r="GL64">
        <v>6.64</v>
      </c>
      <c r="GM64">
        <v>7.57</v>
      </c>
      <c r="GO64">
        <v>6.73</v>
      </c>
      <c r="GQ64">
        <v>5.5</v>
      </c>
      <c r="GR64">
        <v>6.33</v>
      </c>
      <c r="GT64">
        <v>7.01</v>
      </c>
      <c r="GW64">
        <v>8.56</v>
      </c>
      <c r="GX64">
        <v>8.41</v>
      </c>
      <c r="GZ64">
        <v>7.38</v>
      </c>
      <c r="HB64">
        <v>6.45</v>
      </c>
      <c r="HD64">
        <v>8.23</v>
      </c>
      <c r="HF64">
        <v>7.02</v>
      </c>
      <c r="HH64">
        <v>8.02</v>
      </c>
      <c r="HJ64">
        <v>8.32</v>
      </c>
      <c r="HL64">
        <v>6.55</v>
      </c>
      <c r="HN64">
        <v>7.28</v>
      </c>
      <c r="HP64">
        <v>8.67</v>
      </c>
      <c r="HQ64">
        <v>8.25</v>
      </c>
      <c r="HT64">
        <v>6.81</v>
      </c>
      <c r="HU64">
        <v>5.34</v>
      </c>
      <c r="HV64">
        <v>8.2899999999999903</v>
      </c>
      <c r="HX64">
        <v>8.32</v>
      </c>
      <c r="IA64">
        <v>6.74</v>
      </c>
      <c r="IF64">
        <v>6.93</v>
      </c>
      <c r="IH64">
        <v>8.25</v>
      </c>
      <c r="IJ64">
        <v>8.01</v>
      </c>
      <c r="IM64">
        <v>10.28</v>
      </c>
      <c r="IP64">
        <v>7.32</v>
      </c>
      <c r="IQ64">
        <v>5.73</v>
      </c>
      <c r="IS64">
        <v>8.0399999999999903</v>
      </c>
      <c r="IT64">
        <v>6.95</v>
      </c>
      <c r="IW64">
        <v>8.02</v>
      </c>
      <c r="IX64">
        <v>6.37</v>
      </c>
      <c r="IZ64">
        <v>7.1</v>
      </c>
      <c r="JD64">
        <v>8.32</v>
      </c>
      <c r="JE64">
        <v>5.72</v>
      </c>
      <c r="JF64">
        <v>6.38</v>
      </c>
      <c r="JI64">
        <v>18.45</v>
      </c>
      <c r="JK64">
        <v>7.1</v>
      </c>
      <c r="JM64">
        <v>6.33</v>
      </c>
      <c r="JN64">
        <v>6.95</v>
      </c>
      <c r="JP64">
        <v>7.24</v>
      </c>
      <c r="JQ64">
        <v>4.24</v>
      </c>
      <c r="JT64">
        <v>8.5500000000000007</v>
      </c>
      <c r="JV64">
        <v>6.63</v>
      </c>
      <c r="JW64">
        <v>7.98</v>
      </c>
      <c r="JX64">
        <v>8.86</v>
      </c>
      <c r="KB64">
        <v>7.67</v>
      </c>
      <c r="KD64">
        <v>5.34</v>
      </c>
      <c r="KG64">
        <v>9.4</v>
      </c>
      <c r="KK64">
        <v>7.07</v>
      </c>
      <c r="KN64">
        <v>7.14</v>
      </c>
      <c r="KO64">
        <v>7.96</v>
      </c>
      <c r="KP64">
        <v>13.15</v>
      </c>
      <c r="KS64">
        <v>7.01</v>
      </c>
      <c r="KT64">
        <v>6.76</v>
      </c>
      <c r="KV64">
        <v>7.48</v>
      </c>
      <c r="KX64">
        <v>8.56</v>
      </c>
      <c r="KZ64">
        <v>5.77</v>
      </c>
      <c r="LD64">
        <v>7.57</v>
      </c>
      <c r="LE64">
        <v>8.1300000000000008</v>
      </c>
      <c r="LG64">
        <v>8.7100000000000009</v>
      </c>
    </row>
    <row r="65" spans="1:319" x14ac:dyDescent="0.2">
      <c r="A65" s="37" t="s">
        <v>392</v>
      </c>
      <c r="B65">
        <v>1908.2919999999988</v>
      </c>
      <c r="C65">
        <v>36.697923076923054</v>
      </c>
      <c r="D65" s="37" t="s">
        <v>381</v>
      </c>
      <c r="E65" s="37" t="s">
        <v>382</v>
      </c>
      <c r="F65">
        <v>6.56</v>
      </c>
      <c r="I65">
        <v>18.690000000000001</v>
      </c>
      <c r="J65">
        <v>17.350000000000001</v>
      </c>
      <c r="M65">
        <v>30.65</v>
      </c>
      <c r="Q65">
        <v>8.18</v>
      </c>
      <c r="R65">
        <v>16.489999999999899</v>
      </c>
      <c r="T65">
        <v>6.74</v>
      </c>
      <c r="U65">
        <v>19.260000000000002</v>
      </c>
      <c r="W65">
        <v>3.21</v>
      </c>
      <c r="Y65">
        <v>18.899999999999899</v>
      </c>
      <c r="Z65">
        <v>5.55</v>
      </c>
      <c r="AA65">
        <v>8.4499999999999904</v>
      </c>
      <c r="AB65">
        <v>8.35</v>
      </c>
      <c r="AC65">
        <v>7.22</v>
      </c>
      <c r="AJ65">
        <v>17.13</v>
      </c>
      <c r="AN65">
        <v>19.47</v>
      </c>
      <c r="AO65">
        <v>12.82</v>
      </c>
      <c r="AY65">
        <v>9.7200000000000006</v>
      </c>
      <c r="BA65">
        <v>8.75</v>
      </c>
      <c r="BE65">
        <v>19.64</v>
      </c>
      <c r="BG65">
        <v>22.75</v>
      </c>
      <c r="BI65">
        <v>23.1</v>
      </c>
      <c r="BK65">
        <v>9.32</v>
      </c>
      <c r="BM65">
        <v>9.86</v>
      </c>
      <c r="BN65">
        <v>10.220000000000001</v>
      </c>
      <c r="BP65">
        <v>14.51</v>
      </c>
      <c r="BR65">
        <v>7.86</v>
      </c>
      <c r="BS65">
        <v>18.29</v>
      </c>
      <c r="BU65">
        <v>10.9</v>
      </c>
      <c r="BV65">
        <v>10.48</v>
      </c>
      <c r="BX65">
        <v>17.02</v>
      </c>
      <c r="BY65">
        <v>5.9</v>
      </c>
      <c r="BZ65">
        <v>12.63</v>
      </c>
      <c r="CB65">
        <v>7.98</v>
      </c>
      <c r="CE65">
        <v>14.98</v>
      </c>
      <c r="CG65">
        <v>27.27</v>
      </c>
      <c r="CI65">
        <v>7.53</v>
      </c>
      <c r="CL65">
        <v>18.7</v>
      </c>
      <c r="CM65">
        <v>15.28</v>
      </c>
      <c r="CN65">
        <v>9.74</v>
      </c>
      <c r="CQ65">
        <v>16.399999999999899</v>
      </c>
      <c r="CR65">
        <v>7.15</v>
      </c>
      <c r="CS65">
        <v>7.66</v>
      </c>
      <c r="CU65">
        <v>6.22</v>
      </c>
      <c r="CV65">
        <v>22.54</v>
      </c>
      <c r="CX65">
        <v>7.71</v>
      </c>
      <c r="CY65">
        <v>11.28</v>
      </c>
      <c r="DA65">
        <v>7.3</v>
      </c>
      <c r="DB65">
        <v>9.17</v>
      </c>
      <c r="DC65">
        <v>8.41</v>
      </c>
      <c r="DG65">
        <v>8.86</v>
      </c>
      <c r="DI65">
        <v>8.7200000000000006</v>
      </c>
      <c r="DJ65">
        <v>8.5399999999999903</v>
      </c>
      <c r="DL65">
        <v>8.51</v>
      </c>
      <c r="DM65">
        <v>7.86</v>
      </c>
      <c r="DQ65">
        <v>17.542000000000002</v>
      </c>
      <c r="DS65">
        <v>18.899999999999899</v>
      </c>
      <c r="DT65">
        <v>7.04</v>
      </c>
      <c r="DV65">
        <v>6.85</v>
      </c>
      <c r="DW65">
        <v>8.77</v>
      </c>
      <c r="DX65">
        <v>16.43</v>
      </c>
      <c r="DY65">
        <v>7.35</v>
      </c>
      <c r="EC65">
        <v>26.2</v>
      </c>
      <c r="EF65">
        <v>14.98</v>
      </c>
      <c r="EG65">
        <v>8.34</v>
      </c>
      <c r="EI65">
        <v>17.03</v>
      </c>
      <c r="EJ65">
        <v>7.74</v>
      </c>
      <c r="EK65">
        <v>8.09</v>
      </c>
      <c r="EL65">
        <v>5.89</v>
      </c>
      <c r="EN65">
        <v>10.0399999999999</v>
      </c>
      <c r="EO65">
        <v>11.84</v>
      </c>
      <c r="ER65">
        <v>17.600000000000001</v>
      </c>
      <c r="ES65">
        <v>6.99</v>
      </c>
      <c r="FC65">
        <v>17.059999999999899</v>
      </c>
      <c r="FE65">
        <v>12.86</v>
      </c>
      <c r="FF65">
        <v>6.43</v>
      </c>
      <c r="FO65">
        <v>15.31</v>
      </c>
      <c r="FP65">
        <v>11.59</v>
      </c>
      <c r="FR65">
        <v>5.0199999999999898</v>
      </c>
      <c r="FS65">
        <v>7.88</v>
      </c>
      <c r="FU65">
        <v>8.9499999999999904</v>
      </c>
      <c r="FV65">
        <v>14.24</v>
      </c>
      <c r="FW65">
        <v>7.35</v>
      </c>
      <c r="GA65">
        <v>37.9</v>
      </c>
      <c r="GD65">
        <v>15.77</v>
      </c>
      <c r="GE65">
        <v>8.0299999999999905</v>
      </c>
      <c r="GF65">
        <v>39.64</v>
      </c>
      <c r="GJ65">
        <v>9.8699999999999903</v>
      </c>
      <c r="GK65">
        <v>11.73</v>
      </c>
      <c r="GM65">
        <v>7.04</v>
      </c>
      <c r="GN65">
        <v>17.170000000000002</v>
      </c>
      <c r="GQ65">
        <v>6.19</v>
      </c>
      <c r="GS65">
        <v>14.47</v>
      </c>
      <c r="GT65">
        <v>8.31</v>
      </c>
      <c r="GU65">
        <v>7.22</v>
      </c>
      <c r="GW65">
        <v>8.2899999999999903</v>
      </c>
      <c r="GX65">
        <v>7.3</v>
      </c>
      <c r="GY65">
        <v>16.440000000000001</v>
      </c>
      <c r="HC65">
        <v>8.36</v>
      </c>
      <c r="HD65">
        <v>11.74</v>
      </c>
      <c r="HF65">
        <v>7.09</v>
      </c>
      <c r="HH65">
        <v>15.88</v>
      </c>
      <c r="HI65">
        <v>5.68</v>
      </c>
      <c r="HK65">
        <v>15.76</v>
      </c>
      <c r="HL65">
        <v>6.03</v>
      </c>
      <c r="HO65">
        <v>8.9600000000000009</v>
      </c>
      <c r="HP65">
        <v>18.71</v>
      </c>
      <c r="HQ65">
        <v>7.67</v>
      </c>
      <c r="HT65">
        <v>7.46</v>
      </c>
      <c r="HU65">
        <v>18.25</v>
      </c>
      <c r="HV65">
        <v>5.71</v>
      </c>
      <c r="HX65">
        <v>9.98</v>
      </c>
      <c r="HY65">
        <v>16.52</v>
      </c>
      <c r="HZ65">
        <v>5.05</v>
      </c>
      <c r="IB65">
        <v>9.69</v>
      </c>
      <c r="IH65">
        <v>15.61</v>
      </c>
      <c r="IK65">
        <v>14.6</v>
      </c>
      <c r="IM65">
        <v>9.0399999999999903</v>
      </c>
      <c r="IO65">
        <v>17.309999999999899</v>
      </c>
      <c r="IP65">
        <v>11.02</v>
      </c>
      <c r="IS65">
        <v>17.079999999999899</v>
      </c>
      <c r="IT65">
        <v>8.43</v>
      </c>
      <c r="IU65">
        <v>5.18</v>
      </c>
      <c r="IV65">
        <v>9.5500000000000007</v>
      </c>
      <c r="IX65">
        <v>4.84</v>
      </c>
      <c r="IY65">
        <v>17.649999999999899</v>
      </c>
      <c r="IZ65">
        <v>14.14</v>
      </c>
      <c r="JA65">
        <v>6.25</v>
      </c>
      <c r="JC65">
        <v>6.76</v>
      </c>
      <c r="JD65">
        <v>9.0500000000000007</v>
      </c>
      <c r="JJ65">
        <v>9.3699999999999903</v>
      </c>
      <c r="JK65">
        <v>30.45</v>
      </c>
      <c r="JO65">
        <v>29.76</v>
      </c>
      <c r="JP65">
        <v>4.58</v>
      </c>
      <c r="JR65">
        <v>7.51</v>
      </c>
      <c r="JU65">
        <v>20.09</v>
      </c>
      <c r="JV65">
        <v>8.41</v>
      </c>
      <c r="JZ65">
        <v>8.9600000000000009</v>
      </c>
      <c r="KA65">
        <v>11.15</v>
      </c>
      <c r="KC65">
        <v>25.76</v>
      </c>
      <c r="KF65">
        <v>8.76</v>
      </c>
      <c r="KI65">
        <v>24.94</v>
      </c>
      <c r="KJ65">
        <v>9.01</v>
      </c>
      <c r="KM65">
        <v>9.11</v>
      </c>
      <c r="KN65">
        <v>8.1199999999999903</v>
      </c>
      <c r="KS65">
        <v>22.37</v>
      </c>
      <c r="KU65">
        <v>19.920000000000002</v>
      </c>
      <c r="KX65">
        <v>17.36</v>
      </c>
      <c r="KZ65">
        <v>15.72</v>
      </c>
      <c r="LC65">
        <v>16.75</v>
      </c>
      <c r="LF65">
        <v>16.7</v>
      </c>
      <c r="LG65">
        <v>14.98</v>
      </c>
    </row>
    <row r="66" spans="1:319" x14ac:dyDescent="0.2">
      <c r="A66" s="37" t="s">
        <v>393</v>
      </c>
      <c r="B66">
        <v>1013.3100000000003</v>
      </c>
      <c r="C66">
        <v>19.486730769230775</v>
      </c>
      <c r="D66" s="37" t="s">
        <v>381</v>
      </c>
      <c r="E66" s="37" t="s">
        <v>382</v>
      </c>
      <c r="H66">
        <v>8.4700000000000006</v>
      </c>
      <c r="I66">
        <v>7.98</v>
      </c>
      <c r="K66">
        <v>6.5</v>
      </c>
      <c r="N66">
        <v>6.38</v>
      </c>
      <c r="O66">
        <v>9.76</v>
      </c>
      <c r="Q66">
        <v>6.19</v>
      </c>
      <c r="S66">
        <v>8.3699999999999903</v>
      </c>
      <c r="U66">
        <v>7.74</v>
      </c>
      <c r="W66">
        <v>5.82</v>
      </c>
      <c r="Y66">
        <v>7.85</v>
      </c>
      <c r="Z66">
        <v>7.53</v>
      </c>
      <c r="AA66">
        <v>6.62</v>
      </c>
      <c r="AC66">
        <v>6.53</v>
      </c>
      <c r="AK66">
        <v>8.2200000000000006</v>
      </c>
      <c r="AN66">
        <v>8.0500000000000007</v>
      </c>
      <c r="AP66">
        <v>6.75</v>
      </c>
      <c r="AR66">
        <v>7.93</v>
      </c>
      <c r="AT66">
        <v>4.57</v>
      </c>
      <c r="AV66">
        <v>6.96</v>
      </c>
      <c r="AX66">
        <v>6.77</v>
      </c>
      <c r="BA66">
        <v>5.75</v>
      </c>
      <c r="BB66">
        <v>5.86</v>
      </c>
      <c r="BD66">
        <v>7.34</v>
      </c>
      <c r="BF66">
        <v>6.86</v>
      </c>
      <c r="BH66">
        <v>7.08</v>
      </c>
      <c r="BJ66">
        <v>7.94</v>
      </c>
      <c r="BL66">
        <v>5.85</v>
      </c>
      <c r="BN66">
        <v>7.87</v>
      </c>
      <c r="BP66">
        <v>6.99</v>
      </c>
      <c r="BS66">
        <v>7.68</v>
      </c>
      <c r="BT66">
        <v>6.26</v>
      </c>
      <c r="BV66">
        <v>8.2799999999999905</v>
      </c>
      <c r="BX66">
        <v>5.9</v>
      </c>
      <c r="CA66">
        <v>8.18</v>
      </c>
      <c r="CC66">
        <v>8.11</v>
      </c>
      <c r="CE66">
        <v>4.05</v>
      </c>
      <c r="CH66">
        <v>7.82</v>
      </c>
      <c r="CK66">
        <v>8.91</v>
      </c>
      <c r="CM66">
        <v>8.64</v>
      </c>
      <c r="CO66">
        <v>7.32</v>
      </c>
      <c r="CR66">
        <v>8.27</v>
      </c>
      <c r="CT66">
        <v>8.7899999999999903</v>
      </c>
      <c r="CW66">
        <v>5.17</v>
      </c>
      <c r="CY66">
        <v>8.9</v>
      </c>
      <c r="DA66">
        <v>8.4</v>
      </c>
      <c r="DC66">
        <v>5.85</v>
      </c>
      <c r="DD66">
        <v>8.3800000000000008</v>
      </c>
      <c r="DE66">
        <v>7.36</v>
      </c>
      <c r="DI66">
        <v>8.52</v>
      </c>
      <c r="DL66">
        <v>4.7699999999999898</v>
      </c>
      <c r="DN66">
        <v>8.1999999999999904</v>
      </c>
      <c r="DP66">
        <v>6.17</v>
      </c>
      <c r="DR66">
        <v>7.74</v>
      </c>
      <c r="DT66">
        <v>7.37</v>
      </c>
      <c r="DV66">
        <v>7.14</v>
      </c>
      <c r="DY66">
        <v>7.35</v>
      </c>
      <c r="EA66">
        <v>5.19</v>
      </c>
      <c r="ED66">
        <v>7.62</v>
      </c>
      <c r="EF66">
        <v>7.01</v>
      </c>
      <c r="EH66">
        <v>5.28</v>
      </c>
      <c r="EJ66">
        <v>7.43</v>
      </c>
      <c r="EM66">
        <v>8.84</v>
      </c>
      <c r="EO66">
        <v>6.34</v>
      </c>
      <c r="EP66">
        <v>8.57</v>
      </c>
      <c r="ER66">
        <v>7.99</v>
      </c>
      <c r="FB66">
        <v>7.12</v>
      </c>
      <c r="FD66">
        <v>9.24</v>
      </c>
      <c r="FF66">
        <v>6.85</v>
      </c>
      <c r="FP66">
        <v>9.3800000000000008</v>
      </c>
      <c r="FR66">
        <v>4.8600000000000003</v>
      </c>
      <c r="FT66">
        <v>7.74</v>
      </c>
      <c r="FV66">
        <v>9.8800000000000008</v>
      </c>
      <c r="FX66">
        <v>5.52</v>
      </c>
      <c r="FZ66">
        <v>7.39</v>
      </c>
      <c r="GB66">
        <v>8.39</v>
      </c>
      <c r="GD66">
        <v>6.37</v>
      </c>
      <c r="GF66">
        <v>9.57</v>
      </c>
      <c r="GH66">
        <v>8.24</v>
      </c>
      <c r="GK66">
        <v>8.33</v>
      </c>
      <c r="GM66">
        <v>9.1</v>
      </c>
      <c r="GN66">
        <v>3.55</v>
      </c>
      <c r="GP66">
        <v>8.1199999999999903</v>
      </c>
      <c r="GR66">
        <v>7.7</v>
      </c>
      <c r="GT66">
        <v>7.48</v>
      </c>
      <c r="GV66">
        <v>6.13</v>
      </c>
      <c r="GX66">
        <v>7.74</v>
      </c>
      <c r="GZ66">
        <v>6.99</v>
      </c>
      <c r="HB66">
        <v>6.48</v>
      </c>
      <c r="HD66">
        <v>7.93</v>
      </c>
      <c r="HG66">
        <v>10.1999999999999</v>
      </c>
      <c r="HJ66">
        <v>9.09</v>
      </c>
      <c r="HL66">
        <v>6.57</v>
      </c>
      <c r="HN66">
        <v>6.26</v>
      </c>
      <c r="HP66">
        <v>8.1999999999999904</v>
      </c>
      <c r="HR66">
        <v>6.7</v>
      </c>
      <c r="HT66">
        <v>6.35</v>
      </c>
      <c r="HV66">
        <v>7.92</v>
      </c>
      <c r="HZ66">
        <v>7.87</v>
      </c>
      <c r="IB66">
        <v>8.64</v>
      </c>
      <c r="ID66">
        <v>7.22</v>
      </c>
      <c r="IH66">
        <v>9.31</v>
      </c>
      <c r="IJ66">
        <v>7.58</v>
      </c>
      <c r="IL66">
        <v>5.5</v>
      </c>
      <c r="IN66">
        <v>7.33</v>
      </c>
      <c r="IP66">
        <v>7.51</v>
      </c>
      <c r="IR66">
        <v>4.95</v>
      </c>
      <c r="IT66">
        <v>5.39</v>
      </c>
      <c r="IV66">
        <v>8.0500000000000007</v>
      </c>
      <c r="IX66">
        <v>6.71</v>
      </c>
      <c r="IZ66">
        <v>8.48</v>
      </c>
      <c r="JC66">
        <v>7.06</v>
      </c>
      <c r="JE66">
        <v>8.5399999999999903</v>
      </c>
      <c r="JH66">
        <v>8.68</v>
      </c>
      <c r="JI66">
        <v>9.84</v>
      </c>
      <c r="JJ66">
        <v>7.02</v>
      </c>
      <c r="JL66">
        <v>8.0399999999999903</v>
      </c>
      <c r="JN66">
        <v>7.09</v>
      </c>
      <c r="JP66">
        <v>7.69</v>
      </c>
      <c r="JR66">
        <v>7.36</v>
      </c>
      <c r="JT66">
        <v>7.53</v>
      </c>
      <c r="JV66">
        <v>5.08</v>
      </c>
      <c r="JX66">
        <v>8.2899999999999903</v>
      </c>
      <c r="JZ66">
        <v>7.42</v>
      </c>
      <c r="KB66">
        <v>6.15</v>
      </c>
      <c r="KE66">
        <v>8.81</v>
      </c>
      <c r="KG66">
        <v>6.75</v>
      </c>
      <c r="KI66">
        <v>4.97</v>
      </c>
      <c r="KJ66">
        <v>8.19</v>
      </c>
      <c r="KL66">
        <v>5.7</v>
      </c>
      <c r="KN66">
        <v>6.19</v>
      </c>
      <c r="KQ66">
        <v>7.51</v>
      </c>
      <c r="KT66">
        <v>8.76</v>
      </c>
      <c r="KV66">
        <v>7.94</v>
      </c>
      <c r="KX66">
        <v>7.71</v>
      </c>
      <c r="KZ66">
        <v>5.57</v>
      </c>
      <c r="LB66">
        <v>8.59</v>
      </c>
      <c r="LE66">
        <v>8.26</v>
      </c>
      <c r="LG66">
        <v>6.31</v>
      </c>
    </row>
    <row r="67" spans="1:319" x14ac:dyDescent="0.2">
      <c r="A67" s="37" t="s">
        <v>394</v>
      </c>
      <c r="B67">
        <v>1188.7399999999993</v>
      </c>
      <c r="C67">
        <v>22.860384615384604</v>
      </c>
      <c r="D67" s="37" t="s">
        <v>381</v>
      </c>
      <c r="E67" s="37" t="s">
        <v>382</v>
      </c>
      <c r="G67">
        <v>8.61</v>
      </c>
      <c r="J67">
        <v>9.24</v>
      </c>
      <c r="K67">
        <v>5.82</v>
      </c>
      <c r="O67">
        <v>7.31</v>
      </c>
      <c r="Q67">
        <v>5.6</v>
      </c>
      <c r="R67">
        <v>8.4700000000000006</v>
      </c>
      <c r="W67">
        <v>18.739999999999899</v>
      </c>
      <c r="X67">
        <v>7.52</v>
      </c>
      <c r="Y67">
        <v>6.64</v>
      </c>
      <c r="Z67">
        <v>8.7899999999999903</v>
      </c>
      <c r="AC67">
        <v>7.14</v>
      </c>
      <c r="AK67">
        <v>7.14</v>
      </c>
      <c r="AL67">
        <v>8.59</v>
      </c>
      <c r="AM67">
        <v>4.09</v>
      </c>
      <c r="AO67">
        <v>17.16</v>
      </c>
      <c r="AR67">
        <v>7.89</v>
      </c>
      <c r="AW67">
        <v>8.48</v>
      </c>
      <c r="BA67">
        <v>9.86</v>
      </c>
      <c r="BD67">
        <v>6.84</v>
      </c>
      <c r="BE67">
        <v>9.59</v>
      </c>
      <c r="BF67">
        <v>9.3699999999999903</v>
      </c>
      <c r="BG67">
        <v>9.77</v>
      </c>
      <c r="BH67">
        <v>7.24</v>
      </c>
      <c r="BI67">
        <v>8.1999999999999904</v>
      </c>
      <c r="BJ67">
        <v>5.78</v>
      </c>
      <c r="BM67">
        <v>9.01</v>
      </c>
      <c r="BN67">
        <v>8.14</v>
      </c>
      <c r="BQ67">
        <v>8.49</v>
      </c>
      <c r="BR67">
        <v>8.98</v>
      </c>
      <c r="BT67">
        <v>15.15</v>
      </c>
      <c r="BV67">
        <v>11.85</v>
      </c>
      <c r="BY67">
        <v>9.91</v>
      </c>
      <c r="CC67">
        <v>7.97</v>
      </c>
      <c r="CF67">
        <v>7.32</v>
      </c>
      <c r="CG67">
        <v>2.73</v>
      </c>
      <c r="CJ67">
        <v>5.6</v>
      </c>
      <c r="CL67">
        <v>9.09</v>
      </c>
      <c r="CN67">
        <v>8.3800000000000008</v>
      </c>
      <c r="CO67">
        <v>7.46</v>
      </c>
      <c r="CQ67">
        <v>4.38</v>
      </c>
      <c r="CR67">
        <v>8.93</v>
      </c>
      <c r="CS67">
        <v>6.71</v>
      </c>
      <c r="CT67">
        <v>6.73</v>
      </c>
      <c r="CV67">
        <v>11.69</v>
      </c>
      <c r="CX67">
        <v>3.71</v>
      </c>
      <c r="CZ67">
        <v>8.64</v>
      </c>
      <c r="DA67">
        <v>9.61</v>
      </c>
      <c r="DD67">
        <v>8.42</v>
      </c>
      <c r="DE67">
        <v>18.579999999999899</v>
      </c>
      <c r="DH67">
        <v>9.2200000000000006</v>
      </c>
      <c r="DI67">
        <v>7.16</v>
      </c>
      <c r="DJ67">
        <v>8.09</v>
      </c>
      <c r="DN67">
        <v>6.06</v>
      </c>
      <c r="DR67">
        <v>8.1999999999999904</v>
      </c>
      <c r="DS67">
        <v>17.559999999999899</v>
      </c>
      <c r="DW67">
        <v>8.0399999999999903</v>
      </c>
      <c r="DY67">
        <v>8.42</v>
      </c>
      <c r="DZ67">
        <v>7.37</v>
      </c>
      <c r="EE67">
        <v>6.15</v>
      </c>
      <c r="EG67">
        <v>8.43</v>
      </c>
      <c r="EI67">
        <v>8.3000000000000007</v>
      </c>
      <c r="EM67">
        <v>9.5299999999999905</v>
      </c>
      <c r="EN67">
        <v>17.8</v>
      </c>
      <c r="EP67">
        <v>4.8600000000000003</v>
      </c>
      <c r="EQ67">
        <v>5.59</v>
      </c>
      <c r="ET67">
        <v>8.9499999999999904</v>
      </c>
      <c r="FB67">
        <v>16.989999999999899</v>
      </c>
      <c r="FG67">
        <v>10.58</v>
      </c>
      <c r="FN67">
        <v>7.16</v>
      </c>
      <c r="FS67">
        <v>9.73</v>
      </c>
      <c r="FT67">
        <v>17.14</v>
      </c>
      <c r="FX67">
        <v>9.25</v>
      </c>
      <c r="FY67">
        <v>10.35</v>
      </c>
      <c r="FZ67">
        <v>6.63</v>
      </c>
      <c r="GC67">
        <v>9.92</v>
      </c>
      <c r="GI67">
        <v>9.4700000000000006</v>
      </c>
      <c r="GL67">
        <v>8.2899999999999903</v>
      </c>
      <c r="GQ67">
        <v>10.29</v>
      </c>
      <c r="GS67">
        <v>9.76</v>
      </c>
      <c r="GT67">
        <v>8.41</v>
      </c>
      <c r="GU67">
        <v>7.17</v>
      </c>
      <c r="GW67">
        <v>9.11</v>
      </c>
      <c r="GX67">
        <v>6.26</v>
      </c>
      <c r="HA67">
        <v>19.77</v>
      </c>
      <c r="HC67">
        <v>9.19</v>
      </c>
      <c r="HE67">
        <v>10.53</v>
      </c>
      <c r="HI67">
        <v>8.1300000000000008</v>
      </c>
      <c r="HJ67">
        <v>3.22</v>
      </c>
      <c r="HL67">
        <v>9.8800000000000008</v>
      </c>
      <c r="HN67">
        <v>8.93</v>
      </c>
      <c r="HO67">
        <v>4.43</v>
      </c>
      <c r="HP67">
        <v>10.38</v>
      </c>
      <c r="HU67">
        <v>17.96</v>
      </c>
      <c r="HV67">
        <v>8.7899999999999903</v>
      </c>
      <c r="HY67">
        <v>6.79</v>
      </c>
      <c r="IA67">
        <v>10.39</v>
      </c>
      <c r="ID67">
        <v>10.55</v>
      </c>
      <c r="IH67">
        <v>7.68</v>
      </c>
      <c r="IJ67">
        <v>7.38</v>
      </c>
      <c r="IL67">
        <v>3.55</v>
      </c>
      <c r="IN67">
        <v>10.91</v>
      </c>
      <c r="IP67">
        <v>7.53</v>
      </c>
      <c r="IQ67">
        <v>9.58</v>
      </c>
      <c r="IS67">
        <v>10.61</v>
      </c>
      <c r="IU67">
        <v>11.11</v>
      </c>
      <c r="IY67">
        <v>10.01</v>
      </c>
      <c r="JC67">
        <v>9.23</v>
      </c>
      <c r="JD67">
        <v>10.68</v>
      </c>
      <c r="JH67">
        <v>6.94</v>
      </c>
      <c r="JJ67">
        <v>10.09</v>
      </c>
      <c r="JL67">
        <v>9.6</v>
      </c>
      <c r="JO67">
        <v>9.24</v>
      </c>
      <c r="JP67">
        <v>7.99</v>
      </c>
      <c r="JQ67">
        <v>10.32</v>
      </c>
      <c r="JS67">
        <v>9.15</v>
      </c>
      <c r="JV67">
        <v>9.57</v>
      </c>
      <c r="JY67">
        <v>18.489999999999899</v>
      </c>
      <c r="KC67">
        <v>14.75</v>
      </c>
      <c r="KD67">
        <v>8.7100000000000009</v>
      </c>
      <c r="KH67">
        <v>10.79</v>
      </c>
      <c r="KI67">
        <v>8.75</v>
      </c>
      <c r="KK67">
        <v>7.98</v>
      </c>
      <c r="KM67">
        <v>6.83</v>
      </c>
      <c r="KO67">
        <v>14.63</v>
      </c>
      <c r="KR67">
        <v>8.7100000000000009</v>
      </c>
      <c r="KW67">
        <v>7.91</v>
      </c>
      <c r="LA67">
        <v>16.89</v>
      </c>
      <c r="LC67">
        <v>7.61</v>
      </c>
      <c r="LF67">
        <v>8.98</v>
      </c>
    </row>
    <row r="68" spans="1:319" x14ac:dyDescent="0.2">
      <c r="A68" s="37" t="s">
        <v>395</v>
      </c>
      <c r="B68">
        <v>184.68999999999997</v>
      </c>
      <c r="C68">
        <v>3.5517307692307685</v>
      </c>
      <c r="D68" s="37" t="s">
        <v>381</v>
      </c>
      <c r="E68" s="37" t="s">
        <v>396</v>
      </c>
      <c r="O68">
        <v>9.8800000000000008</v>
      </c>
      <c r="R68">
        <v>5.26</v>
      </c>
      <c r="AC68">
        <v>6.97</v>
      </c>
      <c r="AN68">
        <v>7.62</v>
      </c>
      <c r="AY68">
        <v>10.44</v>
      </c>
      <c r="BM68">
        <v>5.77</v>
      </c>
      <c r="BX68">
        <v>9.16</v>
      </c>
      <c r="CR68">
        <v>6.27</v>
      </c>
      <c r="CU68">
        <v>7.73</v>
      </c>
      <c r="DC68">
        <v>9.09</v>
      </c>
      <c r="DN68">
        <v>7.89</v>
      </c>
      <c r="EO68">
        <v>8.32</v>
      </c>
      <c r="FG68">
        <v>8.1</v>
      </c>
      <c r="FP68">
        <v>5.63</v>
      </c>
      <c r="GO68">
        <v>6.91</v>
      </c>
      <c r="HC68">
        <v>9.34</v>
      </c>
      <c r="HD68">
        <v>7.16</v>
      </c>
      <c r="II68">
        <v>6.48</v>
      </c>
      <c r="IV68">
        <v>6.28</v>
      </c>
      <c r="JI68">
        <v>8.9499999999999904</v>
      </c>
      <c r="JT68">
        <v>7.45</v>
      </c>
      <c r="KG68">
        <v>6.62</v>
      </c>
      <c r="LA68">
        <v>9.85</v>
      </c>
      <c r="LE68">
        <v>7.52</v>
      </c>
    </row>
    <row r="69" spans="1:319" x14ac:dyDescent="0.2">
      <c r="A69" s="37" t="s">
        <v>397</v>
      </c>
      <c r="B69">
        <v>556.07999999999993</v>
      </c>
      <c r="C69">
        <v>10.693846153846152</v>
      </c>
      <c r="D69" s="37" t="s">
        <v>381</v>
      </c>
      <c r="E69" s="37" t="s">
        <v>396</v>
      </c>
      <c r="J69">
        <v>6.12</v>
      </c>
      <c r="N69">
        <v>9.3800000000000008</v>
      </c>
      <c r="R69">
        <v>7.86</v>
      </c>
      <c r="W69">
        <v>9.9700000000000006</v>
      </c>
      <c r="Y69">
        <v>9.0500000000000007</v>
      </c>
      <c r="AC69">
        <v>7.94</v>
      </c>
      <c r="AN69">
        <v>10.55</v>
      </c>
      <c r="AS69">
        <v>10.14</v>
      </c>
      <c r="AY69">
        <v>10.87</v>
      </c>
      <c r="BE69">
        <v>10.34</v>
      </c>
      <c r="BI69">
        <v>7.08</v>
      </c>
      <c r="BL69">
        <v>8.61</v>
      </c>
      <c r="BQ69">
        <v>9.52</v>
      </c>
      <c r="BX69">
        <v>10.69</v>
      </c>
      <c r="CD69">
        <v>9.4600000000000009</v>
      </c>
      <c r="CG69">
        <v>8.8000000000000007</v>
      </c>
      <c r="CK69">
        <v>8.58</v>
      </c>
      <c r="CO69">
        <v>8.6300000000000008</v>
      </c>
      <c r="CV69">
        <v>8.16</v>
      </c>
      <c r="DC69">
        <v>10.19</v>
      </c>
      <c r="DH69">
        <v>10.6</v>
      </c>
      <c r="DN69">
        <v>9.73</v>
      </c>
      <c r="DR69">
        <v>8.4499999999999904</v>
      </c>
      <c r="DW69">
        <v>8.42</v>
      </c>
      <c r="EB69">
        <v>8.27</v>
      </c>
      <c r="EF69">
        <v>10.07</v>
      </c>
      <c r="EL69">
        <v>9.68</v>
      </c>
      <c r="EU69">
        <v>9.07</v>
      </c>
      <c r="FC69">
        <v>6.37</v>
      </c>
      <c r="FG69">
        <v>8.25</v>
      </c>
      <c r="FR69">
        <v>10.66</v>
      </c>
      <c r="FW69">
        <v>10.31</v>
      </c>
      <c r="GE69">
        <v>9.8800000000000008</v>
      </c>
      <c r="GK69">
        <v>10.42</v>
      </c>
      <c r="GQ69">
        <v>12.27</v>
      </c>
      <c r="GU69">
        <v>10.0299999999999</v>
      </c>
      <c r="GY69">
        <v>8.8699999999999903</v>
      </c>
      <c r="HC69">
        <v>7.06</v>
      </c>
      <c r="HD69">
        <v>7.45</v>
      </c>
      <c r="HI69">
        <v>9.4499999999999904</v>
      </c>
      <c r="HM69">
        <v>9.49</v>
      </c>
      <c r="HR69">
        <v>10.88</v>
      </c>
      <c r="HX69">
        <v>10.18</v>
      </c>
      <c r="ID69">
        <v>11.02</v>
      </c>
      <c r="II69">
        <v>12.05</v>
      </c>
      <c r="IM69">
        <v>8.1</v>
      </c>
      <c r="IQ69">
        <v>8.76</v>
      </c>
      <c r="IV69">
        <v>10.14</v>
      </c>
      <c r="JB69">
        <v>10.18</v>
      </c>
      <c r="JH69">
        <v>11.68</v>
      </c>
      <c r="JM69">
        <v>8.83</v>
      </c>
      <c r="JQ69">
        <v>7.28</v>
      </c>
      <c r="JU69">
        <v>9.2100000000000009</v>
      </c>
      <c r="JY69">
        <v>9.5299999999999905</v>
      </c>
      <c r="KF69">
        <v>9.48</v>
      </c>
      <c r="KL69">
        <v>10.86</v>
      </c>
      <c r="KR69">
        <v>10.35</v>
      </c>
      <c r="KX69">
        <v>10.210000000000001</v>
      </c>
      <c r="LD69">
        <v>10.6</v>
      </c>
    </row>
    <row r="70" spans="1:319" x14ac:dyDescent="0.2">
      <c r="A70" s="37" t="s">
        <v>398</v>
      </c>
      <c r="B70">
        <v>1031.6999999999994</v>
      </c>
      <c r="C70">
        <v>19.840384615384604</v>
      </c>
      <c r="D70" s="37" t="s">
        <v>381</v>
      </c>
      <c r="E70" s="37" t="s">
        <v>396</v>
      </c>
      <c r="I70">
        <v>14.55</v>
      </c>
      <c r="K70">
        <v>8.2799999999999905</v>
      </c>
      <c r="M70">
        <v>3.83</v>
      </c>
      <c r="O70">
        <v>8.23</v>
      </c>
      <c r="Q70">
        <v>8.74</v>
      </c>
      <c r="V70">
        <v>15.01</v>
      </c>
      <c r="Z70">
        <v>5.43</v>
      </c>
      <c r="AA70">
        <v>7.37</v>
      </c>
      <c r="AC70">
        <v>13.94</v>
      </c>
      <c r="AK70">
        <v>12.48</v>
      </c>
      <c r="AM70">
        <v>7.16</v>
      </c>
      <c r="AS70">
        <v>6.3</v>
      </c>
      <c r="AU70">
        <v>7.44</v>
      </c>
      <c r="AZ70">
        <v>7.32</v>
      </c>
      <c r="BA70">
        <v>8.1999999999999904</v>
      </c>
      <c r="BE70">
        <v>8.08</v>
      </c>
      <c r="BG70">
        <v>14.08</v>
      </c>
      <c r="BK70">
        <v>15.04</v>
      </c>
      <c r="BM70">
        <v>7.19</v>
      </c>
      <c r="BO70">
        <v>15.53</v>
      </c>
      <c r="BW70">
        <v>8.81</v>
      </c>
      <c r="BX70">
        <v>8.76</v>
      </c>
      <c r="BY70">
        <v>16.53</v>
      </c>
      <c r="CD70">
        <v>6.7</v>
      </c>
      <c r="CG70">
        <v>14.22</v>
      </c>
      <c r="CK70">
        <v>7.54</v>
      </c>
      <c r="CL70">
        <v>7.02</v>
      </c>
      <c r="CM70">
        <v>7.43</v>
      </c>
      <c r="CQ70">
        <v>15.12</v>
      </c>
      <c r="CU70">
        <v>6</v>
      </c>
      <c r="CV70">
        <v>6.42</v>
      </c>
      <c r="CW70">
        <v>4.4000000000000004</v>
      </c>
      <c r="CZ70">
        <v>6.99</v>
      </c>
      <c r="DB70">
        <v>15.15</v>
      </c>
      <c r="DD70">
        <v>6.08</v>
      </c>
      <c r="DE70">
        <v>7.43</v>
      </c>
      <c r="DH70">
        <v>7.83</v>
      </c>
      <c r="DJ70">
        <v>7.96</v>
      </c>
      <c r="DL70">
        <v>7.08</v>
      </c>
      <c r="DP70">
        <v>6.77</v>
      </c>
      <c r="DS70">
        <v>16.25</v>
      </c>
      <c r="DU70">
        <v>7.06</v>
      </c>
      <c r="DX70">
        <v>7.77</v>
      </c>
      <c r="EB70">
        <v>8.26</v>
      </c>
      <c r="EC70">
        <v>7.96</v>
      </c>
      <c r="EG70">
        <v>15.29</v>
      </c>
      <c r="EI70">
        <v>7.47</v>
      </c>
      <c r="EJ70">
        <v>7.02</v>
      </c>
      <c r="EM70">
        <v>10.51</v>
      </c>
      <c r="EP70">
        <v>6.14</v>
      </c>
      <c r="ES70">
        <v>17.41</v>
      </c>
      <c r="FB70">
        <v>7.9</v>
      </c>
      <c r="FD70">
        <v>15.87</v>
      </c>
      <c r="FF70">
        <v>11.68</v>
      </c>
      <c r="FN70">
        <v>6.96</v>
      </c>
      <c r="FQ70">
        <v>8.6300000000000008</v>
      </c>
      <c r="FT70">
        <v>7.06</v>
      </c>
      <c r="FW70">
        <v>13.21</v>
      </c>
      <c r="FZ70">
        <v>8.57</v>
      </c>
      <c r="GC70">
        <v>5.17</v>
      </c>
      <c r="GI70">
        <v>27.47</v>
      </c>
      <c r="GO70">
        <v>24.55</v>
      </c>
      <c r="GR70">
        <v>7.75</v>
      </c>
      <c r="GS70">
        <v>14.3</v>
      </c>
      <c r="GT70">
        <v>7.77</v>
      </c>
      <c r="GU70">
        <v>8.66</v>
      </c>
      <c r="GV70">
        <v>7.96</v>
      </c>
      <c r="GX70">
        <v>10.24</v>
      </c>
      <c r="HA70">
        <v>7.06</v>
      </c>
      <c r="HE70">
        <v>17.62</v>
      </c>
      <c r="HK70">
        <v>16.079999999999899</v>
      </c>
      <c r="HP70">
        <v>13.89</v>
      </c>
      <c r="HS70">
        <v>8.35</v>
      </c>
      <c r="HV70">
        <v>7.67</v>
      </c>
      <c r="HX70">
        <v>7.6</v>
      </c>
      <c r="HZ70">
        <v>7.99</v>
      </c>
      <c r="IK70">
        <v>14.77</v>
      </c>
      <c r="IL70">
        <v>9.52</v>
      </c>
      <c r="IR70">
        <v>26.55</v>
      </c>
      <c r="IV70">
        <v>8.5500000000000007</v>
      </c>
      <c r="IY70">
        <v>8.5299999999999905</v>
      </c>
      <c r="JC70">
        <v>15.03</v>
      </c>
      <c r="JE70">
        <v>6.91</v>
      </c>
      <c r="JF70">
        <v>18.079999999999899</v>
      </c>
      <c r="JJ70">
        <v>5.72</v>
      </c>
      <c r="JO70">
        <v>15.11</v>
      </c>
      <c r="JP70">
        <v>8.0500000000000007</v>
      </c>
      <c r="JV70">
        <v>12.15</v>
      </c>
      <c r="JZ70">
        <v>7.89</v>
      </c>
      <c r="KA70">
        <v>14.85</v>
      </c>
      <c r="KF70">
        <v>8.76</v>
      </c>
      <c r="KG70">
        <v>7.44</v>
      </c>
      <c r="KM70">
        <v>17.73</v>
      </c>
      <c r="KR70">
        <v>7.43</v>
      </c>
      <c r="KT70">
        <v>8.09</v>
      </c>
      <c r="KV70">
        <v>8.59</v>
      </c>
      <c r="KZ70">
        <v>7.21</v>
      </c>
      <c r="LD70">
        <v>16.559999999999899</v>
      </c>
      <c r="LF70">
        <v>18.59</v>
      </c>
    </row>
    <row r="71" spans="1:319" x14ac:dyDescent="0.2">
      <c r="A71" s="37" t="s">
        <v>399</v>
      </c>
      <c r="B71">
        <v>1957.5699999999997</v>
      </c>
      <c r="C71">
        <v>37.645576923076916</v>
      </c>
      <c r="D71" s="37" t="s">
        <v>381</v>
      </c>
      <c r="E71" s="37" t="s">
        <v>396</v>
      </c>
      <c r="H71">
        <v>30.33</v>
      </c>
      <c r="K71">
        <v>20.23</v>
      </c>
      <c r="N71">
        <v>20.92</v>
      </c>
      <c r="Q71">
        <v>17.61</v>
      </c>
      <c r="T71">
        <v>20.86</v>
      </c>
      <c r="W71">
        <v>13.29</v>
      </c>
      <c r="Z71">
        <v>25.78</v>
      </c>
      <c r="AC71">
        <v>12.65</v>
      </c>
      <c r="AL71">
        <v>19.399999999999899</v>
      </c>
      <c r="AO71">
        <v>20.64</v>
      </c>
      <c r="AR71">
        <v>12.94</v>
      </c>
      <c r="AU71">
        <v>14.21</v>
      </c>
      <c r="AX71">
        <v>21.74</v>
      </c>
      <c r="BA71">
        <v>15.42</v>
      </c>
      <c r="BD71">
        <v>26.06</v>
      </c>
      <c r="BG71">
        <v>22.02</v>
      </c>
      <c r="BJ71">
        <v>21.94</v>
      </c>
      <c r="BM71">
        <v>7.9</v>
      </c>
      <c r="BP71">
        <v>21</v>
      </c>
      <c r="BS71">
        <v>31.62</v>
      </c>
      <c r="BV71">
        <v>24.13</v>
      </c>
      <c r="BY71">
        <v>20.149999999999899</v>
      </c>
      <c r="CC71">
        <v>26.19</v>
      </c>
      <c r="CF71">
        <v>15</v>
      </c>
      <c r="CI71">
        <v>22.76</v>
      </c>
      <c r="CL71">
        <v>13.86</v>
      </c>
      <c r="CM71">
        <v>13.79</v>
      </c>
      <c r="CN71">
        <v>6.76</v>
      </c>
      <c r="CO71">
        <v>13.53</v>
      </c>
      <c r="CR71">
        <v>20.45</v>
      </c>
      <c r="CV71">
        <v>13.86</v>
      </c>
      <c r="DA71">
        <v>19.8</v>
      </c>
      <c r="DD71">
        <v>14.66</v>
      </c>
      <c r="DF71">
        <v>14.39</v>
      </c>
      <c r="DG71">
        <v>6.29</v>
      </c>
      <c r="DJ71">
        <v>12.15</v>
      </c>
      <c r="DN71">
        <v>15.75</v>
      </c>
      <c r="DQ71">
        <v>19.43</v>
      </c>
      <c r="DT71">
        <v>26.57</v>
      </c>
      <c r="DW71">
        <v>12.67</v>
      </c>
      <c r="DZ71">
        <v>21.61</v>
      </c>
      <c r="EC71">
        <v>20.73</v>
      </c>
      <c r="EE71">
        <v>13.84</v>
      </c>
      <c r="EF71">
        <v>13.09</v>
      </c>
      <c r="EI71">
        <v>8</v>
      </c>
      <c r="EL71">
        <v>19.670000000000002</v>
      </c>
      <c r="EO71">
        <v>15.46</v>
      </c>
      <c r="ER71">
        <v>23.01</v>
      </c>
      <c r="EU71">
        <v>19.77</v>
      </c>
      <c r="FC71">
        <v>20.440000000000001</v>
      </c>
      <c r="FF71">
        <v>11.28</v>
      </c>
      <c r="FG71">
        <v>16.13</v>
      </c>
      <c r="FO71">
        <v>30.45</v>
      </c>
      <c r="FS71">
        <v>23</v>
      </c>
      <c r="FV71">
        <v>25.67</v>
      </c>
      <c r="FY71">
        <v>18.16</v>
      </c>
      <c r="FZ71">
        <v>12.45</v>
      </c>
      <c r="GB71">
        <v>17.46</v>
      </c>
      <c r="GE71">
        <v>19.63</v>
      </c>
      <c r="GH71">
        <v>22.04</v>
      </c>
      <c r="GK71">
        <v>17.510000000000002</v>
      </c>
      <c r="GN71">
        <v>23.74</v>
      </c>
      <c r="GQ71">
        <v>17.54</v>
      </c>
      <c r="GT71">
        <v>23.86</v>
      </c>
      <c r="GW71">
        <v>19.47</v>
      </c>
      <c r="GZ71">
        <v>24.33</v>
      </c>
      <c r="HC71">
        <v>18.04</v>
      </c>
      <c r="HF71">
        <v>25.38</v>
      </c>
      <c r="HI71">
        <v>14.06</v>
      </c>
      <c r="HK71">
        <v>7.54</v>
      </c>
      <c r="HL71">
        <v>15.55</v>
      </c>
      <c r="HO71">
        <v>14.86</v>
      </c>
      <c r="HP71">
        <v>12.45</v>
      </c>
      <c r="HR71">
        <v>14.41</v>
      </c>
      <c r="HT71">
        <v>5.65</v>
      </c>
      <c r="HU71">
        <v>7.31</v>
      </c>
      <c r="HX71">
        <v>23.4</v>
      </c>
      <c r="IA71">
        <v>18.809999999999899</v>
      </c>
      <c r="IB71">
        <v>14.68</v>
      </c>
      <c r="ID71">
        <v>7.68</v>
      </c>
      <c r="IK71">
        <v>27.55</v>
      </c>
      <c r="IM71">
        <v>13.84</v>
      </c>
      <c r="IP71">
        <v>23.83</v>
      </c>
      <c r="IS71">
        <v>12.9</v>
      </c>
      <c r="IV71">
        <v>26.25</v>
      </c>
      <c r="IY71">
        <v>17.98</v>
      </c>
      <c r="IZ71">
        <v>8.6300000000000008</v>
      </c>
      <c r="JA71">
        <v>6.63</v>
      </c>
      <c r="JB71">
        <v>7.12</v>
      </c>
      <c r="JE71">
        <v>12.45</v>
      </c>
      <c r="JH71">
        <v>17.2</v>
      </c>
      <c r="JI71">
        <v>9.01</v>
      </c>
      <c r="JK71">
        <v>14.8</v>
      </c>
      <c r="JN71">
        <v>25.31</v>
      </c>
      <c r="JQ71">
        <v>17.87</v>
      </c>
      <c r="JT71">
        <v>23.09</v>
      </c>
      <c r="JW71">
        <v>16.41</v>
      </c>
      <c r="JY71">
        <v>9.23</v>
      </c>
      <c r="JZ71">
        <v>15.02</v>
      </c>
      <c r="KC71">
        <v>17.43</v>
      </c>
      <c r="KF71">
        <v>22.01</v>
      </c>
      <c r="KI71">
        <v>22.9</v>
      </c>
      <c r="KL71">
        <v>24.5</v>
      </c>
      <c r="KO71">
        <v>16.100000000000001</v>
      </c>
      <c r="KR71">
        <v>25.75</v>
      </c>
      <c r="KV71">
        <v>8.66</v>
      </c>
      <c r="KW71">
        <v>7.62</v>
      </c>
      <c r="KX71">
        <v>9</v>
      </c>
      <c r="LA71">
        <v>24.62</v>
      </c>
      <c r="LD71">
        <v>31.41</v>
      </c>
      <c r="LG71">
        <v>15.54</v>
      </c>
    </row>
    <row r="72" spans="1:319" x14ac:dyDescent="0.2">
      <c r="A72" s="37" t="s">
        <v>400</v>
      </c>
      <c r="B72">
        <v>1564.75</v>
      </c>
      <c r="C72">
        <v>30.091346153846153</v>
      </c>
      <c r="D72" s="37" t="s">
        <v>381</v>
      </c>
      <c r="E72" s="37" t="s">
        <v>396</v>
      </c>
      <c r="F72">
        <v>9.2200000000000006</v>
      </c>
      <c r="I72">
        <v>4.96</v>
      </c>
      <c r="K72">
        <v>5.58</v>
      </c>
      <c r="L72">
        <v>11.82</v>
      </c>
      <c r="O72">
        <v>13.45</v>
      </c>
      <c r="R72">
        <v>15.44</v>
      </c>
      <c r="U72">
        <v>12.85</v>
      </c>
      <c r="W72">
        <v>7.93</v>
      </c>
      <c r="Z72">
        <v>17.899999999999899</v>
      </c>
      <c r="AA72">
        <v>8.4499999999999904</v>
      </c>
      <c r="AB72">
        <v>15.54</v>
      </c>
      <c r="AJ72">
        <v>18.09</v>
      </c>
      <c r="AM72">
        <v>15.48</v>
      </c>
      <c r="AP72">
        <v>14.64</v>
      </c>
      <c r="AS72">
        <v>14.56</v>
      </c>
      <c r="AV72">
        <v>15.06</v>
      </c>
      <c r="AY72">
        <v>16.47</v>
      </c>
      <c r="BB72">
        <v>15.76</v>
      </c>
      <c r="BE72">
        <v>7.17</v>
      </c>
      <c r="BF72">
        <v>6.78</v>
      </c>
      <c r="BH72">
        <v>24.55</v>
      </c>
      <c r="BN72">
        <v>25.48</v>
      </c>
      <c r="BP72">
        <v>15.45</v>
      </c>
      <c r="BR72">
        <v>7.27</v>
      </c>
      <c r="BS72">
        <v>6.55</v>
      </c>
      <c r="BT72">
        <v>16.98</v>
      </c>
      <c r="BW72">
        <v>16.3</v>
      </c>
      <c r="BY72">
        <v>8.93</v>
      </c>
      <c r="CA72">
        <v>17.11</v>
      </c>
      <c r="CD72">
        <v>13.75</v>
      </c>
      <c r="CG72">
        <v>7.05</v>
      </c>
      <c r="CI72">
        <v>7.15</v>
      </c>
      <c r="CJ72">
        <v>14.17</v>
      </c>
      <c r="CM72">
        <v>15.3</v>
      </c>
      <c r="CP72">
        <v>13.58</v>
      </c>
      <c r="CS72">
        <v>16.77</v>
      </c>
      <c r="CV72">
        <v>12.96</v>
      </c>
      <c r="CW72">
        <v>14.23</v>
      </c>
      <c r="CX72">
        <v>12.01</v>
      </c>
      <c r="CY72">
        <v>15.26</v>
      </c>
      <c r="DB72">
        <v>14.21</v>
      </c>
      <c r="DE72">
        <v>11.66</v>
      </c>
      <c r="DH72">
        <v>8.73</v>
      </c>
      <c r="DJ72">
        <v>7.06</v>
      </c>
      <c r="DN72">
        <v>15.06</v>
      </c>
      <c r="DO72">
        <v>6.34</v>
      </c>
      <c r="DQ72">
        <v>12.06</v>
      </c>
      <c r="DT72">
        <v>14.32</v>
      </c>
      <c r="DW72">
        <v>11.87</v>
      </c>
      <c r="DX72">
        <v>14.06</v>
      </c>
      <c r="EB72">
        <v>14.77</v>
      </c>
      <c r="ED72">
        <v>9.1</v>
      </c>
      <c r="EF72">
        <v>7.9</v>
      </c>
      <c r="EG72">
        <v>13.03</v>
      </c>
      <c r="EI72">
        <v>6.02</v>
      </c>
      <c r="EJ72">
        <v>7.06</v>
      </c>
      <c r="EL72">
        <v>7.57</v>
      </c>
      <c r="EM72">
        <v>6.56</v>
      </c>
      <c r="EO72">
        <v>7.54</v>
      </c>
      <c r="EP72">
        <v>12.28</v>
      </c>
      <c r="ES72">
        <v>13.96</v>
      </c>
      <c r="EU72">
        <v>6.96</v>
      </c>
      <c r="FB72">
        <v>7.4</v>
      </c>
      <c r="FE72">
        <v>15.01</v>
      </c>
      <c r="FG72">
        <v>16.899999999999899</v>
      </c>
      <c r="FT72">
        <v>14.27</v>
      </c>
      <c r="FW72">
        <v>15.31</v>
      </c>
      <c r="FZ72">
        <v>12.05</v>
      </c>
      <c r="GC72">
        <v>15.41</v>
      </c>
      <c r="GF72">
        <v>16.98</v>
      </c>
      <c r="GI72">
        <v>13.74</v>
      </c>
      <c r="GL72">
        <v>14.69</v>
      </c>
      <c r="GO72">
        <v>15.48</v>
      </c>
      <c r="GR72">
        <v>21.84</v>
      </c>
      <c r="GU72">
        <v>12.85</v>
      </c>
      <c r="GW72">
        <v>8.07</v>
      </c>
      <c r="GY72">
        <v>6.61</v>
      </c>
      <c r="HA72">
        <v>15.45</v>
      </c>
      <c r="HC72">
        <v>4.07</v>
      </c>
      <c r="HD72">
        <v>15.22</v>
      </c>
      <c r="HG72">
        <v>15.87</v>
      </c>
      <c r="HJ72">
        <v>14.68</v>
      </c>
      <c r="HM72">
        <v>14.3</v>
      </c>
      <c r="HP72">
        <v>15.47</v>
      </c>
      <c r="HS72">
        <v>15.6</v>
      </c>
      <c r="HU72">
        <v>6.11</v>
      </c>
      <c r="HV72">
        <v>14.93</v>
      </c>
      <c r="HY72">
        <v>8.1999999999999904</v>
      </c>
      <c r="IA72">
        <v>15.88</v>
      </c>
      <c r="IE72">
        <v>16.940000000000001</v>
      </c>
      <c r="IH72">
        <v>14.3</v>
      </c>
      <c r="IK72">
        <v>17.57</v>
      </c>
      <c r="IM72">
        <v>9</v>
      </c>
      <c r="IN72">
        <v>15.19</v>
      </c>
      <c r="IQ72">
        <v>8.76</v>
      </c>
      <c r="IT72">
        <v>15.67</v>
      </c>
      <c r="IX72">
        <v>15.42</v>
      </c>
      <c r="IZ72">
        <v>15.79</v>
      </c>
      <c r="JC72">
        <v>14.69</v>
      </c>
      <c r="JF72">
        <v>24.57</v>
      </c>
      <c r="JJ72">
        <v>15.7</v>
      </c>
      <c r="JK72">
        <v>9.6300000000000008</v>
      </c>
      <c r="JL72">
        <v>9.43</v>
      </c>
      <c r="JO72">
        <v>13.34</v>
      </c>
      <c r="JR72">
        <v>18.350000000000001</v>
      </c>
      <c r="JU72">
        <v>7.46</v>
      </c>
      <c r="JV72">
        <v>8.85</v>
      </c>
      <c r="JX72">
        <v>14.62</v>
      </c>
      <c r="KA72">
        <v>16.47</v>
      </c>
      <c r="KD72">
        <v>7.93</v>
      </c>
      <c r="KG72">
        <v>27.06</v>
      </c>
      <c r="KJ72">
        <v>16.91</v>
      </c>
      <c r="KM72">
        <v>16.260000000000002</v>
      </c>
      <c r="KP72">
        <v>15.22</v>
      </c>
      <c r="KS72">
        <v>17.79</v>
      </c>
      <c r="KV72">
        <v>15.69</v>
      </c>
      <c r="KY72">
        <v>6.34</v>
      </c>
      <c r="KZ72">
        <v>9.39</v>
      </c>
      <c r="LB72">
        <v>16.97</v>
      </c>
      <c r="LE72">
        <v>14.93</v>
      </c>
    </row>
    <row r="73" spans="1:319" x14ac:dyDescent="0.2">
      <c r="A73" s="37" t="s">
        <v>401</v>
      </c>
      <c r="B73">
        <v>806.83999999999992</v>
      </c>
      <c r="C73">
        <v>15.516153846153845</v>
      </c>
      <c r="D73" s="37" t="s">
        <v>381</v>
      </c>
      <c r="E73" s="37" t="s">
        <v>396</v>
      </c>
      <c r="I73">
        <v>7.78</v>
      </c>
      <c r="K73">
        <v>6.76</v>
      </c>
      <c r="M73">
        <v>7.38</v>
      </c>
      <c r="Q73">
        <v>7.42</v>
      </c>
      <c r="R73">
        <v>7.1</v>
      </c>
      <c r="V73">
        <v>6.47</v>
      </c>
      <c r="W73">
        <v>6.57</v>
      </c>
      <c r="Z73">
        <v>7.37</v>
      </c>
      <c r="AA73">
        <v>7.71</v>
      </c>
      <c r="AC73">
        <v>6.93</v>
      </c>
      <c r="AK73">
        <v>7.88</v>
      </c>
      <c r="AP73">
        <v>14.23</v>
      </c>
      <c r="AS73">
        <v>6.35</v>
      </c>
      <c r="AV73">
        <v>14.89</v>
      </c>
      <c r="AZ73">
        <v>6.78</v>
      </c>
      <c r="BE73">
        <v>7.37</v>
      </c>
      <c r="BH73">
        <v>13.11</v>
      </c>
      <c r="BK73">
        <v>7.15</v>
      </c>
      <c r="BM73">
        <v>6.41</v>
      </c>
      <c r="BP73">
        <v>14.47</v>
      </c>
      <c r="BT73">
        <v>9.1</v>
      </c>
      <c r="BU73">
        <v>7.84</v>
      </c>
      <c r="BY73">
        <v>16.25</v>
      </c>
      <c r="BZ73">
        <v>6.04</v>
      </c>
      <c r="CC73">
        <v>7.65</v>
      </c>
      <c r="CF73">
        <v>6.68</v>
      </c>
      <c r="CG73">
        <v>7.15</v>
      </c>
      <c r="CI73">
        <v>6.93</v>
      </c>
      <c r="CL73">
        <v>7.19</v>
      </c>
      <c r="CM73">
        <v>6.83</v>
      </c>
      <c r="CQ73">
        <v>7.79</v>
      </c>
      <c r="CR73">
        <v>6.62</v>
      </c>
      <c r="CU73">
        <v>13.51</v>
      </c>
      <c r="CX73">
        <v>4.75</v>
      </c>
      <c r="CZ73">
        <v>7.11</v>
      </c>
      <c r="DD73">
        <v>6.31</v>
      </c>
      <c r="DE73">
        <v>6.31</v>
      </c>
      <c r="DG73">
        <v>6.54</v>
      </c>
      <c r="DI73">
        <v>7.53</v>
      </c>
      <c r="DL73">
        <v>7.24</v>
      </c>
      <c r="DP73">
        <v>7.55</v>
      </c>
      <c r="DS73">
        <v>14.57</v>
      </c>
      <c r="DW73">
        <v>6.11</v>
      </c>
      <c r="DX73">
        <v>6.55</v>
      </c>
      <c r="EC73">
        <v>6.48</v>
      </c>
      <c r="EG73">
        <v>6.12</v>
      </c>
      <c r="EI73">
        <v>7.27</v>
      </c>
      <c r="EL73">
        <v>15.02</v>
      </c>
      <c r="FB73">
        <v>13.51</v>
      </c>
      <c r="FC73">
        <v>8.0299999999999905</v>
      </c>
      <c r="FE73">
        <v>8.15</v>
      </c>
      <c r="FN73">
        <v>8.66</v>
      </c>
      <c r="FQ73">
        <v>14.97</v>
      </c>
      <c r="FS73">
        <v>8.5</v>
      </c>
      <c r="FW73">
        <v>8</v>
      </c>
      <c r="FZ73">
        <v>8.2899999999999903</v>
      </c>
      <c r="GC73">
        <v>14.64</v>
      </c>
      <c r="GI73">
        <v>7.7</v>
      </c>
      <c r="GL73">
        <v>7.46</v>
      </c>
      <c r="GX73">
        <v>8.02</v>
      </c>
      <c r="HA73">
        <v>8.39</v>
      </c>
      <c r="HE73">
        <v>8.25</v>
      </c>
      <c r="HF73">
        <v>7.62</v>
      </c>
      <c r="HH73">
        <v>7.62</v>
      </c>
      <c r="HK73">
        <v>6.34</v>
      </c>
      <c r="HM73">
        <v>7.85</v>
      </c>
      <c r="HO73">
        <v>7.26</v>
      </c>
      <c r="HS73">
        <v>16.37</v>
      </c>
      <c r="IA73">
        <v>8.57</v>
      </c>
      <c r="IK73">
        <v>7.93</v>
      </c>
      <c r="IQ73">
        <v>17.559999999999899</v>
      </c>
      <c r="IV73">
        <v>9.52</v>
      </c>
      <c r="IX73">
        <v>7.08</v>
      </c>
      <c r="JB73">
        <v>17.579999999999899</v>
      </c>
      <c r="JC73">
        <v>9.27</v>
      </c>
      <c r="JF73">
        <v>7.42</v>
      </c>
      <c r="JG73">
        <v>8.14</v>
      </c>
      <c r="JK73">
        <v>9.07</v>
      </c>
      <c r="JO73">
        <v>16.440000000000001</v>
      </c>
      <c r="JQ73">
        <v>7.64</v>
      </c>
      <c r="JT73">
        <v>7.54</v>
      </c>
      <c r="JZ73">
        <v>8.0299999999999905</v>
      </c>
      <c r="KE73">
        <v>7.7</v>
      </c>
      <c r="KF73">
        <v>6.98</v>
      </c>
      <c r="KJ73">
        <v>7.54</v>
      </c>
      <c r="KN73">
        <v>7.47</v>
      </c>
      <c r="KR73">
        <v>7.46</v>
      </c>
      <c r="KU73">
        <v>14.89</v>
      </c>
      <c r="KX73">
        <v>8.52</v>
      </c>
      <c r="LB73">
        <v>6.61</v>
      </c>
      <c r="LD73">
        <v>8.9700000000000006</v>
      </c>
      <c r="LF73">
        <v>8.11</v>
      </c>
    </row>
    <row r="74" spans="1:319" x14ac:dyDescent="0.2">
      <c r="A74" s="37" t="s">
        <v>402</v>
      </c>
      <c r="B74">
        <v>853.42999999999984</v>
      </c>
      <c r="C74">
        <v>16.412115384615383</v>
      </c>
      <c r="D74" s="37" t="s">
        <v>381</v>
      </c>
      <c r="E74" s="37" t="s">
        <v>396</v>
      </c>
      <c r="G74">
        <v>9.61</v>
      </c>
      <c r="K74">
        <v>8.33</v>
      </c>
      <c r="N74">
        <v>8.32</v>
      </c>
      <c r="Q74">
        <v>9.07</v>
      </c>
      <c r="U74">
        <v>8.99</v>
      </c>
      <c r="W74">
        <v>8.99</v>
      </c>
      <c r="Z74">
        <v>9.07</v>
      </c>
      <c r="AA74">
        <v>9.36</v>
      </c>
      <c r="AC74">
        <v>8.64</v>
      </c>
      <c r="AL74">
        <v>11.35</v>
      </c>
      <c r="AO74">
        <v>6.77</v>
      </c>
      <c r="AR74">
        <v>7.92</v>
      </c>
      <c r="AV74">
        <v>9.25</v>
      </c>
      <c r="BD74">
        <v>9.26</v>
      </c>
      <c r="BG74">
        <v>8.59</v>
      </c>
      <c r="BL74">
        <v>9.42</v>
      </c>
      <c r="BP74">
        <v>9.48</v>
      </c>
      <c r="BS74">
        <v>9.9</v>
      </c>
      <c r="BT74">
        <v>8.4700000000000006</v>
      </c>
      <c r="BV74">
        <v>10.44</v>
      </c>
      <c r="CC74">
        <v>10.14</v>
      </c>
      <c r="CI74">
        <v>9.3699999999999903</v>
      </c>
      <c r="CL74">
        <v>8.98</v>
      </c>
      <c r="CN74">
        <v>8.4499999999999904</v>
      </c>
      <c r="CR74">
        <v>8.6300000000000008</v>
      </c>
      <c r="CT74">
        <v>16.88</v>
      </c>
      <c r="CX74">
        <v>7.69</v>
      </c>
      <c r="DA74">
        <v>8.33</v>
      </c>
      <c r="DD74">
        <v>9.81</v>
      </c>
      <c r="DG74">
        <v>9.6300000000000008</v>
      </c>
      <c r="DJ74">
        <v>7.43</v>
      </c>
      <c r="DN74">
        <v>10.11</v>
      </c>
      <c r="DQ74">
        <v>7.93</v>
      </c>
      <c r="DT74">
        <v>9.0500000000000007</v>
      </c>
      <c r="DW74">
        <v>9.85</v>
      </c>
      <c r="DZ74">
        <v>9.32</v>
      </c>
      <c r="EC74">
        <v>8.86</v>
      </c>
      <c r="EE74">
        <v>9.06</v>
      </c>
      <c r="EF74">
        <v>8.4499999999999904</v>
      </c>
      <c r="EI74">
        <v>8.43</v>
      </c>
      <c r="EJ74">
        <v>6.48</v>
      </c>
      <c r="EM74">
        <v>8.6300000000000008</v>
      </c>
      <c r="EO74">
        <v>6.38</v>
      </c>
      <c r="ER74">
        <v>9.6999999999999904</v>
      </c>
      <c r="EU74">
        <v>7.57</v>
      </c>
      <c r="FD74">
        <v>8.09</v>
      </c>
      <c r="FG74">
        <v>9.4</v>
      </c>
      <c r="FP74">
        <v>8.75</v>
      </c>
      <c r="FS74">
        <v>7.09</v>
      </c>
      <c r="FV74">
        <v>10.64</v>
      </c>
      <c r="FY74">
        <v>9.14</v>
      </c>
      <c r="GB74">
        <v>9.7100000000000009</v>
      </c>
      <c r="GE74">
        <v>9.6199999999999903</v>
      </c>
      <c r="GH74">
        <v>10.3</v>
      </c>
      <c r="GK74">
        <v>8.3800000000000008</v>
      </c>
      <c r="GO74">
        <v>10.39</v>
      </c>
      <c r="GQ74">
        <v>7.4</v>
      </c>
      <c r="GT74">
        <v>10.1999999999999</v>
      </c>
      <c r="GW74">
        <v>9.1</v>
      </c>
      <c r="GZ74">
        <v>9.5</v>
      </c>
      <c r="HC74">
        <v>9.4499999999999904</v>
      </c>
      <c r="HF74">
        <v>10.08</v>
      </c>
      <c r="HI74">
        <v>8.99</v>
      </c>
      <c r="HL74">
        <v>9.18</v>
      </c>
      <c r="HO74">
        <v>8.57</v>
      </c>
      <c r="HR74">
        <v>9.18</v>
      </c>
      <c r="HU74">
        <v>8.23</v>
      </c>
      <c r="HX74">
        <v>10.34</v>
      </c>
      <c r="IA74">
        <v>9.6199999999999903</v>
      </c>
      <c r="IJ74">
        <v>9.43</v>
      </c>
      <c r="IM74">
        <v>10.17</v>
      </c>
      <c r="IP74">
        <v>9.42</v>
      </c>
      <c r="IS74">
        <v>9.49</v>
      </c>
      <c r="IV74">
        <v>10.29</v>
      </c>
      <c r="IY74">
        <v>9.6300000000000008</v>
      </c>
      <c r="JB74">
        <v>8.07</v>
      </c>
      <c r="JE74">
        <v>8.69</v>
      </c>
      <c r="JH74">
        <v>9.81</v>
      </c>
      <c r="JK74">
        <v>9.52</v>
      </c>
      <c r="JN74">
        <v>10.210000000000001</v>
      </c>
      <c r="JQ74">
        <v>7.03</v>
      </c>
      <c r="JT74">
        <v>9.7899999999999903</v>
      </c>
      <c r="JW74">
        <v>9.25</v>
      </c>
      <c r="JZ74">
        <v>7.85</v>
      </c>
      <c r="KC74">
        <v>9.01</v>
      </c>
      <c r="KD74">
        <v>10.47</v>
      </c>
      <c r="KF74">
        <v>9.33</v>
      </c>
      <c r="KL74">
        <v>9.98</v>
      </c>
      <c r="KO74">
        <v>6.93</v>
      </c>
      <c r="KS74">
        <v>20.52</v>
      </c>
      <c r="KX74">
        <v>10.56</v>
      </c>
      <c r="LD74">
        <v>10.24</v>
      </c>
    </row>
    <row r="75" spans="1:319" x14ac:dyDescent="0.2">
      <c r="A75" s="37" t="s">
        <v>403</v>
      </c>
      <c r="B75">
        <v>958.7999999999995</v>
      </c>
      <c r="C75">
        <v>18.438461538461528</v>
      </c>
      <c r="D75" s="37" t="s">
        <v>381</v>
      </c>
      <c r="E75" s="37" t="s">
        <v>396</v>
      </c>
      <c r="F75">
        <v>12.02</v>
      </c>
      <c r="I75">
        <v>6.48</v>
      </c>
      <c r="N75">
        <v>19.579999999999899</v>
      </c>
      <c r="S75">
        <v>15.53</v>
      </c>
      <c r="V75">
        <v>5.86</v>
      </c>
      <c r="Z75">
        <v>7.28</v>
      </c>
      <c r="AA75">
        <v>9.6300000000000008</v>
      </c>
      <c r="AL75">
        <v>19.22</v>
      </c>
      <c r="AQ75">
        <v>7.86</v>
      </c>
      <c r="AS75">
        <v>9.67</v>
      </c>
      <c r="AT75">
        <v>7.01</v>
      </c>
      <c r="AW75">
        <v>8.77</v>
      </c>
      <c r="AY75">
        <v>8.4499999999999904</v>
      </c>
      <c r="BD75">
        <v>17.989999999999899</v>
      </c>
      <c r="BJ75">
        <v>8.8800000000000008</v>
      </c>
      <c r="BV75">
        <v>17.649999999999899</v>
      </c>
      <c r="CF75">
        <v>15.93</v>
      </c>
      <c r="CK75">
        <v>19.68</v>
      </c>
      <c r="CP75">
        <v>8.83</v>
      </c>
      <c r="CQ75">
        <v>5.94</v>
      </c>
      <c r="CV75">
        <v>7.29</v>
      </c>
      <c r="CW75">
        <v>0.92</v>
      </c>
      <c r="DC75">
        <v>15.87</v>
      </c>
      <c r="DE75">
        <v>10.85</v>
      </c>
      <c r="DL75">
        <v>14.93</v>
      </c>
      <c r="DQ75">
        <v>16.239999999999899</v>
      </c>
      <c r="DT75">
        <v>7.74</v>
      </c>
      <c r="DU75">
        <v>8.02</v>
      </c>
      <c r="DX75">
        <v>8.82</v>
      </c>
      <c r="EB75">
        <v>9.1199999999999903</v>
      </c>
      <c r="EF75">
        <v>17.11</v>
      </c>
      <c r="EJ75">
        <v>8.64</v>
      </c>
      <c r="EM75">
        <v>9.5299999999999905</v>
      </c>
      <c r="EQ75">
        <v>7.41</v>
      </c>
      <c r="ER75">
        <v>10.08</v>
      </c>
      <c r="FB75">
        <v>7.89</v>
      </c>
      <c r="FD75">
        <v>10.85</v>
      </c>
      <c r="FN75">
        <v>8.23</v>
      </c>
      <c r="FO75">
        <v>7.87</v>
      </c>
      <c r="FR75">
        <v>14.35</v>
      </c>
      <c r="FS75">
        <v>7.33</v>
      </c>
      <c r="FW75">
        <v>6.44</v>
      </c>
      <c r="FX75">
        <v>11.94</v>
      </c>
      <c r="FZ75">
        <v>7.8</v>
      </c>
      <c r="GB75">
        <v>15.53</v>
      </c>
      <c r="GD75">
        <v>6.67</v>
      </c>
      <c r="GF75">
        <v>7.76</v>
      </c>
      <c r="GI75">
        <v>7.02</v>
      </c>
      <c r="GL75">
        <v>11.77</v>
      </c>
      <c r="GO75">
        <v>7.68</v>
      </c>
      <c r="GR75">
        <v>10.98</v>
      </c>
      <c r="GS75">
        <v>7.32</v>
      </c>
      <c r="GU75">
        <v>7.57</v>
      </c>
      <c r="GZ75">
        <v>8.0500000000000007</v>
      </c>
      <c r="HB75">
        <v>9.64</v>
      </c>
      <c r="HE75">
        <v>8.4600000000000009</v>
      </c>
      <c r="HH75">
        <v>10.17</v>
      </c>
      <c r="HJ75">
        <v>9.4499999999999904</v>
      </c>
      <c r="HN75">
        <v>15.86</v>
      </c>
      <c r="HS75">
        <v>10.97</v>
      </c>
      <c r="HX75">
        <v>7.36</v>
      </c>
      <c r="HZ75">
        <v>10.36</v>
      </c>
      <c r="ID75">
        <v>8.76</v>
      </c>
      <c r="IH75">
        <v>8.51</v>
      </c>
      <c r="IK75">
        <v>10.73</v>
      </c>
      <c r="IL75">
        <v>6.65</v>
      </c>
      <c r="IM75">
        <v>6.42</v>
      </c>
      <c r="IP75">
        <v>17.579999999999899</v>
      </c>
      <c r="IU75">
        <v>8.74</v>
      </c>
      <c r="IV75">
        <v>8.51</v>
      </c>
      <c r="IW75">
        <v>10.33</v>
      </c>
      <c r="IY75">
        <v>8.48</v>
      </c>
      <c r="IZ75">
        <v>7.49</v>
      </c>
      <c r="JB75">
        <v>17.05</v>
      </c>
      <c r="JE75">
        <v>12.45</v>
      </c>
      <c r="JG75">
        <v>7.8</v>
      </c>
      <c r="JH75">
        <v>10.52</v>
      </c>
      <c r="JL75">
        <v>8.84</v>
      </c>
      <c r="JN75">
        <v>11.03</v>
      </c>
      <c r="JP75">
        <v>9.08</v>
      </c>
      <c r="JT75">
        <v>15.29</v>
      </c>
      <c r="JW75">
        <v>8.3699999999999903</v>
      </c>
      <c r="JZ75">
        <v>15.3</v>
      </c>
      <c r="KD75">
        <v>10.79</v>
      </c>
      <c r="KH75">
        <v>11.46</v>
      </c>
      <c r="KK75">
        <v>8.84</v>
      </c>
      <c r="KL75">
        <v>9.06</v>
      </c>
      <c r="KP75">
        <v>8.91</v>
      </c>
      <c r="KR75">
        <v>8.35</v>
      </c>
      <c r="KT75">
        <v>7.44</v>
      </c>
      <c r="KX75">
        <v>8</v>
      </c>
      <c r="KY75">
        <v>9.06</v>
      </c>
      <c r="LC75">
        <v>9.02</v>
      </c>
      <c r="LE75">
        <v>9.7899999999999903</v>
      </c>
    </row>
    <row r="76" spans="1:319" x14ac:dyDescent="0.2">
      <c r="A76" s="37" t="s">
        <v>404</v>
      </c>
      <c r="B76">
        <v>721.99</v>
      </c>
      <c r="C76">
        <v>13.884423076923078</v>
      </c>
      <c r="D76" s="37" t="s">
        <v>381</v>
      </c>
      <c r="E76" s="37" t="s">
        <v>405</v>
      </c>
      <c r="F76">
        <v>6.1</v>
      </c>
      <c r="H76">
        <v>5.07</v>
      </c>
      <c r="S76">
        <v>15.67</v>
      </c>
      <c r="U76">
        <v>8.91</v>
      </c>
      <c r="W76">
        <v>10.89</v>
      </c>
      <c r="Z76">
        <v>8.51</v>
      </c>
      <c r="AB76">
        <v>7.24</v>
      </c>
      <c r="AJ76">
        <v>9.83</v>
      </c>
      <c r="AN76">
        <v>8.44</v>
      </c>
      <c r="AP76">
        <v>8.6999999999999904</v>
      </c>
      <c r="AU76">
        <v>8.2100000000000009</v>
      </c>
      <c r="BA76">
        <v>8.9499999999999904</v>
      </c>
      <c r="BB76">
        <v>9.89</v>
      </c>
      <c r="BC76">
        <v>9</v>
      </c>
      <c r="BF76">
        <v>6.48</v>
      </c>
      <c r="BJ76">
        <v>8.6300000000000008</v>
      </c>
      <c r="BO76">
        <v>9.69</v>
      </c>
      <c r="BS76">
        <v>8.14</v>
      </c>
      <c r="BX76">
        <v>9.6300000000000008</v>
      </c>
      <c r="CD76">
        <v>7.96</v>
      </c>
      <c r="CI76">
        <v>9.5</v>
      </c>
      <c r="CL76">
        <v>8.6</v>
      </c>
      <c r="CN76">
        <v>7.66</v>
      </c>
      <c r="CR76">
        <v>8.23</v>
      </c>
      <c r="CU76">
        <v>5.78</v>
      </c>
      <c r="CW76">
        <v>5.29</v>
      </c>
      <c r="DB76">
        <v>8.7100000000000009</v>
      </c>
      <c r="DD76">
        <v>7.03</v>
      </c>
      <c r="DF76">
        <v>7.54</v>
      </c>
      <c r="DJ76">
        <v>7.09</v>
      </c>
      <c r="DP76">
        <v>15.06</v>
      </c>
      <c r="DT76">
        <v>6.66</v>
      </c>
      <c r="DV76">
        <v>5.8</v>
      </c>
      <c r="DZ76">
        <v>5.64</v>
      </c>
      <c r="EB76">
        <v>7.44</v>
      </c>
      <c r="EF76">
        <v>6.54</v>
      </c>
      <c r="EJ76">
        <v>6.53</v>
      </c>
      <c r="EN76">
        <v>5.5</v>
      </c>
      <c r="EQ76">
        <v>7.25</v>
      </c>
      <c r="ET76">
        <v>8.18</v>
      </c>
      <c r="FE76">
        <v>7.63</v>
      </c>
      <c r="FG76">
        <v>7.99</v>
      </c>
      <c r="FQ76">
        <v>6.75</v>
      </c>
      <c r="FV76">
        <v>14</v>
      </c>
      <c r="GC76">
        <v>8.32</v>
      </c>
      <c r="GD76">
        <v>4.6900000000000004</v>
      </c>
      <c r="GJ76">
        <v>13.52</v>
      </c>
      <c r="GO76">
        <v>6.91</v>
      </c>
      <c r="GR76">
        <v>7.55</v>
      </c>
      <c r="GU76">
        <v>8.08</v>
      </c>
      <c r="GY76">
        <v>8.4499999999999904</v>
      </c>
      <c r="HA76">
        <v>9.16</v>
      </c>
      <c r="HC76">
        <v>7.32</v>
      </c>
      <c r="HF76">
        <v>8.73</v>
      </c>
      <c r="HG76">
        <v>8.07</v>
      </c>
      <c r="HK76">
        <v>6.74</v>
      </c>
      <c r="HL76">
        <v>6.78</v>
      </c>
      <c r="HO76">
        <v>6.24</v>
      </c>
      <c r="HR76">
        <v>7.86</v>
      </c>
      <c r="HT76">
        <v>6.67</v>
      </c>
      <c r="HX76">
        <v>7.75</v>
      </c>
      <c r="HZ76">
        <v>9.26</v>
      </c>
      <c r="ID76">
        <v>9.86</v>
      </c>
      <c r="II76">
        <v>8.42</v>
      </c>
      <c r="IK76">
        <v>7.34</v>
      </c>
      <c r="IO76">
        <v>8.6999999999999904</v>
      </c>
      <c r="IR76">
        <v>9.18</v>
      </c>
      <c r="IW76">
        <v>7.27</v>
      </c>
      <c r="JD76">
        <v>14.47</v>
      </c>
      <c r="JE76">
        <v>7.77</v>
      </c>
      <c r="JH76">
        <v>8.27</v>
      </c>
      <c r="JJ76">
        <v>8.5299999999999905</v>
      </c>
      <c r="JL76">
        <v>7.97</v>
      </c>
      <c r="JO76">
        <v>4.99</v>
      </c>
      <c r="JQ76">
        <v>5.5</v>
      </c>
      <c r="JS76">
        <v>7.13</v>
      </c>
      <c r="JV76">
        <v>6.21</v>
      </c>
      <c r="JZ76">
        <v>14.44</v>
      </c>
      <c r="KG76">
        <v>15.31</v>
      </c>
      <c r="KJ76">
        <v>5.51</v>
      </c>
      <c r="KM76">
        <v>5.83</v>
      </c>
      <c r="KN76">
        <v>6.38</v>
      </c>
      <c r="KR76">
        <v>7.09</v>
      </c>
      <c r="KT76">
        <v>8.65</v>
      </c>
      <c r="KV76">
        <v>8.3699999999999903</v>
      </c>
      <c r="LA76">
        <v>7.98</v>
      </c>
      <c r="LF76">
        <v>16.38</v>
      </c>
    </row>
    <row r="77" spans="1:319" x14ac:dyDescent="0.2">
      <c r="A77" s="37" t="s">
        <v>406</v>
      </c>
      <c r="B77">
        <v>716.91999999999985</v>
      </c>
      <c r="C77">
        <v>13.786923076923074</v>
      </c>
      <c r="D77" s="37" t="s">
        <v>381</v>
      </c>
      <c r="E77" s="37" t="s">
        <v>407</v>
      </c>
      <c r="I77">
        <v>7.26</v>
      </c>
      <c r="K77">
        <v>5.93</v>
      </c>
      <c r="O77">
        <v>8.56</v>
      </c>
      <c r="Q77">
        <v>6.82</v>
      </c>
      <c r="U77">
        <v>8.36</v>
      </c>
      <c r="W77">
        <v>6.17</v>
      </c>
      <c r="AA77">
        <v>5.55</v>
      </c>
      <c r="AC77">
        <v>5.68</v>
      </c>
      <c r="AN77">
        <v>13.12</v>
      </c>
      <c r="AT77">
        <v>14.7</v>
      </c>
      <c r="BA77">
        <v>14.95</v>
      </c>
      <c r="BF77">
        <v>16.690000000000001</v>
      </c>
      <c r="BL77">
        <v>15.32</v>
      </c>
      <c r="BR77">
        <v>16.03</v>
      </c>
      <c r="BX77">
        <v>16.54</v>
      </c>
      <c r="CE77">
        <v>6.85</v>
      </c>
      <c r="CF77">
        <v>8.4</v>
      </c>
      <c r="CL77">
        <v>16.66</v>
      </c>
      <c r="CQ77">
        <v>14.1</v>
      </c>
      <c r="CW77">
        <v>10.91</v>
      </c>
      <c r="DC77">
        <v>15.08</v>
      </c>
      <c r="DH77">
        <v>7.38</v>
      </c>
      <c r="DJ77">
        <v>5.05</v>
      </c>
      <c r="DO77">
        <v>5.39</v>
      </c>
      <c r="DQ77">
        <v>8.4700000000000006</v>
      </c>
      <c r="DU77">
        <v>7.19</v>
      </c>
      <c r="DW77">
        <v>8.5299999999999905</v>
      </c>
      <c r="EA77">
        <v>7.87</v>
      </c>
      <c r="EC77">
        <v>4.87</v>
      </c>
      <c r="EH77">
        <v>6.67</v>
      </c>
      <c r="EM77">
        <v>5.78</v>
      </c>
      <c r="EO77">
        <v>10.9</v>
      </c>
      <c r="EP77">
        <v>4.13</v>
      </c>
      <c r="ES77">
        <v>8.0299999999999905</v>
      </c>
      <c r="EU77">
        <v>5.33</v>
      </c>
      <c r="FE77">
        <v>8.7799999999999905</v>
      </c>
      <c r="FG77">
        <v>6.68</v>
      </c>
      <c r="FQ77">
        <v>7.62</v>
      </c>
      <c r="FS77">
        <v>6.28</v>
      </c>
      <c r="FW77">
        <v>5.97</v>
      </c>
      <c r="FY77">
        <v>8.57</v>
      </c>
      <c r="GC77">
        <v>9.08</v>
      </c>
      <c r="GE77">
        <v>6.93</v>
      </c>
      <c r="GI77">
        <v>6.68</v>
      </c>
      <c r="GL77">
        <v>8.2100000000000009</v>
      </c>
      <c r="GO77">
        <v>7.15</v>
      </c>
      <c r="GQ77">
        <v>6.3</v>
      </c>
      <c r="GU77">
        <v>7.12</v>
      </c>
      <c r="GW77">
        <v>8.01</v>
      </c>
      <c r="HA77">
        <v>7.4</v>
      </c>
      <c r="HC77">
        <v>7.38</v>
      </c>
      <c r="HG77">
        <v>7.19</v>
      </c>
      <c r="HI77">
        <v>8.81</v>
      </c>
      <c r="HM77">
        <v>6.05</v>
      </c>
      <c r="HO77">
        <v>8.35</v>
      </c>
      <c r="HS77">
        <v>7.69</v>
      </c>
      <c r="HU77">
        <v>6.52</v>
      </c>
      <c r="HY77">
        <v>8.0299999999999905</v>
      </c>
      <c r="IA77">
        <v>6.75</v>
      </c>
      <c r="IC77">
        <v>7.81</v>
      </c>
      <c r="IH77">
        <v>9.81</v>
      </c>
      <c r="IM77">
        <v>7.56</v>
      </c>
      <c r="IQ77">
        <v>9.18</v>
      </c>
      <c r="IS77">
        <v>7.32</v>
      </c>
      <c r="IW77">
        <v>9.6</v>
      </c>
      <c r="IY77">
        <v>7.48</v>
      </c>
      <c r="JD77">
        <v>8.92</v>
      </c>
      <c r="JE77">
        <v>8.92</v>
      </c>
      <c r="JI77">
        <v>9.68</v>
      </c>
      <c r="JK77">
        <v>5.23</v>
      </c>
      <c r="JO77">
        <v>7.71</v>
      </c>
      <c r="JQ77">
        <v>6.57</v>
      </c>
      <c r="JU77">
        <v>7.55</v>
      </c>
      <c r="JW77">
        <v>8.6199999999999903</v>
      </c>
      <c r="KA77">
        <v>9.44</v>
      </c>
      <c r="KC77">
        <v>7.28</v>
      </c>
      <c r="KH77">
        <v>8.48</v>
      </c>
      <c r="KI77">
        <v>7.57</v>
      </c>
      <c r="KL77">
        <v>6.94</v>
      </c>
      <c r="KO77">
        <v>6.49</v>
      </c>
      <c r="KT77">
        <v>15.34</v>
      </c>
      <c r="KZ77">
        <v>13.38</v>
      </c>
      <c r="LF77">
        <v>13.22</v>
      </c>
    </row>
    <row r="78" spans="1:319" x14ac:dyDescent="0.2">
      <c r="A78" s="37" t="s">
        <v>408</v>
      </c>
      <c r="B78">
        <v>511.1699999999999</v>
      </c>
      <c r="C78">
        <v>9.8301923076923057</v>
      </c>
      <c r="D78" s="37" t="s">
        <v>381</v>
      </c>
      <c r="E78" s="37" t="s">
        <v>407</v>
      </c>
      <c r="G78">
        <v>6.65</v>
      </c>
      <c r="O78">
        <v>7.85</v>
      </c>
      <c r="Q78">
        <v>7.17</v>
      </c>
      <c r="AC78">
        <v>6.14</v>
      </c>
      <c r="AJ78">
        <v>7.21</v>
      </c>
      <c r="AM78">
        <v>6.93</v>
      </c>
      <c r="AO78">
        <v>6.87</v>
      </c>
      <c r="AS78">
        <v>6.22</v>
      </c>
      <c r="AU78">
        <v>8.43</v>
      </c>
      <c r="BA78">
        <v>7.73</v>
      </c>
      <c r="BG78">
        <v>14.09</v>
      </c>
      <c r="BK78">
        <v>8.06</v>
      </c>
      <c r="BM78">
        <v>5.68</v>
      </c>
      <c r="BQ78">
        <v>8.99</v>
      </c>
      <c r="BS78">
        <v>6.95</v>
      </c>
      <c r="BW78">
        <v>6.75</v>
      </c>
      <c r="BY78">
        <v>9.76</v>
      </c>
      <c r="CD78">
        <v>8.85</v>
      </c>
      <c r="CF78">
        <v>6.09</v>
      </c>
      <c r="CJ78">
        <v>8.66</v>
      </c>
      <c r="CL78">
        <v>7.68</v>
      </c>
      <c r="CP78">
        <v>8.36</v>
      </c>
      <c r="CR78">
        <v>6.94</v>
      </c>
      <c r="CX78">
        <v>4.67</v>
      </c>
      <c r="DB78">
        <v>8.57</v>
      </c>
      <c r="DD78">
        <v>6.01</v>
      </c>
      <c r="DG78">
        <v>4.0999999999999899</v>
      </c>
      <c r="DM78">
        <v>8.0299999999999905</v>
      </c>
      <c r="DQ78">
        <v>5.2</v>
      </c>
      <c r="DY78">
        <v>4.7699999999999898</v>
      </c>
      <c r="EC78">
        <v>8.69</v>
      </c>
      <c r="EE78">
        <v>7.53</v>
      </c>
      <c r="EJ78">
        <v>8.14</v>
      </c>
      <c r="EL78">
        <v>4.63</v>
      </c>
      <c r="EN78">
        <v>5.97</v>
      </c>
      <c r="FF78">
        <v>17.89</v>
      </c>
      <c r="FP78">
        <v>8.06</v>
      </c>
      <c r="FR78">
        <v>7.89</v>
      </c>
      <c r="FW78">
        <v>7.71</v>
      </c>
      <c r="GI78">
        <v>8.99</v>
      </c>
      <c r="GM78">
        <v>9.36</v>
      </c>
      <c r="GP78">
        <v>6.97</v>
      </c>
      <c r="GU78">
        <v>8.73</v>
      </c>
      <c r="GW78">
        <v>8.65</v>
      </c>
      <c r="HA78">
        <v>8.83</v>
      </c>
      <c r="HF78">
        <v>8.0500000000000007</v>
      </c>
      <c r="HM78">
        <v>9.32</v>
      </c>
      <c r="HU78">
        <v>8.48</v>
      </c>
      <c r="HY78">
        <v>9.6</v>
      </c>
      <c r="IN78">
        <v>9.6</v>
      </c>
      <c r="IQ78">
        <v>7.26</v>
      </c>
      <c r="JE78">
        <v>9.09</v>
      </c>
      <c r="JI78">
        <v>8.5299999999999905</v>
      </c>
      <c r="JO78">
        <v>7.93</v>
      </c>
      <c r="JW78">
        <v>9.3800000000000008</v>
      </c>
      <c r="KA78">
        <v>15.03</v>
      </c>
      <c r="KG78">
        <v>4.05</v>
      </c>
      <c r="KI78">
        <v>10.34</v>
      </c>
      <c r="KN78">
        <v>6.78</v>
      </c>
      <c r="KS78">
        <v>6.73</v>
      </c>
      <c r="KU78">
        <v>8.56</v>
      </c>
      <c r="KY78">
        <v>5.94</v>
      </c>
      <c r="LA78">
        <v>6.5</v>
      </c>
      <c r="LD78">
        <v>7.79</v>
      </c>
      <c r="LG78">
        <v>4.76</v>
      </c>
    </row>
    <row r="79" spans="1:319" x14ac:dyDescent="0.2">
      <c r="A79" s="37" t="s">
        <v>409</v>
      </c>
      <c r="B79">
        <v>132.38999999999996</v>
      </c>
      <c r="C79">
        <v>2.5459615384615377</v>
      </c>
      <c r="D79" s="37" t="s">
        <v>381</v>
      </c>
      <c r="E79" s="37" t="s">
        <v>407</v>
      </c>
      <c r="AN79">
        <v>7</v>
      </c>
      <c r="AS79">
        <v>6.2</v>
      </c>
      <c r="AW79">
        <v>7.13</v>
      </c>
      <c r="BA79">
        <v>8.27</v>
      </c>
      <c r="BD79">
        <v>6.95</v>
      </c>
      <c r="BK79">
        <v>8.2799999999999905</v>
      </c>
      <c r="BM79">
        <v>8.06</v>
      </c>
      <c r="BP79">
        <v>6.3</v>
      </c>
      <c r="BX79">
        <v>7.96</v>
      </c>
      <c r="CC79">
        <v>5.43</v>
      </c>
      <c r="CI79">
        <v>7.64</v>
      </c>
      <c r="CL79">
        <v>4.43</v>
      </c>
      <c r="CR79">
        <v>6.91</v>
      </c>
      <c r="CU79">
        <v>4.99</v>
      </c>
      <c r="CX79">
        <v>5.58</v>
      </c>
      <c r="DA79">
        <v>6.21</v>
      </c>
      <c r="KG79">
        <v>6.96</v>
      </c>
      <c r="KT79">
        <v>9.1</v>
      </c>
      <c r="LE79">
        <v>8.99</v>
      </c>
    </row>
    <row r="80" spans="1:319" x14ac:dyDescent="0.2">
      <c r="A80" s="37" t="s">
        <v>410</v>
      </c>
      <c r="B80">
        <v>267.78000000000003</v>
      </c>
      <c r="C80">
        <v>5.1496153846153856</v>
      </c>
      <c r="D80" s="37" t="s">
        <v>381</v>
      </c>
      <c r="E80" s="37" t="s">
        <v>411</v>
      </c>
      <c r="H80">
        <v>7.83</v>
      </c>
      <c r="Q80">
        <v>8.09</v>
      </c>
      <c r="W80">
        <v>7.03</v>
      </c>
      <c r="AN80">
        <v>6.78</v>
      </c>
      <c r="AU80">
        <v>6.7</v>
      </c>
      <c r="AW80">
        <v>7.76</v>
      </c>
      <c r="BF80">
        <v>6.86</v>
      </c>
      <c r="BM80">
        <v>7.77</v>
      </c>
      <c r="BS80">
        <v>5.71</v>
      </c>
      <c r="BX80">
        <v>5.55</v>
      </c>
      <c r="CF80">
        <v>7.67</v>
      </c>
      <c r="CU80">
        <v>7.57</v>
      </c>
      <c r="CZ80">
        <v>6.59</v>
      </c>
      <c r="DE80">
        <v>6.93</v>
      </c>
      <c r="DG80">
        <v>6.85</v>
      </c>
      <c r="DH80">
        <v>6.62</v>
      </c>
      <c r="DJ80">
        <v>5.67</v>
      </c>
      <c r="DQ80">
        <v>6.45</v>
      </c>
      <c r="EE80">
        <v>6.58</v>
      </c>
      <c r="EU80">
        <v>5.3</v>
      </c>
      <c r="FO80">
        <v>6.31</v>
      </c>
      <c r="FY80">
        <v>7.52</v>
      </c>
      <c r="GD80">
        <v>9.2899999999999903</v>
      </c>
      <c r="GX80">
        <v>9.6</v>
      </c>
      <c r="HC80">
        <v>6.15</v>
      </c>
      <c r="HF80">
        <v>8.2899999999999903</v>
      </c>
      <c r="HO80">
        <v>6.63</v>
      </c>
      <c r="IM80">
        <v>7.02</v>
      </c>
      <c r="IU80">
        <v>8.73</v>
      </c>
      <c r="JE80">
        <v>8.66</v>
      </c>
      <c r="JF80">
        <v>10.51</v>
      </c>
      <c r="JM80">
        <v>6.58</v>
      </c>
      <c r="JW80">
        <v>9.31</v>
      </c>
      <c r="KG80">
        <v>8.89</v>
      </c>
      <c r="KT80">
        <v>7.05</v>
      </c>
      <c r="KY80">
        <v>5.8</v>
      </c>
      <c r="LB80">
        <v>5.13</v>
      </c>
    </row>
    <row r="81" spans="1:319" x14ac:dyDescent="0.2">
      <c r="A81" s="37" t="s">
        <v>412</v>
      </c>
      <c r="B81">
        <v>483.96999999999974</v>
      </c>
      <c r="C81">
        <v>9.3071153846153791</v>
      </c>
      <c r="D81" s="37" t="s">
        <v>381</v>
      </c>
      <c r="E81" s="37" t="s">
        <v>411</v>
      </c>
      <c r="G81">
        <v>5.85</v>
      </c>
      <c r="M81">
        <v>7.62</v>
      </c>
      <c r="Q81">
        <v>6.39</v>
      </c>
      <c r="V81">
        <v>7.12</v>
      </c>
      <c r="AA81">
        <v>7.44</v>
      </c>
      <c r="AL81">
        <v>7.16</v>
      </c>
      <c r="AR81">
        <v>6.94</v>
      </c>
      <c r="AU81">
        <v>7.55</v>
      </c>
      <c r="AX81">
        <v>7.98</v>
      </c>
      <c r="BC81">
        <v>7.88</v>
      </c>
      <c r="BF81">
        <v>7.54</v>
      </c>
      <c r="BK81">
        <v>7.75</v>
      </c>
      <c r="BN81">
        <v>7.59</v>
      </c>
      <c r="BQ81">
        <v>6.6</v>
      </c>
      <c r="BW81">
        <v>8.1300000000000008</v>
      </c>
      <c r="CA81">
        <v>7.77</v>
      </c>
      <c r="CB81">
        <v>7.43</v>
      </c>
      <c r="CE81">
        <v>6.43</v>
      </c>
      <c r="CH81">
        <v>7.88</v>
      </c>
      <c r="CL81">
        <v>6.78</v>
      </c>
      <c r="CO81">
        <v>7.21</v>
      </c>
      <c r="CR81">
        <v>5.13</v>
      </c>
      <c r="CU81">
        <v>6.65</v>
      </c>
      <c r="CX81">
        <v>5.63</v>
      </c>
      <c r="DA81">
        <v>6.41</v>
      </c>
      <c r="DG81">
        <v>6.96</v>
      </c>
      <c r="DL81">
        <v>7.39</v>
      </c>
      <c r="DS81">
        <v>6.52</v>
      </c>
      <c r="DW81">
        <v>6.56</v>
      </c>
      <c r="EC81">
        <v>4.66</v>
      </c>
      <c r="ED81">
        <v>7.39</v>
      </c>
      <c r="EG81">
        <v>6.67</v>
      </c>
      <c r="EO81">
        <v>7.12</v>
      </c>
      <c r="ES81">
        <v>8.5</v>
      </c>
      <c r="FC81">
        <v>6.5</v>
      </c>
      <c r="FG81">
        <v>8.6999999999999904</v>
      </c>
      <c r="FQ81">
        <v>8</v>
      </c>
      <c r="FV81">
        <v>8.0299999999999905</v>
      </c>
      <c r="GB81">
        <v>7.82</v>
      </c>
      <c r="GI81">
        <v>8.2799999999999905</v>
      </c>
      <c r="GN81">
        <v>9.1</v>
      </c>
      <c r="GS81">
        <v>8.76</v>
      </c>
      <c r="HD81">
        <v>8.49</v>
      </c>
      <c r="HH81">
        <v>7.69</v>
      </c>
      <c r="HL81">
        <v>8.69</v>
      </c>
      <c r="HS81">
        <v>9.57</v>
      </c>
      <c r="HX81">
        <v>9.01</v>
      </c>
      <c r="IC81">
        <v>9.64</v>
      </c>
      <c r="IL81">
        <v>8.82</v>
      </c>
      <c r="IV81">
        <v>7.64</v>
      </c>
      <c r="IY81">
        <v>9.14</v>
      </c>
      <c r="JE81">
        <v>8.82</v>
      </c>
      <c r="JI81">
        <v>9.1300000000000008</v>
      </c>
      <c r="JM81">
        <v>7.75</v>
      </c>
      <c r="JR81">
        <v>7.42</v>
      </c>
      <c r="JW81">
        <v>9.94</v>
      </c>
      <c r="JY81">
        <v>7.9</v>
      </c>
      <c r="KC81">
        <v>8.1999999999999904</v>
      </c>
      <c r="KE81">
        <v>9.08</v>
      </c>
      <c r="KI81">
        <v>7.62</v>
      </c>
      <c r="KN81">
        <v>8.4</v>
      </c>
      <c r="KT81">
        <v>9.11</v>
      </c>
      <c r="KY81">
        <v>8.09</v>
      </c>
    </row>
    <row r="82" spans="1:319" x14ac:dyDescent="0.2">
      <c r="A82" s="37" t="s">
        <v>413</v>
      </c>
      <c r="B82">
        <v>241.29</v>
      </c>
      <c r="C82">
        <v>4.6401923076923079</v>
      </c>
      <c r="D82" s="37" t="s">
        <v>381</v>
      </c>
      <c r="E82" s="37" t="s">
        <v>414</v>
      </c>
      <c r="L82">
        <v>7.97</v>
      </c>
      <c r="U82">
        <v>8.3699999999999903</v>
      </c>
      <c r="Y82">
        <v>6.68</v>
      </c>
      <c r="AK82">
        <v>6.4</v>
      </c>
      <c r="AT82">
        <v>7.66</v>
      </c>
      <c r="BA82">
        <v>5.72</v>
      </c>
      <c r="BI82">
        <v>7</v>
      </c>
      <c r="BP82">
        <v>6.63</v>
      </c>
      <c r="BY82">
        <v>7.21</v>
      </c>
      <c r="CI82">
        <v>7.7</v>
      </c>
      <c r="CL82">
        <v>6.67</v>
      </c>
      <c r="CN82">
        <v>6.39</v>
      </c>
      <c r="CV82">
        <v>6.66</v>
      </c>
      <c r="DF82">
        <v>7.43</v>
      </c>
      <c r="DQ82">
        <v>8.4700000000000006</v>
      </c>
      <c r="EG82">
        <v>7.27</v>
      </c>
      <c r="EO82">
        <v>7.87</v>
      </c>
      <c r="FC82">
        <v>7.74</v>
      </c>
      <c r="FT82">
        <v>7.87</v>
      </c>
      <c r="GB82">
        <v>7.18</v>
      </c>
      <c r="GI82">
        <v>6.49</v>
      </c>
      <c r="GP82">
        <v>5.38</v>
      </c>
      <c r="GW82">
        <v>7.01</v>
      </c>
      <c r="GZ82">
        <v>8.0500000000000007</v>
      </c>
      <c r="HE82">
        <v>6.5</v>
      </c>
      <c r="IN82">
        <v>7.09</v>
      </c>
      <c r="IR82">
        <v>9.18</v>
      </c>
      <c r="IU82">
        <v>5.77</v>
      </c>
      <c r="JD82">
        <v>7.36</v>
      </c>
      <c r="JO82">
        <v>4.95</v>
      </c>
      <c r="KC82">
        <v>5.38</v>
      </c>
      <c r="KD82">
        <v>8.2100000000000009</v>
      </c>
      <c r="KR82">
        <v>7.64</v>
      </c>
      <c r="LA82">
        <v>7.39</v>
      </c>
    </row>
    <row r="83" spans="1:319" x14ac:dyDescent="0.2">
      <c r="A83" s="37" t="s">
        <v>415</v>
      </c>
      <c r="B83">
        <v>295.87</v>
      </c>
      <c r="C83">
        <v>5.6898076923076921</v>
      </c>
      <c r="D83" s="37" t="s">
        <v>381</v>
      </c>
      <c r="E83" s="37" t="s">
        <v>416</v>
      </c>
      <c r="L83">
        <v>7.69</v>
      </c>
      <c r="S83">
        <v>8.7100000000000009</v>
      </c>
      <c r="AC83">
        <v>8.0500000000000007</v>
      </c>
      <c r="BA83">
        <v>5.42</v>
      </c>
      <c r="BF83">
        <v>8.42</v>
      </c>
      <c r="BM83">
        <v>8.42</v>
      </c>
      <c r="BS83">
        <v>7</v>
      </c>
      <c r="BU83">
        <v>5.76</v>
      </c>
      <c r="CF83">
        <v>5.81</v>
      </c>
      <c r="CL83">
        <v>7.19</v>
      </c>
      <c r="CR83">
        <v>5.53</v>
      </c>
      <c r="DD83">
        <v>5.85</v>
      </c>
      <c r="DJ83">
        <v>8.17</v>
      </c>
      <c r="DR83">
        <v>6.87</v>
      </c>
      <c r="EA83">
        <v>8.17</v>
      </c>
      <c r="EG83">
        <v>7.91</v>
      </c>
      <c r="EN83">
        <v>6.95</v>
      </c>
      <c r="EU83">
        <v>7.33</v>
      </c>
      <c r="FS83">
        <v>8.09</v>
      </c>
      <c r="FX83">
        <v>5.57</v>
      </c>
      <c r="GE83">
        <v>7.15</v>
      </c>
      <c r="GK83">
        <v>6.52</v>
      </c>
      <c r="GQ83">
        <v>7.04</v>
      </c>
      <c r="GW83">
        <v>5.61</v>
      </c>
      <c r="HC83">
        <v>8.3699999999999903</v>
      </c>
      <c r="HI83">
        <v>5.25</v>
      </c>
      <c r="HO83">
        <v>6.68</v>
      </c>
      <c r="HU83">
        <v>5.31</v>
      </c>
      <c r="IA83">
        <v>6.4</v>
      </c>
      <c r="IM83">
        <v>7.89</v>
      </c>
      <c r="IT83">
        <v>8.4700000000000006</v>
      </c>
      <c r="IY83">
        <v>5.22</v>
      </c>
      <c r="JE83">
        <v>5.98</v>
      </c>
      <c r="JI83">
        <v>6.82</v>
      </c>
      <c r="JN83">
        <v>5.99</v>
      </c>
      <c r="JS83">
        <v>8.35</v>
      </c>
      <c r="JW83">
        <v>5.64</v>
      </c>
      <c r="KC83">
        <v>6.95</v>
      </c>
      <c r="KI83">
        <v>6</v>
      </c>
      <c r="KN83">
        <v>8.0500000000000007</v>
      </c>
      <c r="KU83">
        <v>6.8</v>
      </c>
      <c r="LA83">
        <v>5.32</v>
      </c>
      <c r="LG83">
        <v>7.15</v>
      </c>
    </row>
    <row r="84" spans="1:319" x14ac:dyDescent="0.2">
      <c r="A84" s="37" t="s">
        <v>417</v>
      </c>
      <c r="B84">
        <v>1454.8219999999999</v>
      </c>
      <c r="C84">
        <v>27.977346153846153</v>
      </c>
      <c r="D84" s="37" t="s">
        <v>381</v>
      </c>
      <c r="E84" s="37" t="s">
        <v>416</v>
      </c>
      <c r="F84">
        <v>12.65</v>
      </c>
      <c r="I84">
        <v>10.74</v>
      </c>
      <c r="K84">
        <v>7.24</v>
      </c>
      <c r="L84">
        <v>12.65</v>
      </c>
      <c r="O84">
        <v>11.96</v>
      </c>
      <c r="Q84">
        <v>6.02</v>
      </c>
      <c r="S84">
        <v>12.29</v>
      </c>
      <c r="U84">
        <v>11</v>
      </c>
      <c r="W84">
        <v>6.88</v>
      </c>
      <c r="X84">
        <v>7.56</v>
      </c>
      <c r="AA84">
        <v>17.36</v>
      </c>
      <c r="AC84">
        <v>6.22</v>
      </c>
      <c r="AJ84">
        <v>15.77</v>
      </c>
      <c r="AM84">
        <v>13.31</v>
      </c>
      <c r="AP84">
        <v>9.69</v>
      </c>
      <c r="AS84">
        <v>14.76</v>
      </c>
      <c r="AV84">
        <v>9.24</v>
      </c>
      <c r="AW84">
        <v>6.57</v>
      </c>
      <c r="AY84">
        <v>15.67</v>
      </c>
      <c r="BB84">
        <v>16.14</v>
      </c>
      <c r="BE84">
        <v>11.5</v>
      </c>
      <c r="BH84">
        <v>15.65</v>
      </c>
      <c r="BL84">
        <v>14.05</v>
      </c>
      <c r="BM84">
        <v>9.49</v>
      </c>
      <c r="BN84">
        <v>12.83</v>
      </c>
      <c r="BQ84">
        <v>13.67</v>
      </c>
      <c r="BT84">
        <v>8.48</v>
      </c>
      <c r="BU84">
        <v>5.69</v>
      </c>
      <c r="BW84">
        <v>12.95</v>
      </c>
      <c r="CA84">
        <v>14.72</v>
      </c>
      <c r="CD84">
        <v>13.38</v>
      </c>
      <c r="CG84">
        <v>17.82</v>
      </c>
      <c r="CK84">
        <v>13.91</v>
      </c>
      <c r="CM84">
        <v>14.62</v>
      </c>
      <c r="CP84">
        <v>6.53</v>
      </c>
      <c r="CQ84">
        <v>6.66</v>
      </c>
      <c r="CS84">
        <v>13.81</v>
      </c>
      <c r="CV84">
        <v>11.66</v>
      </c>
      <c r="CX84">
        <v>6.78</v>
      </c>
      <c r="CY84">
        <v>14.95</v>
      </c>
      <c r="DB84">
        <v>15.14</v>
      </c>
      <c r="DE84">
        <v>13.78</v>
      </c>
      <c r="DG84">
        <v>8.36</v>
      </c>
      <c r="DI84">
        <v>6.79</v>
      </c>
      <c r="DL84">
        <v>15.15</v>
      </c>
      <c r="DO84">
        <v>12.74</v>
      </c>
      <c r="DR84">
        <v>5.6</v>
      </c>
      <c r="DU84">
        <v>7.73</v>
      </c>
      <c r="DX84">
        <v>11.112</v>
      </c>
      <c r="EA84">
        <v>11.92</v>
      </c>
      <c r="ED84">
        <v>14.34</v>
      </c>
      <c r="EG84">
        <v>13.17</v>
      </c>
      <c r="EI84">
        <v>3.42</v>
      </c>
      <c r="EM84">
        <v>15.02</v>
      </c>
      <c r="EP84">
        <v>15.64</v>
      </c>
      <c r="EQ84">
        <v>7.46</v>
      </c>
      <c r="ET84">
        <v>17.170000000000002</v>
      </c>
      <c r="FB84">
        <v>13.87</v>
      </c>
      <c r="FE84">
        <v>14.93</v>
      </c>
      <c r="FG84">
        <v>14.35</v>
      </c>
      <c r="FN84">
        <v>15.43</v>
      </c>
      <c r="FQ84">
        <v>10.39</v>
      </c>
      <c r="FT84">
        <v>15.09</v>
      </c>
      <c r="FW84">
        <v>17.55</v>
      </c>
      <c r="FZ84">
        <v>14.07</v>
      </c>
      <c r="GB84">
        <v>12.75</v>
      </c>
      <c r="GF84">
        <v>13.47</v>
      </c>
      <c r="GI84">
        <v>15.79</v>
      </c>
      <c r="GL84">
        <v>14.31</v>
      </c>
      <c r="GO84">
        <v>15.16</v>
      </c>
      <c r="GQ84">
        <v>6.98</v>
      </c>
      <c r="GR84">
        <v>7.69</v>
      </c>
      <c r="GT84">
        <v>7.4</v>
      </c>
      <c r="GU84">
        <v>8.94</v>
      </c>
      <c r="GX84">
        <v>13.54</v>
      </c>
      <c r="HA84">
        <v>9.3699999999999903</v>
      </c>
      <c r="HB84">
        <v>8.1199999999999903</v>
      </c>
      <c r="HD84">
        <v>14.42</v>
      </c>
      <c r="HG84">
        <v>12.52</v>
      </c>
      <c r="HJ84">
        <v>17.16</v>
      </c>
      <c r="HM84">
        <v>15</v>
      </c>
      <c r="HP84">
        <v>16.93</v>
      </c>
      <c r="HS84">
        <v>14.08</v>
      </c>
      <c r="HV84">
        <v>17.68</v>
      </c>
      <c r="HZ84">
        <v>15.2</v>
      </c>
      <c r="IB84">
        <v>16.5</v>
      </c>
      <c r="IE84">
        <v>13.41</v>
      </c>
      <c r="II84">
        <v>18.329999999999899</v>
      </c>
      <c r="IK84">
        <v>8.8000000000000007</v>
      </c>
      <c r="IN84">
        <v>14.63</v>
      </c>
      <c r="IQ84">
        <v>12.47</v>
      </c>
      <c r="IT84">
        <v>16.149999999999899</v>
      </c>
      <c r="IX84">
        <v>15.77</v>
      </c>
      <c r="IZ84">
        <v>17.690000000000001</v>
      </c>
      <c r="JC84">
        <v>14.29</v>
      </c>
      <c r="JF84">
        <v>17.22</v>
      </c>
      <c r="JI84">
        <v>15.7</v>
      </c>
      <c r="JL84">
        <v>17.88</v>
      </c>
      <c r="JO84">
        <v>15.02</v>
      </c>
      <c r="JR84">
        <v>17.39</v>
      </c>
      <c r="JU84">
        <v>8.81</v>
      </c>
      <c r="JV84">
        <v>8.35</v>
      </c>
      <c r="JX84">
        <v>16.5</v>
      </c>
      <c r="KA84">
        <v>10.93</v>
      </c>
      <c r="KD84">
        <v>17.28</v>
      </c>
      <c r="KG84">
        <v>12.14</v>
      </c>
      <c r="KJ84">
        <v>17.22</v>
      </c>
      <c r="KM84">
        <v>13.28</v>
      </c>
      <c r="KP84">
        <v>15.93</v>
      </c>
      <c r="KS84">
        <v>14.18</v>
      </c>
      <c r="KV84">
        <v>16.41</v>
      </c>
      <c r="KY84">
        <v>11.32</v>
      </c>
      <c r="LB84">
        <v>16.809999999999899</v>
      </c>
      <c r="LE84">
        <v>14.81</v>
      </c>
    </row>
    <row r="85" spans="1:319" x14ac:dyDescent="0.2">
      <c r="A85" s="37" t="s">
        <v>418</v>
      </c>
      <c r="B85">
        <v>1379.8399999999997</v>
      </c>
      <c r="C85">
        <v>26.535384615384608</v>
      </c>
      <c r="D85" s="37" t="s">
        <v>381</v>
      </c>
      <c r="E85" s="37" t="s">
        <v>419</v>
      </c>
      <c r="F85">
        <v>6.31</v>
      </c>
      <c r="G85">
        <v>10.46</v>
      </c>
      <c r="I85">
        <v>5.88</v>
      </c>
      <c r="J85">
        <v>4.8</v>
      </c>
      <c r="K85">
        <v>7.01</v>
      </c>
      <c r="L85">
        <v>7.87</v>
      </c>
      <c r="N85">
        <v>11.45</v>
      </c>
      <c r="P85">
        <v>7.39</v>
      </c>
      <c r="S85">
        <v>16.87</v>
      </c>
      <c r="V85">
        <v>7.92</v>
      </c>
      <c r="W85">
        <v>7.45</v>
      </c>
      <c r="Y85">
        <v>7.57</v>
      </c>
      <c r="Z85">
        <v>7.89</v>
      </c>
      <c r="AB85">
        <v>13.54</v>
      </c>
      <c r="AJ85">
        <v>6.64</v>
      </c>
      <c r="AL85">
        <v>7.12</v>
      </c>
      <c r="AM85">
        <v>7.99</v>
      </c>
      <c r="AN85">
        <v>5.0599999999999898</v>
      </c>
      <c r="AP85">
        <v>5.51</v>
      </c>
      <c r="AQ85">
        <v>7.87</v>
      </c>
      <c r="AS85">
        <v>7.41</v>
      </c>
      <c r="AT85">
        <v>9.52</v>
      </c>
      <c r="AW85">
        <v>7.75</v>
      </c>
      <c r="AX85">
        <v>6.69</v>
      </c>
      <c r="AZ85">
        <v>9.34</v>
      </c>
      <c r="BA85">
        <v>7.17</v>
      </c>
      <c r="BC85">
        <v>8.4499999999999904</v>
      </c>
      <c r="BE85">
        <v>13.33</v>
      </c>
      <c r="BG85">
        <v>8.73</v>
      </c>
      <c r="BI85">
        <v>7.42</v>
      </c>
      <c r="BJ85">
        <v>6.37</v>
      </c>
      <c r="BK85">
        <v>6.51</v>
      </c>
      <c r="BL85">
        <v>12.59</v>
      </c>
      <c r="BO85">
        <v>7.68</v>
      </c>
      <c r="BQ85">
        <v>15.39</v>
      </c>
      <c r="BS85">
        <v>7.5</v>
      </c>
      <c r="BT85">
        <v>7.74</v>
      </c>
      <c r="BV85">
        <v>6.76</v>
      </c>
      <c r="BW85">
        <v>4.0199999999999898</v>
      </c>
      <c r="CB85">
        <v>7.39</v>
      </c>
      <c r="CC85">
        <v>7.46</v>
      </c>
      <c r="CE85">
        <v>6.01</v>
      </c>
      <c r="CG85">
        <v>6.1</v>
      </c>
      <c r="CH85">
        <v>7.44</v>
      </c>
      <c r="CJ85">
        <v>13.79</v>
      </c>
      <c r="CM85">
        <v>13.13</v>
      </c>
      <c r="CN85">
        <v>7.48</v>
      </c>
      <c r="CQ85">
        <v>8.4700000000000006</v>
      </c>
      <c r="CR85">
        <v>6.14</v>
      </c>
      <c r="CS85">
        <v>6.88</v>
      </c>
      <c r="CV85">
        <v>20.12</v>
      </c>
      <c r="CX85">
        <v>6.25</v>
      </c>
      <c r="CY85">
        <v>7.76</v>
      </c>
      <c r="DA85">
        <v>14.19</v>
      </c>
      <c r="DC85">
        <v>7.55</v>
      </c>
      <c r="DD85">
        <v>7.19</v>
      </c>
      <c r="DF85">
        <v>13.53</v>
      </c>
      <c r="DI85">
        <v>8.1300000000000008</v>
      </c>
      <c r="DM85">
        <v>8.34</v>
      </c>
      <c r="DN85">
        <v>6.73</v>
      </c>
      <c r="DP85">
        <v>7.83</v>
      </c>
      <c r="DQ85">
        <v>6.85</v>
      </c>
      <c r="DR85">
        <v>8.09</v>
      </c>
      <c r="DT85">
        <v>6.5</v>
      </c>
      <c r="DW85">
        <v>5.34</v>
      </c>
      <c r="DY85">
        <v>8.06</v>
      </c>
      <c r="DZ85">
        <v>5.82</v>
      </c>
      <c r="EA85">
        <v>5.14</v>
      </c>
      <c r="EC85">
        <v>7.37</v>
      </c>
      <c r="EE85">
        <v>8.02</v>
      </c>
      <c r="EF85">
        <v>5.98</v>
      </c>
      <c r="EI85">
        <v>6.64</v>
      </c>
      <c r="EJ85">
        <v>12.52</v>
      </c>
      <c r="EL85">
        <v>7.25</v>
      </c>
      <c r="EM85">
        <v>3.09</v>
      </c>
      <c r="EO85">
        <v>13.3</v>
      </c>
      <c r="EQ85">
        <v>7.22</v>
      </c>
      <c r="ES85">
        <v>5.64</v>
      </c>
      <c r="ET85">
        <v>5.71</v>
      </c>
      <c r="EU85">
        <v>6.7</v>
      </c>
      <c r="FB85">
        <v>6.56</v>
      </c>
      <c r="FC85">
        <v>13.68</v>
      </c>
      <c r="FD85">
        <v>5.28</v>
      </c>
      <c r="FF85">
        <v>7.97</v>
      </c>
      <c r="FN85">
        <v>6.38</v>
      </c>
      <c r="FP85">
        <v>7.27</v>
      </c>
      <c r="FQ85">
        <v>7.83</v>
      </c>
      <c r="FS85">
        <v>6.91</v>
      </c>
      <c r="FT85">
        <v>7.2</v>
      </c>
      <c r="FV85">
        <v>8.09</v>
      </c>
      <c r="FX85">
        <v>6.96</v>
      </c>
      <c r="FY85">
        <v>9.01</v>
      </c>
      <c r="FZ85">
        <v>14.8</v>
      </c>
      <c r="GB85">
        <v>7.92</v>
      </c>
      <c r="GD85">
        <v>7.23</v>
      </c>
      <c r="GH85">
        <v>9.42</v>
      </c>
      <c r="GI85">
        <v>8.14</v>
      </c>
      <c r="GJ85">
        <v>5.91</v>
      </c>
      <c r="GL85">
        <v>6.9</v>
      </c>
      <c r="GM85">
        <v>6.74</v>
      </c>
      <c r="GN85">
        <v>7.4</v>
      </c>
      <c r="GP85">
        <v>7.83</v>
      </c>
      <c r="GT85">
        <v>26.35</v>
      </c>
      <c r="GV85">
        <v>8.14</v>
      </c>
      <c r="GY85">
        <v>7.7</v>
      </c>
      <c r="HA85">
        <v>7.75</v>
      </c>
      <c r="HC85">
        <v>7.34</v>
      </c>
      <c r="HD85">
        <v>7.86</v>
      </c>
      <c r="HE85">
        <v>7.79</v>
      </c>
      <c r="HG85">
        <v>8.75</v>
      </c>
      <c r="HH85">
        <v>6.7</v>
      </c>
      <c r="HJ85">
        <v>6.95</v>
      </c>
      <c r="HL85">
        <v>7.63</v>
      </c>
      <c r="HN85">
        <v>7.6</v>
      </c>
      <c r="HO85">
        <v>8.5399999999999903</v>
      </c>
      <c r="HQ85">
        <v>8.3699999999999903</v>
      </c>
      <c r="HR85">
        <v>7.87</v>
      </c>
      <c r="HT85">
        <v>8.17</v>
      </c>
      <c r="HU85">
        <v>7.08</v>
      </c>
      <c r="HV85">
        <v>8.07</v>
      </c>
      <c r="HY85">
        <v>8.09</v>
      </c>
      <c r="HZ85">
        <v>8.42</v>
      </c>
      <c r="IF85">
        <v>6.12</v>
      </c>
      <c r="IJ85">
        <v>18.48</v>
      </c>
      <c r="IL85">
        <v>7.75</v>
      </c>
      <c r="IM85">
        <v>7.31</v>
      </c>
      <c r="IO85">
        <v>8.94</v>
      </c>
      <c r="IP85">
        <v>8.36</v>
      </c>
      <c r="IS85">
        <v>7.47</v>
      </c>
      <c r="IV85">
        <v>7.77</v>
      </c>
      <c r="IW85">
        <v>16.399999999999899</v>
      </c>
      <c r="IY85">
        <v>5.45</v>
      </c>
      <c r="JA85">
        <v>6.71</v>
      </c>
      <c r="JB85">
        <v>15.51</v>
      </c>
      <c r="JE85">
        <v>6.52</v>
      </c>
      <c r="JG85">
        <v>6.56</v>
      </c>
      <c r="JH85">
        <v>9.14</v>
      </c>
      <c r="JJ85">
        <v>7.2</v>
      </c>
      <c r="JL85">
        <v>6.97</v>
      </c>
      <c r="JM85">
        <v>6.71</v>
      </c>
      <c r="JN85">
        <v>5.61</v>
      </c>
      <c r="JP85">
        <v>6.56</v>
      </c>
      <c r="JS85">
        <v>17.11</v>
      </c>
      <c r="JU85">
        <v>7.12</v>
      </c>
      <c r="JW85">
        <v>6.57</v>
      </c>
      <c r="JY85">
        <v>6.5</v>
      </c>
      <c r="KA85">
        <v>15.32</v>
      </c>
      <c r="KC85">
        <v>17.38</v>
      </c>
      <c r="KD85">
        <v>7.85</v>
      </c>
      <c r="KE85">
        <v>6.82</v>
      </c>
      <c r="KG85">
        <v>8.7200000000000006</v>
      </c>
      <c r="KI85">
        <v>7.07</v>
      </c>
      <c r="KJ85">
        <v>8.01</v>
      </c>
      <c r="KK85">
        <v>6.03</v>
      </c>
      <c r="KL85">
        <v>6.66</v>
      </c>
      <c r="KN85">
        <v>6.02</v>
      </c>
      <c r="KQ85">
        <v>9.25</v>
      </c>
      <c r="KR85">
        <v>8.0399999999999903</v>
      </c>
      <c r="KT85">
        <v>7.15</v>
      </c>
      <c r="KW85">
        <v>15.91</v>
      </c>
      <c r="KZ85">
        <v>3.26</v>
      </c>
      <c r="LB85">
        <v>7.43</v>
      </c>
      <c r="LE85">
        <v>15.24</v>
      </c>
      <c r="LG85">
        <v>8.1199999999999903</v>
      </c>
    </row>
    <row r="86" spans="1:319" x14ac:dyDescent="0.2">
      <c r="A86" s="37" t="s">
        <v>420</v>
      </c>
      <c r="B86">
        <v>1528.5800000000004</v>
      </c>
      <c r="C86">
        <v>29.39576923076924</v>
      </c>
      <c r="D86" s="37" t="s">
        <v>381</v>
      </c>
      <c r="E86" s="37" t="s">
        <v>419</v>
      </c>
      <c r="H86">
        <v>7.34</v>
      </c>
      <c r="I86">
        <v>22.46</v>
      </c>
      <c r="M86">
        <v>8.34</v>
      </c>
      <c r="P86">
        <v>15.03</v>
      </c>
      <c r="Q86">
        <v>6.62</v>
      </c>
      <c r="T86">
        <v>15.25</v>
      </c>
      <c r="W86">
        <v>13.96</v>
      </c>
      <c r="Y86">
        <v>12.42</v>
      </c>
      <c r="AB86">
        <v>14.05</v>
      </c>
      <c r="AK86">
        <v>13.23</v>
      </c>
      <c r="AN86">
        <v>14.21</v>
      </c>
      <c r="AO86">
        <v>13.37</v>
      </c>
      <c r="AQ86">
        <v>13.24</v>
      </c>
      <c r="AU86">
        <v>13.54</v>
      </c>
      <c r="AV86">
        <v>6.71</v>
      </c>
      <c r="AW86">
        <v>12.77</v>
      </c>
      <c r="AZ86">
        <v>12.87</v>
      </c>
      <c r="BA86">
        <v>6.3</v>
      </c>
      <c r="BC86">
        <v>14.38</v>
      </c>
      <c r="BF86">
        <v>14.55</v>
      </c>
      <c r="BI86">
        <v>16.32</v>
      </c>
      <c r="BL86">
        <v>22.23</v>
      </c>
      <c r="BO86">
        <v>15.24</v>
      </c>
      <c r="BR86">
        <v>20.23</v>
      </c>
      <c r="BU86">
        <v>15.06</v>
      </c>
      <c r="BX86">
        <v>15.5</v>
      </c>
      <c r="BY86">
        <v>6.73</v>
      </c>
      <c r="CB86">
        <v>15.23</v>
      </c>
      <c r="CC86">
        <v>14.41</v>
      </c>
      <c r="CE86">
        <v>5.16</v>
      </c>
      <c r="CJ86">
        <v>14.18</v>
      </c>
      <c r="CN86">
        <v>21.1</v>
      </c>
      <c r="CQ86">
        <v>12.91</v>
      </c>
      <c r="CT86">
        <v>14.85</v>
      </c>
      <c r="CU86">
        <v>14.53</v>
      </c>
      <c r="CZ86">
        <v>14.44</v>
      </c>
      <c r="DC86">
        <v>14.44</v>
      </c>
      <c r="DG86">
        <v>14.56</v>
      </c>
      <c r="DJ86">
        <v>14</v>
      </c>
      <c r="DM86">
        <v>18.88</v>
      </c>
      <c r="DP86">
        <v>14.63</v>
      </c>
      <c r="DS86">
        <v>14.74</v>
      </c>
      <c r="DU86">
        <v>8.7799999999999905</v>
      </c>
      <c r="DV86">
        <v>14.36</v>
      </c>
      <c r="DY86">
        <v>14.11</v>
      </c>
      <c r="EB86">
        <v>15.13</v>
      </c>
      <c r="EE86">
        <v>21.57</v>
      </c>
      <c r="EI86">
        <v>14.71</v>
      </c>
      <c r="EM86">
        <v>6.32</v>
      </c>
      <c r="EN86">
        <v>5.39</v>
      </c>
      <c r="EO86">
        <v>16.48</v>
      </c>
      <c r="EQ86">
        <v>7.53</v>
      </c>
      <c r="ET86">
        <v>14.22</v>
      </c>
      <c r="FC86">
        <v>12.63</v>
      </c>
      <c r="FF86">
        <v>14.41</v>
      </c>
      <c r="FO86">
        <v>15.47</v>
      </c>
      <c r="FP86">
        <v>8.4</v>
      </c>
      <c r="FR86">
        <v>5.2</v>
      </c>
      <c r="FU86">
        <v>20.6</v>
      </c>
      <c r="FX86">
        <v>15.55</v>
      </c>
      <c r="GA86">
        <v>13.81</v>
      </c>
      <c r="GC86">
        <v>8.7200000000000006</v>
      </c>
      <c r="GD86">
        <v>15.33</v>
      </c>
      <c r="GF86">
        <v>17.010000000000002</v>
      </c>
      <c r="GI86">
        <v>13.74</v>
      </c>
      <c r="GN86">
        <v>16.739999999999899</v>
      </c>
      <c r="GP86">
        <v>14.1</v>
      </c>
      <c r="GS86">
        <v>16.190000000000001</v>
      </c>
      <c r="GV86">
        <v>16.96</v>
      </c>
      <c r="GY86">
        <v>15.06</v>
      </c>
      <c r="HF86">
        <v>11.9</v>
      </c>
      <c r="HG86">
        <v>16.59</v>
      </c>
      <c r="HK86">
        <v>15.25</v>
      </c>
      <c r="HN86">
        <v>13.68</v>
      </c>
      <c r="HQ86">
        <v>17.14</v>
      </c>
      <c r="HT86">
        <v>14.33</v>
      </c>
      <c r="HW86">
        <v>15.14</v>
      </c>
      <c r="HZ86">
        <v>14.51</v>
      </c>
      <c r="IC86">
        <v>9.44</v>
      </c>
      <c r="IF86">
        <v>4.92</v>
      </c>
      <c r="IL86">
        <v>15.69</v>
      </c>
      <c r="IM86">
        <v>15.83</v>
      </c>
      <c r="IO86">
        <v>14.04</v>
      </c>
      <c r="IR86">
        <v>14.71</v>
      </c>
      <c r="IU86">
        <v>7.84</v>
      </c>
      <c r="IV86">
        <v>6.54</v>
      </c>
      <c r="IX86">
        <v>12.82</v>
      </c>
      <c r="IY86">
        <v>6.48</v>
      </c>
      <c r="JA86">
        <v>14.48</v>
      </c>
      <c r="JE86">
        <v>28.93</v>
      </c>
      <c r="JG86">
        <v>25.16</v>
      </c>
      <c r="JK86">
        <v>4.87</v>
      </c>
      <c r="JM86">
        <v>20.100000000000001</v>
      </c>
      <c r="JP86">
        <v>15.76</v>
      </c>
      <c r="JS86">
        <v>23.3</v>
      </c>
      <c r="JV86">
        <v>15.15</v>
      </c>
      <c r="JY86">
        <v>14.38</v>
      </c>
      <c r="KB86">
        <v>14.57</v>
      </c>
      <c r="KE86">
        <v>15.45</v>
      </c>
      <c r="KF86">
        <v>5.58</v>
      </c>
      <c r="KH86">
        <v>16.649999999999899</v>
      </c>
      <c r="KK86">
        <v>12.84</v>
      </c>
      <c r="KN86">
        <v>14.89</v>
      </c>
      <c r="KQ86">
        <v>14.66</v>
      </c>
      <c r="KR86">
        <v>7.28</v>
      </c>
      <c r="KT86">
        <v>11.96</v>
      </c>
      <c r="KW86">
        <v>14.47</v>
      </c>
      <c r="KZ86">
        <v>12.31</v>
      </c>
      <c r="LC86">
        <v>17.100000000000001</v>
      </c>
      <c r="LD86">
        <v>8.16</v>
      </c>
      <c r="LF86">
        <v>15.15</v>
      </c>
    </row>
    <row r="87" spans="1:319" x14ac:dyDescent="0.2">
      <c r="A87" s="37" t="s">
        <v>421</v>
      </c>
      <c r="B87">
        <v>2101.4700000000003</v>
      </c>
      <c r="C87">
        <v>40.41288461538462</v>
      </c>
      <c r="D87" s="37" t="s">
        <v>381</v>
      </c>
      <c r="E87" s="37" t="s">
        <v>419</v>
      </c>
      <c r="G87">
        <v>26.1</v>
      </c>
      <c r="I87">
        <v>11.92</v>
      </c>
      <c r="K87">
        <v>11.29</v>
      </c>
      <c r="M87">
        <v>12.79</v>
      </c>
      <c r="N87">
        <v>19.82</v>
      </c>
      <c r="O87">
        <v>4.8</v>
      </c>
      <c r="Q87">
        <v>13.48</v>
      </c>
      <c r="R87">
        <v>6.58</v>
      </c>
      <c r="S87">
        <v>7.36</v>
      </c>
      <c r="U87">
        <v>14.5</v>
      </c>
      <c r="W87">
        <v>14.01</v>
      </c>
      <c r="Z87">
        <v>13.11</v>
      </c>
      <c r="AA87">
        <v>14.59</v>
      </c>
      <c r="AB87">
        <v>13.24</v>
      </c>
      <c r="AC87">
        <v>11.29</v>
      </c>
      <c r="AK87">
        <v>13.69</v>
      </c>
      <c r="AM87">
        <v>13.87</v>
      </c>
      <c r="AO87">
        <v>12.78</v>
      </c>
      <c r="AQ87">
        <v>11.13</v>
      </c>
      <c r="AR87">
        <v>6.39</v>
      </c>
      <c r="AS87">
        <v>7.23</v>
      </c>
      <c r="AU87">
        <v>7.01</v>
      </c>
      <c r="AW87">
        <v>13.79</v>
      </c>
      <c r="AY87">
        <v>14.46</v>
      </c>
      <c r="BA87">
        <v>14.47</v>
      </c>
      <c r="BD87">
        <v>12.06</v>
      </c>
      <c r="BE87">
        <v>15.35</v>
      </c>
      <c r="BJ87">
        <v>16.38</v>
      </c>
      <c r="BK87">
        <v>17.149999999999899</v>
      </c>
      <c r="BL87">
        <v>7.9</v>
      </c>
      <c r="BM87">
        <v>16.399999999999899</v>
      </c>
      <c r="BO87">
        <v>14.25</v>
      </c>
      <c r="BP87">
        <v>12.98</v>
      </c>
      <c r="BQ87">
        <v>7.37</v>
      </c>
      <c r="BS87">
        <v>15.85</v>
      </c>
      <c r="BU87">
        <v>7.8</v>
      </c>
      <c r="BV87">
        <v>4.6900000000000004</v>
      </c>
      <c r="BW87">
        <v>14.28</v>
      </c>
      <c r="BX87">
        <v>7.85</v>
      </c>
      <c r="BY87">
        <v>12.84</v>
      </c>
      <c r="BZ87">
        <v>20.78</v>
      </c>
      <c r="CB87">
        <v>14.53</v>
      </c>
      <c r="CC87">
        <v>6.75</v>
      </c>
      <c r="CD87">
        <v>12.46</v>
      </c>
      <c r="CF87">
        <v>10.31</v>
      </c>
      <c r="CH87">
        <v>22.95</v>
      </c>
      <c r="CJ87">
        <v>15.04</v>
      </c>
      <c r="CL87">
        <v>13.19</v>
      </c>
      <c r="CN87">
        <v>12.17</v>
      </c>
      <c r="CP87">
        <v>13.2</v>
      </c>
      <c r="CR87">
        <v>6</v>
      </c>
      <c r="CT87">
        <v>10.57</v>
      </c>
      <c r="CU87">
        <v>6.52</v>
      </c>
      <c r="CV87">
        <v>19.25</v>
      </c>
      <c r="CX87">
        <v>13.79</v>
      </c>
      <c r="CZ87">
        <v>11.83</v>
      </c>
      <c r="DB87">
        <v>15.03</v>
      </c>
      <c r="DF87">
        <v>12.37</v>
      </c>
      <c r="DG87">
        <v>6.51</v>
      </c>
      <c r="DH87">
        <v>12.97</v>
      </c>
      <c r="DM87">
        <v>13.25</v>
      </c>
      <c r="DO87">
        <v>14.26</v>
      </c>
      <c r="DQ87">
        <v>14.34</v>
      </c>
      <c r="DS87">
        <v>10.73</v>
      </c>
      <c r="DU87">
        <v>14.1</v>
      </c>
      <c r="DW87">
        <v>13.35</v>
      </c>
      <c r="DY87">
        <v>11.86</v>
      </c>
      <c r="EA87">
        <v>13.66</v>
      </c>
      <c r="EC87">
        <v>12.57</v>
      </c>
      <c r="EE87">
        <v>11.86</v>
      </c>
      <c r="EG87">
        <v>12.32</v>
      </c>
      <c r="EI87">
        <v>21.85</v>
      </c>
      <c r="EJ87">
        <v>5.26</v>
      </c>
      <c r="EK87">
        <v>11.28</v>
      </c>
      <c r="EO87">
        <v>5.93</v>
      </c>
      <c r="EP87">
        <v>7.99</v>
      </c>
      <c r="EQ87">
        <v>7.47</v>
      </c>
      <c r="ES87">
        <v>13.44</v>
      </c>
      <c r="ET87">
        <v>17.73</v>
      </c>
      <c r="FB87">
        <v>5.56</v>
      </c>
      <c r="FC87">
        <v>5.68</v>
      </c>
      <c r="FE87">
        <v>23.18</v>
      </c>
      <c r="FG87">
        <v>14.33</v>
      </c>
      <c r="FN87">
        <v>6.69</v>
      </c>
      <c r="FO87">
        <v>13.07</v>
      </c>
      <c r="FQ87">
        <v>18.47</v>
      </c>
      <c r="FR87">
        <v>5.91</v>
      </c>
      <c r="FS87">
        <v>11.35</v>
      </c>
      <c r="FU87">
        <v>12.24</v>
      </c>
      <c r="FV87">
        <v>6.55</v>
      </c>
      <c r="FW87">
        <v>7.18</v>
      </c>
      <c r="FY87">
        <v>13.3</v>
      </c>
      <c r="GA87">
        <v>15.1</v>
      </c>
      <c r="GC87">
        <v>13.65</v>
      </c>
      <c r="GE87">
        <v>18.329999999999899</v>
      </c>
      <c r="GF87">
        <v>4.96</v>
      </c>
      <c r="GG87">
        <v>14.56</v>
      </c>
      <c r="GI87">
        <v>15.24</v>
      </c>
      <c r="GK87">
        <v>14.21</v>
      </c>
      <c r="GM87">
        <v>16.04</v>
      </c>
      <c r="GN87">
        <v>12.81</v>
      </c>
      <c r="GO87">
        <v>4</v>
      </c>
      <c r="GQ87">
        <v>12.64</v>
      </c>
      <c r="GS87">
        <v>12.09</v>
      </c>
      <c r="GU87">
        <v>16.12</v>
      </c>
      <c r="GW87">
        <v>13.41</v>
      </c>
      <c r="GY87">
        <v>13.17</v>
      </c>
      <c r="HA87">
        <v>20.9</v>
      </c>
      <c r="HC87">
        <v>4.2</v>
      </c>
      <c r="HE87">
        <v>15.56</v>
      </c>
      <c r="HF87">
        <v>5.42</v>
      </c>
      <c r="HH87">
        <v>15.75</v>
      </c>
      <c r="HJ87">
        <v>5.7</v>
      </c>
      <c r="HK87">
        <v>8.2100000000000009</v>
      </c>
      <c r="HL87">
        <v>13.01</v>
      </c>
      <c r="HN87">
        <v>6.72</v>
      </c>
      <c r="HO87">
        <v>13.53</v>
      </c>
      <c r="HQ87">
        <v>19.52</v>
      </c>
      <c r="HS87">
        <v>14.81</v>
      </c>
      <c r="HU87">
        <v>15.93</v>
      </c>
      <c r="HW87">
        <v>14.57</v>
      </c>
      <c r="HY87">
        <v>12.91</v>
      </c>
      <c r="HZ87">
        <v>8.17</v>
      </c>
      <c r="IA87">
        <v>11.21</v>
      </c>
      <c r="IC87">
        <v>15.43</v>
      </c>
      <c r="IE87">
        <v>13.59</v>
      </c>
      <c r="II87">
        <v>14.28</v>
      </c>
      <c r="IK87">
        <v>15.61</v>
      </c>
      <c r="IM87">
        <v>15.44</v>
      </c>
      <c r="IO87">
        <v>11.89</v>
      </c>
      <c r="IQ87">
        <v>14.33</v>
      </c>
      <c r="IR87">
        <v>7.6</v>
      </c>
      <c r="IS87">
        <v>6.55</v>
      </c>
      <c r="IT87">
        <v>7.99</v>
      </c>
      <c r="IU87">
        <v>8.31</v>
      </c>
      <c r="IW87">
        <v>11.8</v>
      </c>
      <c r="IY87">
        <v>15.21</v>
      </c>
      <c r="JA87">
        <v>5.39</v>
      </c>
      <c r="JC87">
        <v>3.95</v>
      </c>
      <c r="JD87">
        <v>6.71</v>
      </c>
      <c r="JG87">
        <v>21.53</v>
      </c>
      <c r="JI87">
        <v>13.89</v>
      </c>
      <c r="JK87">
        <v>13.58</v>
      </c>
      <c r="JM87">
        <v>12.43</v>
      </c>
      <c r="JO87">
        <v>21.02</v>
      </c>
      <c r="JQ87">
        <v>12.42</v>
      </c>
      <c r="JS87">
        <v>14.43</v>
      </c>
      <c r="JU87">
        <v>13.18</v>
      </c>
      <c r="JW87">
        <v>14.67</v>
      </c>
      <c r="JY87">
        <v>15.24</v>
      </c>
      <c r="KA87">
        <v>13.14</v>
      </c>
      <c r="KC87">
        <v>14.43</v>
      </c>
      <c r="KE87">
        <v>12.73</v>
      </c>
      <c r="KG87">
        <v>12.39</v>
      </c>
      <c r="KI87">
        <v>13.66</v>
      </c>
      <c r="KK87">
        <v>14.23</v>
      </c>
      <c r="KL87">
        <v>7.78</v>
      </c>
      <c r="KM87">
        <v>14.54</v>
      </c>
      <c r="KO87">
        <v>6.96</v>
      </c>
      <c r="KQ87">
        <v>16.73</v>
      </c>
      <c r="KS87">
        <v>14.33</v>
      </c>
      <c r="KU87">
        <v>13.06</v>
      </c>
      <c r="KW87">
        <v>15.12</v>
      </c>
      <c r="KY87">
        <v>12.87</v>
      </c>
      <c r="LA87">
        <v>15.5</v>
      </c>
      <c r="LB87">
        <v>6.1</v>
      </c>
      <c r="LC87">
        <v>15.08</v>
      </c>
      <c r="LE87">
        <v>14.07</v>
      </c>
      <c r="LG87">
        <v>14</v>
      </c>
    </row>
    <row r="88" spans="1:319" x14ac:dyDescent="0.2">
      <c r="A88" s="37" t="s">
        <v>422</v>
      </c>
      <c r="B88">
        <v>1022.5600000000005</v>
      </c>
      <c r="C88">
        <v>19.664615384615395</v>
      </c>
      <c r="D88" s="37" t="s">
        <v>381</v>
      </c>
      <c r="E88" s="37" t="s">
        <v>419</v>
      </c>
      <c r="F88">
        <v>10.75</v>
      </c>
      <c r="H88">
        <v>4.99</v>
      </c>
      <c r="J88">
        <v>5.39</v>
      </c>
      <c r="L88">
        <v>15.41</v>
      </c>
      <c r="P88">
        <v>14.57</v>
      </c>
      <c r="R88">
        <v>6.21</v>
      </c>
      <c r="T88">
        <v>3.84</v>
      </c>
      <c r="V88">
        <v>6.17</v>
      </c>
      <c r="W88">
        <v>6.06</v>
      </c>
      <c r="X88">
        <v>13.68</v>
      </c>
      <c r="Z88">
        <v>6.2</v>
      </c>
      <c r="AB88">
        <v>6.8</v>
      </c>
      <c r="AJ88">
        <v>15.93</v>
      </c>
      <c r="AL88">
        <v>6.68</v>
      </c>
      <c r="AO88">
        <v>5.62</v>
      </c>
      <c r="AP88">
        <v>8.91</v>
      </c>
      <c r="AR88">
        <v>5.92</v>
      </c>
      <c r="AT88">
        <v>5.12</v>
      </c>
      <c r="AV88">
        <v>5.29</v>
      </c>
      <c r="BD88">
        <v>8.06</v>
      </c>
      <c r="BG88">
        <v>9.19</v>
      </c>
      <c r="BH88">
        <v>4.5999999999999899</v>
      </c>
      <c r="BK88">
        <v>10.57</v>
      </c>
      <c r="BP88">
        <v>7.13</v>
      </c>
      <c r="BR88">
        <v>7.72</v>
      </c>
      <c r="BT88">
        <v>4.51</v>
      </c>
      <c r="BV88">
        <v>6.63</v>
      </c>
      <c r="BX88">
        <v>9.1</v>
      </c>
      <c r="BZ88">
        <v>1.95</v>
      </c>
      <c r="CG88">
        <v>6.37</v>
      </c>
      <c r="CH88">
        <v>6.13</v>
      </c>
      <c r="CI88">
        <v>6.8</v>
      </c>
      <c r="CL88">
        <v>5.24</v>
      </c>
      <c r="CP88">
        <v>6.85</v>
      </c>
      <c r="CT88">
        <v>5.52</v>
      </c>
      <c r="CV88">
        <v>6.68</v>
      </c>
      <c r="CX88">
        <v>6.74</v>
      </c>
      <c r="CY88">
        <v>6.11</v>
      </c>
      <c r="DB88">
        <v>6.51</v>
      </c>
      <c r="DE88">
        <v>6.93</v>
      </c>
      <c r="DG88">
        <v>6.85</v>
      </c>
      <c r="DJ88">
        <v>5.67</v>
      </c>
      <c r="DL88">
        <v>4.3</v>
      </c>
      <c r="DN88">
        <v>5.59</v>
      </c>
      <c r="DP88">
        <v>7.48</v>
      </c>
      <c r="DR88">
        <v>8.42</v>
      </c>
      <c r="DT88">
        <v>10.62</v>
      </c>
      <c r="DV88">
        <v>6.3</v>
      </c>
      <c r="DX88">
        <v>3.95</v>
      </c>
      <c r="DZ88">
        <v>5.81</v>
      </c>
      <c r="EB88">
        <v>6.99</v>
      </c>
      <c r="EC88">
        <v>5.6</v>
      </c>
      <c r="ED88">
        <v>5.42</v>
      </c>
      <c r="EF88">
        <v>5.55</v>
      </c>
      <c r="EH88">
        <v>6.19</v>
      </c>
      <c r="EP88">
        <v>6.49</v>
      </c>
      <c r="EQ88">
        <v>8.75</v>
      </c>
      <c r="ER88">
        <v>5.66</v>
      </c>
      <c r="ES88">
        <v>8.84</v>
      </c>
      <c r="EU88">
        <v>7.27</v>
      </c>
      <c r="FB88">
        <v>6.88</v>
      </c>
      <c r="FD88">
        <v>7.14</v>
      </c>
      <c r="FF88">
        <v>6.13</v>
      </c>
      <c r="FN88">
        <v>7.03</v>
      </c>
      <c r="FP88">
        <v>6.32</v>
      </c>
      <c r="FR88">
        <v>8.1300000000000008</v>
      </c>
      <c r="FS88">
        <v>6.38</v>
      </c>
      <c r="FT88">
        <v>6.1</v>
      </c>
      <c r="FV88">
        <v>6.59</v>
      </c>
      <c r="FX88">
        <v>5.77</v>
      </c>
      <c r="FZ88">
        <v>8.2799999999999905</v>
      </c>
      <c r="GB88">
        <v>5.98</v>
      </c>
      <c r="GD88">
        <v>9.2100000000000009</v>
      </c>
      <c r="GF88">
        <v>8.08</v>
      </c>
      <c r="GH88">
        <v>6.73</v>
      </c>
      <c r="GJ88">
        <v>7.51</v>
      </c>
      <c r="GL88">
        <v>10</v>
      </c>
      <c r="GN88">
        <v>7.27</v>
      </c>
      <c r="GP88">
        <v>6.39</v>
      </c>
      <c r="GQ88">
        <v>5.72</v>
      </c>
      <c r="GR88">
        <v>6.97</v>
      </c>
      <c r="GT88">
        <v>6.6</v>
      </c>
      <c r="GV88">
        <v>10.32</v>
      </c>
      <c r="GX88">
        <v>5.68</v>
      </c>
      <c r="GY88">
        <v>13.22</v>
      </c>
      <c r="HB88">
        <v>13.67</v>
      </c>
      <c r="HD88">
        <v>9.64</v>
      </c>
      <c r="HF88">
        <v>5.73</v>
      </c>
      <c r="HH88">
        <v>8.3699999999999903</v>
      </c>
      <c r="HJ88">
        <v>6.43</v>
      </c>
      <c r="HL88">
        <v>6.07</v>
      </c>
      <c r="HN88">
        <v>5.94</v>
      </c>
      <c r="HP88">
        <v>14.83</v>
      </c>
      <c r="HR88">
        <v>6.54</v>
      </c>
      <c r="HT88">
        <v>7.15</v>
      </c>
      <c r="HX88">
        <v>14.85</v>
      </c>
      <c r="HZ88">
        <v>6.55</v>
      </c>
      <c r="IB88">
        <v>7.2</v>
      </c>
      <c r="IF88">
        <v>4.34</v>
      </c>
      <c r="IH88">
        <v>6.1</v>
      </c>
      <c r="IJ88">
        <v>6.61</v>
      </c>
      <c r="IL88">
        <v>6.77</v>
      </c>
      <c r="IN88">
        <v>7.06</v>
      </c>
      <c r="IP88">
        <v>5.84</v>
      </c>
      <c r="IR88">
        <v>5.74</v>
      </c>
      <c r="IT88">
        <v>6.66</v>
      </c>
      <c r="IV88">
        <v>7.98</v>
      </c>
      <c r="IW88">
        <v>9.15</v>
      </c>
      <c r="IX88">
        <v>5.66</v>
      </c>
      <c r="IZ88">
        <v>10.95</v>
      </c>
      <c r="JB88">
        <v>5.56</v>
      </c>
      <c r="JD88">
        <v>4.83</v>
      </c>
      <c r="JF88">
        <v>7.69</v>
      </c>
      <c r="JJ88">
        <v>18.690000000000001</v>
      </c>
      <c r="JL88">
        <v>7.61</v>
      </c>
      <c r="JN88">
        <v>4.4000000000000004</v>
      </c>
      <c r="JP88">
        <v>5.86</v>
      </c>
      <c r="JR88">
        <v>9.83</v>
      </c>
      <c r="JT88">
        <v>7.74</v>
      </c>
      <c r="JV88">
        <v>11.2</v>
      </c>
      <c r="JX88">
        <v>4.91</v>
      </c>
      <c r="JZ88">
        <v>6.88</v>
      </c>
      <c r="KB88">
        <v>5.04</v>
      </c>
      <c r="KD88">
        <v>6.92</v>
      </c>
      <c r="KF88">
        <v>9.57</v>
      </c>
      <c r="KH88">
        <v>7.07</v>
      </c>
      <c r="KJ88">
        <v>7.11</v>
      </c>
      <c r="KL88">
        <v>8.41</v>
      </c>
      <c r="KN88">
        <v>7.19</v>
      </c>
      <c r="KP88">
        <v>7.23</v>
      </c>
      <c r="KR88">
        <v>6.65</v>
      </c>
      <c r="KT88">
        <v>10.07</v>
      </c>
      <c r="KV88">
        <v>7.19</v>
      </c>
      <c r="KX88">
        <v>10.62</v>
      </c>
      <c r="KZ88">
        <v>3.51</v>
      </c>
      <c r="LB88">
        <v>9.1999999999999904</v>
      </c>
      <c r="LD88">
        <v>6.63</v>
      </c>
      <c r="LF88">
        <v>10.06</v>
      </c>
    </row>
    <row r="89" spans="1:319" x14ac:dyDescent="0.2">
      <c r="A89" s="37" t="s">
        <v>423</v>
      </c>
      <c r="B89">
        <v>1270.0999999999995</v>
      </c>
      <c r="C89">
        <v>24.42499999999999</v>
      </c>
      <c r="D89" s="37" t="s">
        <v>381</v>
      </c>
      <c r="E89" s="37" t="s">
        <v>419</v>
      </c>
      <c r="F89">
        <v>8.23</v>
      </c>
      <c r="G89">
        <v>13.74</v>
      </c>
      <c r="J89">
        <v>7.39</v>
      </c>
      <c r="K89">
        <v>10.32</v>
      </c>
      <c r="O89">
        <v>15.02</v>
      </c>
      <c r="S89">
        <v>16.53</v>
      </c>
      <c r="W89">
        <v>7.45</v>
      </c>
      <c r="X89">
        <v>14.04</v>
      </c>
      <c r="AB89">
        <v>8.1999999999999904</v>
      </c>
      <c r="AC89">
        <v>8.39</v>
      </c>
      <c r="AL89">
        <v>8.68</v>
      </c>
      <c r="AR89">
        <v>17.3</v>
      </c>
      <c r="AS89">
        <v>13.63</v>
      </c>
      <c r="AX89">
        <v>15.42</v>
      </c>
      <c r="AY89">
        <v>7.94</v>
      </c>
      <c r="BA89">
        <v>16.55</v>
      </c>
      <c r="BB89">
        <v>9.35</v>
      </c>
      <c r="BF89">
        <v>8.65</v>
      </c>
      <c r="BG89">
        <v>11.45</v>
      </c>
      <c r="BK89">
        <v>14.84</v>
      </c>
      <c r="BL89">
        <v>8.31</v>
      </c>
      <c r="BO89">
        <v>8.0299999999999905</v>
      </c>
      <c r="BP89">
        <v>8.11</v>
      </c>
      <c r="BQ89">
        <v>15.92</v>
      </c>
      <c r="BT89">
        <v>16.12</v>
      </c>
      <c r="BW89">
        <v>9.18</v>
      </c>
      <c r="BY89">
        <v>14.97</v>
      </c>
      <c r="CB89">
        <v>16.350000000000001</v>
      </c>
      <c r="CE89">
        <v>14.75</v>
      </c>
      <c r="CH89">
        <v>33.47</v>
      </c>
      <c r="CL89">
        <v>15.53</v>
      </c>
      <c r="CN89">
        <v>16.079999999999899</v>
      </c>
      <c r="CP89">
        <v>7.64</v>
      </c>
      <c r="CQ89">
        <v>14.46</v>
      </c>
      <c r="CT89">
        <v>15.65</v>
      </c>
      <c r="CX89">
        <v>6.86</v>
      </c>
      <c r="CY89">
        <v>8.07</v>
      </c>
      <c r="DA89">
        <v>7.12</v>
      </c>
      <c r="DD89">
        <v>15.09</v>
      </c>
      <c r="DN89">
        <v>7.61</v>
      </c>
      <c r="DO89">
        <v>3.6</v>
      </c>
      <c r="DR89">
        <v>7.38</v>
      </c>
      <c r="DT89">
        <v>17.18</v>
      </c>
      <c r="DV89">
        <v>8.66</v>
      </c>
      <c r="DY89">
        <v>7.42</v>
      </c>
      <c r="DZ89">
        <v>7.78</v>
      </c>
      <c r="EE89">
        <v>15.13</v>
      </c>
      <c r="EI89">
        <v>7.74</v>
      </c>
      <c r="EO89">
        <v>15.66</v>
      </c>
      <c r="EQ89">
        <v>7.04</v>
      </c>
      <c r="ES89">
        <v>7.94</v>
      </c>
      <c r="FF89">
        <v>7.3</v>
      </c>
      <c r="FN89">
        <v>15.31</v>
      </c>
      <c r="FP89">
        <v>8.35</v>
      </c>
      <c r="FS89">
        <v>15.32</v>
      </c>
      <c r="FV89">
        <v>7.29</v>
      </c>
      <c r="FX89">
        <v>5.65</v>
      </c>
      <c r="FZ89">
        <v>35.32</v>
      </c>
      <c r="GC89">
        <v>5.8</v>
      </c>
      <c r="GE89">
        <v>14.31</v>
      </c>
      <c r="GF89">
        <v>24.38</v>
      </c>
      <c r="GI89">
        <v>6.87</v>
      </c>
      <c r="GL89">
        <v>7.95</v>
      </c>
      <c r="GN89">
        <v>8.49</v>
      </c>
      <c r="GO89">
        <v>8.7100000000000009</v>
      </c>
      <c r="GS89">
        <v>8.3699999999999903</v>
      </c>
      <c r="GT89">
        <v>18.13</v>
      </c>
      <c r="GV89">
        <v>8.65</v>
      </c>
      <c r="GY89">
        <v>16.84</v>
      </c>
      <c r="HE89">
        <v>7.13</v>
      </c>
      <c r="HF89">
        <v>17.079999999999899</v>
      </c>
      <c r="HG89">
        <v>8.2100000000000009</v>
      </c>
      <c r="HK89">
        <v>7.17</v>
      </c>
      <c r="HM89">
        <v>7.52</v>
      </c>
      <c r="HO89">
        <v>7.26</v>
      </c>
      <c r="HP89">
        <v>8.3699999999999903</v>
      </c>
      <c r="HS89">
        <v>10.15</v>
      </c>
      <c r="HU89">
        <v>17.940000000000001</v>
      </c>
      <c r="HV89">
        <v>8.31</v>
      </c>
      <c r="HY89">
        <v>7.45</v>
      </c>
      <c r="IF89">
        <v>9.67</v>
      </c>
      <c r="IH89">
        <v>17</v>
      </c>
      <c r="IJ89">
        <v>8.73</v>
      </c>
      <c r="IO89">
        <v>18.07</v>
      </c>
      <c r="IP89">
        <v>7.56</v>
      </c>
      <c r="IS89">
        <v>18.72</v>
      </c>
      <c r="IV89">
        <v>8.57</v>
      </c>
      <c r="IY89">
        <v>7.47</v>
      </c>
      <c r="JE89">
        <v>19.670000000000002</v>
      </c>
      <c r="JG89">
        <v>16.62</v>
      </c>
      <c r="JJ89">
        <v>8.09</v>
      </c>
      <c r="JN89">
        <v>17.54</v>
      </c>
      <c r="JP89">
        <v>9.07</v>
      </c>
      <c r="JU89">
        <v>17.100000000000001</v>
      </c>
      <c r="JW89">
        <v>8.89</v>
      </c>
      <c r="JY89">
        <v>9.09</v>
      </c>
      <c r="JZ89">
        <v>8.41</v>
      </c>
      <c r="KB89">
        <v>8.43</v>
      </c>
      <c r="KG89">
        <v>25.56</v>
      </c>
      <c r="KM89">
        <v>27.82</v>
      </c>
      <c r="KP89">
        <v>15.66</v>
      </c>
      <c r="KT89">
        <v>9.23</v>
      </c>
      <c r="KW89">
        <v>6.6</v>
      </c>
      <c r="KY89">
        <v>14.2</v>
      </c>
      <c r="LC89">
        <v>8.25</v>
      </c>
      <c r="LF89">
        <v>16.48</v>
      </c>
    </row>
    <row r="90" spans="1:319" x14ac:dyDescent="0.2">
      <c r="A90" s="37" t="s">
        <v>424</v>
      </c>
      <c r="B90">
        <v>1717.8799999999999</v>
      </c>
      <c r="C90">
        <v>33.036153846153844</v>
      </c>
      <c r="D90" s="37" t="s">
        <v>381</v>
      </c>
      <c r="E90" s="37" t="s">
        <v>425</v>
      </c>
      <c r="H90">
        <v>12.17</v>
      </c>
      <c r="K90">
        <v>13.4</v>
      </c>
      <c r="N90">
        <v>34.119999999999898</v>
      </c>
      <c r="Q90">
        <v>13.82</v>
      </c>
      <c r="S90">
        <v>6.13</v>
      </c>
      <c r="T90">
        <v>13.65</v>
      </c>
      <c r="U90">
        <v>7.09</v>
      </c>
      <c r="W90">
        <v>13.2</v>
      </c>
      <c r="Z90">
        <v>19.39</v>
      </c>
      <c r="AC90">
        <v>17.73</v>
      </c>
      <c r="AL90">
        <v>18.38</v>
      </c>
      <c r="AO90">
        <v>14.53</v>
      </c>
      <c r="AQ90">
        <v>5.48</v>
      </c>
      <c r="AR90">
        <v>18.63</v>
      </c>
      <c r="AS90">
        <v>4.68</v>
      </c>
      <c r="AX90">
        <v>6.97</v>
      </c>
      <c r="AY90">
        <v>7.97</v>
      </c>
      <c r="BA90">
        <v>16.04</v>
      </c>
      <c r="BD90">
        <v>17.21</v>
      </c>
      <c r="BG90">
        <v>7.06</v>
      </c>
      <c r="BH90">
        <v>15.36</v>
      </c>
      <c r="BJ90">
        <v>6.79</v>
      </c>
      <c r="BK90">
        <v>14.75</v>
      </c>
      <c r="BN90">
        <v>16.989999999999899</v>
      </c>
      <c r="BP90">
        <v>14.88</v>
      </c>
      <c r="BS90">
        <v>24.22</v>
      </c>
      <c r="BU90">
        <v>7.1</v>
      </c>
      <c r="BW90">
        <v>15.02</v>
      </c>
      <c r="BX90">
        <v>8.3000000000000007</v>
      </c>
      <c r="BY90">
        <v>16.690000000000001</v>
      </c>
      <c r="BZ90">
        <v>8.19</v>
      </c>
      <c r="CC90">
        <v>14.48</v>
      </c>
      <c r="CF90">
        <v>15.54</v>
      </c>
      <c r="CI90">
        <v>14.08</v>
      </c>
      <c r="CL90">
        <v>15.87</v>
      </c>
      <c r="CO90">
        <v>20.99</v>
      </c>
      <c r="CR90">
        <v>13.02</v>
      </c>
      <c r="CS90">
        <v>11.33</v>
      </c>
      <c r="CX90">
        <v>21.02</v>
      </c>
      <c r="CY90">
        <v>7.32</v>
      </c>
      <c r="DA90">
        <v>15.63</v>
      </c>
      <c r="DD90">
        <v>13.69</v>
      </c>
      <c r="DG90">
        <v>35.119999999999898</v>
      </c>
      <c r="DJ90">
        <v>10.59</v>
      </c>
      <c r="DN90">
        <v>19.82</v>
      </c>
      <c r="DQ90">
        <v>11.14</v>
      </c>
      <c r="DT90">
        <v>11.87</v>
      </c>
      <c r="DW90">
        <v>14.17</v>
      </c>
      <c r="EA90">
        <v>12.06</v>
      </c>
      <c r="EC90">
        <v>17.37</v>
      </c>
      <c r="EF90">
        <v>21.65</v>
      </c>
      <c r="EI90">
        <v>9.69</v>
      </c>
      <c r="EL90">
        <v>22.69</v>
      </c>
      <c r="EO90">
        <v>13.45</v>
      </c>
      <c r="ER90">
        <v>19.07</v>
      </c>
      <c r="EU90">
        <v>5.82</v>
      </c>
      <c r="FB90">
        <v>5.45</v>
      </c>
      <c r="FC90">
        <v>7.04</v>
      </c>
      <c r="FD90">
        <v>14.07</v>
      </c>
      <c r="FG90">
        <v>21.64</v>
      </c>
      <c r="FP90">
        <v>23.46</v>
      </c>
      <c r="FS90">
        <v>21.82</v>
      </c>
      <c r="FV90">
        <v>6.72</v>
      </c>
      <c r="FW90">
        <v>5.23</v>
      </c>
      <c r="FY90">
        <v>14.9</v>
      </c>
      <c r="GB90">
        <v>14.72</v>
      </c>
      <c r="GC90">
        <v>4.9400000000000004</v>
      </c>
      <c r="GE90">
        <v>15.13</v>
      </c>
      <c r="GF90">
        <v>21.65</v>
      </c>
      <c r="GH90">
        <v>14.21</v>
      </c>
      <c r="GK90">
        <v>16.88</v>
      </c>
      <c r="GN90">
        <v>5.72</v>
      </c>
      <c r="GO90">
        <v>14.28</v>
      </c>
      <c r="GQ90">
        <v>19.05</v>
      </c>
      <c r="GT90">
        <v>12.7</v>
      </c>
      <c r="GW90">
        <v>7.6</v>
      </c>
      <c r="GZ90">
        <v>20.86</v>
      </c>
      <c r="HF90">
        <v>14.04</v>
      </c>
      <c r="HI90">
        <v>13.46</v>
      </c>
      <c r="HL90">
        <v>5.9</v>
      </c>
      <c r="HM90">
        <v>7.1</v>
      </c>
      <c r="HO90">
        <v>8.18</v>
      </c>
      <c r="HR90">
        <v>14.08</v>
      </c>
      <c r="HU90">
        <v>24.21</v>
      </c>
      <c r="HX90">
        <v>22.59</v>
      </c>
      <c r="IA90">
        <v>19.3</v>
      </c>
      <c r="ID90">
        <v>19.89</v>
      </c>
      <c r="IJ90">
        <v>14.6</v>
      </c>
      <c r="IM90">
        <v>21.86</v>
      </c>
      <c r="IP90">
        <v>16.170000000000002</v>
      </c>
      <c r="IS90">
        <v>20.03</v>
      </c>
      <c r="IV90">
        <v>15.09</v>
      </c>
      <c r="IY90">
        <v>21.46</v>
      </c>
      <c r="JB90">
        <v>21.91</v>
      </c>
      <c r="JE90">
        <v>19.38</v>
      </c>
      <c r="JF90">
        <v>16.21</v>
      </c>
      <c r="JJ90">
        <v>6.52</v>
      </c>
      <c r="JK90">
        <v>18</v>
      </c>
      <c r="JN90">
        <v>18.079999999999899</v>
      </c>
      <c r="JQ90">
        <v>16.3</v>
      </c>
      <c r="JT90">
        <v>23.24</v>
      </c>
      <c r="JW90">
        <v>13.88</v>
      </c>
      <c r="KA90">
        <v>25.85</v>
      </c>
      <c r="KD90">
        <v>12.74</v>
      </c>
      <c r="KF90">
        <v>15.15</v>
      </c>
      <c r="KI90">
        <v>15.91</v>
      </c>
      <c r="KJ90">
        <v>7.57</v>
      </c>
      <c r="KL90">
        <v>17.09</v>
      </c>
      <c r="KO90">
        <v>24.41</v>
      </c>
      <c r="KR90">
        <v>22.65</v>
      </c>
      <c r="KU90">
        <v>13.86</v>
      </c>
      <c r="KY90">
        <v>14.81</v>
      </c>
      <c r="LA90">
        <v>21.46</v>
      </c>
      <c r="LD90">
        <v>15.6</v>
      </c>
      <c r="LG90">
        <v>7.81</v>
      </c>
    </row>
    <row r="91" spans="1:319" x14ac:dyDescent="0.2">
      <c r="A91" s="37" t="s">
        <v>426</v>
      </c>
      <c r="B91">
        <v>860.12000000000035</v>
      </c>
      <c r="C91">
        <v>16.540769230769236</v>
      </c>
      <c r="D91" s="37" t="s">
        <v>381</v>
      </c>
      <c r="E91" s="37" t="s">
        <v>427</v>
      </c>
      <c r="G91">
        <v>14.72</v>
      </c>
      <c r="J91">
        <v>7.28</v>
      </c>
      <c r="M91">
        <v>7.99</v>
      </c>
      <c r="P91">
        <v>8.58</v>
      </c>
      <c r="S91">
        <v>7.73</v>
      </c>
      <c r="V91">
        <v>6.27</v>
      </c>
      <c r="W91">
        <v>9.0399999999999903</v>
      </c>
      <c r="Y91">
        <v>8.34</v>
      </c>
      <c r="AB91">
        <v>8.36</v>
      </c>
      <c r="AK91">
        <v>8.24</v>
      </c>
      <c r="AN91">
        <v>8.77</v>
      </c>
      <c r="AO91">
        <v>8.4499999999999904</v>
      </c>
      <c r="AQ91">
        <v>8.02</v>
      </c>
      <c r="AT91">
        <v>7.51</v>
      </c>
      <c r="AW91">
        <v>8.23</v>
      </c>
      <c r="BA91">
        <v>8.35</v>
      </c>
      <c r="BC91">
        <v>6.61</v>
      </c>
      <c r="BF91">
        <v>8.36</v>
      </c>
      <c r="BH91">
        <v>8.08</v>
      </c>
      <c r="BL91">
        <v>7.81</v>
      </c>
      <c r="BN91">
        <v>7.85</v>
      </c>
      <c r="BR91">
        <v>17.5</v>
      </c>
      <c r="BU91">
        <v>9.65</v>
      </c>
      <c r="BX91">
        <v>8.73</v>
      </c>
      <c r="BZ91">
        <v>12.22</v>
      </c>
      <c r="CE91">
        <v>7.92</v>
      </c>
      <c r="CH91">
        <v>9.19</v>
      </c>
      <c r="CK91">
        <v>8.0299999999999905</v>
      </c>
      <c r="CL91">
        <v>7.6</v>
      </c>
      <c r="CN91">
        <v>6.5</v>
      </c>
      <c r="CR91">
        <v>8.18</v>
      </c>
      <c r="CS91">
        <v>7.57</v>
      </c>
      <c r="CW91">
        <v>8.3000000000000007</v>
      </c>
      <c r="CZ91">
        <v>8.26</v>
      </c>
      <c r="DC91">
        <v>7.98</v>
      </c>
      <c r="DE91">
        <v>7.3</v>
      </c>
      <c r="DF91">
        <v>3.73</v>
      </c>
      <c r="DJ91">
        <v>6.57</v>
      </c>
      <c r="DP91">
        <v>6.46</v>
      </c>
      <c r="DS91">
        <v>7.8</v>
      </c>
      <c r="DV91">
        <v>7.01</v>
      </c>
      <c r="DY91">
        <v>7.17</v>
      </c>
      <c r="EB91">
        <v>7.08</v>
      </c>
      <c r="EE91">
        <v>7.62</v>
      </c>
      <c r="EH91">
        <v>7.89</v>
      </c>
      <c r="EJ91">
        <v>6.46</v>
      </c>
      <c r="EO91">
        <v>15.82</v>
      </c>
      <c r="EQ91">
        <v>7.31</v>
      </c>
      <c r="ET91">
        <v>7.68</v>
      </c>
      <c r="FC91">
        <v>6.56</v>
      </c>
      <c r="FF91">
        <v>16.36</v>
      </c>
      <c r="FO91">
        <v>8.75</v>
      </c>
      <c r="FR91">
        <v>7.93</v>
      </c>
      <c r="FU91">
        <v>8.5399999999999903</v>
      </c>
      <c r="FX91">
        <v>8.2100000000000009</v>
      </c>
      <c r="GA91">
        <v>8.4600000000000009</v>
      </c>
      <c r="GD91">
        <v>8.33</v>
      </c>
      <c r="GG91">
        <v>10.42</v>
      </c>
      <c r="GJ91">
        <v>17.48</v>
      </c>
      <c r="GN91">
        <v>9.36</v>
      </c>
      <c r="GP91">
        <v>8.6999999999999904</v>
      </c>
      <c r="GS91">
        <v>8.6</v>
      </c>
      <c r="GV91">
        <v>8.9</v>
      </c>
      <c r="GY91">
        <v>8.8800000000000008</v>
      </c>
      <c r="HB91">
        <v>8.9700000000000006</v>
      </c>
      <c r="HE91">
        <v>8.8699999999999903</v>
      </c>
      <c r="HH91">
        <v>7.63</v>
      </c>
      <c r="HK91">
        <v>9.11</v>
      </c>
      <c r="HN91">
        <v>8.18</v>
      </c>
      <c r="HQ91">
        <v>9.4</v>
      </c>
      <c r="HT91">
        <v>8.34</v>
      </c>
      <c r="HW91">
        <v>9.1</v>
      </c>
      <c r="HZ91">
        <v>9.1999999999999904</v>
      </c>
      <c r="IC91">
        <v>8.44</v>
      </c>
      <c r="IL91">
        <v>6.45</v>
      </c>
      <c r="IO91">
        <v>8.4700000000000006</v>
      </c>
      <c r="IR91">
        <v>7.99</v>
      </c>
      <c r="IX91">
        <v>8.2100000000000009</v>
      </c>
      <c r="JA91">
        <v>7.21</v>
      </c>
      <c r="JB91">
        <v>5.79</v>
      </c>
      <c r="JG91">
        <v>6.96</v>
      </c>
      <c r="JJ91">
        <v>8.57</v>
      </c>
      <c r="JM91">
        <v>8.3800000000000008</v>
      </c>
      <c r="JP91">
        <v>8.7200000000000006</v>
      </c>
      <c r="JS91">
        <v>9.8800000000000008</v>
      </c>
      <c r="JT91">
        <v>9.1</v>
      </c>
      <c r="JV91">
        <v>8.35</v>
      </c>
      <c r="JY91">
        <v>15.98</v>
      </c>
      <c r="KC91">
        <v>8.91</v>
      </c>
      <c r="KE91">
        <v>8.4700000000000006</v>
      </c>
      <c r="KF91">
        <v>8.15</v>
      </c>
      <c r="KK91">
        <v>6.32</v>
      </c>
      <c r="KN91">
        <v>7.91</v>
      </c>
      <c r="KP91">
        <v>7.2</v>
      </c>
      <c r="KQ91">
        <v>7.49</v>
      </c>
      <c r="KT91">
        <v>9.01</v>
      </c>
      <c r="KW91">
        <v>3.74</v>
      </c>
      <c r="KX91">
        <v>8.4</v>
      </c>
      <c r="LA91">
        <v>5.94</v>
      </c>
      <c r="LC91">
        <v>8.75</v>
      </c>
      <c r="LG91">
        <v>8.93</v>
      </c>
    </row>
    <row r="92" spans="1:319" x14ac:dyDescent="0.2">
      <c r="A92" s="37" t="s">
        <v>428</v>
      </c>
      <c r="B92">
        <v>647.0300000000002</v>
      </c>
      <c r="C92">
        <v>12.442884615384619</v>
      </c>
      <c r="D92" s="37" t="s">
        <v>381</v>
      </c>
      <c r="E92" s="37" t="s">
        <v>427</v>
      </c>
      <c r="G92">
        <v>6.69</v>
      </c>
      <c r="I92">
        <v>6.09</v>
      </c>
      <c r="K92">
        <v>5.0999999999999899</v>
      </c>
      <c r="M92">
        <v>7.61</v>
      </c>
      <c r="O92">
        <v>5.15</v>
      </c>
      <c r="S92">
        <v>8.41</v>
      </c>
      <c r="U92">
        <v>7.19</v>
      </c>
      <c r="W92">
        <v>5.72</v>
      </c>
      <c r="Y92">
        <v>7.47</v>
      </c>
      <c r="AB92">
        <v>8.16</v>
      </c>
      <c r="AK92">
        <v>6.76</v>
      </c>
      <c r="AQ92">
        <v>7.38</v>
      </c>
      <c r="AT92">
        <v>6.76</v>
      </c>
      <c r="AU92">
        <v>6.44</v>
      </c>
      <c r="AW92">
        <v>5.15</v>
      </c>
      <c r="BA92">
        <v>6.42</v>
      </c>
      <c r="BC92">
        <v>5.84</v>
      </c>
      <c r="BF92">
        <v>8.3699999999999903</v>
      </c>
      <c r="BI92">
        <v>7.12</v>
      </c>
      <c r="BJ92">
        <v>7.77</v>
      </c>
      <c r="BN92">
        <v>7.37</v>
      </c>
      <c r="BP92">
        <v>6.29</v>
      </c>
      <c r="BU92">
        <v>6.5</v>
      </c>
      <c r="BX92">
        <v>7.7</v>
      </c>
      <c r="CB92">
        <v>14</v>
      </c>
      <c r="CF92">
        <v>5.84</v>
      </c>
      <c r="CG92">
        <v>14.31</v>
      </c>
      <c r="CJ92">
        <v>6.18</v>
      </c>
      <c r="CN92">
        <v>5.81</v>
      </c>
      <c r="CR92">
        <v>13.01</v>
      </c>
      <c r="CU92">
        <v>6.92</v>
      </c>
      <c r="CV92">
        <v>7.32</v>
      </c>
      <c r="CX92">
        <v>5.86</v>
      </c>
      <c r="CZ92">
        <v>4.4800000000000004</v>
      </c>
      <c r="DC92">
        <v>6.5</v>
      </c>
      <c r="DG92">
        <v>7.51</v>
      </c>
      <c r="DJ92">
        <v>7.19</v>
      </c>
      <c r="DR92">
        <v>5.55</v>
      </c>
      <c r="DT92">
        <v>6.98</v>
      </c>
      <c r="DW92">
        <v>6.88</v>
      </c>
      <c r="DX92">
        <v>6.99</v>
      </c>
      <c r="EB92">
        <v>5.86</v>
      </c>
      <c r="ED92">
        <v>5</v>
      </c>
      <c r="EG92">
        <v>7.06</v>
      </c>
      <c r="EU92">
        <v>6.17</v>
      </c>
      <c r="FF92">
        <v>6.34</v>
      </c>
      <c r="FO92">
        <v>7.29</v>
      </c>
      <c r="FR92">
        <v>6.95</v>
      </c>
      <c r="FU92">
        <v>7.35</v>
      </c>
      <c r="FX92">
        <v>7.21</v>
      </c>
      <c r="GA92">
        <v>8.16</v>
      </c>
      <c r="GD92">
        <v>7.01</v>
      </c>
      <c r="GI92">
        <v>8.3800000000000008</v>
      </c>
      <c r="GM92">
        <v>9.65</v>
      </c>
      <c r="GP92">
        <v>6.09</v>
      </c>
      <c r="GS92">
        <v>7.92</v>
      </c>
      <c r="GV92">
        <v>7.37</v>
      </c>
      <c r="GY92">
        <v>7.61</v>
      </c>
      <c r="HC92">
        <v>8.36</v>
      </c>
      <c r="HE92">
        <v>6.83</v>
      </c>
      <c r="HH92">
        <v>6.57</v>
      </c>
      <c r="HM92">
        <v>7.93</v>
      </c>
      <c r="HQ92">
        <v>7.9</v>
      </c>
      <c r="HW92">
        <v>8.2799999999999905</v>
      </c>
      <c r="IA92">
        <v>7.96</v>
      </c>
      <c r="ID92">
        <v>8.6999999999999904</v>
      </c>
      <c r="II92">
        <v>9.43</v>
      </c>
      <c r="IL92">
        <v>7.52</v>
      </c>
      <c r="IO92">
        <v>9.24</v>
      </c>
      <c r="IR92">
        <v>5.51</v>
      </c>
      <c r="IU92">
        <v>5.18</v>
      </c>
      <c r="IX92">
        <v>4.84</v>
      </c>
      <c r="JA92">
        <v>6.09</v>
      </c>
      <c r="JD92">
        <v>5.73</v>
      </c>
      <c r="JK92">
        <v>3</v>
      </c>
      <c r="JQ92">
        <v>7.12</v>
      </c>
      <c r="JS92">
        <v>6.08</v>
      </c>
      <c r="JW92">
        <v>6.44</v>
      </c>
      <c r="JY92">
        <v>6.47</v>
      </c>
      <c r="KE92">
        <v>8.31</v>
      </c>
      <c r="KF92">
        <v>7.98</v>
      </c>
      <c r="KI92">
        <v>8.56</v>
      </c>
      <c r="KL92">
        <v>8.49</v>
      </c>
      <c r="KO92">
        <v>6.58</v>
      </c>
      <c r="KQ92">
        <v>6.87</v>
      </c>
      <c r="KT92">
        <v>5.36</v>
      </c>
      <c r="KW92">
        <v>6.58</v>
      </c>
      <c r="KY92">
        <v>6.98</v>
      </c>
      <c r="LA92">
        <v>5.72</v>
      </c>
      <c r="LD92">
        <v>7.35</v>
      </c>
      <c r="LF92">
        <v>6.86</v>
      </c>
    </row>
    <row r="93" spans="1:319" x14ac:dyDescent="0.2">
      <c r="A93" s="37" t="s">
        <v>429</v>
      </c>
      <c r="B93">
        <v>1146.5</v>
      </c>
      <c r="C93">
        <v>22.048076923076923</v>
      </c>
      <c r="D93" s="37" t="s">
        <v>381</v>
      </c>
      <c r="E93" s="37" t="s">
        <v>427</v>
      </c>
      <c r="F93">
        <v>6.38</v>
      </c>
      <c r="H93">
        <v>4.53</v>
      </c>
      <c r="J93">
        <v>4.5</v>
      </c>
      <c r="N93">
        <v>21.51</v>
      </c>
      <c r="R93">
        <v>14.49</v>
      </c>
      <c r="S93">
        <v>7.5</v>
      </c>
      <c r="U93">
        <v>7.07</v>
      </c>
      <c r="W93">
        <v>7.88</v>
      </c>
      <c r="X93">
        <v>7.49</v>
      </c>
      <c r="AA93">
        <v>6.49</v>
      </c>
      <c r="AC93">
        <v>14.85</v>
      </c>
      <c r="AN93">
        <v>14.67</v>
      </c>
      <c r="AP93">
        <v>5.4</v>
      </c>
      <c r="AQ93">
        <v>5.31</v>
      </c>
      <c r="AS93">
        <v>4.96</v>
      </c>
      <c r="AW93">
        <v>13.55</v>
      </c>
      <c r="AZ93">
        <v>6.39</v>
      </c>
      <c r="BA93">
        <v>6.07</v>
      </c>
      <c r="BE93">
        <v>7.31</v>
      </c>
      <c r="BG93">
        <v>6.39</v>
      </c>
      <c r="BI93">
        <v>7.44</v>
      </c>
      <c r="BK93">
        <v>15.02</v>
      </c>
      <c r="BN93">
        <v>6.32</v>
      </c>
      <c r="BO93">
        <v>13.43</v>
      </c>
      <c r="BR93">
        <v>5.38</v>
      </c>
      <c r="BS93">
        <v>8.07</v>
      </c>
      <c r="BT93">
        <v>7.26</v>
      </c>
      <c r="BU93">
        <v>14.24</v>
      </c>
      <c r="BX93">
        <v>8.2200000000000006</v>
      </c>
      <c r="BY93">
        <v>13.56</v>
      </c>
      <c r="BZ93">
        <v>6.31</v>
      </c>
      <c r="CA93">
        <v>6.76</v>
      </c>
      <c r="CB93">
        <v>7.82</v>
      </c>
      <c r="CH93">
        <v>12.87</v>
      </c>
      <c r="CI93">
        <v>6.93</v>
      </c>
      <c r="CK93">
        <v>6.6</v>
      </c>
      <c r="CO93">
        <v>18.739999999999899</v>
      </c>
      <c r="CQ93">
        <v>6.25</v>
      </c>
      <c r="CR93">
        <v>5.66</v>
      </c>
      <c r="CU93">
        <v>13.98</v>
      </c>
      <c r="CW93">
        <v>3.75</v>
      </c>
      <c r="CX93">
        <v>6.62</v>
      </c>
      <c r="CZ93">
        <v>12.01</v>
      </c>
      <c r="DD93">
        <v>12.12</v>
      </c>
      <c r="DF93">
        <v>5.94</v>
      </c>
      <c r="DH93">
        <v>6.18</v>
      </c>
      <c r="DJ93">
        <v>6.03</v>
      </c>
      <c r="DM93">
        <v>6.86</v>
      </c>
      <c r="DP93">
        <v>7.96</v>
      </c>
      <c r="DQ93">
        <v>6.5</v>
      </c>
      <c r="DR93">
        <v>4.7699999999999898</v>
      </c>
      <c r="DT93">
        <v>4.0199999999999898</v>
      </c>
      <c r="DU93">
        <v>4.83</v>
      </c>
      <c r="DW93">
        <v>6.42</v>
      </c>
      <c r="DY93">
        <v>11.69</v>
      </c>
      <c r="EB93">
        <v>4.62</v>
      </c>
      <c r="EC93">
        <v>6.09</v>
      </c>
      <c r="ED93">
        <v>5.5</v>
      </c>
      <c r="EG93">
        <v>13.38</v>
      </c>
      <c r="EJ93">
        <v>7.05</v>
      </c>
      <c r="EK93">
        <v>7.13</v>
      </c>
      <c r="EO93">
        <v>7.74</v>
      </c>
      <c r="ER93">
        <v>19.97</v>
      </c>
      <c r="ET93">
        <v>10.78</v>
      </c>
      <c r="EU93">
        <v>4.25</v>
      </c>
      <c r="FD93">
        <v>6.99</v>
      </c>
      <c r="FF93">
        <v>11.44</v>
      </c>
      <c r="FN93">
        <v>13.63</v>
      </c>
      <c r="FP93">
        <v>7.86</v>
      </c>
      <c r="FR93">
        <v>6.91</v>
      </c>
      <c r="FT93">
        <v>7.3</v>
      </c>
      <c r="FV93">
        <v>14.76</v>
      </c>
      <c r="FY93">
        <v>7.5</v>
      </c>
      <c r="FZ93">
        <v>5.39</v>
      </c>
      <c r="GA93">
        <v>4.2699999999999898</v>
      </c>
      <c r="GB93">
        <v>3.33</v>
      </c>
      <c r="GE93">
        <v>6.74</v>
      </c>
      <c r="GG93">
        <v>14.1</v>
      </c>
      <c r="GI93">
        <v>8.0299999999999905</v>
      </c>
      <c r="GJ93">
        <v>7.53</v>
      </c>
      <c r="GM93">
        <v>6.87</v>
      </c>
      <c r="GN93">
        <v>6.82</v>
      </c>
      <c r="GO93">
        <v>8.39</v>
      </c>
      <c r="GT93">
        <v>14.93</v>
      </c>
      <c r="GU93">
        <v>6.12</v>
      </c>
      <c r="GY93">
        <v>6.85</v>
      </c>
      <c r="HA93">
        <v>12.92</v>
      </c>
      <c r="HG93">
        <v>22.57</v>
      </c>
      <c r="HK93">
        <v>13.58</v>
      </c>
      <c r="HM93">
        <v>6.47</v>
      </c>
      <c r="HN93">
        <v>6.59</v>
      </c>
      <c r="HR93">
        <v>7.89</v>
      </c>
      <c r="HT93">
        <v>8.43</v>
      </c>
      <c r="HU93">
        <v>7.84</v>
      </c>
      <c r="HX93">
        <v>8.27</v>
      </c>
      <c r="HY93">
        <v>15.07</v>
      </c>
      <c r="IC93">
        <v>6.87</v>
      </c>
      <c r="IE93">
        <v>7.49</v>
      </c>
      <c r="IK93">
        <v>12.87</v>
      </c>
      <c r="IP93">
        <v>7.31</v>
      </c>
      <c r="IQ93">
        <v>7.32</v>
      </c>
      <c r="IU93">
        <v>14.74</v>
      </c>
      <c r="IV93">
        <v>6.72</v>
      </c>
      <c r="JC93">
        <v>7.11</v>
      </c>
      <c r="JD93">
        <v>1.55</v>
      </c>
      <c r="JE93">
        <v>7.12</v>
      </c>
      <c r="JG93">
        <v>14.13</v>
      </c>
      <c r="JJ93">
        <v>7.2</v>
      </c>
      <c r="JL93">
        <v>14.69</v>
      </c>
      <c r="JN93">
        <v>6.06</v>
      </c>
      <c r="JP93">
        <v>14.03</v>
      </c>
      <c r="JU93">
        <v>15.56</v>
      </c>
      <c r="JW93">
        <v>4.3899999999999899</v>
      </c>
      <c r="JX93">
        <v>13.54</v>
      </c>
      <c r="KB93">
        <v>7.4</v>
      </c>
      <c r="KC93">
        <v>6.99</v>
      </c>
      <c r="KD93">
        <v>12.35</v>
      </c>
      <c r="KE93">
        <v>5.64</v>
      </c>
      <c r="KG93">
        <v>7.84</v>
      </c>
      <c r="KI93">
        <v>6.13</v>
      </c>
      <c r="KK93">
        <v>14.44</v>
      </c>
      <c r="KM93">
        <v>5.29</v>
      </c>
      <c r="KO93">
        <v>7.4</v>
      </c>
      <c r="KR93">
        <v>12.52</v>
      </c>
      <c r="KT93">
        <v>7.61</v>
      </c>
      <c r="KW93">
        <v>6.71</v>
      </c>
      <c r="KY93">
        <v>7.13</v>
      </c>
      <c r="KZ93">
        <v>7.24</v>
      </c>
      <c r="LA93">
        <v>5.0599999999999898</v>
      </c>
      <c r="LD93">
        <v>8.32</v>
      </c>
      <c r="LE93">
        <v>8.5299999999999905</v>
      </c>
    </row>
    <row r="94" spans="1:319" x14ac:dyDescent="0.2">
      <c r="A94" s="37" t="s">
        <v>430</v>
      </c>
      <c r="B94">
        <v>350.90999999999991</v>
      </c>
      <c r="C94">
        <v>6.7482692307692291</v>
      </c>
      <c r="D94" s="37" t="s">
        <v>381</v>
      </c>
      <c r="E94" s="37" t="s">
        <v>427</v>
      </c>
      <c r="H94">
        <v>6.11</v>
      </c>
      <c r="I94">
        <v>6.58</v>
      </c>
      <c r="Q94">
        <v>6.51</v>
      </c>
      <c r="U94">
        <v>6.85</v>
      </c>
      <c r="Y94">
        <v>7.94</v>
      </c>
      <c r="AJ94">
        <v>6.72</v>
      </c>
      <c r="AO94">
        <v>7.14</v>
      </c>
      <c r="AV94">
        <v>7.24</v>
      </c>
      <c r="BD94">
        <v>7.33</v>
      </c>
      <c r="BF94">
        <v>2.74</v>
      </c>
      <c r="BJ94">
        <v>6.77</v>
      </c>
      <c r="BW94">
        <v>14.8</v>
      </c>
      <c r="BZ94">
        <v>4.68</v>
      </c>
      <c r="CI94">
        <v>7.18</v>
      </c>
      <c r="CR94">
        <v>7.94</v>
      </c>
      <c r="CW94">
        <v>5.74</v>
      </c>
      <c r="DA94">
        <v>6.07</v>
      </c>
      <c r="DS94">
        <v>6.4</v>
      </c>
      <c r="DV94">
        <v>6.43</v>
      </c>
      <c r="EC94">
        <v>7.61</v>
      </c>
      <c r="EH94">
        <v>13.33</v>
      </c>
      <c r="ET94">
        <v>14.91</v>
      </c>
      <c r="FQ94">
        <v>7.38</v>
      </c>
      <c r="FS94">
        <v>5.21</v>
      </c>
      <c r="FV94">
        <v>7.18</v>
      </c>
      <c r="GB94">
        <v>8.08</v>
      </c>
      <c r="GN94">
        <v>15.78</v>
      </c>
      <c r="HC94">
        <v>7.3</v>
      </c>
      <c r="HI94">
        <v>6.89</v>
      </c>
      <c r="HM94">
        <v>5.95</v>
      </c>
      <c r="HU94">
        <v>7.72</v>
      </c>
      <c r="HZ94">
        <v>16.260000000000002</v>
      </c>
      <c r="IH94">
        <v>16.239999999999899</v>
      </c>
      <c r="IQ94">
        <v>7.22</v>
      </c>
      <c r="IT94">
        <v>6.74</v>
      </c>
      <c r="JI94">
        <v>5.28</v>
      </c>
      <c r="JK94">
        <v>7.26</v>
      </c>
      <c r="JT94">
        <v>7.38</v>
      </c>
      <c r="KB94">
        <v>7.23</v>
      </c>
      <c r="KF94">
        <v>7.31</v>
      </c>
      <c r="KS94">
        <v>7.78</v>
      </c>
      <c r="KZ94">
        <v>7.45</v>
      </c>
      <c r="LE94">
        <v>16.25</v>
      </c>
    </row>
    <row r="95" spans="1:319" x14ac:dyDescent="0.2">
      <c r="A95" s="37" t="s">
        <v>431</v>
      </c>
      <c r="B95">
        <v>503.9700000000002</v>
      </c>
      <c r="C95">
        <v>9.691730769230773</v>
      </c>
      <c r="D95" s="37" t="s">
        <v>381</v>
      </c>
      <c r="E95" s="37" t="s">
        <v>427</v>
      </c>
      <c r="I95">
        <v>6.3</v>
      </c>
      <c r="O95">
        <v>7.88</v>
      </c>
      <c r="T95">
        <v>16.05</v>
      </c>
      <c r="AA95">
        <v>8</v>
      </c>
      <c r="AJ95">
        <v>8.4700000000000006</v>
      </c>
      <c r="AO95">
        <v>5.24</v>
      </c>
      <c r="AQ95">
        <v>7.5</v>
      </c>
      <c r="BA95">
        <v>15.93</v>
      </c>
      <c r="BB95">
        <v>7.99</v>
      </c>
      <c r="BJ95">
        <v>7.22</v>
      </c>
      <c r="BO95">
        <v>6.26</v>
      </c>
      <c r="BS95">
        <v>6.05</v>
      </c>
      <c r="BT95">
        <v>7.53</v>
      </c>
      <c r="BW95">
        <v>7.35</v>
      </c>
      <c r="CA95">
        <v>6.82</v>
      </c>
      <c r="CI95">
        <v>7.21</v>
      </c>
      <c r="CM95">
        <v>5.93</v>
      </c>
      <c r="CQ95">
        <v>8.2100000000000009</v>
      </c>
      <c r="CV95">
        <v>7.49</v>
      </c>
      <c r="CX95">
        <v>5.91</v>
      </c>
      <c r="DA95">
        <v>5.57</v>
      </c>
      <c r="DE95">
        <v>4.09</v>
      </c>
      <c r="DS95">
        <v>6.8</v>
      </c>
      <c r="DT95">
        <v>7.02</v>
      </c>
      <c r="EC95">
        <v>11.58</v>
      </c>
      <c r="EH95">
        <v>12.2</v>
      </c>
      <c r="EN95">
        <v>7.98</v>
      </c>
      <c r="ES95">
        <v>7.18</v>
      </c>
      <c r="FC95">
        <v>6.69</v>
      </c>
      <c r="FP95">
        <v>7.33</v>
      </c>
      <c r="FQ95">
        <v>6.79</v>
      </c>
      <c r="GA95">
        <v>5.97</v>
      </c>
      <c r="GB95">
        <v>7.64</v>
      </c>
      <c r="GG95">
        <v>8.74</v>
      </c>
      <c r="GN95">
        <v>7.76</v>
      </c>
      <c r="GQ95">
        <v>6.56</v>
      </c>
      <c r="GV95">
        <v>9.2200000000000006</v>
      </c>
      <c r="GW95">
        <v>9.16</v>
      </c>
      <c r="GX95">
        <v>5.04</v>
      </c>
      <c r="GZ95">
        <v>6.42</v>
      </c>
      <c r="HD95">
        <v>7.05</v>
      </c>
      <c r="HI95">
        <v>7.11</v>
      </c>
      <c r="HM95">
        <v>8.23</v>
      </c>
      <c r="HQ95">
        <v>7.05</v>
      </c>
      <c r="HU95">
        <v>8.77</v>
      </c>
      <c r="HZ95">
        <v>7.93</v>
      </c>
      <c r="IE95">
        <v>17.170000000000002</v>
      </c>
      <c r="IH95">
        <v>6.5</v>
      </c>
      <c r="IM95">
        <v>7.68</v>
      </c>
      <c r="IN95">
        <v>5.52</v>
      </c>
      <c r="IQ95">
        <v>7.83</v>
      </c>
      <c r="IT95">
        <v>4.75</v>
      </c>
      <c r="IX95">
        <v>5.37</v>
      </c>
      <c r="JH95">
        <v>14.67</v>
      </c>
      <c r="JO95">
        <v>7.76</v>
      </c>
      <c r="JU95">
        <v>7.93</v>
      </c>
      <c r="JX95">
        <v>6.29</v>
      </c>
      <c r="KI95">
        <v>7.08</v>
      </c>
      <c r="KJ95">
        <v>7.06</v>
      </c>
      <c r="KK95">
        <v>7.15</v>
      </c>
      <c r="KS95">
        <v>6.55</v>
      </c>
      <c r="KZ95">
        <v>15.12</v>
      </c>
      <c r="LG95">
        <v>14.32</v>
      </c>
    </row>
    <row r="96" spans="1:319" x14ac:dyDescent="0.2">
      <c r="A96" s="37" t="s">
        <v>432</v>
      </c>
      <c r="B96">
        <v>800.38999999999987</v>
      </c>
      <c r="C96">
        <v>15.392115384615382</v>
      </c>
      <c r="D96" s="37" t="s">
        <v>381</v>
      </c>
      <c r="E96" s="37" t="s">
        <v>427</v>
      </c>
      <c r="F96">
        <v>5.51</v>
      </c>
      <c r="H96">
        <v>5.49</v>
      </c>
      <c r="L96">
        <v>8.6</v>
      </c>
      <c r="O96">
        <v>7.57</v>
      </c>
      <c r="S96">
        <v>8.74</v>
      </c>
      <c r="V96">
        <v>8.2100000000000009</v>
      </c>
      <c r="X96">
        <v>6.26</v>
      </c>
      <c r="AB96">
        <v>8.73</v>
      </c>
      <c r="AK96">
        <v>7.89</v>
      </c>
      <c r="AO96">
        <v>7.71</v>
      </c>
      <c r="AS96">
        <v>7</v>
      </c>
      <c r="AZ96">
        <v>8.69</v>
      </c>
      <c r="BC96">
        <v>7.09</v>
      </c>
      <c r="BG96">
        <v>8</v>
      </c>
      <c r="BJ96">
        <v>8.3000000000000007</v>
      </c>
      <c r="BM96">
        <v>6.75</v>
      </c>
      <c r="BP96">
        <v>8</v>
      </c>
      <c r="BS96">
        <v>8.48</v>
      </c>
      <c r="BU96">
        <v>8.57</v>
      </c>
      <c r="BX96">
        <v>8.5399999999999903</v>
      </c>
      <c r="CB96">
        <v>7.29</v>
      </c>
      <c r="CE96">
        <v>7.23</v>
      </c>
      <c r="CH96">
        <v>7.72</v>
      </c>
      <c r="CJ96">
        <v>7.41</v>
      </c>
      <c r="CN96">
        <v>7.37</v>
      </c>
      <c r="CQ96">
        <v>8.01</v>
      </c>
      <c r="CU96">
        <v>6.86</v>
      </c>
      <c r="CX96">
        <v>7.53</v>
      </c>
      <c r="CZ96">
        <v>7.63</v>
      </c>
      <c r="DB96">
        <v>8.31</v>
      </c>
      <c r="DF96">
        <v>8.1999999999999904</v>
      </c>
      <c r="DG96">
        <v>5.0599999999999898</v>
      </c>
      <c r="DJ96">
        <v>5.62</v>
      </c>
      <c r="DM96">
        <v>4.6100000000000003</v>
      </c>
      <c r="DP96">
        <v>6.08</v>
      </c>
      <c r="DS96">
        <v>8.15</v>
      </c>
      <c r="DW96">
        <v>6.27</v>
      </c>
      <c r="DX96">
        <v>5.42</v>
      </c>
      <c r="EB96">
        <v>6.55</v>
      </c>
      <c r="EF96">
        <v>7.27</v>
      </c>
      <c r="EG96">
        <v>7.47</v>
      </c>
      <c r="EI96">
        <v>7.27</v>
      </c>
      <c r="EK96">
        <v>8.43</v>
      </c>
      <c r="EN96">
        <v>10.79</v>
      </c>
      <c r="EQ96">
        <v>16.420000000000002</v>
      </c>
      <c r="ES96">
        <v>13.1</v>
      </c>
      <c r="FC96">
        <v>8.1300000000000008</v>
      </c>
      <c r="FF96">
        <v>7.65</v>
      </c>
      <c r="FO96">
        <v>8.76</v>
      </c>
      <c r="FV96">
        <v>8.64</v>
      </c>
      <c r="FY96">
        <v>8.57</v>
      </c>
      <c r="GA96">
        <v>7.77</v>
      </c>
      <c r="GD96">
        <v>8.18</v>
      </c>
      <c r="GG96">
        <v>9.91</v>
      </c>
      <c r="GI96">
        <v>6.76</v>
      </c>
      <c r="GM96">
        <v>10.46</v>
      </c>
      <c r="GP96">
        <v>7.4</v>
      </c>
      <c r="GQ96">
        <v>7.87</v>
      </c>
      <c r="GT96">
        <v>9.5500000000000007</v>
      </c>
      <c r="GZ96">
        <v>7.4</v>
      </c>
      <c r="HB96">
        <v>7.94</v>
      </c>
      <c r="HE96">
        <v>9.24</v>
      </c>
      <c r="HK96">
        <v>8.5500000000000007</v>
      </c>
      <c r="HN96">
        <v>9.5500000000000007</v>
      </c>
      <c r="HQ96">
        <v>9.01</v>
      </c>
      <c r="HT96">
        <v>8.41</v>
      </c>
      <c r="HX96">
        <v>8.77</v>
      </c>
      <c r="HZ96">
        <v>8.1300000000000008</v>
      </c>
      <c r="IB96">
        <v>6.59</v>
      </c>
      <c r="IC96">
        <v>10.33</v>
      </c>
      <c r="IE96">
        <v>17.66</v>
      </c>
      <c r="IF96">
        <v>8.64</v>
      </c>
      <c r="II96">
        <v>8.2899999999999903</v>
      </c>
      <c r="IL96">
        <v>8.18</v>
      </c>
      <c r="IP96">
        <v>8.23</v>
      </c>
      <c r="IS96">
        <v>7.17</v>
      </c>
      <c r="IV96">
        <v>8.92</v>
      </c>
      <c r="IY96">
        <v>7.04</v>
      </c>
      <c r="IZ96">
        <v>7.76</v>
      </c>
      <c r="JE96">
        <v>8.74</v>
      </c>
      <c r="JG96">
        <v>9.57</v>
      </c>
      <c r="JI96">
        <v>7.98</v>
      </c>
      <c r="JK96">
        <v>7.97</v>
      </c>
      <c r="JM96">
        <v>8.18</v>
      </c>
      <c r="JO96">
        <v>8.73</v>
      </c>
      <c r="JQ96">
        <v>8.65</v>
      </c>
      <c r="JT96">
        <v>8.61</v>
      </c>
      <c r="JW96">
        <v>7.05</v>
      </c>
      <c r="JZ96">
        <v>8.35</v>
      </c>
      <c r="KB96">
        <v>7.61</v>
      </c>
      <c r="KE96">
        <v>8.82</v>
      </c>
      <c r="KH96">
        <v>7.72</v>
      </c>
      <c r="KL96">
        <v>7.68</v>
      </c>
      <c r="KO96">
        <v>6.33</v>
      </c>
      <c r="KQ96">
        <v>8.15</v>
      </c>
      <c r="KU96">
        <v>8.26</v>
      </c>
      <c r="KX96">
        <v>6.86</v>
      </c>
      <c r="KZ96">
        <v>5.76</v>
      </c>
      <c r="LE96">
        <v>7.71</v>
      </c>
    </row>
    <row r="97" spans="1:319" x14ac:dyDescent="0.2">
      <c r="A97" s="37" t="s">
        <v>433</v>
      </c>
      <c r="B97">
        <v>1977.9999999999991</v>
      </c>
      <c r="C97">
        <v>38.038461538461519</v>
      </c>
      <c r="D97" s="37" t="s">
        <v>381</v>
      </c>
      <c r="E97" s="37" t="s">
        <v>427</v>
      </c>
      <c r="G97">
        <v>14.03</v>
      </c>
      <c r="J97">
        <v>14.14</v>
      </c>
      <c r="M97">
        <v>15.63</v>
      </c>
      <c r="P97">
        <v>16.5</v>
      </c>
      <c r="S97">
        <v>39.93</v>
      </c>
      <c r="V97">
        <v>14.33</v>
      </c>
      <c r="W97">
        <v>17.170000000000002</v>
      </c>
      <c r="X97">
        <v>7.59</v>
      </c>
      <c r="Y97">
        <v>14.96</v>
      </c>
      <c r="AB97">
        <v>8.48</v>
      </c>
      <c r="AC97">
        <v>16.079999999999899</v>
      </c>
      <c r="AL97">
        <v>23.15</v>
      </c>
      <c r="AO97">
        <v>18.71</v>
      </c>
      <c r="AQ97">
        <v>16.3</v>
      </c>
      <c r="AS97">
        <v>5.99</v>
      </c>
      <c r="AU97">
        <v>13.06</v>
      </c>
      <c r="AW97">
        <v>7.23</v>
      </c>
      <c r="AX97">
        <v>14.72</v>
      </c>
      <c r="BA97">
        <v>24.48</v>
      </c>
      <c r="BC97">
        <v>15.06</v>
      </c>
      <c r="BD97">
        <v>7.25</v>
      </c>
      <c r="BF97">
        <v>20.73</v>
      </c>
      <c r="BI97">
        <v>20.88</v>
      </c>
      <c r="BL97">
        <v>13.57</v>
      </c>
      <c r="BM97">
        <v>6.19</v>
      </c>
      <c r="BO97">
        <v>21.88</v>
      </c>
      <c r="BR97">
        <v>12.04</v>
      </c>
      <c r="BU97">
        <v>17</v>
      </c>
      <c r="BX97">
        <v>26.82</v>
      </c>
      <c r="CC97">
        <v>23.45</v>
      </c>
      <c r="CF97">
        <v>14.07</v>
      </c>
      <c r="CH97">
        <v>24.2</v>
      </c>
      <c r="CI97">
        <v>15.72</v>
      </c>
      <c r="CK97">
        <v>12.5</v>
      </c>
      <c r="CN97">
        <v>23.31</v>
      </c>
      <c r="CO97">
        <v>14.08</v>
      </c>
      <c r="CR97">
        <v>13.24</v>
      </c>
      <c r="CT97">
        <v>13.15</v>
      </c>
      <c r="CW97">
        <v>20.18</v>
      </c>
      <c r="CY97">
        <v>8.01</v>
      </c>
      <c r="CZ97">
        <v>13.56</v>
      </c>
      <c r="DC97">
        <v>14.08</v>
      </c>
      <c r="DD97">
        <v>6</v>
      </c>
      <c r="DG97">
        <v>15.12</v>
      </c>
      <c r="DI97">
        <v>7.63</v>
      </c>
      <c r="DM97">
        <v>14.34</v>
      </c>
      <c r="DN97">
        <v>13.57</v>
      </c>
      <c r="DP97">
        <v>15.93</v>
      </c>
      <c r="DT97">
        <v>14.11</v>
      </c>
      <c r="DU97">
        <v>15.4</v>
      </c>
      <c r="DV97">
        <v>7.51</v>
      </c>
      <c r="DY97">
        <v>8.08</v>
      </c>
      <c r="EB97">
        <v>16</v>
      </c>
      <c r="EC97">
        <v>21.75</v>
      </c>
      <c r="EE97">
        <v>13.31</v>
      </c>
      <c r="EH97">
        <v>13.21</v>
      </c>
      <c r="EK97">
        <v>16.170000000000002</v>
      </c>
      <c r="EM97">
        <v>8.3000000000000007</v>
      </c>
      <c r="EO97">
        <v>7.88</v>
      </c>
      <c r="EQ97">
        <v>25.04</v>
      </c>
      <c r="ER97">
        <v>15.38</v>
      </c>
      <c r="ET97">
        <v>6.36</v>
      </c>
      <c r="EU97">
        <v>7.21</v>
      </c>
      <c r="FC97">
        <v>14.64</v>
      </c>
      <c r="FF97">
        <v>6.78</v>
      </c>
      <c r="FN97">
        <v>6.99</v>
      </c>
      <c r="FR97">
        <v>31.04</v>
      </c>
      <c r="FS97">
        <v>8.25</v>
      </c>
      <c r="FU97">
        <v>17.100000000000001</v>
      </c>
      <c r="GB97">
        <v>47.69</v>
      </c>
      <c r="GD97">
        <v>12.17</v>
      </c>
      <c r="GG97">
        <v>7.64</v>
      </c>
      <c r="GH97">
        <v>17.12</v>
      </c>
      <c r="GI97">
        <v>8.61</v>
      </c>
      <c r="GJ97">
        <v>7.8</v>
      </c>
      <c r="GN97">
        <v>33.26</v>
      </c>
      <c r="GP97">
        <v>14.54</v>
      </c>
      <c r="GR97">
        <v>8.4700000000000006</v>
      </c>
      <c r="GS97">
        <v>7.62</v>
      </c>
      <c r="GV97">
        <v>16.47</v>
      </c>
      <c r="GX97">
        <v>17.600000000000001</v>
      </c>
      <c r="GY97">
        <v>18.91</v>
      </c>
      <c r="GZ97">
        <v>8.1999999999999904</v>
      </c>
      <c r="HB97">
        <v>16.87</v>
      </c>
      <c r="HE97">
        <v>24.13</v>
      </c>
      <c r="HH97">
        <v>7.08</v>
      </c>
      <c r="HI97">
        <v>8.02</v>
      </c>
      <c r="HL97">
        <v>16.2</v>
      </c>
      <c r="HN97">
        <v>22.89</v>
      </c>
      <c r="HQ97">
        <v>15.86</v>
      </c>
      <c r="HT97">
        <v>24.23</v>
      </c>
      <c r="HW97">
        <v>17.899999999999899</v>
      </c>
      <c r="HZ97">
        <v>17.21</v>
      </c>
      <c r="IA97">
        <v>16.489999999999899</v>
      </c>
      <c r="IF97">
        <v>2.98</v>
      </c>
      <c r="IH97">
        <v>7.3</v>
      </c>
      <c r="II97">
        <v>7</v>
      </c>
      <c r="IJ97">
        <v>16.350000000000001</v>
      </c>
      <c r="IL97">
        <v>15.1</v>
      </c>
      <c r="IN97">
        <v>8.61</v>
      </c>
      <c r="IO97">
        <v>16.510000000000002</v>
      </c>
      <c r="IQ97">
        <v>9.66</v>
      </c>
      <c r="IR97">
        <v>15.81</v>
      </c>
      <c r="IU97">
        <v>25.29</v>
      </c>
      <c r="IX97">
        <v>15.22</v>
      </c>
      <c r="IZ97">
        <v>12.42</v>
      </c>
      <c r="JB97">
        <v>7.35</v>
      </c>
      <c r="JC97">
        <v>15.1</v>
      </c>
      <c r="JD97">
        <v>7.14</v>
      </c>
      <c r="JH97">
        <v>16.899999999999899</v>
      </c>
      <c r="JJ97">
        <v>16.37</v>
      </c>
      <c r="JM97">
        <v>15.07</v>
      </c>
      <c r="JP97">
        <v>15.64</v>
      </c>
      <c r="JQ97">
        <v>9.41</v>
      </c>
      <c r="JS97">
        <v>25.36</v>
      </c>
      <c r="JW97">
        <v>16.420000000000002</v>
      </c>
      <c r="JY97">
        <v>23.61</v>
      </c>
      <c r="KB97">
        <v>14.1</v>
      </c>
      <c r="KC97">
        <v>8.48</v>
      </c>
      <c r="KF97">
        <v>16.87</v>
      </c>
      <c r="KH97">
        <v>19.43</v>
      </c>
      <c r="KJ97">
        <v>6.72</v>
      </c>
      <c r="KK97">
        <v>8.1</v>
      </c>
      <c r="KL97">
        <v>7.97</v>
      </c>
      <c r="KN97">
        <v>13.33</v>
      </c>
      <c r="KQ97">
        <v>7.63</v>
      </c>
      <c r="KT97">
        <v>23.29</v>
      </c>
      <c r="KU97">
        <v>15.13</v>
      </c>
      <c r="KW97">
        <v>14.72</v>
      </c>
      <c r="LA97">
        <v>13.89</v>
      </c>
      <c r="LC97">
        <v>15.99</v>
      </c>
      <c r="LD97">
        <v>8.5500000000000007</v>
      </c>
      <c r="LG97">
        <v>23.65</v>
      </c>
    </row>
    <row r="98" spans="1:319" x14ac:dyDescent="0.2">
      <c r="A98" s="37" t="s">
        <v>434</v>
      </c>
      <c r="B98">
        <v>224.44</v>
      </c>
      <c r="C98">
        <v>4.3161538461538465</v>
      </c>
      <c r="D98" s="37" t="s">
        <v>435</v>
      </c>
      <c r="E98" s="37" t="s">
        <v>436</v>
      </c>
      <c r="F98">
        <v>4.2</v>
      </c>
      <c r="R98">
        <v>7.6</v>
      </c>
      <c r="Z98">
        <v>9.09</v>
      </c>
      <c r="AT98">
        <v>5.77</v>
      </c>
      <c r="BD98">
        <v>6.95</v>
      </c>
      <c r="BR98">
        <v>7.44</v>
      </c>
      <c r="CF98">
        <v>4.21</v>
      </c>
      <c r="CT98">
        <v>6.99</v>
      </c>
      <c r="DA98">
        <v>7.13</v>
      </c>
      <c r="DD98">
        <v>5.09</v>
      </c>
      <c r="DT98">
        <v>9.1</v>
      </c>
      <c r="DY98">
        <v>5.57</v>
      </c>
      <c r="EF98">
        <v>8.33</v>
      </c>
      <c r="EJ98">
        <v>6.49</v>
      </c>
      <c r="EU98">
        <v>8.5399999999999903</v>
      </c>
      <c r="EY98">
        <v>6.76</v>
      </c>
      <c r="FD98">
        <v>8.5500000000000007</v>
      </c>
      <c r="FO98">
        <v>9.0500000000000007</v>
      </c>
      <c r="FW98">
        <v>7.48</v>
      </c>
      <c r="GC98">
        <v>8.3800000000000008</v>
      </c>
      <c r="GJ98">
        <v>8.58</v>
      </c>
      <c r="GM98">
        <v>6.52</v>
      </c>
      <c r="GS98">
        <v>4.97</v>
      </c>
      <c r="HE98">
        <v>6.62</v>
      </c>
      <c r="HO98">
        <v>8.68</v>
      </c>
      <c r="HU98">
        <v>6.13</v>
      </c>
      <c r="IH98">
        <v>9.0299999999999905</v>
      </c>
      <c r="IV98">
        <v>8.74</v>
      </c>
      <c r="JF98">
        <v>2.61</v>
      </c>
      <c r="JM98">
        <v>5.98</v>
      </c>
      <c r="JY98">
        <v>3.87</v>
      </c>
      <c r="LD98">
        <v>6.89</v>
      </c>
      <c r="LF98">
        <v>3.1</v>
      </c>
    </row>
    <row r="99" spans="1:319" x14ac:dyDescent="0.2">
      <c r="A99" s="37" t="s">
        <v>437</v>
      </c>
      <c r="B99">
        <v>680.98999999999955</v>
      </c>
      <c r="C99">
        <v>13.09596153846153</v>
      </c>
      <c r="D99" s="37" t="s">
        <v>435</v>
      </c>
      <c r="E99" s="37" t="s">
        <v>436</v>
      </c>
      <c r="G99">
        <v>6.78</v>
      </c>
      <c r="J99">
        <v>5.83</v>
      </c>
      <c r="M99">
        <v>7.34</v>
      </c>
      <c r="S99">
        <v>7.12</v>
      </c>
      <c r="V99">
        <v>4.99</v>
      </c>
      <c r="Y99">
        <v>9.61</v>
      </c>
      <c r="AB99">
        <v>6.02</v>
      </c>
      <c r="AE99">
        <v>5.03</v>
      </c>
      <c r="AH99">
        <v>5.09</v>
      </c>
      <c r="AK99">
        <v>7.19</v>
      </c>
      <c r="AN99">
        <v>4.88</v>
      </c>
      <c r="AQ99">
        <v>7.09</v>
      </c>
      <c r="AT99">
        <v>5.3</v>
      </c>
      <c r="AU99">
        <v>10.050000000000001</v>
      </c>
      <c r="AX99">
        <v>8.17</v>
      </c>
      <c r="AZ99">
        <v>4.99</v>
      </c>
      <c r="BC99">
        <v>7.64</v>
      </c>
      <c r="BF99">
        <v>7.49</v>
      </c>
      <c r="BI99">
        <v>6.63</v>
      </c>
      <c r="BL99">
        <v>4.5199999999999898</v>
      </c>
      <c r="BO99">
        <v>7.9</v>
      </c>
      <c r="BR99">
        <v>9.82</v>
      </c>
      <c r="BU99">
        <v>6.76</v>
      </c>
      <c r="BX99">
        <v>4.87</v>
      </c>
      <c r="CB99">
        <v>7.35</v>
      </c>
      <c r="CE99">
        <v>5.56</v>
      </c>
      <c r="CH99">
        <v>8.93</v>
      </c>
      <c r="CK99">
        <v>5.64</v>
      </c>
      <c r="CN99">
        <v>6.86</v>
      </c>
      <c r="CQ99">
        <v>5.26</v>
      </c>
      <c r="CT99">
        <v>7.01</v>
      </c>
      <c r="CW99">
        <v>7.05</v>
      </c>
      <c r="CZ99">
        <v>8.49</v>
      </c>
      <c r="DC99">
        <v>5.21</v>
      </c>
      <c r="DF99">
        <v>7.37</v>
      </c>
      <c r="DP99">
        <v>9.2200000000000006</v>
      </c>
      <c r="DS99">
        <v>6.78</v>
      </c>
      <c r="DV99">
        <v>5.41</v>
      </c>
      <c r="DY99">
        <v>8.24</v>
      </c>
      <c r="EB99">
        <v>4.04</v>
      </c>
      <c r="EE99">
        <v>8.58</v>
      </c>
      <c r="EI99">
        <v>8.82</v>
      </c>
      <c r="EK99">
        <v>7.07</v>
      </c>
      <c r="EM99">
        <v>3.84</v>
      </c>
      <c r="EQ99">
        <v>9.06</v>
      </c>
      <c r="ET99">
        <v>7.7</v>
      </c>
      <c r="EW99">
        <v>7.95</v>
      </c>
      <c r="EZ99">
        <v>4.34</v>
      </c>
      <c r="FC99">
        <v>9.56</v>
      </c>
      <c r="FF99">
        <v>6.57</v>
      </c>
      <c r="FI99">
        <v>10.64</v>
      </c>
      <c r="FL99">
        <v>5.17</v>
      </c>
      <c r="FO99">
        <v>8.39</v>
      </c>
      <c r="FR99">
        <v>5.61</v>
      </c>
      <c r="FU99">
        <v>8.09</v>
      </c>
      <c r="FX99">
        <v>4.71</v>
      </c>
      <c r="GA99">
        <v>10.47</v>
      </c>
      <c r="GD99">
        <v>10.130000000000001</v>
      </c>
      <c r="GG99">
        <v>7.75</v>
      </c>
      <c r="GJ99">
        <v>5.31</v>
      </c>
      <c r="GM99">
        <v>7.78</v>
      </c>
      <c r="GP99">
        <v>4.01</v>
      </c>
      <c r="GS99">
        <v>9.32</v>
      </c>
      <c r="GV99">
        <v>4.79</v>
      </c>
      <c r="GY99">
        <v>7.16</v>
      </c>
      <c r="HB99">
        <v>5.29</v>
      </c>
      <c r="HE99">
        <v>7.52</v>
      </c>
      <c r="HH99">
        <v>5.97</v>
      </c>
      <c r="HK99">
        <v>7.03</v>
      </c>
      <c r="HM99">
        <v>4.16</v>
      </c>
      <c r="HN99">
        <v>4.57</v>
      </c>
      <c r="HQ99">
        <v>7.84</v>
      </c>
      <c r="HT99">
        <v>5.94</v>
      </c>
      <c r="HW99">
        <v>8.44</v>
      </c>
      <c r="HZ99">
        <v>5.78</v>
      </c>
      <c r="IC99">
        <v>6.43</v>
      </c>
      <c r="IF99">
        <v>5.22</v>
      </c>
      <c r="II99">
        <v>7.13</v>
      </c>
      <c r="IL99">
        <v>5.03</v>
      </c>
      <c r="IO99">
        <v>5.65</v>
      </c>
      <c r="IR99">
        <v>5.16</v>
      </c>
      <c r="IU99">
        <v>4.9800000000000004</v>
      </c>
      <c r="JD99">
        <v>7.3</v>
      </c>
      <c r="JG99">
        <v>6.65</v>
      </c>
      <c r="JJ99">
        <v>4.71</v>
      </c>
      <c r="JM99">
        <v>8.15</v>
      </c>
      <c r="JP99">
        <v>3.64</v>
      </c>
      <c r="JS99">
        <v>7.13</v>
      </c>
      <c r="JU99">
        <v>3.89</v>
      </c>
      <c r="JV99">
        <v>5.63</v>
      </c>
      <c r="JY99">
        <v>10.52</v>
      </c>
      <c r="KB99">
        <v>4.55</v>
      </c>
      <c r="KE99">
        <v>5.98</v>
      </c>
      <c r="KH99">
        <v>7.94</v>
      </c>
      <c r="KK99">
        <v>5.0199999999999898</v>
      </c>
      <c r="KN99">
        <v>3.93</v>
      </c>
      <c r="KQ99">
        <v>8.1300000000000008</v>
      </c>
      <c r="KT99">
        <v>5.64</v>
      </c>
      <c r="KW99">
        <v>7.18</v>
      </c>
      <c r="KZ99">
        <v>6.06</v>
      </c>
      <c r="LC99">
        <v>6.94</v>
      </c>
      <c r="LG99">
        <v>7.51</v>
      </c>
    </row>
    <row r="100" spans="1:319" x14ac:dyDescent="0.2">
      <c r="A100" s="37" t="s">
        <v>438</v>
      </c>
      <c r="B100">
        <v>265.63</v>
      </c>
      <c r="C100">
        <v>5.1082692307692303</v>
      </c>
      <c r="D100" s="37" t="s">
        <v>435</v>
      </c>
      <c r="E100" s="37" t="s">
        <v>439</v>
      </c>
      <c r="I100">
        <v>5.8</v>
      </c>
      <c r="P100">
        <v>7.48</v>
      </c>
      <c r="W100">
        <v>8.08</v>
      </c>
      <c r="Y100">
        <v>8.2899999999999903</v>
      </c>
      <c r="AE100">
        <v>4.37</v>
      </c>
      <c r="AM100">
        <v>6.77</v>
      </c>
      <c r="AW100">
        <v>6.57</v>
      </c>
      <c r="BE100">
        <v>8.08</v>
      </c>
      <c r="BO100">
        <v>8.0500000000000007</v>
      </c>
      <c r="CB100">
        <v>7.02</v>
      </c>
      <c r="CL100">
        <v>9.14</v>
      </c>
      <c r="CQ100">
        <v>5.29</v>
      </c>
      <c r="CW100">
        <v>5.43</v>
      </c>
      <c r="DP100">
        <v>5.01</v>
      </c>
      <c r="DW100">
        <v>6.65</v>
      </c>
      <c r="EB100">
        <v>5.8</v>
      </c>
      <c r="EI100">
        <v>5.05</v>
      </c>
      <c r="EP100">
        <v>6.71</v>
      </c>
      <c r="FA100">
        <v>5.53</v>
      </c>
      <c r="FC100">
        <v>6.07</v>
      </c>
      <c r="FO100">
        <v>8.51</v>
      </c>
      <c r="FX100">
        <v>7.05</v>
      </c>
      <c r="GC100">
        <v>7.95</v>
      </c>
      <c r="GO100">
        <v>8.84</v>
      </c>
      <c r="HB100">
        <v>6.45</v>
      </c>
      <c r="HH100">
        <v>6.27</v>
      </c>
      <c r="HP100">
        <v>7.05</v>
      </c>
      <c r="HX100">
        <v>9.6999999999999904</v>
      </c>
      <c r="IC100">
        <v>5.99</v>
      </c>
      <c r="IL100">
        <v>6.82</v>
      </c>
      <c r="IR100">
        <v>5.16</v>
      </c>
      <c r="IY100">
        <v>6.05</v>
      </c>
      <c r="JC100">
        <v>6.98</v>
      </c>
      <c r="JG100">
        <v>7.46</v>
      </c>
      <c r="JO100">
        <v>7.1</v>
      </c>
      <c r="JW100">
        <v>6.6</v>
      </c>
      <c r="KH100">
        <v>4.17</v>
      </c>
      <c r="KO100">
        <v>4.78</v>
      </c>
      <c r="KU100">
        <v>5.59</v>
      </c>
      <c r="LG100">
        <v>5.92</v>
      </c>
    </row>
    <row r="101" spans="1:319" x14ac:dyDescent="0.2">
      <c r="A101" s="37" t="s">
        <v>440</v>
      </c>
      <c r="B101">
        <v>1337.15</v>
      </c>
      <c r="C101">
        <v>25.714423076923079</v>
      </c>
      <c r="D101" s="37" t="s">
        <v>435</v>
      </c>
      <c r="E101" s="37" t="s">
        <v>439</v>
      </c>
      <c r="F101">
        <v>12.34</v>
      </c>
      <c r="I101">
        <v>10.1</v>
      </c>
      <c r="L101">
        <v>6.28</v>
      </c>
      <c r="N101">
        <v>10.5</v>
      </c>
      <c r="O101">
        <v>11.65</v>
      </c>
      <c r="R101">
        <v>10.16</v>
      </c>
      <c r="U101">
        <v>10.58</v>
      </c>
      <c r="X101">
        <v>14.3</v>
      </c>
      <c r="AA101">
        <v>19.100000000000001</v>
      </c>
      <c r="AD101">
        <v>12.15</v>
      </c>
      <c r="AG101">
        <v>14.31</v>
      </c>
      <c r="AJ101">
        <v>13.52</v>
      </c>
      <c r="AM101">
        <v>12.16</v>
      </c>
      <c r="AP101">
        <v>13.44</v>
      </c>
      <c r="AS101">
        <v>10.86</v>
      </c>
      <c r="AV101">
        <v>13.04</v>
      </c>
      <c r="AY101">
        <v>11.2</v>
      </c>
      <c r="BB101">
        <v>15.08</v>
      </c>
      <c r="BE101">
        <v>9.15</v>
      </c>
      <c r="BH101">
        <v>16.940000000000001</v>
      </c>
      <c r="BK101">
        <v>12.96</v>
      </c>
      <c r="BN101">
        <v>12.95</v>
      </c>
      <c r="BQ101">
        <v>13.2</v>
      </c>
      <c r="BT101">
        <v>14.03</v>
      </c>
      <c r="BW101">
        <v>12.56</v>
      </c>
      <c r="CA101">
        <v>4.72</v>
      </c>
      <c r="CD101">
        <v>13.75</v>
      </c>
      <c r="CG101">
        <v>16.010000000000002</v>
      </c>
      <c r="CJ101">
        <v>13.84</v>
      </c>
      <c r="CM101">
        <v>7.34</v>
      </c>
      <c r="CP101">
        <v>14.28</v>
      </c>
      <c r="CS101">
        <v>13.85</v>
      </c>
      <c r="CV101">
        <v>11.39</v>
      </c>
      <c r="CY101">
        <v>13.77</v>
      </c>
      <c r="DB101">
        <v>12.87</v>
      </c>
      <c r="DE101">
        <v>10.99</v>
      </c>
      <c r="DJ101">
        <v>7.13</v>
      </c>
      <c r="DL101">
        <v>13.7</v>
      </c>
      <c r="DM101">
        <v>6.81</v>
      </c>
      <c r="DO101">
        <v>12.51</v>
      </c>
      <c r="DR101">
        <v>5.75</v>
      </c>
      <c r="DU101">
        <v>10.45</v>
      </c>
      <c r="DX101">
        <v>12.47</v>
      </c>
      <c r="EA101">
        <v>8.76</v>
      </c>
      <c r="ED101">
        <v>11.66</v>
      </c>
      <c r="EG101">
        <v>18.3</v>
      </c>
      <c r="EJ101">
        <v>10.75</v>
      </c>
      <c r="EL101">
        <v>7.61</v>
      </c>
      <c r="EP101">
        <v>11.75</v>
      </c>
      <c r="ES101">
        <v>8.85</v>
      </c>
      <c r="EV101">
        <v>12.88</v>
      </c>
      <c r="EY101">
        <v>11.11</v>
      </c>
      <c r="FB101">
        <v>10.47</v>
      </c>
      <c r="FE101">
        <v>12.21</v>
      </c>
      <c r="FH101">
        <v>11.96</v>
      </c>
      <c r="FK101">
        <v>13.27</v>
      </c>
      <c r="FN101">
        <v>14.84</v>
      </c>
      <c r="FQ101">
        <v>12.31</v>
      </c>
      <c r="FT101">
        <v>11.25</v>
      </c>
      <c r="FW101">
        <v>13</v>
      </c>
      <c r="FZ101">
        <v>7.75</v>
      </c>
      <c r="GC101">
        <v>14.46</v>
      </c>
      <c r="GF101">
        <v>13.54</v>
      </c>
      <c r="GI101">
        <v>11.14</v>
      </c>
      <c r="GL101">
        <v>13.33</v>
      </c>
      <c r="GO101">
        <v>12.65</v>
      </c>
      <c r="GR101">
        <v>13.26</v>
      </c>
      <c r="GU101">
        <v>12.67</v>
      </c>
      <c r="GX101">
        <v>10.01</v>
      </c>
      <c r="GY101">
        <v>6.9</v>
      </c>
      <c r="HA101">
        <v>9.7100000000000009</v>
      </c>
      <c r="HD101">
        <v>14.83</v>
      </c>
      <c r="HG101">
        <v>11.46</v>
      </c>
      <c r="HH101">
        <v>14.77</v>
      </c>
      <c r="HJ101">
        <v>12.98</v>
      </c>
      <c r="HM101">
        <v>12.15</v>
      </c>
      <c r="HP101">
        <v>9.9499999999999904</v>
      </c>
      <c r="HQ101">
        <v>8.9499999999999904</v>
      </c>
      <c r="HS101">
        <v>4.34</v>
      </c>
      <c r="HV101">
        <v>11.91</v>
      </c>
      <c r="HY101">
        <v>13.16</v>
      </c>
      <c r="IB101">
        <v>14.41</v>
      </c>
      <c r="IE101">
        <v>12.97</v>
      </c>
      <c r="IH101">
        <v>8.58</v>
      </c>
      <c r="II101">
        <v>5.09</v>
      </c>
      <c r="IK101">
        <v>12.75</v>
      </c>
      <c r="IM101">
        <v>2.2400000000000002</v>
      </c>
      <c r="IN101">
        <v>13.39</v>
      </c>
      <c r="IQ101">
        <v>11.36</v>
      </c>
      <c r="IT101">
        <v>13.64</v>
      </c>
      <c r="IW101">
        <v>10.01</v>
      </c>
      <c r="IZ101">
        <v>14.76</v>
      </c>
      <c r="JC101">
        <v>11.36</v>
      </c>
      <c r="JF101">
        <v>18.11</v>
      </c>
      <c r="JI101">
        <v>12.4</v>
      </c>
      <c r="JL101">
        <v>12.59</v>
      </c>
      <c r="JO101">
        <v>6.96</v>
      </c>
      <c r="JP101">
        <v>16.399999999999899</v>
      </c>
      <c r="JR101">
        <v>17.760000000000002</v>
      </c>
      <c r="JU101">
        <v>13.33</v>
      </c>
      <c r="JX101">
        <v>15.95</v>
      </c>
      <c r="KA101">
        <v>8.91</v>
      </c>
      <c r="KD101">
        <v>13.71</v>
      </c>
      <c r="KG101">
        <v>12.72</v>
      </c>
      <c r="KJ101">
        <v>14.99</v>
      </c>
      <c r="KM101">
        <v>12.96</v>
      </c>
      <c r="KP101">
        <v>13.01</v>
      </c>
      <c r="KS101">
        <v>12.69</v>
      </c>
      <c r="KV101">
        <v>13.46</v>
      </c>
      <c r="KY101">
        <v>11.38</v>
      </c>
      <c r="LB101">
        <v>8.44</v>
      </c>
      <c r="LE101">
        <v>15.73</v>
      </c>
    </row>
    <row r="102" spans="1:319" x14ac:dyDescent="0.2">
      <c r="A102" s="37" t="s">
        <v>441</v>
      </c>
      <c r="B102">
        <v>1726.3099999999986</v>
      </c>
      <c r="C102">
        <v>33.198269230769206</v>
      </c>
      <c r="D102" s="37" t="s">
        <v>435</v>
      </c>
      <c r="E102" s="37" t="s">
        <v>439</v>
      </c>
      <c r="G102">
        <v>17.34</v>
      </c>
      <c r="J102">
        <v>17.45</v>
      </c>
      <c r="K102">
        <v>8.5399999999999903</v>
      </c>
      <c r="M102">
        <v>15.1</v>
      </c>
      <c r="P102">
        <v>18.510000000000002</v>
      </c>
      <c r="S102">
        <v>18.760000000000002</v>
      </c>
      <c r="V102">
        <v>16.22</v>
      </c>
      <c r="Y102">
        <v>18.77</v>
      </c>
      <c r="AB102">
        <v>18.39</v>
      </c>
      <c r="AE102">
        <v>17.79</v>
      </c>
      <c r="AH102">
        <v>15.61</v>
      </c>
      <c r="AK102">
        <v>17.489999999999899</v>
      </c>
      <c r="AN102">
        <v>15.87</v>
      </c>
      <c r="AQ102">
        <v>16.989999999999899</v>
      </c>
      <c r="AT102">
        <v>14.39</v>
      </c>
      <c r="AW102">
        <v>17.96</v>
      </c>
      <c r="AZ102">
        <v>7.54</v>
      </c>
      <c r="BA102">
        <v>7.39</v>
      </c>
      <c r="BC102">
        <v>18.59</v>
      </c>
      <c r="BF102">
        <v>9.7799999999999905</v>
      </c>
      <c r="BI102">
        <v>17.95</v>
      </c>
      <c r="BJ102">
        <v>9.01</v>
      </c>
      <c r="BL102">
        <v>16.25</v>
      </c>
      <c r="BO102">
        <v>17.78</v>
      </c>
      <c r="BR102">
        <v>17.37</v>
      </c>
      <c r="BU102">
        <v>10.41</v>
      </c>
      <c r="BX102">
        <v>18.68</v>
      </c>
      <c r="CB102">
        <v>16.739999999999899</v>
      </c>
      <c r="CE102">
        <v>22.88</v>
      </c>
      <c r="CH102">
        <v>18.190000000000001</v>
      </c>
      <c r="CK102">
        <v>16.95</v>
      </c>
      <c r="CN102">
        <v>17.21</v>
      </c>
      <c r="CQ102">
        <v>7.32</v>
      </c>
      <c r="CR102">
        <v>8.49</v>
      </c>
      <c r="CS102">
        <v>7.38</v>
      </c>
      <c r="CT102">
        <v>8.01</v>
      </c>
      <c r="CW102">
        <v>14.65</v>
      </c>
      <c r="CZ102">
        <v>17.670000000000002</v>
      </c>
      <c r="DC102">
        <v>16.28</v>
      </c>
      <c r="DF102">
        <v>17.82</v>
      </c>
      <c r="DJ102">
        <v>8.48</v>
      </c>
      <c r="DM102">
        <v>17.37</v>
      </c>
      <c r="DP102">
        <v>17.309999999999899</v>
      </c>
      <c r="DR102">
        <v>5.7</v>
      </c>
      <c r="DS102">
        <v>8.9</v>
      </c>
      <c r="DV102">
        <v>16.47</v>
      </c>
      <c r="DY102">
        <v>17.350000000000001</v>
      </c>
      <c r="EB102">
        <v>18.64</v>
      </c>
      <c r="EE102">
        <v>14.42</v>
      </c>
      <c r="EI102">
        <v>9.68</v>
      </c>
      <c r="EL102">
        <v>10.91</v>
      </c>
      <c r="EM102">
        <v>17.02</v>
      </c>
      <c r="EO102">
        <v>9.5299999999999905</v>
      </c>
      <c r="EQ102">
        <v>9.01</v>
      </c>
      <c r="ER102">
        <v>9.0299999999999905</v>
      </c>
      <c r="ET102">
        <v>24.68</v>
      </c>
      <c r="EW102">
        <v>18.05</v>
      </c>
      <c r="EZ102">
        <v>15.66</v>
      </c>
      <c r="FC102">
        <v>18.55</v>
      </c>
      <c r="FF102">
        <v>16.22</v>
      </c>
      <c r="FI102">
        <v>18.260000000000002</v>
      </c>
      <c r="FL102">
        <v>14.98</v>
      </c>
      <c r="FO102">
        <v>17.79</v>
      </c>
      <c r="FR102">
        <v>16.47</v>
      </c>
      <c r="FU102">
        <v>18.37</v>
      </c>
      <c r="FX102">
        <v>14.47</v>
      </c>
      <c r="GA102">
        <v>18.420000000000002</v>
      </c>
      <c r="GD102">
        <v>16.72</v>
      </c>
      <c r="GG102">
        <v>16.63</v>
      </c>
      <c r="GJ102">
        <v>17.809999999999899</v>
      </c>
      <c r="GM102">
        <v>18.57</v>
      </c>
      <c r="GP102">
        <v>15.6</v>
      </c>
      <c r="GS102">
        <v>17.43</v>
      </c>
      <c r="GV102">
        <v>16.84</v>
      </c>
      <c r="GY102">
        <v>17.350000000000001</v>
      </c>
      <c r="HB102">
        <v>14.89</v>
      </c>
      <c r="HE102">
        <v>18.899999999999899</v>
      </c>
      <c r="HK102">
        <v>17.78</v>
      </c>
      <c r="HN102">
        <v>15.11</v>
      </c>
      <c r="HQ102">
        <v>18.87</v>
      </c>
      <c r="HT102">
        <v>14.4</v>
      </c>
      <c r="HW102">
        <v>17.510000000000002</v>
      </c>
      <c r="HZ102">
        <v>15.07</v>
      </c>
      <c r="IC102">
        <v>18.809999999999899</v>
      </c>
      <c r="IF102">
        <v>14.58</v>
      </c>
      <c r="II102">
        <v>19.43</v>
      </c>
      <c r="IL102">
        <v>14.05</v>
      </c>
      <c r="IO102">
        <v>18.95</v>
      </c>
      <c r="IR102">
        <v>15.12</v>
      </c>
      <c r="IU102">
        <v>18.940000000000001</v>
      </c>
      <c r="IX102">
        <v>14.58</v>
      </c>
      <c r="JA102">
        <v>18.27</v>
      </c>
      <c r="JD102">
        <v>14.51</v>
      </c>
      <c r="JG102">
        <v>20.82</v>
      </c>
      <c r="JJ102">
        <v>14.05</v>
      </c>
      <c r="JM102">
        <v>18.68</v>
      </c>
      <c r="JS102">
        <v>19.170000000000002</v>
      </c>
      <c r="JV102">
        <v>14.76</v>
      </c>
      <c r="JY102">
        <v>18.7</v>
      </c>
      <c r="KB102">
        <v>13.4</v>
      </c>
      <c r="KE102">
        <v>18.600000000000001</v>
      </c>
      <c r="KH102">
        <v>12.81</v>
      </c>
      <c r="KK102">
        <v>18.14</v>
      </c>
      <c r="KN102">
        <v>15.84</v>
      </c>
      <c r="KQ102">
        <v>18.420000000000002</v>
      </c>
      <c r="KT102">
        <v>12.86</v>
      </c>
      <c r="KW102">
        <v>17.010000000000002</v>
      </c>
      <c r="KZ102">
        <v>15.15</v>
      </c>
      <c r="LC102">
        <v>17.78</v>
      </c>
      <c r="LF102">
        <v>16.14</v>
      </c>
    </row>
    <row r="103" spans="1:319" x14ac:dyDescent="0.2">
      <c r="A103" s="37" t="s">
        <v>442</v>
      </c>
      <c r="B103">
        <v>1647.1599999999996</v>
      </c>
      <c r="C103">
        <v>31.676153846153838</v>
      </c>
      <c r="D103" s="37" t="s">
        <v>435</v>
      </c>
      <c r="E103" s="37" t="s">
        <v>439</v>
      </c>
      <c r="F103">
        <v>8.8000000000000007</v>
      </c>
      <c r="G103">
        <v>4.46</v>
      </c>
      <c r="J103">
        <v>18.739999999999899</v>
      </c>
      <c r="L103">
        <v>9.1300000000000008</v>
      </c>
      <c r="M103">
        <v>9.09</v>
      </c>
      <c r="P103">
        <v>14.77</v>
      </c>
      <c r="R103">
        <v>7.21</v>
      </c>
      <c r="S103">
        <v>6.65</v>
      </c>
      <c r="V103">
        <v>17.850000000000001</v>
      </c>
      <c r="X103">
        <v>7.39</v>
      </c>
      <c r="Y103">
        <v>9.32</v>
      </c>
      <c r="AB103">
        <v>18.95</v>
      </c>
      <c r="AD103">
        <v>6.42</v>
      </c>
      <c r="AE103">
        <v>7.81</v>
      </c>
      <c r="AH103">
        <v>19.04</v>
      </c>
      <c r="AJ103">
        <v>7.07</v>
      </c>
      <c r="AK103">
        <v>6.23</v>
      </c>
      <c r="AN103">
        <v>16.61</v>
      </c>
      <c r="AP103">
        <v>6.85</v>
      </c>
      <c r="AQ103">
        <v>6.72</v>
      </c>
      <c r="AR103">
        <v>7.59</v>
      </c>
      <c r="AT103">
        <v>11.24</v>
      </c>
      <c r="AV103">
        <v>6.68</v>
      </c>
      <c r="AW103">
        <v>6.85</v>
      </c>
      <c r="AZ103">
        <v>16.739999999999899</v>
      </c>
      <c r="BB103">
        <v>7.33</v>
      </c>
      <c r="BC103">
        <v>8.99</v>
      </c>
      <c r="BF103">
        <v>16.3</v>
      </c>
      <c r="BH103">
        <v>8.27</v>
      </c>
      <c r="BI103">
        <v>5.55</v>
      </c>
      <c r="BL103">
        <v>16.09</v>
      </c>
      <c r="BN103">
        <v>8.3800000000000008</v>
      </c>
      <c r="BO103">
        <v>8.77</v>
      </c>
      <c r="BR103">
        <v>18.420000000000002</v>
      </c>
      <c r="BT103">
        <v>7.92</v>
      </c>
      <c r="BU103">
        <v>6.97</v>
      </c>
      <c r="BX103">
        <v>18.7</v>
      </c>
      <c r="CA103">
        <v>8.67</v>
      </c>
      <c r="CB103">
        <v>7.75</v>
      </c>
      <c r="CE103">
        <v>14.75</v>
      </c>
      <c r="CG103">
        <v>7.72</v>
      </c>
      <c r="CH103">
        <v>9.36</v>
      </c>
      <c r="CI103">
        <v>10.11</v>
      </c>
      <c r="CK103">
        <v>17.8</v>
      </c>
      <c r="CM103">
        <v>7.03</v>
      </c>
      <c r="CN103">
        <v>7.52</v>
      </c>
      <c r="CQ103">
        <v>13.89</v>
      </c>
      <c r="CR103">
        <v>4.71</v>
      </c>
      <c r="CT103">
        <v>15.74</v>
      </c>
      <c r="CV103">
        <v>9.16</v>
      </c>
      <c r="CW103">
        <v>10.48</v>
      </c>
      <c r="CY103">
        <v>8.6199999999999903</v>
      </c>
      <c r="CZ103">
        <v>7.34</v>
      </c>
      <c r="DB103">
        <v>5.98</v>
      </c>
      <c r="DD103">
        <v>8.2899999999999903</v>
      </c>
      <c r="DE103">
        <v>6.86</v>
      </c>
      <c r="DF103">
        <v>7.91</v>
      </c>
      <c r="DL103">
        <v>5.65</v>
      </c>
      <c r="DM103">
        <v>6.11</v>
      </c>
      <c r="DP103">
        <v>13.35</v>
      </c>
      <c r="DR103">
        <v>5.65</v>
      </c>
      <c r="DS103">
        <v>7.65</v>
      </c>
      <c r="DV103">
        <v>15.96</v>
      </c>
      <c r="DX103">
        <v>4.1900000000000004</v>
      </c>
      <c r="DY103">
        <v>8.74</v>
      </c>
      <c r="EB103">
        <v>16.18</v>
      </c>
      <c r="ED103">
        <v>6.43</v>
      </c>
      <c r="EE103">
        <v>7.61</v>
      </c>
      <c r="EI103">
        <v>7.64</v>
      </c>
      <c r="EJ103">
        <v>4.99</v>
      </c>
      <c r="EL103">
        <v>8.7100000000000009</v>
      </c>
      <c r="EM103">
        <v>15.21</v>
      </c>
      <c r="EO103">
        <v>9.32</v>
      </c>
      <c r="EP103">
        <v>10.01</v>
      </c>
      <c r="EQ103">
        <v>5.35</v>
      </c>
      <c r="ET103">
        <v>20.34</v>
      </c>
      <c r="EU103">
        <v>16.559999999999899</v>
      </c>
      <c r="EV103">
        <v>4.74</v>
      </c>
      <c r="EW103">
        <v>9.82</v>
      </c>
      <c r="EZ103">
        <v>17.34</v>
      </c>
      <c r="FB103">
        <v>7.68</v>
      </c>
      <c r="FC103">
        <v>6.95</v>
      </c>
      <c r="FF103">
        <v>8.82</v>
      </c>
      <c r="FG103">
        <v>9.91</v>
      </c>
      <c r="FH103">
        <v>7.9</v>
      </c>
      <c r="FI103">
        <v>8.41</v>
      </c>
      <c r="FL103">
        <v>16.27</v>
      </c>
      <c r="FN103">
        <v>6.83</v>
      </c>
      <c r="FO103">
        <v>9.07</v>
      </c>
      <c r="FR103">
        <v>16.71</v>
      </c>
      <c r="FT103">
        <v>5.6</v>
      </c>
      <c r="FU103">
        <v>7.93</v>
      </c>
      <c r="FX103">
        <v>16.600000000000001</v>
      </c>
      <c r="FZ103">
        <v>10.44</v>
      </c>
      <c r="GA103">
        <v>17.690000000000001</v>
      </c>
      <c r="GD103">
        <v>17.66</v>
      </c>
      <c r="GF103">
        <v>4.2</v>
      </c>
      <c r="GG103">
        <v>7.43</v>
      </c>
      <c r="GJ103">
        <v>18.21</v>
      </c>
      <c r="GL103">
        <v>8.8000000000000007</v>
      </c>
      <c r="GM103">
        <v>4.28</v>
      </c>
      <c r="GP103">
        <v>17.760000000000002</v>
      </c>
      <c r="GR103">
        <v>5.25</v>
      </c>
      <c r="GS103">
        <v>5.19</v>
      </c>
      <c r="GV103">
        <v>19.87</v>
      </c>
      <c r="GX103">
        <v>7.61</v>
      </c>
      <c r="GY103">
        <v>8.6199999999999903</v>
      </c>
      <c r="HB103">
        <v>14.8</v>
      </c>
      <c r="HD103">
        <v>6.28</v>
      </c>
      <c r="HE103">
        <v>7.81</v>
      </c>
      <c r="HH103">
        <v>18.07</v>
      </c>
      <c r="HJ103">
        <v>7.16</v>
      </c>
      <c r="HK103">
        <v>5.46</v>
      </c>
      <c r="HN103">
        <v>13.54</v>
      </c>
      <c r="HP103">
        <v>7.78</v>
      </c>
      <c r="HQ103">
        <v>8.5299999999999905</v>
      </c>
      <c r="HT103">
        <v>17.46</v>
      </c>
      <c r="HV103">
        <v>6.68</v>
      </c>
      <c r="HW103">
        <v>8.23</v>
      </c>
      <c r="HZ103">
        <v>8.94</v>
      </c>
      <c r="IB103">
        <v>6.78</v>
      </c>
      <c r="IC103">
        <v>9.6</v>
      </c>
      <c r="IF103">
        <v>12.49</v>
      </c>
      <c r="IH103">
        <v>6.88</v>
      </c>
      <c r="II103">
        <v>8.84</v>
      </c>
      <c r="IL103">
        <v>6.36</v>
      </c>
      <c r="IN103">
        <v>7.37</v>
      </c>
      <c r="IO103">
        <v>9.6199999999999903</v>
      </c>
      <c r="IR103">
        <v>16.63</v>
      </c>
      <c r="IT103">
        <v>7.45</v>
      </c>
      <c r="IU103">
        <v>8.93</v>
      </c>
      <c r="IX103">
        <v>16.489999999999899</v>
      </c>
      <c r="IZ103">
        <v>8.61</v>
      </c>
      <c r="JA103">
        <v>4.6399999999999899</v>
      </c>
      <c r="JD103">
        <v>17.3</v>
      </c>
      <c r="JF103">
        <v>6.53</v>
      </c>
      <c r="JG103">
        <v>9.15</v>
      </c>
      <c r="JJ103">
        <v>15.48</v>
      </c>
      <c r="JL103">
        <v>6.25</v>
      </c>
      <c r="JM103">
        <v>9.01</v>
      </c>
      <c r="JP103">
        <v>17.38</v>
      </c>
      <c r="JR103">
        <v>5.66</v>
      </c>
      <c r="JS103">
        <v>7.77</v>
      </c>
      <c r="JV103">
        <v>19.05</v>
      </c>
      <c r="JX103">
        <v>6.74</v>
      </c>
      <c r="JY103">
        <v>8.35</v>
      </c>
      <c r="KB103">
        <v>15.62</v>
      </c>
      <c r="KD103">
        <v>8.1999999999999904</v>
      </c>
      <c r="KE103">
        <v>6.87</v>
      </c>
      <c r="KH103">
        <v>16.22</v>
      </c>
      <c r="KJ103">
        <v>7.85</v>
      </c>
      <c r="KK103">
        <v>6.36</v>
      </c>
      <c r="KN103">
        <v>15.68</v>
      </c>
      <c r="KP103">
        <v>7.47</v>
      </c>
      <c r="KQ103">
        <v>6.45</v>
      </c>
      <c r="KT103">
        <v>16.170000000000002</v>
      </c>
      <c r="KV103">
        <v>6.62</v>
      </c>
      <c r="KW103">
        <v>6.18</v>
      </c>
      <c r="KZ103">
        <v>18</v>
      </c>
      <c r="LB103">
        <v>5.7</v>
      </c>
      <c r="LC103">
        <v>8.4600000000000009</v>
      </c>
      <c r="LF103">
        <v>16.38</v>
      </c>
    </row>
    <row r="104" spans="1:319" x14ac:dyDescent="0.2">
      <c r="A104" s="37" t="s">
        <v>443</v>
      </c>
      <c r="B104">
        <v>939.36999999999955</v>
      </c>
      <c r="C104">
        <v>18.064807692307685</v>
      </c>
      <c r="D104" s="37" t="s">
        <v>435</v>
      </c>
      <c r="E104" s="37" t="s">
        <v>444</v>
      </c>
      <c r="G104">
        <v>5.39</v>
      </c>
      <c r="I104">
        <v>14.06</v>
      </c>
      <c r="K104">
        <v>6.91</v>
      </c>
      <c r="M104">
        <v>8.7200000000000006</v>
      </c>
      <c r="O104">
        <v>5.79</v>
      </c>
      <c r="S104">
        <v>8.77</v>
      </c>
      <c r="U104">
        <v>4.99</v>
      </c>
      <c r="Y104">
        <v>14.05</v>
      </c>
      <c r="AA104">
        <v>6.29</v>
      </c>
      <c r="AE104">
        <v>9.68</v>
      </c>
      <c r="AG104">
        <v>7.24</v>
      </c>
      <c r="AK104">
        <v>9.4600000000000009</v>
      </c>
      <c r="AM104">
        <v>8.56</v>
      </c>
      <c r="AQ104">
        <v>8.48</v>
      </c>
      <c r="AS104">
        <v>7.92</v>
      </c>
      <c r="AW104">
        <v>7.38</v>
      </c>
      <c r="AY104">
        <v>6.7</v>
      </c>
      <c r="BD104">
        <v>8.01</v>
      </c>
      <c r="BE104">
        <v>8.67</v>
      </c>
      <c r="BI104">
        <v>7.83</v>
      </c>
      <c r="BK104">
        <v>7.67</v>
      </c>
      <c r="BO104">
        <v>16.62</v>
      </c>
      <c r="BQ104">
        <v>5.52</v>
      </c>
      <c r="BU104">
        <v>9.48</v>
      </c>
      <c r="BW104">
        <v>9.2799999999999905</v>
      </c>
      <c r="CB104">
        <v>7.99</v>
      </c>
      <c r="CD104">
        <v>7.41</v>
      </c>
      <c r="CH104">
        <v>8.66</v>
      </c>
      <c r="CJ104">
        <v>8.0500000000000007</v>
      </c>
      <c r="CN104">
        <v>8.18</v>
      </c>
      <c r="CP104">
        <v>7.25</v>
      </c>
      <c r="CT104">
        <v>8.23</v>
      </c>
      <c r="CU104">
        <v>6.26</v>
      </c>
      <c r="CV104">
        <v>5.57</v>
      </c>
      <c r="CZ104">
        <v>8.42</v>
      </c>
      <c r="DB104">
        <v>7.9</v>
      </c>
      <c r="DF104">
        <v>8.06</v>
      </c>
      <c r="DJ104">
        <v>9.36</v>
      </c>
      <c r="DM104">
        <v>5.0199999999999898</v>
      </c>
      <c r="DO104">
        <v>9.4</v>
      </c>
      <c r="DQ104">
        <v>7.7</v>
      </c>
      <c r="DS104">
        <v>5.27</v>
      </c>
      <c r="DU104">
        <v>6.18</v>
      </c>
      <c r="DY104">
        <v>8.7100000000000009</v>
      </c>
      <c r="EA104">
        <v>7.82</v>
      </c>
      <c r="EE104">
        <v>7.63</v>
      </c>
      <c r="EG104">
        <v>6.79</v>
      </c>
      <c r="EL104">
        <v>10.67</v>
      </c>
      <c r="EQ104">
        <v>8.76</v>
      </c>
      <c r="ES104">
        <v>7.58</v>
      </c>
      <c r="EW104">
        <v>8.81</v>
      </c>
      <c r="EX104">
        <v>7.06</v>
      </c>
      <c r="EY104">
        <v>7.26</v>
      </c>
      <c r="EZ104">
        <v>4.71</v>
      </c>
      <c r="FC104">
        <v>9.24</v>
      </c>
      <c r="FE104">
        <v>9.2100000000000009</v>
      </c>
      <c r="FI104">
        <v>8.19</v>
      </c>
      <c r="FK104">
        <v>7.7</v>
      </c>
      <c r="FO104">
        <v>9.01</v>
      </c>
      <c r="FQ104">
        <v>8.7799999999999905</v>
      </c>
      <c r="FU104">
        <v>8.66</v>
      </c>
      <c r="FW104">
        <v>9.2899999999999903</v>
      </c>
      <c r="GA104">
        <v>9.17</v>
      </c>
      <c r="GC104">
        <v>9.02</v>
      </c>
      <c r="GD104">
        <v>5.91</v>
      </c>
      <c r="GG104">
        <v>10.11</v>
      </c>
      <c r="GI104">
        <v>8.5</v>
      </c>
      <c r="GM104">
        <v>9.0500000000000007</v>
      </c>
      <c r="GO104">
        <v>8.85</v>
      </c>
      <c r="GS104">
        <v>9.41</v>
      </c>
      <c r="GU104">
        <v>8.76</v>
      </c>
      <c r="GY104">
        <v>8.16</v>
      </c>
      <c r="HA104">
        <v>7.42</v>
      </c>
      <c r="HE104">
        <v>10.59</v>
      </c>
      <c r="HG104">
        <v>8.02</v>
      </c>
      <c r="HK104">
        <v>10.38</v>
      </c>
      <c r="HM104">
        <v>8.9499999999999904</v>
      </c>
      <c r="HQ104">
        <v>10.19</v>
      </c>
      <c r="HS104">
        <v>9.98</v>
      </c>
      <c r="HW104">
        <v>9.92</v>
      </c>
      <c r="HY104">
        <v>8.75</v>
      </c>
      <c r="IC104">
        <v>9.57</v>
      </c>
      <c r="IE104">
        <v>7.54</v>
      </c>
      <c r="II104">
        <v>10.36</v>
      </c>
      <c r="IK104">
        <v>10.11</v>
      </c>
      <c r="IO104">
        <v>9.86</v>
      </c>
      <c r="IQ104">
        <v>8.0399999999999903</v>
      </c>
      <c r="IU104">
        <v>10.130000000000001</v>
      </c>
      <c r="IW104">
        <v>8.5500000000000007</v>
      </c>
      <c r="JA104">
        <v>10.49</v>
      </c>
      <c r="JC104">
        <v>7.26</v>
      </c>
      <c r="JG104">
        <v>9.6300000000000008</v>
      </c>
      <c r="JI104">
        <v>9.75</v>
      </c>
      <c r="JM104">
        <v>9.35</v>
      </c>
      <c r="JO104">
        <v>7.94</v>
      </c>
      <c r="JS104">
        <v>10.23</v>
      </c>
      <c r="JU104">
        <v>8.42</v>
      </c>
      <c r="JY104">
        <v>9.34</v>
      </c>
      <c r="KA104">
        <v>9.01</v>
      </c>
      <c r="KG104">
        <v>8.92</v>
      </c>
      <c r="KK104">
        <v>8.8000000000000007</v>
      </c>
      <c r="KL104">
        <v>8.0500000000000007</v>
      </c>
      <c r="KM104">
        <v>8.0500000000000007</v>
      </c>
      <c r="KQ104">
        <v>9.77</v>
      </c>
      <c r="KS104">
        <v>9.3000000000000007</v>
      </c>
      <c r="KW104">
        <v>8.77</v>
      </c>
      <c r="KY104">
        <v>8.44</v>
      </c>
      <c r="LA104">
        <v>9.68</v>
      </c>
      <c r="LC104">
        <v>9.4499999999999904</v>
      </c>
      <c r="LE104">
        <v>9.16</v>
      </c>
    </row>
    <row r="105" spans="1:319" x14ac:dyDescent="0.2">
      <c r="A105" s="37" t="s">
        <v>445</v>
      </c>
      <c r="B105">
        <v>1113.72</v>
      </c>
      <c r="C105">
        <v>21.41769230769231</v>
      </c>
      <c r="D105" s="37" t="s">
        <v>435</v>
      </c>
      <c r="E105" s="37" t="s">
        <v>436</v>
      </c>
      <c r="G105">
        <v>8.99</v>
      </c>
      <c r="I105">
        <v>8.33</v>
      </c>
      <c r="K105">
        <v>8.68</v>
      </c>
      <c r="M105">
        <v>6.35</v>
      </c>
      <c r="O105">
        <v>8.48</v>
      </c>
      <c r="Q105">
        <v>7.45</v>
      </c>
      <c r="S105">
        <v>7.38</v>
      </c>
      <c r="U105">
        <v>7.5</v>
      </c>
      <c r="W105">
        <v>6.75</v>
      </c>
      <c r="Y105">
        <v>8.6</v>
      </c>
      <c r="AA105">
        <v>8.84</v>
      </c>
      <c r="AC105">
        <v>8.14</v>
      </c>
      <c r="AE105">
        <v>8.5299999999999905</v>
      </c>
      <c r="AG105">
        <v>6.84</v>
      </c>
      <c r="AI105">
        <v>6.1</v>
      </c>
      <c r="AK105">
        <v>8.6300000000000008</v>
      </c>
      <c r="AM105">
        <v>6.13</v>
      </c>
      <c r="AO105">
        <v>6.04</v>
      </c>
      <c r="AQ105">
        <v>8.74</v>
      </c>
      <c r="AS105">
        <v>6.68</v>
      </c>
      <c r="AU105">
        <v>7.84</v>
      </c>
      <c r="AW105">
        <v>8.7100000000000009</v>
      </c>
      <c r="AY105">
        <v>6.29</v>
      </c>
      <c r="BA105">
        <v>4.7300000000000004</v>
      </c>
      <c r="BC105">
        <v>7.6</v>
      </c>
      <c r="BE105">
        <v>8.52</v>
      </c>
      <c r="BG105">
        <v>5.19</v>
      </c>
      <c r="BI105">
        <v>7.23</v>
      </c>
      <c r="BK105">
        <v>8.8699999999999903</v>
      </c>
      <c r="BM105">
        <v>7.7</v>
      </c>
      <c r="BO105">
        <v>9.3000000000000007</v>
      </c>
      <c r="BQ105">
        <v>7.73</v>
      </c>
      <c r="BS105">
        <v>9.7799999999999905</v>
      </c>
      <c r="BU105">
        <v>8.98</v>
      </c>
      <c r="BW105">
        <v>6.33</v>
      </c>
      <c r="BY105">
        <v>6.61</v>
      </c>
      <c r="CB105">
        <v>7.97</v>
      </c>
      <c r="CD105">
        <v>8.2100000000000009</v>
      </c>
      <c r="CF105">
        <v>6.79</v>
      </c>
      <c r="CH105">
        <v>9.5500000000000007</v>
      </c>
      <c r="CJ105">
        <v>7.94</v>
      </c>
      <c r="CL105">
        <v>8.1199999999999903</v>
      </c>
      <c r="CN105">
        <v>7.5</v>
      </c>
      <c r="CP105">
        <v>6.95</v>
      </c>
      <c r="CR105">
        <v>6.75</v>
      </c>
      <c r="CT105">
        <v>6.23</v>
      </c>
      <c r="CV105">
        <v>5.7</v>
      </c>
      <c r="CX105">
        <v>8.17</v>
      </c>
      <c r="CZ105">
        <v>8.2200000000000006</v>
      </c>
      <c r="DB105">
        <v>7.31</v>
      </c>
      <c r="DD105">
        <v>8.17</v>
      </c>
      <c r="DF105">
        <v>8.84</v>
      </c>
      <c r="DJ105">
        <v>7.44</v>
      </c>
      <c r="DO105">
        <v>8.41</v>
      </c>
      <c r="DR105">
        <v>9.5</v>
      </c>
      <c r="DS105">
        <v>4.49</v>
      </c>
      <c r="DU105">
        <v>8.24</v>
      </c>
      <c r="DW105">
        <v>10.34</v>
      </c>
      <c r="EA105">
        <v>9.02</v>
      </c>
      <c r="EC105">
        <v>8.7100000000000009</v>
      </c>
      <c r="EE105">
        <v>7.87</v>
      </c>
      <c r="EG105">
        <v>9.17</v>
      </c>
      <c r="EI105">
        <v>8.76</v>
      </c>
      <c r="EL105">
        <v>11.09</v>
      </c>
      <c r="EN105">
        <v>8.3699999999999903</v>
      </c>
      <c r="EQ105">
        <v>8.43</v>
      </c>
      <c r="ES105">
        <v>8.09</v>
      </c>
      <c r="EU105">
        <v>5.98</v>
      </c>
      <c r="EW105">
        <v>7.93</v>
      </c>
      <c r="EY105">
        <v>6.05</v>
      </c>
      <c r="FA105">
        <v>9.7799999999999905</v>
      </c>
      <c r="FC105">
        <v>7.79</v>
      </c>
      <c r="FE105">
        <v>5.09</v>
      </c>
      <c r="FG105">
        <v>9.1199999999999903</v>
      </c>
      <c r="FK105">
        <v>6.71</v>
      </c>
      <c r="FM105">
        <v>6.94</v>
      </c>
      <c r="FO105">
        <v>8.41</v>
      </c>
      <c r="FQ105">
        <v>5.65</v>
      </c>
      <c r="FS105">
        <v>6.56</v>
      </c>
      <c r="FU105">
        <v>8.9700000000000006</v>
      </c>
      <c r="FW105">
        <v>6.25</v>
      </c>
      <c r="FY105">
        <v>6.17</v>
      </c>
      <c r="GA105">
        <v>9.6999999999999904</v>
      </c>
      <c r="GC105">
        <v>6.93</v>
      </c>
      <c r="GE105">
        <v>6.26</v>
      </c>
      <c r="GG105">
        <v>8.82</v>
      </c>
      <c r="GI105">
        <v>7.34</v>
      </c>
      <c r="GK105">
        <v>6.45</v>
      </c>
      <c r="GM105">
        <v>9.8000000000000007</v>
      </c>
      <c r="GO105">
        <v>6.3</v>
      </c>
      <c r="GQ105">
        <v>4.83</v>
      </c>
      <c r="GS105">
        <v>8.67</v>
      </c>
      <c r="GU105">
        <v>6.25</v>
      </c>
      <c r="GW105">
        <v>10.88</v>
      </c>
      <c r="GY105">
        <v>8.32</v>
      </c>
      <c r="HA105">
        <v>7.2</v>
      </c>
      <c r="HC105">
        <v>5.58</v>
      </c>
      <c r="HE105">
        <v>8.5299999999999905</v>
      </c>
      <c r="HG105">
        <v>7.06</v>
      </c>
      <c r="HI105">
        <v>5.72</v>
      </c>
      <c r="HK105">
        <v>11.13</v>
      </c>
      <c r="HM105">
        <v>9.4</v>
      </c>
      <c r="HO105">
        <v>6.08</v>
      </c>
      <c r="HQ105">
        <v>8.9700000000000006</v>
      </c>
      <c r="HS105">
        <v>6.83</v>
      </c>
      <c r="HU105">
        <v>6.44</v>
      </c>
      <c r="HW105">
        <v>6.49</v>
      </c>
      <c r="HY105">
        <v>5.96</v>
      </c>
      <c r="IA105">
        <v>6.74</v>
      </c>
      <c r="IC105">
        <v>8.7100000000000009</v>
      </c>
      <c r="IG105">
        <v>6.07</v>
      </c>
      <c r="II105">
        <v>7.12</v>
      </c>
      <c r="IK105">
        <v>9</v>
      </c>
      <c r="IM105">
        <v>6.05</v>
      </c>
      <c r="IO105">
        <v>8.43</v>
      </c>
      <c r="IQ105">
        <v>6.53</v>
      </c>
      <c r="IS105">
        <v>5.86</v>
      </c>
      <c r="IU105">
        <v>6.61</v>
      </c>
      <c r="IW105">
        <v>6</v>
      </c>
      <c r="IY105">
        <v>5.04</v>
      </c>
      <c r="JA105">
        <v>7.9</v>
      </c>
      <c r="JC105">
        <v>5.66</v>
      </c>
      <c r="JE105">
        <v>6.06</v>
      </c>
      <c r="JG105">
        <v>8.4600000000000009</v>
      </c>
      <c r="JI105">
        <v>5.61</v>
      </c>
      <c r="JK105">
        <v>5.85</v>
      </c>
      <c r="JM105">
        <v>9.15</v>
      </c>
      <c r="JO105">
        <v>7.39</v>
      </c>
      <c r="JQ105">
        <v>4.78</v>
      </c>
      <c r="JS105">
        <v>8.31</v>
      </c>
      <c r="JU105">
        <v>6.12</v>
      </c>
      <c r="JW105">
        <v>7.99</v>
      </c>
      <c r="JY105">
        <v>8.5299999999999905</v>
      </c>
      <c r="KA105">
        <v>5.54</v>
      </c>
      <c r="KC105">
        <v>4.2</v>
      </c>
      <c r="KE105">
        <v>9.56</v>
      </c>
      <c r="KG105">
        <v>6.02</v>
      </c>
      <c r="KI105">
        <v>4.34</v>
      </c>
      <c r="KK105">
        <v>8.99</v>
      </c>
      <c r="KM105">
        <v>5.88</v>
      </c>
      <c r="KO105">
        <v>5.99</v>
      </c>
      <c r="KQ105">
        <v>7.56</v>
      </c>
      <c r="KS105">
        <v>6.27</v>
      </c>
      <c r="KU105">
        <v>4.84</v>
      </c>
      <c r="KW105">
        <v>6.28</v>
      </c>
      <c r="KY105">
        <v>6.6</v>
      </c>
      <c r="LA105">
        <v>6.39</v>
      </c>
      <c r="LC105">
        <v>8.93</v>
      </c>
      <c r="LE105">
        <v>8.6300000000000008</v>
      </c>
      <c r="LG105">
        <v>5.45</v>
      </c>
    </row>
    <row r="106" spans="1:319" x14ac:dyDescent="0.2">
      <c r="A106" s="37" t="s">
        <v>446</v>
      </c>
      <c r="B106">
        <v>1047.6300000000003</v>
      </c>
      <c r="C106">
        <v>20.146730769230775</v>
      </c>
      <c r="D106" s="37" t="s">
        <v>435</v>
      </c>
      <c r="E106" s="37" t="s">
        <v>444</v>
      </c>
      <c r="F106">
        <v>7.2</v>
      </c>
      <c r="H106">
        <v>6.9</v>
      </c>
      <c r="K106">
        <v>8.07</v>
      </c>
      <c r="L106">
        <v>5.51</v>
      </c>
      <c r="N106">
        <v>6.75</v>
      </c>
      <c r="Q106">
        <v>7.37</v>
      </c>
      <c r="R106">
        <v>7.26</v>
      </c>
      <c r="T106">
        <v>6.33</v>
      </c>
      <c r="W106">
        <v>6.65</v>
      </c>
      <c r="X106">
        <v>6.23</v>
      </c>
      <c r="Z106">
        <v>7.96</v>
      </c>
      <c r="AC106">
        <v>6.27</v>
      </c>
      <c r="AD106">
        <v>6.02</v>
      </c>
      <c r="AF106">
        <v>6.51</v>
      </c>
      <c r="AI106">
        <v>7.65</v>
      </c>
      <c r="AJ106">
        <v>7.06</v>
      </c>
      <c r="AL106">
        <v>6.16</v>
      </c>
      <c r="AO106">
        <v>6.51</v>
      </c>
      <c r="AP106">
        <v>6.51</v>
      </c>
      <c r="AR106">
        <v>6.66</v>
      </c>
      <c r="AU106">
        <v>6.06</v>
      </c>
      <c r="AV106">
        <v>5.95</v>
      </c>
      <c r="AX106">
        <v>6.2</v>
      </c>
      <c r="BA106">
        <v>7.79</v>
      </c>
      <c r="BB106">
        <v>5.17</v>
      </c>
      <c r="BD106">
        <v>6.93</v>
      </c>
      <c r="BG106">
        <v>7.13</v>
      </c>
      <c r="BH106">
        <v>5.75</v>
      </c>
      <c r="BJ106">
        <v>6.74</v>
      </c>
      <c r="BM106">
        <v>7.39</v>
      </c>
      <c r="BN106">
        <v>7.02</v>
      </c>
      <c r="BP106">
        <v>6.51</v>
      </c>
      <c r="BS106">
        <v>6.68</v>
      </c>
      <c r="BT106">
        <v>7.65</v>
      </c>
      <c r="BV106">
        <v>5.63</v>
      </c>
      <c r="BY106">
        <v>8.3699999999999903</v>
      </c>
      <c r="CA106">
        <v>6.8</v>
      </c>
      <c r="CC106">
        <v>7.09</v>
      </c>
      <c r="CF106">
        <v>7.31</v>
      </c>
      <c r="CG106">
        <v>8.48</v>
      </c>
      <c r="CI106">
        <v>6.88</v>
      </c>
      <c r="CL106">
        <v>7.75</v>
      </c>
      <c r="CM106">
        <v>5.97</v>
      </c>
      <c r="CO106">
        <v>7.42</v>
      </c>
      <c r="CR106">
        <v>6.74</v>
      </c>
      <c r="CS106">
        <v>6.92</v>
      </c>
      <c r="CU106">
        <v>6.64</v>
      </c>
      <c r="CX106">
        <v>6.59</v>
      </c>
      <c r="CY106">
        <v>7.32</v>
      </c>
      <c r="DA106">
        <v>6.14</v>
      </c>
      <c r="DD106">
        <v>7.73</v>
      </c>
      <c r="DE106">
        <v>5.28</v>
      </c>
      <c r="DG106">
        <v>6.49</v>
      </c>
      <c r="DL106">
        <v>4.9000000000000004</v>
      </c>
      <c r="DN106">
        <v>6.92</v>
      </c>
      <c r="DQ106">
        <v>6.73</v>
      </c>
      <c r="DR106">
        <v>7.2</v>
      </c>
      <c r="DT106">
        <v>5.96</v>
      </c>
      <c r="DW106">
        <v>7.36</v>
      </c>
      <c r="DX106">
        <v>5.19</v>
      </c>
      <c r="DZ106">
        <v>6.2</v>
      </c>
      <c r="EC106">
        <v>6.14</v>
      </c>
      <c r="ED106">
        <v>6.67</v>
      </c>
      <c r="EF106">
        <v>7.16</v>
      </c>
      <c r="EI106">
        <v>7.65</v>
      </c>
      <c r="EJ106">
        <v>7.55</v>
      </c>
      <c r="EL106">
        <v>9.19</v>
      </c>
      <c r="EN106">
        <v>7.33</v>
      </c>
      <c r="EP106">
        <v>6.98</v>
      </c>
      <c r="ER106">
        <v>6.22</v>
      </c>
      <c r="EU106">
        <v>7.18</v>
      </c>
      <c r="EV106">
        <v>6.34</v>
      </c>
      <c r="EX106">
        <v>6.71</v>
      </c>
      <c r="FA106">
        <v>7.64</v>
      </c>
      <c r="FB106">
        <v>5.22</v>
      </c>
      <c r="FD106">
        <v>7.25</v>
      </c>
      <c r="FG106">
        <v>7.28</v>
      </c>
      <c r="FH106">
        <v>6.29</v>
      </c>
      <c r="FJ106">
        <v>3.17</v>
      </c>
      <c r="FM106">
        <v>6.57</v>
      </c>
      <c r="FN106">
        <v>6.12</v>
      </c>
      <c r="FP106">
        <v>6.75</v>
      </c>
      <c r="FS106">
        <v>7.97</v>
      </c>
      <c r="FT106">
        <v>6.98</v>
      </c>
      <c r="FV106">
        <v>5.4</v>
      </c>
      <c r="FY106">
        <v>7.7</v>
      </c>
      <c r="FZ106">
        <v>6.45</v>
      </c>
      <c r="GB106">
        <v>10.84</v>
      </c>
      <c r="GE106">
        <v>7.67</v>
      </c>
      <c r="GF106">
        <v>6.27</v>
      </c>
      <c r="GH106">
        <v>6.58</v>
      </c>
      <c r="GK106">
        <v>7.7</v>
      </c>
      <c r="GL106">
        <v>6.72</v>
      </c>
      <c r="GN106">
        <v>5.45</v>
      </c>
      <c r="GQ106">
        <v>6.63</v>
      </c>
      <c r="GR106">
        <v>6.37</v>
      </c>
      <c r="GT106">
        <v>7.34</v>
      </c>
      <c r="GW106">
        <v>7.44</v>
      </c>
      <c r="GX106">
        <v>6.39</v>
      </c>
      <c r="HA106">
        <v>5.99</v>
      </c>
      <c r="HC106">
        <v>7.07</v>
      </c>
      <c r="HD106">
        <v>6.45</v>
      </c>
      <c r="HF106">
        <v>5.85</v>
      </c>
      <c r="HI106">
        <v>7.38</v>
      </c>
      <c r="HJ106">
        <v>6.99</v>
      </c>
      <c r="HL106">
        <v>5.37</v>
      </c>
      <c r="HO106">
        <v>8.4499999999999904</v>
      </c>
      <c r="HP106">
        <v>6.09</v>
      </c>
      <c r="HR106">
        <v>6.49</v>
      </c>
      <c r="HU106">
        <v>7.62</v>
      </c>
      <c r="HV106">
        <v>4.62</v>
      </c>
      <c r="HX106">
        <v>6.9</v>
      </c>
      <c r="IA106">
        <v>8.3000000000000007</v>
      </c>
      <c r="IB106">
        <v>7.76</v>
      </c>
      <c r="ID106">
        <v>5.71</v>
      </c>
      <c r="IG106">
        <v>6.22</v>
      </c>
      <c r="IH106">
        <v>8.51</v>
      </c>
      <c r="IJ106">
        <v>6.54</v>
      </c>
      <c r="IM106">
        <v>7.41</v>
      </c>
      <c r="IN106">
        <v>6.34</v>
      </c>
      <c r="IP106">
        <v>6.81</v>
      </c>
      <c r="IS106">
        <v>6.75</v>
      </c>
      <c r="IT106">
        <v>8.1300000000000008</v>
      </c>
      <c r="IV106">
        <v>6.57</v>
      </c>
      <c r="IY106">
        <v>7.7</v>
      </c>
      <c r="IZ106">
        <v>6.15</v>
      </c>
      <c r="JB106">
        <v>6.53</v>
      </c>
      <c r="JE106">
        <v>7.63</v>
      </c>
      <c r="JF106">
        <v>7.14</v>
      </c>
      <c r="JH106">
        <v>5.24</v>
      </c>
      <c r="JK106">
        <v>7.73</v>
      </c>
      <c r="JL106">
        <v>7.38</v>
      </c>
      <c r="JN106">
        <v>7.28</v>
      </c>
      <c r="JQ106">
        <v>6.39</v>
      </c>
      <c r="JR106">
        <v>7.68</v>
      </c>
      <c r="JT106">
        <v>6.17</v>
      </c>
      <c r="JW106">
        <v>7.78</v>
      </c>
      <c r="JX106">
        <v>6.44</v>
      </c>
      <c r="JZ106">
        <v>5.71</v>
      </c>
      <c r="KC106">
        <v>7.97</v>
      </c>
      <c r="KD106">
        <v>6.48</v>
      </c>
      <c r="KF106">
        <v>5.39</v>
      </c>
      <c r="KI106">
        <v>8.02</v>
      </c>
      <c r="KJ106">
        <v>5.87</v>
      </c>
      <c r="KL106">
        <v>5.52</v>
      </c>
      <c r="KP106">
        <v>7.15</v>
      </c>
      <c r="KR106">
        <v>4.29</v>
      </c>
      <c r="KU106">
        <v>7.9</v>
      </c>
      <c r="KV106">
        <v>6.38</v>
      </c>
      <c r="KX106">
        <v>6.51</v>
      </c>
      <c r="LA106">
        <v>6.8</v>
      </c>
      <c r="LD106">
        <v>8.41</v>
      </c>
      <c r="LE106">
        <v>8.39</v>
      </c>
      <c r="LG106">
        <v>7.41</v>
      </c>
    </row>
    <row r="107" spans="1:319" x14ac:dyDescent="0.2">
      <c r="A107" s="37" t="s">
        <v>447</v>
      </c>
      <c r="B107">
        <v>1675.8699999999997</v>
      </c>
      <c r="C107">
        <v>32.228269230769222</v>
      </c>
      <c r="D107" s="37" t="s">
        <v>435</v>
      </c>
      <c r="E107" s="37" t="s">
        <v>444</v>
      </c>
      <c r="F107">
        <v>16.71</v>
      </c>
      <c r="H107">
        <v>14.09</v>
      </c>
      <c r="J107">
        <v>6.87</v>
      </c>
      <c r="N107">
        <v>9.4700000000000006</v>
      </c>
      <c r="O107">
        <v>7.64</v>
      </c>
      <c r="P107">
        <v>7.9</v>
      </c>
      <c r="Q107">
        <v>7.71</v>
      </c>
      <c r="R107">
        <v>13.93</v>
      </c>
      <c r="T107">
        <v>16.89</v>
      </c>
      <c r="W107">
        <v>8.2100000000000009</v>
      </c>
      <c r="X107">
        <v>16.38</v>
      </c>
      <c r="Z107">
        <v>14.29</v>
      </c>
      <c r="AB107">
        <v>7.77</v>
      </c>
      <c r="AD107">
        <v>14.53</v>
      </c>
      <c r="AF107">
        <v>10.98</v>
      </c>
      <c r="AH107">
        <v>6.95</v>
      </c>
      <c r="AJ107">
        <v>13.2</v>
      </c>
      <c r="AL107">
        <v>10.74</v>
      </c>
      <c r="AN107">
        <v>6.87</v>
      </c>
      <c r="AP107">
        <v>13.29</v>
      </c>
      <c r="AR107">
        <v>11.85</v>
      </c>
      <c r="AT107">
        <v>8.09</v>
      </c>
      <c r="AV107">
        <v>13.33</v>
      </c>
      <c r="AX107">
        <v>14.11</v>
      </c>
      <c r="AZ107">
        <v>3.98</v>
      </c>
      <c r="BB107">
        <v>12.08</v>
      </c>
      <c r="BD107">
        <v>13.25</v>
      </c>
      <c r="BF107">
        <v>8.4600000000000009</v>
      </c>
      <c r="BH107">
        <v>7.56</v>
      </c>
      <c r="BJ107">
        <v>8.43</v>
      </c>
      <c r="BL107">
        <v>6.82</v>
      </c>
      <c r="BN107">
        <v>12.66</v>
      </c>
      <c r="BP107">
        <v>12.85</v>
      </c>
      <c r="BR107">
        <v>7.43</v>
      </c>
      <c r="BS107">
        <v>8.57</v>
      </c>
      <c r="BT107">
        <v>13.09</v>
      </c>
      <c r="BV107">
        <v>11.75</v>
      </c>
      <c r="CA107">
        <v>7.78</v>
      </c>
      <c r="CC107">
        <v>7.44</v>
      </c>
      <c r="CE107">
        <v>7.49</v>
      </c>
      <c r="CG107">
        <v>7.92</v>
      </c>
      <c r="CI107">
        <v>8.2799999999999905</v>
      </c>
      <c r="CK107">
        <v>8.6199999999999903</v>
      </c>
      <c r="CM107">
        <v>8.16</v>
      </c>
      <c r="CO107">
        <v>6.62</v>
      </c>
      <c r="CQ107">
        <v>7.76</v>
      </c>
      <c r="CS107">
        <v>15.88</v>
      </c>
      <c r="CU107">
        <v>13.35</v>
      </c>
      <c r="CW107">
        <v>4.5199999999999898</v>
      </c>
      <c r="CY107">
        <v>8.24</v>
      </c>
      <c r="DA107">
        <v>8.8000000000000007</v>
      </c>
      <c r="DC107">
        <v>8.2899999999999903</v>
      </c>
      <c r="DE107">
        <v>14.51</v>
      </c>
      <c r="DG107">
        <v>12.91</v>
      </c>
      <c r="DL107">
        <v>17.64</v>
      </c>
      <c r="DN107">
        <v>16.420000000000002</v>
      </c>
      <c r="DP107">
        <v>8.89</v>
      </c>
      <c r="DR107">
        <v>13.22</v>
      </c>
      <c r="DT107">
        <v>14.93</v>
      </c>
      <c r="DV107">
        <v>8.1999999999999904</v>
      </c>
      <c r="DX107">
        <v>12.01</v>
      </c>
      <c r="DZ107">
        <v>11.29</v>
      </c>
      <c r="EB107">
        <v>6.43</v>
      </c>
      <c r="ED107">
        <v>15.91</v>
      </c>
      <c r="EF107">
        <v>13.89</v>
      </c>
      <c r="EI107">
        <v>8.48</v>
      </c>
      <c r="EJ107">
        <v>14.93</v>
      </c>
      <c r="EK107">
        <v>5.0199999999999898</v>
      </c>
      <c r="EM107">
        <v>8.77</v>
      </c>
      <c r="EP107">
        <v>15.77</v>
      </c>
      <c r="ER107">
        <v>12.92</v>
      </c>
      <c r="ET107">
        <v>5.58</v>
      </c>
      <c r="EU107">
        <v>7.22</v>
      </c>
      <c r="EV107">
        <v>16.46</v>
      </c>
      <c r="EW107">
        <v>6.37</v>
      </c>
      <c r="EX107">
        <v>2.2400000000000002</v>
      </c>
      <c r="EZ107">
        <v>8.02</v>
      </c>
      <c r="FB107">
        <v>15.7</v>
      </c>
      <c r="FD107">
        <v>14.63</v>
      </c>
      <c r="FF107">
        <v>6.63</v>
      </c>
      <c r="FH107">
        <v>12.77</v>
      </c>
      <c r="FJ107">
        <v>13.06</v>
      </c>
      <c r="FL107">
        <v>5.43</v>
      </c>
      <c r="FN107">
        <v>17.55</v>
      </c>
      <c r="FP107">
        <v>14.93</v>
      </c>
      <c r="FR107">
        <v>9.34</v>
      </c>
      <c r="FT107">
        <v>13.47</v>
      </c>
      <c r="FV107">
        <v>11.06</v>
      </c>
      <c r="FX107">
        <v>7.44</v>
      </c>
      <c r="FZ107">
        <v>12.4</v>
      </c>
      <c r="GB107">
        <v>8.41</v>
      </c>
      <c r="GD107">
        <v>7.24</v>
      </c>
      <c r="GE107">
        <v>7.73</v>
      </c>
      <c r="GF107">
        <v>16.09</v>
      </c>
      <c r="GH107">
        <v>14.33</v>
      </c>
      <c r="GJ107">
        <v>6.2</v>
      </c>
      <c r="GL107">
        <v>17.670000000000002</v>
      </c>
      <c r="GN107">
        <v>13.15</v>
      </c>
      <c r="GP107">
        <v>5.71</v>
      </c>
      <c r="GR107">
        <v>17.09</v>
      </c>
      <c r="GT107">
        <v>10.49</v>
      </c>
      <c r="GV107">
        <v>6.84</v>
      </c>
      <c r="GX107">
        <v>17.079999999999899</v>
      </c>
      <c r="GZ107">
        <v>13.08</v>
      </c>
      <c r="HB107">
        <v>8.49</v>
      </c>
      <c r="HD107">
        <v>7.89</v>
      </c>
      <c r="HF107">
        <v>15.41</v>
      </c>
      <c r="HH107">
        <v>4.3</v>
      </c>
      <c r="HJ107">
        <v>13.93</v>
      </c>
      <c r="HL107">
        <v>10.28</v>
      </c>
      <c r="HN107">
        <v>4</v>
      </c>
      <c r="HP107">
        <v>9.42</v>
      </c>
      <c r="HR107">
        <v>13.8</v>
      </c>
      <c r="HT107">
        <v>6.84</v>
      </c>
      <c r="HV107">
        <v>18.600000000000001</v>
      </c>
      <c r="HX107">
        <v>12.14</v>
      </c>
      <c r="HZ107">
        <v>7.39</v>
      </c>
      <c r="IB107">
        <v>19.829999999999899</v>
      </c>
      <c r="ID107">
        <v>13.69</v>
      </c>
      <c r="IF107">
        <v>6.73</v>
      </c>
      <c r="IH107">
        <v>14.85</v>
      </c>
      <c r="IJ107">
        <v>8.33</v>
      </c>
      <c r="IL107">
        <v>7.7</v>
      </c>
      <c r="IM107">
        <v>6.76</v>
      </c>
      <c r="IN107">
        <v>7.83</v>
      </c>
      <c r="IP107">
        <v>13.25</v>
      </c>
      <c r="IR107">
        <v>5.7</v>
      </c>
      <c r="IT107">
        <v>11.71</v>
      </c>
      <c r="IV107">
        <v>6.93</v>
      </c>
      <c r="IX107">
        <v>9.52</v>
      </c>
      <c r="IZ107">
        <v>16.37</v>
      </c>
      <c r="JB107">
        <v>10.7</v>
      </c>
      <c r="JD107">
        <v>7.43</v>
      </c>
      <c r="JF107">
        <v>11.88</v>
      </c>
      <c r="JH107">
        <v>8.36</v>
      </c>
      <c r="JJ107">
        <v>7.68</v>
      </c>
      <c r="JL107">
        <v>12.68</v>
      </c>
      <c r="JN107">
        <v>7.37</v>
      </c>
      <c r="JP107">
        <v>6.16</v>
      </c>
      <c r="JR107">
        <v>12.82</v>
      </c>
      <c r="JT107">
        <v>11.65</v>
      </c>
      <c r="JV107">
        <v>8.06</v>
      </c>
      <c r="JX107">
        <v>13.02</v>
      </c>
      <c r="JZ107">
        <v>14.15</v>
      </c>
      <c r="KB107">
        <v>6.43</v>
      </c>
      <c r="KD107">
        <v>14.68</v>
      </c>
      <c r="KF107">
        <v>12.11</v>
      </c>
      <c r="KH107">
        <v>5.87</v>
      </c>
      <c r="KL107">
        <v>11.17</v>
      </c>
      <c r="KN107">
        <v>7.74</v>
      </c>
      <c r="KP107">
        <v>17.670000000000002</v>
      </c>
      <c r="KR107">
        <v>11.5</v>
      </c>
      <c r="KT107">
        <v>6.7</v>
      </c>
      <c r="KV107">
        <v>13.1</v>
      </c>
      <c r="KX107">
        <v>10.54</v>
      </c>
      <c r="KZ107">
        <v>6.82</v>
      </c>
      <c r="LB107">
        <v>9.17</v>
      </c>
      <c r="LF107">
        <v>7.29</v>
      </c>
    </row>
    <row r="108" spans="1:319" x14ac:dyDescent="0.2">
      <c r="A108" s="37" t="s">
        <v>448</v>
      </c>
      <c r="B108">
        <v>1181.9799999999998</v>
      </c>
      <c r="C108">
        <v>22.730384615384612</v>
      </c>
      <c r="D108" s="37" t="s">
        <v>435</v>
      </c>
      <c r="E108" s="37" t="s">
        <v>444</v>
      </c>
      <c r="G108">
        <v>8.19</v>
      </c>
      <c r="I108">
        <v>6.22</v>
      </c>
      <c r="K108">
        <v>9.74</v>
      </c>
      <c r="M108">
        <v>7.46</v>
      </c>
      <c r="O108">
        <v>7.38</v>
      </c>
      <c r="Q108">
        <v>9.0299999999999905</v>
      </c>
      <c r="S108">
        <v>7.48</v>
      </c>
      <c r="U108">
        <v>9.32</v>
      </c>
      <c r="W108">
        <v>7.23</v>
      </c>
      <c r="Y108">
        <v>7.79</v>
      </c>
      <c r="AA108">
        <v>16.600000000000001</v>
      </c>
      <c r="AC108">
        <v>7.94</v>
      </c>
      <c r="AE108">
        <v>9.83</v>
      </c>
      <c r="AI108">
        <v>8.7100000000000009</v>
      </c>
      <c r="AK108">
        <v>6.45</v>
      </c>
      <c r="AM108">
        <v>10.7</v>
      </c>
      <c r="AO108">
        <v>8.3000000000000007</v>
      </c>
      <c r="AQ108">
        <v>9.3699999999999903</v>
      </c>
      <c r="AS108">
        <v>5.39</v>
      </c>
      <c r="AU108">
        <v>10.17</v>
      </c>
      <c r="AZ108">
        <v>16.79</v>
      </c>
      <c r="BC108">
        <v>9.9</v>
      </c>
      <c r="BE108">
        <v>7.06</v>
      </c>
      <c r="BG108">
        <v>9.06</v>
      </c>
      <c r="BI108">
        <v>6.74</v>
      </c>
      <c r="BK108">
        <v>7.68</v>
      </c>
      <c r="BM108">
        <v>7.1</v>
      </c>
      <c r="BO108">
        <v>9.67</v>
      </c>
      <c r="BQ108">
        <v>8.24</v>
      </c>
      <c r="BS108">
        <v>9.59</v>
      </c>
      <c r="BU108">
        <v>8.06</v>
      </c>
      <c r="BW108">
        <v>9.44</v>
      </c>
      <c r="BY108">
        <v>6.57</v>
      </c>
      <c r="CB108">
        <v>7.78</v>
      </c>
      <c r="CF108">
        <v>7.66</v>
      </c>
      <c r="CH108">
        <v>9.86</v>
      </c>
      <c r="CJ108">
        <v>8.1</v>
      </c>
      <c r="CL108">
        <v>8.65</v>
      </c>
      <c r="CN108">
        <v>7.23</v>
      </c>
      <c r="CR108">
        <v>5.21</v>
      </c>
      <c r="CT108">
        <v>6.21</v>
      </c>
      <c r="CZ108">
        <v>5.74</v>
      </c>
      <c r="DB108">
        <v>9.23</v>
      </c>
      <c r="DD108">
        <v>8.7200000000000006</v>
      </c>
      <c r="DF108">
        <v>5.18</v>
      </c>
      <c r="DJ108">
        <v>8.41</v>
      </c>
      <c r="DM108">
        <v>7.04</v>
      </c>
      <c r="DO108">
        <v>9.4600000000000009</v>
      </c>
      <c r="DV108">
        <v>17.23</v>
      </c>
      <c r="DW108">
        <v>3.39</v>
      </c>
      <c r="DY108">
        <v>9.1199999999999903</v>
      </c>
      <c r="EA108">
        <v>7.04</v>
      </c>
      <c r="EC108">
        <v>8.5500000000000007</v>
      </c>
      <c r="EE108">
        <v>7.51</v>
      </c>
      <c r="EG108">
        <v>6.62</v>
      </c>
      <c r="EI108">
        <v>5.94</v>
      </c>
      <c r="EK108">
        <v>8.52</v>
      </c>
      <c r="EM108">
        <v>9.85</v>
      </c>
      <c r="EN108">
        <v>6.32</v>
      </c>
      <c r="EQ108">
        <v>8.19</v>
      </c>
      <c r="ES108">
        <v>4.97</v>
      </c>
      <c r="EU108">
        <v>7.9</v>
      </c>
      <c r="EW108">
        <v>8.09</v>
      </c>
      <c r="EY108">
        <v>7.94</v>
      </c>
      <c r="FA108">
        <v>5.89</v>
      </c>
      <c r="FC108">
        <v>6.95</v>
      </c>
      <c r="FE108">
        <v>6.75</v>
      </c>
      <c r="FG108">
        <v>9.94</v>
      </c>
      <c r="FI108">
        <v>8.31</v>
      </c>
      <c r="FK108">
        <v>8.6</v>
      </c>
      <c r="FM108">
        <v>1.67</v>
      </c>
      <c r="FO108">
        <v>8.92</v>
      </c>
      <c r="FQ108">
        <v>9.34</v>
      </c>
      <c r="FS108">
        <v>7.18</v>
      </c>
      <c r="FU108">
        <v>9.8800000000000008</v>
      </c>
      <c r="FW108">
        <v>7.03</v>
      </c>
      <c r="FY108">
        <v>9.4700000000000006</v>
      </c>
      <c r="GA108">
        <v>7.88</v>
      </c>
      <c r="GC108">
        <v>7.72</v>
      </c>
      <c r="GE108">
        <v>8.3699999999999903</v>
      </c>
      <c r="GG108">
        <v>7.5</v>
      </c>
      <c r="GI108">
        <v>9.42</v>
      </c>
      <c r="GK108">
        <v>8.51</v>
      </c>
      <c r="GM108">
        <v>9.14</v>
      </c>
      <c r="GO108">
        <v>6.02</v>
      </c>
      <c r="GS108">
        <v>9.36</v>
      </c>
      <c r="GU108">
        <v>9.1</v>
      </c>
      <c r="GW108">
        <v>10.67</v>
      </c>
      <c r="GY108">
        <v>9.6</v>
      </c>
      <c r="HA108">
        <v>7.56</v>
      </c>
      <c r="HC108">
        <v>6.78</v>
      </c>
      <c r="HE108">
        <v>9.66</v>
      </c>
      <c r="HG108">
        <v>7.71</v>
      </c>
      <c r="HI108">
        <v>8.75</v>
      </c>
      <c r="HK108">
        <v>7.14</v>
      </c>
      <c r="HM108">
        <v>6.19</v>
      </c>
      <c r="HO108">
        <v>8.35</v>
      </c>
      <c r="HQ108">
        <v>10.220000000000001</v>
      </c>
      <c r="HS108">
        <v>6.82</v>
      </c>
      <c r="HU108">
        <v>9.17</v>
      </c>
      <c r="HW108">
        <v>8.25</v>
      </c>
      <c r="HY108">
        <v>8.11</v>
      </c>
      <c r="IA108">
        <v>8.36</v>
      </c>
      <c r="IC108">
        <v>9.4600000000000009</v>
      </c>
      <c r="IE108">
        <v>7.87</v>
      </c>
      <c r="IG108">
        <v>6.37</v>
      </c>
      <c r="II108">
        <v>5.95</v>
      </c>
      <c r="IK108">
        <v>10.92</v>
      </c>
      <c r="IM108">
        <v>8.92</v>
      </c>
      <c r="IO108">
        <v>8.34</v>
      </c>
      <c r="IQ108">
        <v>7.55</v>
      </c>
      <c r="IS108">
        <v>5.97</v>
      </c>
      <c r="IU108">
        <v>9.35</v>
      </c>
      <c r="IW108">
        <v>8.4600000000000009</v>
      </c>
      <c r="IY108">
        <v>7.93</v>
      </c>
      <c r="JA108">
        <v>9.49</v>
      </c>
      <c r="JC108">
        <v>7.45</v>
      </c>
      <c r="JE108">
        <v>7.89</v>
      </c>
      <c r="JG108">
        <v>9.5399999999999903</v>
      </c>
      <c r="JI108">
        <v>9.25</v>
      </c>
      <c r="JK108">
        <v>5.97</v>
      </c>
      <c r="JM108">
        <v>10.5</v>
      </c>
      <c r="JO108">
        <v>7.02</v>
      </c>
      <c r="JQ108">
        <v>9.39</v>
      </c>
      <c r="JS108">
        <v>9.7100000000000009</v>
      </c>
      <c r="JU108">
        <v>9.94</v>
      </c>
      <c r="JW108">
        <v>6.55</v>
      </c>
      <c r="JY108">
        <v>7.64</v>
      </c>
      <c r="KA108">
        <v>6.78</v>
      </c>
      <c r="KC108">
        <v>10.15</v>
      </c>
      <c r="KE108">
        <v>8.99</v>
      </c>
      <c r="KG108">
        <v>8.0399999999999903</v>
      </c>
      <c r="KI108">
        <v>5.25</v>
      </c>
      <c r="KK108">
        <v>9.08</v>
      </c>
      <c r="KM108">
        <v>7.54</v>
      </c>
      <c r="KO108">
        <v>3.55</v>
      </c>
      <c r="KQ108">
        <v>9.6199999999999903</v>
      </c>
      <c r="KS108">
        <v>8.66</v>
      </c>
      <c r="KU108">
        <v>9.82</v>
      </c>
      <c r="KW108">
        <v>7.2</v>
      </c>
      <c r="KZ108">
        <v>5.85</v>
      </c>
      <c r="LC108">
        <v>9.31</v>
      </c>
      <c r="LE108">
        <v>6.23</v>
      </c>
      <c r="LG108">
        <v>11.33</v>
      </c>
    </row>
    <row r="109" spans="1:319" x14ac:dyDescent="0.2">
      <c r="A109" s="37" t="s">
        <v>449</v>
      </c>
      <c r="B109">
        <v>755.29999999999984</v>
      </c>
      <c r="C109">
        <v>14.524999999999997</v>
      </c>
      <c r="D109" s="37" t="s">
        <v>435</v>
      </c>
      <c r="E109" s="37" t="s">
        <v>436</v>
      </c>
      <c r="H109">
        <v>8.98</v>
      </c>
      <c r="K109">
        <v>7.16</v>
      </c>
      <c r="N109">
        <v>9.3000000000000007</v>
      </c>
      <c r="Q109">
        <v>6.42</v>
      </c>
      <c r="T109">
        <v>10.52</v>
      </c>
      <c r="W109">
        <v>8.4600000000000009</v>
      </c>
      <c r="Z109">
        <v>9.33</v>
      </c>
      <c r="AC109">
        <v>7.83</v>
      </c>
      <c r="AF109">
        <v>6.99</v>
      </c>
      <c r="AI109">
        <v>7.61</v>
      </c>
      <c r="AL109">
        <v>7.76</v>
      </c>
      <c r="AO109">
        <v>9.02</v>
      </c>
      <c r="AR109">
        <v>5.43</v>
      </c>
      <c r="AU109">
        <v>8.59</v>
      </c>
      <c r="AX109">
        <v>6.73</v>
      </c>
      <c r="BA109">
        <v>6.16</v>
      </c>
      <c r="BD109">
        <v>6.16</v>
      </c>
      <c r="BG109">
        <v>5.9</v>
      </c>
      <c r="BJ109">
        <v>7.06</v>
      </c>
      <c r="BM109">
        <v>7.73</v>
      </c>
      <c r="BP109">
        <v>6.59</v>
      </c>
      <c r="BS109">
        <v>8.09</v>
      </c>
      <c r="BV109">
        <v>7.15</v>
      </c>
      <c r="CC109">
        <v>7.61</v>
      </c>
      <c r="CF109">
        <v>5.75</v>
      </c>
      <c r="CI109">
        <v>7.35</v>
      </c>
      <c r="CL109">
        <v>9.15</v>
      </c>
      <c r="CO109">
        <v>7.59</v>
      </c>
      <c r="CR109">
        <v>6.83</v>
      </c>
      <c r="CU109">
        <v>6.82</v>
      </c>
      <c r="CX109">
        <v>7.09</v>
      </c>
      <c r="DA109">
        <v>7.42</v>
      </c>
      <c r="DG109">
        <v>8.9600000000000009</v>
      </c>
      <c r="DL109">
        <v>7.63</v>
      </c>
      <c r="DN109">
        <v>5.99</v>
      </c>
      <c r="DQ109">
        <v>8.1199999999999903</v>
      </c>
      <c r="DT109">
        <v>7.12</v>
      </c>
      <c r="DW109">
        <v>6.6</v>
      </c>
      <c r="DZ109">
        <v>7.59</v>
      </c>
      <c r="EC109">
        <v>5.73</v>
      </c>
      <c r="EE109">
        <v>6.8</v>
      </c>
      <c r="EF109">
        <v>7.92</v>
      </c>
      <c r="EI109">
        <v>7.06</v>
      </c>
      <c r="EK109">
        <v>6.23</v>
      </c>
      <c r="EN109">
        <v>7.68</v>
      </c>
      <c r="ER109">
        <v>7.36</v>
      </c>
      <c r="EU109">
        <v>7.25</v>
      </c>
      <c r="EX109">
        <v>7.25</v>
      </c>
      <c r="FA109">
        <v>6.83</v>
      </c>
      <c r="FD109">
        <v>6.16</v>
      </c>
      <c r="FG109">
        <v>8</v>
      </c>
      <c r="FJ109">
        <v>9.23</v>
      </c>
      <c r="FM109">
        <v>8.66</v>
      </c>
      <c r="FP109">
        <v>7.7</v>
      </c>
      <c r="FS109">
        <v>6.37</v>
      </c>
      <c r="FV109">
        <v>9.49</v>
      </c>
      <c r="FY109">
        <v>6.24</v>
      </c>
      <c r="GB109">
        <v>7.08</v>
      </c>
      <c r="GE109">
        <v>9.5399999999999903</v>
      </c>
      <c r="GH109">
        <v>6.83</v>
      </c>
      <c r="GK109">
        <v>5.96</v>
      </c>
      <c r="GN109">
        <v>8.07</v>
      </c>
      <c r="GQ109">
        <v>7.38</v>
      </c>
      <c r="GT109">
        <v>4.3099999999999898</v>
      </c>
      <c r="GW109">
        <v>10.1199999999999</v>
      </c>
      <c r="GZ109">
        <v>10.66</v>
      </c>
      <c r="HC109">
        <v>5.98</v>
      </c>
      <c r="HF109">
        <v>13.21</v>
      </c>
      <c r="HL109">
        <v>7.41</v>
      </c>
      <c r="HO109">
        <v>5.0599999999999898</v>
      </c>
      <c r="HR109">
        <v>7.54</v>
      </c>
      <c r="HU109">
        <v>6.8</v>
      </c>
      <c r="HX109">
        <v>8.76</v>
      </c>
      <c r="IA109">
        <v>10.1199999999999</v>
      </c>
      <c r="ID109">
        <v>5.55</v>
      </c>
      <c r="IG109">
        <v>5.57</v>
      </c>
      <c r="IJ109">
        <v>8.08</v>
      </c>
      <c r="IM109">
        <v>7.14</v>
      </c>
      <c r="IP109">
        <v>6.65</v>
      </c>
      <c r="IY109">
        <v>7.69</v>
      </c>
      <c r="JB109">
        <v>7.96</v>
      </c>
      <c r="JE109">
        <v>5.74</v>
      </c>
      <c r="JH109">
        <v>6.63</v>
      </c>
      <c r="JK109">
        <v>10.25</v>
      </c>
      <c r="JN109">
        <v>9.3699999999999903</v>
      </c>
      <c r="JQ109">
        <v>9.66</v>
      </c>
      <c r="JT109">
        <v>7.08</v>
      </c>
      <c r="JW109">
        <v>6.54</v>
      </c>
      <c r="JZ109">
        <v>7.13</v>
      </c>
      <c r="KC109">
        <v>9.68</v>
      </c>
      <c r="KF109">
        <v>5.25</v>
      </c>
      <c r="KI109">
        <v>6.66</v>
      </c>
      <c r="KL109">
        <v>9.09</v>
      </c>
      <c r="KO109">
        <v>8</v>
      </c>
      <c r="KR109">
        <v>6.32</v>
      </c>
      <c r="KU109">
        <v>9.9600000000000009</v>
      </c>
      <c r="KX109">
        <v>5.68</v>
      </c>
      <c r="LA109">
        <v>7.45</v>
      </c>
      <c r="LD109">
        <v>8.06</v>
      </c>
      <c r="LG109">
        <v>8.73</v>
      </c>
    </row>
    <row r="110" spans="1:319" x14ac:dyDescent="0.2">
      <c r="A110" s="37" t="s">
        <v>450</v>
      </c>
      <c r="B110">
        <v>389.49000000000012</v>
      </c>
      <c r="C110">
        <v>7.4901923076923103</v>
      </c>
      <c r="D110" s="37" t="s">
        <v>435</v>
      </c>
      <c r="E110" s="37" t="s">
        <v>444</v>
      </c>
      <c r="H110">
        <v>7.45</v>
      </c>
      <c r="N110">
        <v>8.6</v>
      </c>
      <c r="T110">
        <v>8.4700000000000006</v>
      </c>
      <c r="Z110">
        <v>8.24</v>
      </c>
      <c r="AF110">
        <v>7.3</v>
      </c>
      <c r="AL110">
        <v>4.6399999999999899</v>
      </c>
      <c r="AR110">
        <v>4.8</v>
      </c>
      <c r="AX110">
        <v>6.89</v>
      </c>
      <c r="BD110">
        <v>9.27</v>
      </c>
      <c r="BJ110">
        <v>5.48</v>
      </c>
      <c r="BP110">
        <v>8.56</v>
      </c>
      <c r="BV110">
        <v>5.63</v>
      </c>
      <c r="CC110">
        <v>2.12</v>
      </c>
      <c r="CO110">
        <v>4.57</v>
      </c>
      <c r="CU110">
        <v>4.4000000000000004</v>
      </c>
      <c r="CV110">
        <v>3.84</v>
      </c>
      <c r="CX110">
        <v>3.92</v>
      </c>
      <c r="DA110">
        <v>7.82</v>
      </c>
      <c r="DG110">
        <v>6.78</v>
      </c>
      <c r="DN110">
        <v>8.48</v>
      </c>
      <c r="DT110">
        <v>7.87</v>
      </c>
      <c r="DZ110">
        <v>8.0500000000000007</v>
      </c>
      <c r="EF110">
        <v>7.81</v>
      </c>
      <c r="EK110">
        <v>8.86</v>
      </c>
      <c r="ER110">
        <v>8.75</v>
      </c>
      <c r="EX110">
        <v>8.2100000000000009</v>
      </c>
      <c r="FD110">
        <v>8.99</v>
      </c>
      <c r="FJ110">
        <v>9.68</v>
      </c>
      <c r="FP110">
        <v>8.15</v>
      </c>
      <c r="FV110">
        <v>8.41</v>
      </c>
      <c r="GB110">
        <v>9.01</v>
      </c>
      <c r="GH110">
        <v>8.68</v>
      </c>
      <c r="GN110">
        <v>8.67</v>
      </c>
      <c r="GT110">
        <v>7.25</v>
      </c>
      <c r="GZ110">
        <v>7.77</v>
      </c>
      <c r="HF110">
        <v>7.21</v>
      </c>
      <c r="HL110">
        <v>7.08</v>
      </c>
      <c r="HR110">
        <v>9.24</v>
      </c>
      <c r="HX110">
        <v>7.67</v>
      </c>
      <c r="ID110">
        <v>7.16</v>
      </c>
      <c r="IJ110">
        <v>6.1</v>
      </c>
      <c r="IP110">
        <v>8.14</v>
      </c>
      <c r="IV110">
        <v>6.51</v>
      </c>
      <c r="JB110">
        <v>7.59</v>
      </c>
      <c r="JH110">
        <v>6.06</v>
      </c>
      <c r="JN110">
        <v>8.66</v>
      </c>
      <c r="JT110">
        <v>9.99</v>
      </c>
      <c r="JZ110">
        <v>8.7200000000000006</v>
      </c>
      <c r="KF110">
        <v>7.06</v>
      </c>
      <c r="KL110">
        <v>7.78</v>
      </c>
      <c r="KR110">
        <v>5.51</v>
      </c>
      <c r="KY110">
        <v>7.73</v>
      </c>
      <c r="LD110">
        <v>7.86</v>
      </c>
    </row>
    <row r="111" spans="1:319" x14ac:dyDescent="0.2">
      <c r="A111" s="37" t="s">
        <v>451</v>
      </c>
      <c r="B111">
        <v>1565.5299999999991</v>
      </c>
      <c r="C111">
        <v>30.106346153846136</v>
      </c>
      <c r="D111" s="37" t="s">
        <v>435</v>
      </c>
      <c r="E111" s="37" t="s">
        <v>444</v>
      </c>
      <c r="G111">
        <v>17.38</v>
      </c>
      <c r="J111">
        <v>14.61</v>
      </c>
      <c r="M111">
        <v>15.36</v>
      </c>
      <c r="P111">
        <v>11.92</v>
      </c>
      <c r="Q111">
        <v>5.82</v>
      </c>
      <c r="S111">
        <v>16.89</v>
      </c>
      <c r="V111">
        <v>12.24</v>
      </c>
      <c r="Y111">
        <v>10.1999999999999</v>
      </c>
      <c r="Z111">
        <v>7.18</v>
      </c>
      <c r="AB111">
        <v>17.16</v>
      </c>
      <c r="AE111">
        <v>15.43</v>
      </c>
      <c r="AH111">
        <v>14.03</v>
      </c>
      <c r="AK111">
        <v>15.61</v>
      </c>
      <c r="AN111">
        <v>12.82</v>
      </c>
      <c r="AQ111">
        <v>15.62</v>
      </c>
      <c r="AT111">
        <v>12.31</v>
      </c>
      <c r="AW111">
        <v>16.29</v>
      </c>
      <c r="AX111">
        <v>9.4600000000000009</v>
      </c>
      <c r="AZ111">
        <v>11.05</v>
      </c>
      <c r="BC111">
        <v>15.1</v>
      </c>
      <c r="BF111">
        <v>11.37</v>
      </c>
      <c r="BI111">
        <v>14.13</v>
      </c>
      <c r="BL111">
        <v>14.38</v>
      </c>
      <c r="BO111">
        <v>28.05</v>
      </c>
      <c r="BR111">
        <v>14.05</v>
      </c>
      <c r="BU111">
        <v>15.31</v>
      </c>
      <c r="BX111">
        <v>10.7</v>
      </c>
      <c r="CA111">
        <v>5.99</v>
      </c>
      <c r="CB111">
        <v>12.46</v>
      </c>
      <c r="CE111">
        <v>9.2799999999999905</v>
      </c>
      <c r="CH111">
        <v>17.47</v>
      </c>
      <c r="CK111">
        <v>13.62</v>
      </c>
      <c r="CL111">
        <v>8.42</v>
      </c>
      <c r="CN111">
        <v>22.81</v>
      </c>
      <c r="CQ111">
        <v>14.57</v>
      </c>
      <c r="CT111">
        <v>7.3</v>
      </c>
      <c r="CU111">
        <v>7.33</v>
      </c>
      <c r="CV111">
        <v>5.79</v>
      </c>
      <c r="CW111">
        <v>14.58</v>
      </c>
      <c r="CZ111">
        <v>15.06</v>
      </c>
      <c r="DC111">
        <v>14.61</v>
      </c>
      <c r="DF111">
        <v>16.12</v>
      </c>
      <c r="DJ111">
        <v>6.01</v>
      </c>
      <c r="DM111">
        <v>13.11</v>
      </c>
      <c r="DP111">
        <v>12.77</v>
      </c>
      <c r="DS111">
        <v>14.77</v>
      </c>
      <c r="DV111">
        <v>12.91</v>
      </c>
      <c r="DY111">
        <v>17.66</v>
      </c>
      <c r="EB111">
        <v>11.55</v>
      </c>
      <c r="EE111">
        <v>15.73</v>
      </c>
      <c r="EI111">
        <v>7.16</v>
      </c>
      <c r="EM111">
        <v>6.6</v>
      </c>
      <c r="EN111">
        <v>6.12</v>
      </c>
      <c r="EO111">
        <v>17.600000000000001</v>
      </c>
      <c r="EQ111">
        <v>13.98</v>
      </c>
      <c r="ET111">
        <v>13.58</v>
      </c>
      <c r="EU111">
        <v>9.9700000000000006</v>
      </c>
      <c r="EW111">
        <v>15.94</v>
      </c>
      <c r="EZ111">
        <v>14.18</v>
      </c>
      <c r="FC111">
        <v>17.239999999999899</v>
      </c>
      <c r="FF111">
        <v>11.4</v>
      </c>
      <c r="FI111">
        <v>8.2899999999999903</v>
      </c>
      <c r="FL111">
        <v>15.1</v>
      </c>
      <c r="FO111">
        <v>14.21</v>
      </c>
      <c r="FR111">
        <v>12.52</v>
      </c>
      <c r="FS111">
        <v>8.5500000000000007</v>
      </c>
      <c r="FU111">
        <v>13.48</v>
      </c>
      <c r="FX111">
        <v>9.06</v>
      </c>
      <c r="GA111">
        <v>14.8</v>
      </c>
      <c r="GD111">
        <v>13.27</v>
      </c>
      <c r="GE111">
        <v>8.56</v>
      </c>
      <c r="GG111">
        <v>24.05</v>
      </c>
      <c r="GJ111">
        <v>12.43</v>
      </c>
      <c r="GM111">
        <v>13.08</v>
      </c>
      <c r="GP111">
        <v>8.1199999999999903</v>
      </c>
      <c r="GS111">
        <v>14.08</v>
      </c>
      <c r="GV111">
        <v>31.43</v>
      </c>
      <c r="GY111">
        <v>12.75</v>
      </c>
      <c r="HB111">
        <v>13.6</v>
      </c>
      <c r="HE111">
        <v>15.97</v>
      </c>
      <c r="HH111">
        <v>13.84</v>
      </c>
      <c r="HK111">
        <v>15.41</v>
      </c>
      <c r="HN111">
        <v>13.56</v>
      </c>
      <c r="HQ111">
        <v>15.79</v>
      </c>
      <c r="HT111">
        <v>13.62</v>
      </c>
      <c r="HW111">
        <v>12.55</v>
      </c>
      <c r="HZ111">
        <v>12.41</v>
      </c>
      <c r="IC111">
        <v>16.239999999999899</v>
      </c>
      <c r="IF111">
        <v>11.77</v>
      </c>
      <c r="II111">
        <v>17.760000000000002</v>
      </c>
      <c r="IJ111">
        <v>7.9</v>
      </c>
      <c r="IL111">
        <v>12.92</v>
      </c>
      <c r="IO111">
        <v>17.27</v>
      </c>
      <c r="IR111">
        <v>12.17</v>
      </c>
      <c r="IU111">
        <v>15.55</v>
      </c>
      <c r="IX111">
        <v>14.56</v>
      </c>
      <c r="JA111">
        <v>14.36</v>
      </c>
      <c r="JD111">
        <v>11.09</v>
      </c>
      <c r="JG111">
        <v>16.7</v>
      </c>
      <c r="JJ111">
        <v>11.78</v>
      </c>
      <c r="JM111">
        <v>17.559999999999899</v>
      </c>
      <c r="JP111">
        <v>14.1</v>
      </c>
      <c r="JS111">
        <v>14.44</v>
      </c>
      <c r="JV111">
        <v>12.76</v>
      </c>
      <c r="JY111">
        <v>14.06</v>
      </c>
      <c r="KB111">
        <v>10.54</v>
      </c>
      <c r="KE111">
        <v>15.51</v>
      </c>
      <c r="KH111">
        <v>16.170000000000002</v>
      </c>
      <c r="KK111">
        <v>16.68</v>
      </c>
      <c r="KN111">
        <v>16.399999999999899</v>
      </c>
      <c r="KQ111">
        <v>16.98</v>
      </c>
      <c r="KT111">
        <v>10.210000000000001</v>
      </c>
      <c r="KW111">
        <v>14.5</v>
      </c>
      <c r="KZ111">
        <v>9.85</v>
      </c>
      <c r="LC111">
        <v>15.12</v>
      </c>
      <c r="LF111">
        <v>11.89</v>
      </c>
    </row>
    <row r="112" spans="1:319" x14ac:dyDescent="0.2">
      <c r="A112" s="37" t="s">
        <v>452</v>
      </c>
      <c r="B112">
        <v>1365.3399999999997</v>
      </c>
      <c r="C112">
        <v>26.256538461538454</v>
      </c>
      <c r="D112" s="37" t="s">
        <v>435</v>
      </c>
      <c r="E112" s="37" t="s">
        <v>444</v>
      </c>
      <c r="F112">
        <v>6.5</v>
      </c>
      <c r="H112">
        <v>8.2899999999999903</v>
      </c>
      <c r="J112">
        <v>9.91</v>
      </c>
      <c r="L112">
        <v>9.1</v>
      </c>
      <c r="N112">
        <v>7.81</v>
      </c>
      <c r="P112">
        <v>7.9</v>
      </c>
      <c r="R112">
        <v>8.99</v>
      </c>
      <c r="T112">
        <v>7.68</v>
      </c>
      <c r="V112">
        <v>9.81</v>
      </c>
      <c r="X112">
        <v>8.41</v>
      </c>
      <c r="Z112">
        <v>9.93</v>
      </c>
      <c r="AB112">
        <v>8.9600000000000009</v>
      </c>
      <c r="AD112">
        <v>8.91</v>
      </c>
      <c r="AF112">
        <v>9.57</v>
      </c>
      <c r="AG112">
        <v>9.07</v>
      </c>
      <c r="AH112">
        <v>5.24</v>
      </c>
      <c r="AJ112">
        <v>8.14</v>
      </c>
      <c r="AL112">
        <v>9.41</v>
      </c>
      <c r="AN112">
        <v>8.6300000000000008</v>
      </c>
      <c r="AP112">
        <v>8.93</v>
      </c>
      <c r="AR112">
        <v>8.11</v>
      </c>
      <c r="AT112">
        <v>8.93</v>
      </c>
      <c r="AV112">
        <v>9.68</v>
      </c>
      <c r="AX112">
        <v>10.0299999999999</v>
      </c>
      <c r="AZ112">
        <v>17.47</v>
      </c>
      <c r="BB112">
        <v>9.85</v>
      </c>
      <c r="BD112">
        <v>9.16</v>
      </c>
      <c r="BF112">
        <v>9.4600000000000009</v>
      </c>
      <c r="BH112">
        <v>8.7799999999999905</v>
      </c>
      <c r="BJ112">
        <v>6.99</v>
      </c>
      <c r="BL112">
        <v>7.79</v>
      </c>
      <c r="BN112">
        <v>8.92</v>
      </c>
      <c r="BP112">
        <v>9.17</v>
      </c>
      <c r="BR112">
        <v>8.82</v>
      </c>
      <c r="BS112">
        <v>8.7899999999999903</v>
      </c>
      <c r="BT112">
        <v>10.0299999999999</v>
      </c>
      <c r="BV112">
        <v>9.74</v>
      </c>
      <c r="BX112">
        <v>8.0399999999999903</v>
      </c>
      <c r="CA112">
        <v>8.27</v>
      </c>
      <c r="CC112">
        <v>7.43</v>
      </c>
      <c r="CD112">
        <v>7.88</v>
      </c>
      <c r="CE112">
        <v>6.03</v>
      </c>
      <c r="CG112">
        <v>10.01</v>
      </c>
      <c r="CI112">
        <v>8.06</v>
      </c>
      <c r="CK112">
        <v>6.52</v>
      </c>
      <c r="CM112">
        <v>8.25</v>
      </c>
      <c r="CO112">
        <v>7.33</v>
      </c>
      <c r="CP112">
        <v>5.71</v>
      </c>
      <c r="CQ112">
        <v>8.32</v>
      </c>
      <c r="CS112">
        <v>8.91</v>
      </c>
      <c r="CU112">
        <v>8.82</v>
      </c>
      <c r="CW112">
        <v>8.5399999999999903</v>
      </c>
      <c r="CY112">
        <v>8.82</v>
      </c>
      <c r="DA112">
        <v>9.16</v>
      </c>
      <c r="DC112">
        <v>9.07</v>
      </c>
      <c r="DE112">
        <v>8.01</v>
      </c>
      <c r="DG112">
        <v>7.25</v>
      </c>
      <c r="DL112">
        <v>9.8699999999999903</v>
      </c>
      <c r="DN112">
        <v>9.07</v>
      </c>
      <c r="DP112">
        <v>8.41</v>
      </c>
      <c r="DR112">
        <v>9.48</v>
      </c>
      <c r="DV112">
        <v>17.64</v>
      </c>
      <c r="DX112">
        <v>8.2100000000000009</v>
      </c>
      <c r="DZ112">
        <v>7.48</v>
      </c>
      <c r="EB112">
        <v>7.33</v>
      </c>
      <c r="ED112">
        <v>7.66</v>
      </c>
      <c r="EF112">
        <v>6.83</v>
      </c>
      <c r="EJ112">
        <v>9.66</v>
      </c>
      <c r="EK112">
        <v>8.24</v>
      </c>
      <c r="EM112">
        <v>8.76</v>
      </c>
      <c r="EO112">
        <v>8.2200000000000006</v>
      </c>
      <c r="EP112">
        <v>9.2200000000000006</v>
      </c>
      <c r="ER112">
        <v>17.079999999999899</v>
      </c>
      <c r="ET112">
        <v>7.12</v>
      </c>
      <c r="EV112">
        <v>8.8699999999999903</v>
      </c>
      <c r="EX112">
        <v>6.96</v>
      </c>
      <c r="EY112">
        <v>8.07</v>
      </c>
      <c r="EZ112">
        <v>7.71</v>
      </c>
      <c r="FB112">
        <v>8.7799999999999905</v>
      </c>
      <c r="FD112">
        <v>8.01</v>
      </c>
      <c r="FF112">
        <v>9.42</v>
      </c>
      <c r="FH112">
        <v>6.5</v>
      </c>
      <c r="FJ112">
        <v>7.61</v>
      </c>
      <c r="FL112">
        <v>6.33</v>
      </c>
      <c r="FN112">
        <v>5.14</v>
      </c>
      <c r="FP112">
        <v>9.57</v>
      </c>
      <c r="FQ112">
        <v>7.06</v>
      </c>
      <c r="FR112">
        <v>8.86</v>
      </c>
      <c r="FT112">
        <v>6.03</v>
      </c>
      <c r="FV112">
        <v>9.6</v>
      </c>
      <c r="FX112">
        <v>8.82</v>
      </c>
      <c r="FZ112">
        <v>8.7799999999999905</v>
      </c>
      <c r="GB112">
        <v>15.15</v>
      </c>
      <c r="GD112">
        <v>5.93</v>
      </c>
      <c r="GF112">
        <v>10.3</v>
      </c>
      <c r="GH112">
        <v>9.25</v>
      </c>
      <c r="GJ112">
        <v>8.1</v>
      </c>
      <c r="GL112">
        <v>6.22</v>
      </c>
      <c r="GN112">
        <v>8.49</v>
      </c>
      <c r="GP112">
        <v>7.17</v>
      </c>
      <c r="GR112">
        <v>9.07</v>
      </c>
      <c r="GS112">
        <v>8.2200000000000006</v>
      </c>
      <c r="GT112">
        <v>5.28</v>
      </c>
      <c r="GV112">
        <v>7.98</v>
      </c>
      <c r="GX112">
        <v>7.57</v>
      </c>
      <c r="GZ112">
        <v>9.7799999999999905</v>
      </c>
      <c r="HB112">
        <v>5.59</v>
      </c>
      <c r="HF112">
        <v>10.36</v>
      </c>
      <c r="HJ112">
        <v>5.58</v>
      </c>
      <c r="HL112">
        <v>8.75</v>
      </c>
      <c r="HN112">
        <v>7.28</v>
      </c>
      <c r="HP112">
        <v>9.89</v>
      </c>
      <c r="HR112">
        <v>7.68</v>
      </c>
      <c r="HT112">
        <v>5.66</v>
      </c>
      <c r="HV112">
        <v>9.44</v>
      </c>
      <c r="HX112">
        <v>8.4</v>
      </c>
      <c r="HZ112">
        <v>9.35</v>
      </c>
      <c r="IB112">
        <v>9.36</v>
      </c>
      <c r="ID112">
        <v>7.03</v>
      </c>
      <c r="IF112">
        <v>6.3</v>
      </c>
      <c r="IH112">
        <v>10.57</v>
      </c>
      <c r="IJ112">
        <v>10.33</v>
      </c>
      <c r="IL112">
        <v>10.17</v>
      </c>
      <c r="IN112">
        <v>8.1300000000000008</v>
      </c>
      <c r="IP112">
        <v>7.53</v>
      </c>
      <c r="IR112">
        <v>7.26</v>
      </c>
      <c r="IT112">
        <v>9.7100000000000009</v>
      </c>
      <c r="IV112">
        <v>9.93</v>
      </c>
      <c r="IX112">
        <v>6.24</v>
      </c>
      <c r="IZ112">
        <v>9.2899999999999903</v>
      </c>
      <c r="JB112">
        <v>7.65</v>
      </c>
      <c r="JD112">
        <v>9.17</v>
      </c>
      <c r="JF112">
        <v>10.24</v>
      </c>
      <c r="JH112">
        <v>10.69</v>
      </c>
      <c r="JJ112">
        <v>8.7100000000000009</v>
      </c>
      <c r="JL112">
        <v>7.72</v>
      </c>
      <c r="JN112">
        <v>8.1199999999999903</v>
      </c>
      <c r="JP112">
        <v>5.44</v>
      </c>
      <c r="JR112">
        <v>10.11</v>
      </c>
      <c r="JT112">
        <v>9.89</v>
      </c>
      <c r="JV112">
        <v>8.74</v>
      </c>
      <c r="JX112">
        <v>9.3699999999999903</v>
      </c>
      <c r="JZ112">
        <v>8.9700000000000006</v>
      </c>
      <c r="KB112">
        <v>7.09</v>
      </c>
      <c r="KD112">
        <v>7.9</v>
      </c>
      <c r="KF112">
        <v>8.51</v>
      </c>
      <c r="KH112">
        <v>6.77</v>
      </c>
      <c r="KI112">
        <v>2.19</v>
      </c>
      <c r="KJ112">
        <v>8.61</v>
      </c>
      <c r="KL112">
        <v>6.96</v>
      </c>
      <c r="KN112">
        <v>9.5299999999999905</v>
      </c>
      <c r="KP112">
        <v>6.61</v>
      </c>
      <c r="KR112">
        <v>8.65</v>
      </c>
      <c r="KT112">
        <v>10.02</v>
      </c>
      <c r="KV112">
        <v>8.81</v>
      </c>
      <c r="KX112">
        <v>9.61</v>
      </c>
      <c r="LA112">
        <v>10.1199999999999</v>
      </c>
      <c r="LB112">
        <v>9.68</v>
      </c>
      <c r="LD112">
        <v>8.02</v>
      </c>
      <c r="LF112">
        <v>7.36</v>
      </c>
    </row>
    <row r="113" spans="1:319" x14ac:dyDescent="0.2">
      <c r="A113" s="37" t="s">
        <v>453</v>
      </c>
      <c r="B113">
        <v>1364.089999999999</v>
      </c>
      <c r="C113">
        <v>26.23249999999998</v>
      </c>
      <c r="D113" s="37" t="s">
        <v>435</v>
      </c>
      <c r="E113" s="37" t="s">
        <v>436</v>
      </c>
      <c r="F113">
        <v>5.28</v>
      </c>
      <c r="H113">
        <v>8.77</v>
      </c>
      <c r="I113">
        <v>4.8499999999999899</v>
      </c>
      <c r="K113">
        <v>6.14</v>
      </c>
      <c r="L113">
        <v>5.62</v>
      </c>
      <c r="N113">
        <v>6.83</v>
      </c>
      <c r="O113">
        <v>7.84</v>
      </c>
      <c r="Q113">
        <v>6.65</v>
      </c>
      <c r="R113">
        <v>8.92</v>
      </c>
      <c r="T113">
        <v>9.16</v>
      </c>
      <c r="U113">
        <v>6.63</v>
      </c>
      <c r="W113">
        <v>5.31</v>
      </c>
      <c r="X113">
        <v>7.12</v>
      </c>
      <c r="Z113">
        <v>9.77</v>
      </c>
      <c r="AA113">
        <v>7.01</v>
      </c>
      <c r="AC113">
        <v>7.32</v>
      </c>
      <c r="AI113">
        <v>8.34</v>
      </c>
      <c r="AJ113">
        <v>6.16</v>
      </c>
      <c r="AL113">
        <v>9.5</v>
      </c>
      <c r="AM113">
        <v>4.08</v>
      </c>
      <c r="AO113">
        <v>6.71</v>
      </c>
      <c r="AP113">
        <v>5.95</v>
      </c>
      <c r="AR113">
        <v>10.06</v>
      </c>
      <c r="AS113">
        <v>3.33</v>
      </c>
      <c r="AV113">
        <v>1.49</v>
      </c>
      <c r="BB113">
        <v>7.04</v>
      </c>
      <c r="BD113">
        <v>9.2799999999999905</v>
      </c>
      <c r="BE113">
        <v>6.05</v>
      </c>
      <c r="BG113">
        <v>6.86</v>
      </c>
      <c r="BH113">
        <v>6.59</v>
      </c>
      <c r="BJ113">
        <v>9.5500000000000007</v>
      </c>
      <c r="BK113">
        <v>6.58</v>
      </c>
      <c r="BM113">
        <v>7.93</v>
      </c>
      <c r="BN113">
        <v>6.41</v>
      </c>
      <c r="BP113">
        <v>8.58</v>
      </c>
      <c r="BR113">
        <v>6.15</v>
      </c>
      <c r="BS113">
        <v>5.55</v>
      </c>
      <c r="BT113">
        <v>8.1199999999999903</v>
      </c>
      <c r="BV113">
        <v>9.77</v>
      </c>
      <c r="BX113">
        <v>6.44</v>
      </c>
      <c r="BY113">
        <v>4.82</v>
      </c>
      <c r="CA113">
        <v>8.3699999999999903</v>
      </c>
      <c r="CC113">
        <v>8</v>
      </c>
      <c r="CD113">
        <v>5.01</v>
      </c>
      <c r="CF113">
        <v>5.29</v>
      </c>
      <c r="CG113">
        <v>6.34</v>
      </c>
      <c r="CH113">
        <v>6.57</v>
      </c>
      <c r="CJ113">
        <v>6.87</v>
      </c>
      <c r="CL113">
        <v>7.18</v>
      </c>
      <c r="CM113">
        <v>6.4</v>
      </c>
      <c r="CO113">
        <v>8.25</v>
      </c>
      <c r="CP113">
        <v>8.48</v>
      </c>
      <c r="CR113">
        <v>7.47</v>
      </c>
      <c r="CS113">
        <v>7.55</v>
      </c>
      <c r="CU113">
        <v>9.25</v>
      </c>
      <c r="CV113">
        <v>6.42</v>
      </c>
      <c r="CX113">
        <v>7.38</v>
      </c>
      <c r="CY113">
        <v>5.26</v>
      </c>
      <c r="CZ113">
        <v>5.38</v>
      </c>
      <c r="DA113">
        <v>3.06</v>
      </c>
      <c r="DB113">
        <v>4.4000000000000004</v>
      </c>
      <c r="DE113">
        <v>4.63</v>
      </c>
      <c r="DG113">
        <v>15.57</v>
      </c>
      <c r="DJ113">
        <v>8.83</v>
      </c>
      <c r="DL113">
        <v>5.0599999999999898</v>
      </c>
      <c r="DN113">
        <v>8.75</v>
      </c>
      <c r="DO113">
        <v>4.18</v>
      </c>
      <c r="DR113">
        <v>7.24</v>
      </c>
      <c r="DT113">
        <v>7.73</v>
      </c>
      <c r="DU113">
        <v>6.24</v>
      </c>
      <c r="DV113">
        <v>8.16</v>
      </c>
      <c r="DW113">
        <v>6.68</v>
      </c>
      <c r="DX113">
        <v>7.53</v>
      </c>
      <c r="DZ113">
        <v>5.32</v>
      </c>
      <c r="EA113">
        <v>4.38</v>
      </c>
      <c r="EB113">
        <v>3.3</v>
      </c>
      <c r="EC113">
        <v>3.95</v>
      </c>
      <c r="ED113">
        <v>6.37</v>
      </c>
      <c r="EF113">
        <v>8.2200000000000006</v>
      </c>
      <c r="EG113">
        <v>5.38</v>
      </c>
      <c r="EI113">
        <v>6.91</v>
      </c>
      <c r="EJ113">
        <v>6.36</v>
      </c>
      <c r="EK113">
        <v>6.08</v>
      </c>
      <c r="EL113">
        <v>5.42</v>
      </c>
      <c r="EN113">
        <v>8.58</v>
      </c>
      <c r="EP113">
        <v>8.51</v>
      </c>
      <c r="EQ113">
        <v>7.18</v>
      </c>
      <c r="ER113">
        <v>4.4000000000000004</v>
      </c>
      <c r="ES113">
        <v>2.88</v>
      </c>
      <c r="EU113">
        <v>8.42</v>
      </c>
      <c r="EV113">
        <v>4.87</v>
      </c>
      <c r="EX113">
        <v>8.93</v>
      </c>
      <c r="EY113">
        <v>3.23</v>
      </c>
      <c r="FA113">
        <v>8.0299999999999905</v>
      </c>
      <c r="FB113">
        <v>6.46</v>
      </c>
      <c r="FD113">
        <v>8.15</v>
      </c>
      <c r="FE113">
        <v>2.5</v>
      </c>
      <c r="FG113">
        <v>6.94</v>
      </c>
      <c r="FH113">
        <v>5.0999999999999899</v>
      </c>
      <c r="FJ113">
        <v>6.86</v>
      </c>
      <c r="FK113">
        <v>8.66</v>
      </c>
      <c r="FM113">
        <v>9.49</v>
      </c>
      <c r="FN113">
        <v>5.53</v>
      </c>
      <c r="FP113">
        <v>8.2799999999999905</v>
      </c>
      <c r="FQ113">
        <v>5.0199999999999898</v>
      </c>
      <c r="FS113">
        <v>6.71</v>
      </c>
      <c r="FT113">
        <v>6.26</v>
      </c>
      <c r="FV113">
        <v>8.41</v>
      </c>
      <c r="FW113">
        <v>8.7899999999999903</v>
      </c>
      <c r="FX113">
        <v>10.49</v>
      </c>
      <c r="FY113">
        <v>10.18</v>
      </c>
      <c r="FZ113">
        <v>3.55</v>
      </c>
      <c r="GB113">
        <v>7.87</v>
      </c>
      <c r="GC113">
        <v>3.55</v>
      </c>
      <c r="GE113">
        <v>7.57</v>
      </c>
      <c r="GF113">
        <v>4.63</v>
      </c>
      <c r="GH113">
        <v>9.18</v>
      </c>
      <c r="GI113">
        <v>6.12</v>
      </c>
      <c r="GK113">
        <v>8.41</v>
      </c>
      <c r="GL113">
        <v>9.41</v>
      </c>
      <c r="GN113">
        <v>9.44</v>
      </c>
      <c r="GO113">
        <v>4.7300000000000004</v>
      </c>
      <c r="GQ113">
        <v>6.29</v>
      </c>
      <c r="GR113">
        <v>6.52</v>
      </c>
      <c r="GT113">
        <v>9.84</v>
      </c>
      <c r="GU113">
        <v>8.1300000000000008</v>
      </c>
      <c r="GW113">
        <v>8.35</v>
      </c>
      <c r="GX113">
        <v>7.31</v>
      </c>
      <c r="GZ113">
        <v>8.14</v>
      </c>
      <c r="HA113">
        <v>4.21</v>
      </c>
      <c r="HC113">
        <v>8.23</v>
      </c>
      <c r="HD113">
        <v>2.62</v>
      </c>
      <c r="HN113">
        <v>6.67</v>
      </c>
      <c r="HO113">
        <v>8.48</v>
      </c>
      <c r="HP113">
        <v>6.24</v>
      </c>
      <c r="HR113">
        <v>6.83</v>
      </c>
      <c r="HS113">
        <v>5.1100000000000003</v>
      </c>
      <c r="HU113">
        <v>7.89</v>
      </c>
      <c r="HV113">
        <v>6.29</v>
      </c>
      <c r="HX113">
        <v>5.19</v>
      </c>
      <c r="HY113">
        <v>3.98</v>
      </c>
      <c r="IB113">
        <v>8.3000000000000007</v>
      </c>
      <c r="ID113">
        <v>9.17</v>
      </c>
      <c r="IE113">
        <v>8.93</v>
      </c>
      <c r="IG113">
        <v>6.48</v>
      </c>
      <c r="IH113">
        <v>9.58</v>
      </c>
      <c r="IJ113">
        <v>9.76</v>
      </c>
      <c r="IK113">
        <v>6.75</v>
      </c>
      <c r="IM113">
        <v>6.9</v>
      </c>
      <c r="IN113">
        <v>6.31</v>
      </c>
      <c r="IP113">
        <v>9.09</v>
      </c>
      <c r="IQ113">
        <v>8.0500000000000007</v>
      </c>
      <c r="IS113">
        <v>7.58</v>
      </c>
      <c r="IT113">
        <v>5.75</v>
      </c>
      <c r="IV113">
        <v>8.74</v>
      </c>
      <c r="IW113">
        <v>8.0299999999999905</v>
      </c>
      <c r="IY113">
        <v>9.2200000000000006</v>
      </c>
      <c r="IZ113">
        <v>8.34</v>
      </c>
      <c r="JB113">
        <v>7.83</v>
      </c>
      <c r="JC113">
        <v>4.18</v>
      </c>
      <c r="JE113">
        <v>5.43</v>
      </c>
      <c r="JF113">
        <v>7.99</v>
      </c>
      <c r="JH113">
        <v>7.03</v>
      </c>
      <c r="JI113">
        <v>7.5</v>
      </c>
      <c r="JK113">
        <v>5.59</v>
      </c>
      <c r="JL113">
        <v>8.99</v>
      </c>
      <c r="JN113">
        <v>6.01</v>
      </c>
      <c r="JO113">
        <v>8.39</v>
      </c>
      <c r="JQ113">
        <v>5.01</v>
      </c>
      <c r="JR113">
        <v>7.67</v>
      </c>
      <c r="JT113">
        <v>9</v>
      </c>
      <c r="JU113">
        <v>5.54</v>
      </c>
      <c r="JW113">
        <v>7.6</v>
      </c>
      <c r="JX113">
        <v>4.7699999999999898</v>
      </c>
      <c r="JZ113">
        <v>7.32</v>
      </c>
      <c r="KA113">
        <v>6.29</v>
      </c>
      <c r="KC113">
        <v>7.77</v>
      </c>
      <c r="KD113">
        <v>7.56</v>
      </c>
      <c r="KF113">
        <v>9.09</v>
      </c>
      <c r="KG113">
        <v>7.74</v>
      </c>
      <c r="KI113">
        <v>4.75</v>
      </c>
      <c r="KJ113">
        <v>7.87</v>
      </c>
      <c r="KL113">
        <v>6.66</v>
      </c>
      <c r="KM113">
        <v>5.58</v>
      </c>
      <c r="KO113">
        <v>7.34</v>
      </c>
      <c r="KP113">
        <v>4.7699999999999898</v>
      </c>
      <c r="KQ113">
        <v>4.0999999999999899</v>
      </c>
      <c r="KR113">
        <v>10.210000000000001</v>
      </c>
      <c r="KS113">
        <v>4.26</v>
      </c>
      <c r="KU113">
        <v>8.4600000000000009</v>
      </c>
      <c r="KV113">
        <v>4.63</v>
      </c>
      <c r="KX113">
        <v>5.23</v>
      </c>
      <c r="KY113">
        <v>5.08</v>
      </c>
      <c r="LA113">
        <v>6.46</v>
      </c>
      <c r="LD113">
        <v>19.309999999999899</v>
      </c>
      <c r="LG113">
        <v>8.68</v>
      </c>
    </row>
    <row r="114" spans="1:319" x14ac:dyDescent="0.2">
      <c r="A114" s="37" t="s">
        <v>454</v>
      </c>
      <c r="B114">
        <v>1199.94</v>
      </c>
      <c r="C114">
        <v>23.075769230769232</v>
      </c>
      <c r="D114" s="37" t="s">
        <v>435</v>
      </c>
      <c r="E114" s="37" t="s">
        <v>436</v>
      </c>
      <c r="G114">
        <v>7.22</v>
      </c>
      <c r="I114">
        <v>8.09</v>
      </c>
      <c r="K114">
        <v>7.39</v>
      </c>
      <c r="M114">
        <v>8.41</v>
      </c>
      <c r="O114">
        <v>6.83</v>
      </c>
      <c r="Q114">
        <v>8.5399999999999903</v>
      </c>
      <c r="S114">
        <v>6.67</v>
      </c>
      <c r="U114">
        <v>8.81</v>
      </c>
      <c r="W114">
        <v>7.51</v>
      </c>
      <c r="Y114">
        <v>7.64</v>
      </c>
      <c r="AA114">
        <v>7.32</v>
      </c>
      <c r="AC114">
        <v>7.93</v>
      </c>
      <c r="AE114">
        <v>6.87</v>
      </c>
      <c r="AG114">
        <v>8.85</v>
      </c>
      <c r="AI114">
        <v>6.88</v>
      </c>
      <c r="AK114">
        <v>8.81</v>
      </c>
      <c r="AM114">
        <v>6.49</v>
      </c>
      <c r="AO114">
        <v>8.5500000000000007</v>
      </c>
      <c r="AQ114">
        <v>8.2200000000000006</v>
      </c>
      <c r="AS114">
        <v>6.98</v>
      </c>
      <c r="AW114">
        <v>9.2899999999999903</v>
      </c>
      <c r="AY114">
        <v>5.27</v>
      </c>
      <c r="BA114">
        <v>13.51</v>
      </c>
      <c r="BC114">
        <v>8.32</v>
      </c>
      <c r="BE114">
        <v>6.71</v>
      </c>
      <c r="BG114">
        <v>8.68</v>
      </c>
      <c r="BI114">
        <v>7.96</v>
      </c>
      <c r="BJ114">
        <v>4.3899999999999899</v>
      </c>
      <c r="BK114">
        <v>7.13</v>
      </c>
      <c r="BM114">
        <v>8.61</v>
      </c>
      <c r="BO114">
        <v>8.82</v>
      </c>
      <c r="BQ114">
        <v>6.97</v>
      </c>
      <c r="BS114">
        <v>8.51</v>
      </c>
      <c r="BU114">
        <v>6.39</v>
      </c>
      <c r="BW114">
        <v>8.82</v>
      </c>
      <c r="BY114">
        <v>6.55</v>
      </c>
      <c r="CB114">
        <v>7.11</v>
      </c>
      <c r="CC114">
        <v>9.0500000000000007</v>
      </c>
      <c r="CD114">
        <v>5.23</v>
      </c>
      <c r="CF114">
        <v>6.2</v>
      </c>
      <c r="CH114">
        <v>7.66</v>
      </c>
      <c r="CJ114">
        <v>8.1300000000000008</v>
      </c>
      <c r="CL114">
        <v>7.8</v>
      </c>
      <c r="CN114">
        <v>7.2</v>
      </c>
      <c r="CP114">
        <v>8.2200000000000006</v>
      </c>
      <c r="CR114">
        <v>5.46</v>
      </c>
      <c r="CT114">
        <v>7.61</v>
      </c>
      <c r="CV114">
        <v>11.34</v>
      </c>
      <c r="CX114">
        <v>6.86</v>
      </c>
      <c r="CZ114">
        <v>8.08</v>
      </c>
      <c r="DB114">
        <v>7.76</v>
      </c>
      <c r="DD114">
        <v>9.2200000000000006</v>
      </c>
      <c r="DF114">
        <v>6.66</v>
      </c>
      <c r="DJ114">
        <v>7.56</v>
      </c>
      <c r="DM114">
        <v>7.91</v>
      </c>
      <c r="DO114">
        <v>7.83</v>
      </c>
      <c r="DQ114">
        <v>6.76</v>
      </c>
      <c r="DS114">
        <v>5.03</v>
      </c>
      <c r="DU114">
        <v>6.77</v>
      </c>
      <c r="DW114">
        <v>8.8699999999999903</v>
      </c>
      <c r="DY114">
        <v>8.6999999999999904</v>
      </c>
      <c r="EA114">
        <v>6.65</v>
      </c>
      <c r="EC114">
        <v>8.32</v>
      </c>
      <c r="EE114">
        <v>6.49</v>
      </c>
      <c r="EG114">
        <v>6.33</v>
      </c>
      <c r="EI114">
        <v>5.84</v>
      </c>
      <c r="EL114">
        <v>8.9600000000000009</v>
      </c>
      <c r="EN114">
        <v>6.98</v>
      </c>
      <c r="EQ114">
        <v>6.7</v>
      </c>
      <c r="ES114">
        <v>7.16</v>
      </c>
      <c r="EU114">
        <v>9.26</v>
      </c>
      <c r="EW114">
        <v>7.83</v>
      </c>
      <c r="EY114">
        <v>7.18</v>
      </c>
      <c r="FA114">
        <v>6.98</v>
      </c>
      <c r="FC114">
        <v>6.47</v>
      </c>
      <c r="FE114">
        <v>8.27</v>
      </c>
      <c r="FG114">
        <v>8.7799999999999905</v>
      </c>
      <c r="FI114">
        <v>13.63</v>
      </c>
      <c r="FK114">
        <v>6.18</v>
      </c>
      <c r="FM114">
        <v>8.48</v>
      </c>
      <c r="FO114">
        <v>7.24</v>
      </c>
      <c r="FQ114">
        <v>12.33</v>
      </c>
      <c r="FS114">
        <v>7.66</v>
      </c>
      <c r="FU114">
        <v>8.42</v>
      </c>
      <c r="FW114">
        <v>7.45</v>
      </c>
      <c r="FY114">
        <v>7.74</v>
      </c>
      <c r="GA114">
        <v>9.7799999999999905</v>
      </c>
      <c r="GB114">
        <v>7.94</v>
      </c>
      <c r="GC114">
        <v>8.3800000000000008</v>
      </c>
      <c r="GE114">
        <v>13.89</v>
      </c>
      <c r="GG114">
        <v>8.7899999999999903</v>
      </c>
      <c r="GI114">
        <v>6.7</v>
      </c>
      <c r="GK114">
        <v>9.0500000000000007</v>
      </c>
      <c r="GM114">
        <v>6.81</v>
      </c>
      <c r="GO114">
        <v>8.7100000000000009</v>
      </c>
      <c r="GQ114">
        <v>6.31</v>
      </c>
      <c r="GS114">
        <v>9.1</v>
      </c>
      <c r="GU114">
        <v>3.2</v>
      </c>
      <c r="GW114">
        <v>8.5500000000000007</v>
      </c>
      <c r="GY114">
        <v>6.03</v>
      </c>
      <c r="HA114">
        <v>9.0299999999999905</v>
      </c>
      <c r="HC114">
        <v>7.15</v>
      </c>
      <c r="HE114">
        <v>8.61</v>
      </c>
      <c r="HG114">
        <v>8.2899999999999903</v>
      </c>
      <c r="HI114">
        <v>9.08</v>
      </c>
      <c r="HK114">
        <v>6.96</v>
      </c>
      <c r="HM114">
        <v>8.49</v>
      </c>
      <c r="HO114">
        <v>6.31</v>
      </c>
      <c r="HQ114">
        <v>8.93</v>
      </c>
      <c r="HS114">
        <v>7.3</v>
      </c>
      <c r="HU114">
        <v>8.89</v>
      </c>
      <c r="HW114">
        <v>9.2200000000000006</v>
      </c>
      <c r="HY114">
        <v>3.83</v>
      </c>
      <c r="IA114">
        <v>6.46</v>
      </c>
      <c r="IC114">
        <v>7.4</v>
      </c>
      <c r="IE114">
        <v>8.2899999999999903</v>
      </c>
      <c r="IG114">
        <v>7.1</v>
      </c>
      <c r="II114">
        <v>4.97</v>
      </c>
      <c r="IK114">
        <v>8.4600000000000009</v>
      </c>
      <c r="IM114">
        <v>6.58</v>
      </c>
      <c r="IO114">
        <v>8.33</v>
      </c>
      <c r="IQ114">
        <v>6.7</v>
      </c>
      <c r="IS114">
        <v>7.88</v>
      </c>
      <c r="IU114">
        <v>5.91</v>
      </c>
      <c r="IW114">
        <v>7.39</v>
      </c>
      <c r="IY114">
        <v>6.21</v>
      </c>
      <c r="JA114">
        <v>5.7</v>
      </c>
      <c r="JC114">
        <v>7.77</v>
      </c>
      <c r="JE114">
        <v>8.7200000000000006</v>
      </c>
      <c r="JG114">
        <v>5.96</v>
      </c>
      <c r="JI114">
        <v>7.22</v>
      </c>
      <c r="JK114">
        <v>6.55</v>
      </c>
      <c r="JM114">
        <v>7.17</v>
      </c>
      <c r="JO114">
        <v>7.16</v>
      </c>
      <c r="JQ114">
        <v>9.66</v>
      </c>
      <c r="JS114">
        <v>6.8</v>
      </c>
      <c r="JU114">
        <v>8.89</v>
      </c>
      <c r="JW114">
        <v>6.44</v>
      </c>
      <c r="JY114">
        <v>8.48</v>
      </c>
      <c r="KA114">
        <v>6.18</v>
      </c>
      <c r="KC114">
        <v>9.19</v>
      </c>
      <c r="KE114">
        <v>10</v>
      </c>
      <c r="KG114">
        <v>8.48</v>
      </c>
      <c r="KI114">
        <v>6.75</v>
      </c>
      <c r="KK114">
        <v>7.64</v>
      </c>
      <c r="KM114">
        <v>7.36</v>
      </c>
      <c r="KO114">
        <v>7.83</v>
      </c>
      <c r="KQ114">
        <v>8.7100000000000009</v>
      </c>
      <c r="KS114">
        <v>5.65</v>
      </c>
      <c r="KU114">
        <v>9.08</v>
      </c>
      <c r="KW114">
        <v>6.28</v>
      </c>
      <c r="KY114">
        <v>8.09</v>
      </c>
      <c r="LA114">
        <v>7.31</v>
      </c>
      <c r="LC114">
        <v>6.39</v>
      </c>
      <c r="LE114">
        <v>8.84</v>
      </c>
      <c r="LG114">
        <v>6.34</v>
      </c>
    </row>
    <row r="115" spans="1:319" x14ac:dyDescent="0.2">
      <c r="A115" s="37" t="s">
        <v>455</v>
      </c>
      <c r="B115">
        <v>1234.2</v>
      </c>
      <c r="C115">
        <v>23.734615384615385</v>
      </c>
      <c r="D115" s="37" t="s">
        <v>435</v>
      </c>
      <c r="E115" s="37" t="s">
        <v>456</v>
      </c>
      <c r="F115">
        <v>8.86</v>
      </c>
      <c r="G115">
        <v>6.62</v>
      </c>
      <c r="H115">
        <v>9.52</v>
      </c>
      <c r="J115">
        <v>8.49</v>
      </c>
      <c r="L115">
        <v>7.74</v>
      </c>
      <c r="N115">
        <v>7.8</v>
      </c>
      <c r="P115">
        <v>8.5</v>
      </c>
      <c r="R115">
        <v>8.89</v>
      </c>
      <c r="T115">
        <v>9.1300000000000008</v>
      </c>
      <c r="V115">
        <v>9.61</v>
      </c>
      <c r="X115">
        <v>8.48</v>
      </c>
      <c r="Z115">
        <v>8</v>
      </c>
      <c r="AB115">
        <v>8.64</v>
      </c>
      <c r="AD115">
        <v>9.23</v>
      </c>
      <c r="AF115">
        <v>9.1</v>
      </c>
      <c r="AH115">
        <v>8.73</v>
      </c>
      <c r="AJ115">
        <v>7.89</v>
      </c>
      <c r="AL115">
        <v>8.66</v>
      </c>
      <c r="AN115">
        <v>9.44</v>
      </c>
      <c r="AT115">
        <v>8.57</v>
      </c>
      <c r="AV115">
        <v>7.81</v>
      </c>
      <c r="AX115">
        <v>7.66</v>
      </c>
      <c r="BA115">
        <v>6.2</v>
      </c>
      <c r="BB115">
        <v>8.39</v>
      </c>
      <c r="BD115">
        <v>7.77</v>
      </c>
      <c r="BF115">
        <v>9.17</v>
      </c>
      <c r="BH115">
        <v>9.0299999999999905</v>
      </c>
      <c r="BJ115">
        <v>8.42</v>
      </c>
      <c r="BL115">
        <v>8.9</v>
      </c>
      <c r="BN115">
        <v>7.85</v>
      </c>
      <c r="BP115">
        <v>9.2200000000000006</v>
      </c>
      <c r="BR115">
        <v>9.52</v>
      </c>
      <c r="BT115">
        <v>9.81</v>
      </c>
      <c r="BV115">
        <v>8.41</v>
      </c>
      <c r="BX115">
        <v>12.2</v>
      </c>
      <c r="CA115">
        <v>8.36</v>
      </c>
      <c r="CC115">
        <v>9.26</v>
      </c>
      <c r="CE115">
        <v>8.82</v>
      </c>
      <c r="CG115">
        <v>9.09</v>
      </c>
      <c r="CI115">
        <v>9.57</v>
      </c>
      <c r="CK115">
        <v>9.6199999999999903</v>
      </c>
      <c r="CM115">
        <v>6.97</v>
      </c>
      <c r="CO115">
        <v>8.35</v>
      </c>
      <c r="CQ115">
        <v>8.7899999999999903</v>
      </c>
      <c r="CS115">
        <v>7.73</v>
      </c>
      <c r="CU115">
        <v>16.52</v>
      </c>
      <c r="CW115">
        <v>7.41</v>
      </c>
      <c r="CY115">
        <v>8.15</v>
      </c>
      <c r="DA115">
        <v>8.43</v>
      </c>
      <c r="DC115">
        <v>8.25</v>
      </c>
      <c r="DE115">
        <v>8.4600000000000009</v>
      </c>
      <c r="DG115">
        <v>7.56</v>
      </c>
      <c r="DL115">
        <v>8</v>
      </c>
      <c r="DP115">
        <v>6.4</v>
      </c>
      <c r="DQ115">
        <v>8.61</v>
      </c>
      <c r="DR115">
        <v>7.46</v>
      </c>
      <c r="DT115">
        <v>7.43</v>
      </c>
      <c r="DV115">
        <v>7.9</v>
      </c>
      <c r="DX115">
        <v>7.01</v>
      </c>
      <c r="DZ115">
        <v>7.67</v>
      </c>
      <c r="EB115">
        <v>8.0299999999999905</v>
      </c>
      <c r="ED115">
        <v>8.08</v>
      </c>
      <c r="EF115">
        <v>7.97</v>
      </c>
      <c r="EJ115">
        <v>8.06</v>
      </c>
      <c r="EK115">
        <v>9.06</v>
      </c>
      <c r="EP115">
        <v>8.52</v>
      </c>
      <c r="ER115">
        <v>8.93</v>
      </c>
      <c r="EU115">
        <v>7.08</v>
      </c>
      <c r="EV115">
        <v>4.51</v>
      </c>
      <c r="EX115">
        <v>7.34</v>
      </c>
      <c r="EZ115">
        <v>8.69</v>
      </c>
      <c r="FB115">
        <v>7.3</v>
      </c>
      <c r="FD115">
        <v>8.2899999999999903</v>
      </c>
      <c r="FF115">
        <v>7.56</v>
      </c>
      <c r="FH115">
        <v>10.34</v>
      </c>
      <c r="FK115">
        <v>7.96</v>
      </c>
      <c r="FL115">
        <v>8.0500000000000007</v>
      </c>
      <c r="FN115">
        <v>5.75</v>
      </c>
      <c r="FP115">
        <v>9.6199999999999903</v>
      </c>
      <c r="FR115">
        <v>8.65</v>
      </c>
      <c r="FT115">
        <v>6.33</v>
      </c>
      <c r="FV115">
        <v>9.65</v>
      </c>
      <c r="FY115">
        <v>9.2200000000000006</v>
      </c>
      <c r="FZ115">
        <v>9.51</v>
      </c>
      <c r="GB115">
        <v>7.1</v>
      </c>
      <c r="GE115">
        <v>8.07</v>
      </c>
      <c r="GF115">
        <v>7.24</v>
      </c>
      <c r="GH115">
        <v>9.01</v>
      </c>
      <c r="GJ115">
        <v>6.45</v>
      </c>
      <c r="GL115">
        <v>9.99</v>
      </c>
      <c r="GN115">
        <v>5.34</v>
      </c>
      <c r="GP115">
        <v>9.9700000000000006</v>
      </c>
      <c r="GR115">
        <v>8.67</v>
      </c>
      <c r="GT115">
        <v>10.25</v>
      </c>
      <c r="GX115">
        <v>8.41</v>
      </c>
      <c r="GZ115">
        <v>8.09</v>
      </c>
      <c r="HB115">
        <v>7.15</v>
      </c>
      <c r="HD115">
        <v>6.67</v>
      </c>
      <c r="HF115">
        <v>8.9499999999999904</v>
      </c>
      <c r="HH115">
        <v>5.26</v>
      </c>
      <c r="HJ115">
        <v>8.25</v>
      </c>
      <c r="HL115">
        <v>9.33</v>
      </c>
      <c r="HN115">
        <v>8.1199999999999903</v>
      </c>
      <c r="HP115">
        <v>8.93</v>
      </c>
      <c r="HR115">
        <v>8.57</v>
      </c>
      <c r="HT115">
        <v>5.17</v>
      </c>
      <c r="HV115">
        <v>8.66</v>
      </c>
      <c r="HX115">
        <v>9.35</v>
      </c>
      <c r="IB115">
        <v>9.31</v>
      </c>
      <c r="IE115">
        <v>10.3</v>
      </c>
      <c r="IG115">
        <v>5.09</v>
      </c>
      <c r="IH115">
        <v>8.4600000000000009</v>
      </c>
      <c r="IJ115">
        <v>9.6300000000000008</v>
      </c>
      <c r="IL115">
        <v>8.4499999999999904</v>
      </c>
      <c r="IN115">
        <v>8.3000000000000007</v>
      </c>
      <c r="IP115">
        <v>8.4700000000000006</v>
      </c>
      <c r="IR115">
        <v>8.94</v>
      </c>
      <c r="IT115">
        <v>8.8699999999999903</v>
      </c>
      <c r="IV115">
        <v>8.94</v>
      </c>
      <c r="IX115">
        <v>10.79</v>
      </c>
      <c r="JB115">
        <v>0.78</v>
      </c>
      <c r="JD115">
        <v>8.7899999999999903</v>
      </c>
      <c r="JF115">
        <v>7.47</v>
      </c>
      <c r="JH115">
        <v>9.51</v>
      </c>
      <c r="JJ115">
        <v>7.8</v>
      </c>
      <c r="JL115">
        <v>8.43</v>
      </c>
      <c r="JN115">
        <v>10.08</v>
      </c>
      <c r="JP115">
        <v>6.11</v>
      </c>
      <c r="JR115">
        <v>8.16</v>
      </c>
      <c r="JV115">
        <v>10.19</v>
      </c>
      <c r="JX115">
        <v>9.0399999999999903</v>
      </c>
      <c r="JZ115">
        <v>7.54</v>
      </c>
      <c r="KB115">
        <v>6.2</v>
      </c>
      <c r="KD115">
        <v>7.61</v>
      </c>
      <c r="KF115">
        <v>9.8000000000000007</v>
      </c>
      <c r="KH115">
        <v>10.19</v>
      </c>
      <c r="KJ115">
        <v>9.68</v>
      </c>
      <c r="KL115">
        <v>8.49</v>
      </c>
      <c r="KN115">
        <v>9.2799999999999905</v>
      </c>
      <c r="KP115">
        <v>9.43</v>
      </c>
      <c r="KR115">
        <v>7.76</v>
      </c>
      <c r="KT115">
        <v>8.43</v>
      </c>
      <c r="KV115">
        <v>5.4</v>
      </c>
      <c r="KX115">
        <v>6.22</v>
      </c>
      <c r="KZ115">
        <v>7.52</v>
      </c>
      <c r="LB115">
        <v>8.98</v>
      </c>
      <c r="LD115">
        <v>8.43</v>
      </c>
      <c r="LF115">
        <v>9.75</v>
      </c>
    </row>
    <row r="116" spans="1:319" x14ac:dyDescent="0.2">
      <c r="A116" s="37" t="s">
        <v>457</v>
      </c>
      <c r="B116">
        <v>1512.42</v>
      </c>
      <c r="C116">
        <v>29.085000000000001</v>
      </c>
      <c r="D116" s="37" t="s">
        <v>435</v>
      </c>
      <c r="E116" s="37" t="s">
        <v>458</v>
      </c>
      <c r="F116">
        <v>15.76</v>
      </c>
      <c r="H116">
        <v>6.45</v>
      </c>
      <c r="I116">
        <v>7.99</v>
      </c>
      <c r="M116">
        <v>15.02</v>
      </c>
      <c r="N116">
        <v>6.21</v>
      </c>
      <c r="O116">
        <v>7.87</v>
      </c>
      <c r="R116">
        <v>17.21</v>
      </c>
      <c r="T116">
        <v>5.73</v>
      </c>
      <c r="U116">
        <v>8.35</v>
      </c>
      <c r="Y116">
        <v>8.0299999999999905</v>
      </c>
      <c r="Z116">
        <v>8.4499999999999904</v>
      </c>
      <c r="AA116">
        <v>8.14</v>
      </c>
      <c r="AE116">
        <v>7.94</v>
      </c>
      <c r="AF116">
        <v>13.72</v>
      </c>
      <c r="AG116">
        <v>4.5999999999999899</v>
      </c>
      <c r="AJ116">
        <v>13.94</v>
      </c>
      <c r="AL116">
        <v>4.76</v>
      </c>
      <c r="AM116">
        <v>4.37</v>
      </c>
      <c r="AP116">
        <v>13.63</v>
      </c>
      <c r="AR116">
        <v>7.72</v>
      </c>
      <c r="AS116">
        <v>5.32</v>
      </c>
      <c r="AV116">
        <v>15.49</v>
      </c>
      <c r="AX116">
        <v>6.1</v>
      </c>
      <c r="AY116">
        <v>6.33</v>
      </c>
      <c r="BB116">
        <v>10.5</v>
      </c>
      <c r="BD116">
        <v>7.54</v>
      </c>
      <c r="BF116">
        <v>7.6</v>
      </c>
      <c r="BH116">
        <v>16.079999999999899</v>
      </c>
      <c r="BJ116">
        <v>7.5</v>
      </c>
      <c r="BK116">
        <v>6.69</v>
      </c>
      <c r="BM116">
        <v>5.79</v>
      </c>
      <c r="BN116">
        <v>7.7</v>
      </c>
      <c r="BP116">
        <v>6</v>
      </c>
      <c r="BQ116">
        <v>6.48</v>
      </c>
      <c r="BT116">
        <v>16.66</v>
      </c>
      <c r="BV116">
        <v>6.65</v>
      </c>
      <c r="BW116">
        <v>7.81</v>
      </c>
      <c r="BY116">
        <v>6.89</v>
      </c>
      <c r="CA116">
        <v>7.17</v>
      </c>
      <c r="CB116">
        <v>8.1</v>
      </c>
      <c r="CC116">
        <v>7.02</v>
      </c>
      <c r="CD116">
        <v>4.2</v>
      </c>
      <c r="CG116">
        <v>17.600000000000001</v>
      </c>
      <c r="CI116">
        <v>8.4499999999999904</v>
      </c>
      <c r="CJ116">
        <v>8.5500000000000007</v>
      </c>
      <c r="CK116">
        <v>8.3699999999999903</v>
      </c>
      <c r="CL116">
        <v>7.34</v>
      </c>
      <c r="CM116">
        <v>12.48</v>
      </c>
      <c r="CP116">
        <v>14.47</v>
      </c>
      <c r="CS116">
        <v>8.14</v>
      </c>
      <c r="CT116">
        <v>6.87</v>
      </c>
      <c r="CU116">
        <v>7.7</v>
      </c>
      <c r="CV116">
        <v>6.78</v>
      </c>
      <c r="CX116">
        <v>5.51</v>
      </c>
      <c r="CY116">
        <v>12.36</v>
      </c>
      <c r="DA116">
        <v>5.78</v>
      </c>
      <c r="DB116">
        <v>5.9</v>
      </c>
      <c r="DC116">
        <v>6.57</v>
      </c>
      <c r="DE116">
        <v>15.94</v>
      </c>
      <c r="DG116">
        <v>8.65</v>
      </c>
      <c r="DJ116">
        <v>5.26</v>
      </c>
      <c r="DL116">
        <v>12.64</v>
      </c>
      <c r="DN116">
        <v>7.86</v>
      </c>
      <c r="DO116">
        <v>8.58</v>
      </c>
      <c r="DS116">
        <v>7.49</v>
      </c>
      <c r="DT116">
        <v>8.0299999999999905</v>
      </c>
      <c r="DU116">
        <v>7.67</v>
      </c>
      <c r="DX116">
        <v>14.83</v>
      </c>
      <c r="DZ116">
        <v>7.71</v>
      </c>
      <c r="EA116">
        <v>7.43</v>
      </c>
      <c r="ED116">
        <v>13.95</v>
      </c>
      <c r="EF116">
        <v>5.47</v>
      </c>
      <c r="EG116">
        <v>5.89</v>
      </c>
      <c r="EJ116">
        <v>12.76</v>
      </c>
      <c r="EP116">
        <v>6.72</v>
      </c>
      <c r="EQ116">
        <v>3.33</v>
      </c>
      <c r="ER116">
        <v>4.82</v>
      </c>
      <c r="ES116">
        <v>8.36</v>
      </c>
      <c r="EV116">
        <v>7.17</v>
      </c>
      <c r="EW116">
        <v>8.06</v>
      </c>
      <c r="EX116">
        <v>8.5500000000000007</v>
      </c>
      <c r="EY116">
        <v>7</v>
      </c>
      <c r="FA116">
        <v>6.98</v>
      </c>
      <c r="FB116">
        <v>18.05</v>
      </c>
      <c r="FD116">
        <v>7.85</v>
      </c>
      <c r="FE116">
        <v>6.07</v>
      </c>
      <c r="FH116">
        <v>18.79</v>
      </c>
      <c r="FJ116">
        <v>7.32</v>
      </c>
      <c r="FK116">
        <v>6</v>
      </c>
      <c r="FM116">
        <v>7.37</v>
      </c>
      <c r="FN116">
        <v>15.6</v>
      </c>
      <c r="FP116">
        <v>7.99</v>
      </c>
      <c r="FQ116">
        <v>5.15</v>
      </c>
      <c r="FT116">
        <v>8.18</v>
      </c>
      <c r="FU116">
        <v>8.61</v>
      </c>
      <c r="FV116">
        <v>5.83</v>
      </c>
      <c r="FW116">
        <v>4.88</v>
      </c>
      <c r="FZ116">
        <v>17.579999999999899</v>
      </c>
      <c r="GB116">
        <v>7.8</v>
      </c>
      <c r="GC116">
        <v>4.4400000000000004</v>
      </c>
      <c r="GF116">
        <v>14.31</v>
      </c>
      <c r="GH116">
        <v>7.16</v>
      </c>
      <c r="GI116">
        <v>5.93</v>
      </c>
      <c r="GL116">
        <v>16.25</v>
      </c>
      <c r="GN116">
        <v>8.68</v>
      </c>
      <c r="GO116">
        <v>5.33</v>
      </c>
      <c r="GR116">
        <v>13.75</v>
      </c>
      <c r="GT116">
        <v>10.3</v>
      </c>
      <c r="GU116">
        <v>7.8</v>
      </c>
      <c r="GW116">
        <v>7.93</v>
      </c>
      <c r="GX116">
        <v>12.32</v>
      </c>
      <c r="GZ116">
        <v>8.84</v>
      </c>
      <c r="HA116">
        <v>6.66</v>
      </c>
      <c r="HD116">
        <v>12.9</v>
      </c>
      <c r="HF116">
        <v>7.97</v>
      </c>
      <c r="HG116">
        <v>9.19</v>
      </c>
      <c r="HJ116">
        <v>15.88</v>
      </c>
      <c r="HM116">
        <v>9.31</v>
      </c>
      <c r="HO116">
        <v>8.57</v>
      </c>
      <c r="HP116">
        <v>11.11</v>
      </c>
      <c r="HS116">
        <v>8.1300000000000008</v>
      </c>
      <c r="HV116">
        <v>7.88</v>
      </c>
      <c r="HW116">
        <v>6.09</v>
      </c>
      <c r="HY116">
        <v>6.03</v>
      </c>
      <c r="IB116">
        <v>17.940000000000001</v>
      </c>
      <c r="ID116">
        <v>6.81</v>
      </c>
      <c r="IE116">
        <v>6.39</v>
      </c>
      <c r="IG116">
        <v>5.54</v>
      </c>
      <c r="IH116">
        <v>8.81</v>
      </c>
      <c r="IK116">
        <v>6.8</v>
      </c>
      <c r="IN116">
        <v>14.2</v>
      </c>
      <c r="IP116">
        <v>4.99</v>
      </c>
      <c r="IQ116">
        <v>15.42</v>
      </c>
      <c r="IT116">
        <v>6.62</v>
      </c>
      <c r="IV116">
        <v>6.5</v>
      </c>
      <c r="IW116">
        <v>6.85</v>
      </c>
      <c r="IZ116">
        <v>17.27</v>
      </c>
      <c r="JB116">
        <v>4.91</v>
      </c>
      <c r="JC116">
        <v>6.89</v>
      </c>
      <c r="JE116">
        <v>9.16</v>
      </c>
      <c r="JF116">
        <v>18.28</v>
      </c>
      <c r="JH116">
        <v>7.32</v>
      </c>
      <c r="JI116">
        <v>9.65</v>
      </c>
      <c r="JL116">
        <v>15.25</v>
      </c>
      <c r="JN116">
        <v>8.77</v>
      </c>
      <c r="JO116">
        <v>9.65</v>
      </c>
      <c r="JR116">
        <v>13.33</v>
      </c>
      <c r="JT116">
        <v>6.68</v>
      </c>
      <c r="JU116">
        <v>6.09</v>
      </c>
      <c r="JX116">
        <v>17.170000000000002</v>
      </c>
      <c r="JZ116">
        <v>5.72</v>
      </c>
      <c r="KA116">
        <v>6.65</v>
      </c>
      <c r="KD116">
        <v>12.98</v>
      </c>
      <c r="KF116">
        <v>9.17</v>
      </c>
      <c r="KG116">
        <v>5.63</v>
      </c>
      <c r="KJ116">
        <v>15.48</v>
      </c>
      <c r="KL116">
        <v>8.5299999999999905</v>
      </c>
      <c r="KM116">
        <v>4.6900000000000004</v>
      </c>
      <c r="KP116">
        <v>17.059999999999899</v>
      </c>
      <c r="KR116">
        <v>8.65</v>
      </c>
      <c r="KS116">
        <v>7.58</v>
      </c>
      <c r="KV116">
        <v>16.239999999999899</v>
      </c>
      <c r="KX116">
        <v>6.6</v>
      </c>
      <c r="KY116">
        <v>6.42</v>
      </c>
      <c r="LC116">
        <v>10.81</v>
      </c>
      <c r="LE116">
        <v>7.56</v>
      </c>
    </row>
    <row r="117" spans="1:319" x14ac:dyDescent="0.2">
      <c r="A117" s="37" t="s">
        <v>459</v>
      </c>
      <c r="B117">
        <v>1438.5299999999995</v>
      </c>
      <c r="C117">
        <v>27.664038461538453</v>
      </c>
      <c r="D117" s="37" t="s">
        <v>435</v>
      </c>
      <c r="E117" s="37" t="s">
        <v>460</v>
      </c>
      <c r="H117">
        <v>5.1100000000000003</v>
      </c>
      <c r="K117">
        <v>7.54</v>
      </c>
      <c r="M117">
        <v>23.43</v>
      </c>
      <c r="P117">
        <v>15.81</v>
      </c>
      <c r="R117">
        <v>15.4</v>
      </c>
      <c r="V117">
        <v>15.94</v>
      </c>
      <c r="Z117">
        <v>15.03</v>
      </c>
      <c r="AC117">
        <v>14.28</v>
      </c>
      <c r="AD117">
        <v>6.94</v>
      </c>
      <c r="AE117">
        <v>8.26</v>
      </c>
      <c r="AG117">
        <v>8.42</v>
      </c>
      <c r="AK117">
        <v>17.48</v>
      </c>
      <c r="AN117">
        <v>15.28</v>
      </c>
      <c r="AQ117">
        <v>7.96</v>
      </c>
      <c r="AT117">
        <v>8.49</v>
      </c>
      <c r="AV117">
        <v>9.08</v>
      </c>
      <c r="AX117">
        <v>15.28</v>
      </c>
      <c r="AZ117">
        <v>7.8</v>
      </c>
      <c r="BC117">
        <v>14.27</v>
      </c>
      <c r="BF117">
        <v>7.94</v>
      </c>
      <c r="BI117">
        <v>12.17</v>
      </c>
      <c r="BL117">
        <v>7.82</v>
      </c>
      <c r="BM117">
        <v>6.95</v>
      </c>
      <c r="BO117">
        <v>14.64</v>
      </c>
      <c r="BQ117">
        <v>8.0500000000000007</v>
      </c>
      <c r="BR117">
        <v>7.93</v>
      </c>
      <c r="BT117">
        <v>7.87</v>
      </c>
      <c r="BU117">
        <v>15.57</v>
      </c>
      <c r="BX117">
        <v>13.92</v>
      </c>
      <c r="CB117">
        <v>15.73</v>
      </c>
      <c r="CE117">
        <v>6.43</v>
      </c>
      <c r="CG117">
        <v>8.0500000000000007</v>
      </c>
      <c r="CH117">
        <v>7.37</v>
      </c>
      <c r="CI117">
        <v>8.16</v>
      </c>
      <c r="CK117">
        <v>7.34</v>
      </c>
      <c r="CM117">
        <v>6.97</v>
      </c>
      <c r="CN117">
        <v>6.78</v>
      </c>
      <c r="CQ117">
        <v>7.42</v>
      </c>
      <c r="CR117">
        <v>7.8</v>
      </c>
      <c r="CT117">
        <v>7.49</v>
      </c>
      <c r="CU117">
        <v>9.2100000000000009</v>
      </c>
      <c r="CW117">
        <v>13.38</v>
      </c>
      <c r="DA117">
        <v>6.48</v>
      </c>
      <c r="DB117">
        <v>8.1300000000000008</v>
      </c>
      <c r="DD117">
        <v>7.87</v>
      </c>
      <c r="DG117">
        <v>14.07</v>
      </c>
      <c r="DJ117">
        <v>7.82</v>
      </c>
      <c r="DM117">
        <v>15.59</v>
      </c>
      <c r="DQ117">
        <v>7.4</v>
      </c>
      <c r="DS117">
        <v>15.88</v>
      </c>
      <c r="DW117">
        <v>14.94</v>
      </c>
      <c r="DZ117">
        <v>15.6</v>
      </c>
      <c r="EC117">
        <v>12.76</v>
      </c>
      <c r="EE117">
        <v>13.81</v>
      </c>
      <c r="EI117">
        <v>6.4</v>
      </c>
      <c r="EK117">
        <v>6.99</v>
      </c>
      <c r="EO117">
        <v>5.63</v>
      </c>
      <c r="EQ117">
        <v>14.45</v>
      </c>
      <c r="ET117">
        <v>14.28</v>
      </c>
      <c r="EU117">
        <v>17.079999999999899</v>
      </c>
      <c r="EW117">
        <v>16.27</v>
      </c>
      <c r="EZ117">
        <v>13.89</v>
      </c>
      <c r="FC117">
        <v>13.91</v>
      </c>
      <c r="FF117">
        <v>15.32</v>
      </c>
      <c r="FJ117">
        <v>7.16</v>
      </c>
      <c r="FL117">
        <v>14.34</v>
      </c>
      <c r="FO117">
        <v>6.7</v>
      </c>
      <c r="FP117">
        <v>9.33</v>
      </c>
      <c r="FR117">
        <v>14.27</v>
      </c>
      <c r="FU117">
        <v>15.36</v>
      </c>
      <c r="FX117">
        <v>9.7200000000000006</v>
      </c>
      <c r="GA117">
        <v>15.36</v>
      </c>
      <c r="GD117">
        <v>8.65</v>
      </c>
      <c r="GE117">
        <v>7.63</v>
      </c>
      <c r="GG117">
        <v>17.239999999999899</v>
      </c>
      <c r="GK117">
        <v>18.18</v>
      </c>
      <c r="GM117">
        <v>9.74</v>
      </c>
      <c r="GP117">
        <v>18.27</v>
      </c>
      <c r="GS117">
        <v>15.91</v>
      </c>
      <c r="GV117">
        <v>9.3000000000000007</v>
      </c>
      <c r="GY117">
        <v>18.13</v>
      </c>
      <c r="HB117">
        <v>16.100000000000001</v>
      </c>
      <c r="HE117">
        <v>8.2100000000000009</v>
      </c>
      <c r="HH117">
        <v>19.309999999999899</v>
      </c>
      <c r="HK117">
        <v>17.489999999999899</v>
      </c>
      <c r="HN117">
        <v>8.86</v>
      </c>
      <c r="HQ117">
        <v>17.79</v>
      </c>
      <c r="HU117">
        <v>16.7</v>
      </c>
      <c r="HW117">
        <v>19.309999999999899</v>
      </c>
      <c r="HZ117">
        <v>17.23</v>
      </c>
      <c r="IC117">
        <v>9</v>
      </c>
      <c r="ID117">
        <v>8.94</v>
      </c>
      <c r="IF117">
        <v>5.92</v>
      </c>
      <c r="II117">
        <v>17.04</v>
      </c>
      <c r="IL117">
        <v>17.5</v>
      </c>
      <c r="IO117">
        <v>9.06</v>
      </c>
      <c r="IR117">
        <v>15</v>
      </c>
      <c r="IU117">
        <v>16.25</v>
      </c>
      <c r="IX117">
        <v>18.78</v>
      </c>
      <c r="JA117">
        <v>7.79</v>
      </c>
      <c r="JB117">
        <v>8.07</v>
      </c>
      <c r="JD117">
        <v>8.9</v>
      </c>
      <c r="JG117">
        <v>17.37</v>
      </c>
      <c r="JJ117">
        <v>15.8</v>
      </c>
      <c r="JM117">
        <v>8.4700000000000006</v>
      </c>
      <c r="JN117">
        <v>6.29</v>
      </c>
      <c r="JP117">
        <v>8.7100000000000009</v>
      </c>
      <c r="JS117">
        <v>15.27</v>
      </c>
      <c r="JV117">
        <v>15.84</v>
      </c>
      <c r="JY117">
        <v>16.47</v>
      </c>
      <c r="KB117">
        <v>17.41</v>
      </c>
      <c r="KE117">
        <v>15.33</v>
      </c>
      <c r="KG117">
        <v>5.77</v>
      </c>
      <c r="KI117">
        <v>7.25</v>
      </c>
      <c r="KK117">
        <v>8.33</v>
      </c>
      <c r="KN117">
        <v>15.36</v>
      </c>
      <c r="KQ117">
        <v>8.34</v>
      </c>
      <c r="KS117">
        <v>8.17</v>
      </c>
      <c r="KT117">
        <v>8</v>
      </c>
      <c r="KW117">
        <v>14.91</v>
      </c>
      <c r="KY117">
        <v>7.15</v>
      </c>
      <c r="LF117">
        <v>8.39</v>
      </c>
    </row>
    <row r="118" spans="1:319" x14ac:dyDescent="0.2">
      <c r="A118" s="37" t="s">
        <v>461</v>
      </c>
      <c r="B118">
        <v>1697.4099999999987</v>
      </c>
      <c r="C118">
        <v>32.642499999999977</v>
      </c>
      <c r="D118" s="37" t="s">
        <v>435</v>
      </c>
      <c r="E118" s="37" t="s">
        <v>460</v>
      </c>
      <c r="H118">
        <v>8.16</v>
      </c>
      <c r="I118">
        <v>12.23</v>
      </c>
      <c r="J118">
        <v>7.99</v>
      </c>
      <c r="K118">
        <v>8.3800000000000008</v>
      </c>
      <c r="N118">
        <v>7.45</v>
      </c>
      <c r="O118">
        <v>16.760000000000002</v>
      </c>
      <c r="P118">
        <v>8.59</v>
      </c>
      <c r="T118">
        <v>8.11</v>
      </c>
      <c r="U118">
        <v>16.27</v>
      </c>
      <c r="V118">
        <v>5.51</v>
      </c>
      <c r="Z118">
        <v>8.2100000000000009</v>
      </c>
      <c r="AA118">
        <v>15.15</v>
      </c>
      <c r="AB118">
        <v>8.5299999999999905</v>
      </c>
      <c r="AF118">
        <v>9.4600000000000009</v>
      </c>
      <c r="AG118">
        <v>18.2</v>
      </c>
      <c r="AH118">
        <v>8.6</v>
      </c>
      <c r="AL118">
        <v>8.66</v>
      </c>
      <c r="AM118">
        <v>18.149999999999899</v>
      </c>
      <c r="AN118">
        <v>7.43</v>
      </c>
      <c r="AO118">
        <v>7.3</v>
      </c>
      <c r="AR118">
        <v>8.9700000000000006</v>
      </c>
      <c r="AS118">
        <v>9.52</v>
      </c>
      <c r="AT118">
        <v>5.63</v>
      </c>
      <c r="AU118">
        <v>7.81</v>
      </c>
      <c r="AX118">
        <v>8.25</v>
      </c>
      <c r="AY118">
        <v>15.63</v>
      </c>
      <c r="AZ118">
        <v>6.5</v>
      </c>
      <c r="BD118">
        <v>7.21</v>
      </c>
      <c r="BF118">
        <v>9.6</v>
      </c>
      <c r="BG118">
        <v>14.48</v>
      </c>
      <c r="BJ118">
        <v>7.59</v>
      </c>
      <c r="BK118">
        <v>14.35</v>
      </c>
      <c r="BL118">
        <v>5.89</v>
      </c>
      <c r="BN118">
        <v>9.2100000000000009</v>
      </c>
      <c r="BP118">
        <v>8.07</v>
      </c>
      <c r="BQ118">
        <v>7.76</v>
      </c>
      <c r="BR118">
        <v>7.73</v>
      </c>
      <c r="BS118">
        <v>8.91</v>
      </c>
      <c r="BV118">
        <v>10.23</v>
      </c>
      <c r="BW118">
        <v>16.77</v>
      </c>
      <c r="BX118">
        <v>7.23</v>
      </c>
      <c r="CC118">
        <v>8.3800000000000008</v>
      </c>
      <c r="CD118">
        <v>13.23</v>
      </c>
      <c r="CE118">
        <v>6.21</v>
      </c>
      <c r="CH118">
        <v>8.31</v>
      </c>
      <c r="CI118">
        <v>9.0500000000000007</v>
      </c>
      <c r="CJ118">
        <v>15.79</v>
      </c>
      <c r="CK118">
        <v>4.22</v>
      </c>
      <c r="CO118">
        <v>7.47</v>
      </c>
      <c r="CP118">
        <v>15.75</v>
      </c>
      <c r="CQ118">
        <v>7.71</v>
      </c>
      <c r="CT118">
        <v>7.68</v>
      </c>
      <c r="CU118">
        <v>8.8000000000000007</v>
      </c>
      <c r="CV118">
        <v>14.61</v>
      </c>
      <c r="CW118">
        <v>5.73</v>
      </c>
      <c r="CZ118">
        <v>14.77</v>
      </c>
      <c r="DA118">
        <v>7.63</v>
      </c>
      <c r="DB118">
        <v>13.79</v>
      </c>
      <c r="DC118">
        <v>8.2899999999999903</v>
      </c>
      <c r="DG118">
        <v>8.42</v>
      </c>
      <c r="DJ118">
        <v>7.82</v>
      </c>
      <c r="DL118">
        <v>12.51</v>
      </c>
      <c r="DM118">
        <v>8.23</v>
      </c>
      <c r="DN118">
        <v>7.14</v>
      </c>
      <c r="DO118">
        <v>15.8</v>
      </c>
      <c r="DP118">
        <v>3.95</v>
      </c>
      <c r="DT118">
        <v>8.6300000000000008</v>
      </c>
      <c r="DU118">
        <v>14.75</v>
      </c>
      <c r="DV118">
        <v>7.05</v>
      </c>
      <c r="DZ118">
        <v>8.2200000000000006</v>
      </c>
      <c r="EA118">
        <v>13.17</v>
      </c>
      <c r="EB118">
        <v>5.91</v>
      </c>
      <c r="EF118">
        <v>8.43</v>
      </c>
      <c r="EG118">
        <v>13</v>
      </c>
      <c r="EI118">
        <v>7.6</v>
      </c>
      <c r="EK118">
        <v>7.51</v>
      </c>
      <c r="EL118">
        <v>17.22</v>
      </c>
      <c r="EM118">
        <v>7.64</v>
      </c>
      <c r="ER118">
        <v>7.83</v>
      </c>
      <c r="ES118">
        <v>17.5</v>
      </c>
      <c r="ET118">
        <v>7.42</v>
      </c>
      <c r="EX118">
        <v>8.36</v>
      </c>
      <c r="EY118">
        <v>13.56</v>
      </c>
      <c r="EZ118">
        <v>6.27</v>
      </c>
      <c r="FB118">
        <v>7.78</v>
      </c>
      <c r="FD118">
        <v>7.84</v>
      </c>
      <c r="FE118">
        <v>16.239999999999899</v>
      </c>
      <c r="FF118">
        <v>6.61</v>
      </c>
      <c r="FJ118">
        <v>8.3000000000000007</v>
      </c>
      <c r="FK118">
        <v>16.27</v>
      </c>
      <c r="FL118">
        <v>5.75</v>
      </c>
      <c r="FP118">
        <v>8.9600000000000009</v>
      </c>
      <c r="FQ118">
        <v>15.11</v>
      </c>
      <c r="FR118">
        <v>6.35</v>
      </c>
      <c r="FV118">
        <v>7.63</v>
      </c>
      <c r="FW118">
        <v>17.100000000000001</v>
      </c>
      <c r="FX118">
        <v>6.61</v>
      </c>
      <c r="GB118">
        <v>7.54</v>
      </c>
      <c r="GC118">
        <v>15.93</v>
      </c>
      <c r="GE118">
        <v>7.23</v>
      </c>
      <c r="GH118">
        <v>9.41</v>
      </c>
      <c r="GI118">
        <v>15.26</v>
      </c>
      <c r="GJ118">
        <v>8.5500000000000007</v>
      </c>
      <c r="GN118">
        <v>8.9600000000000009</v>
      </c>
      <c r="GO118">
        <v>17.53</v>
      </c>
      <c r="GP118">
        <v>5.57</v>
      </c>
      <c r="GT118">
        <v>8.81</v>
      </c>
      <c r="GU118">
        <v>17.82</v>
      </c>
      <c r="GV118">
        <v>5.43</v>
      </c>
      <c r="GY118">
        <v>8.8800000000000008</v>
      </c>
      <c r="GZ118">
        <v>8.0399999999999903</v>
      </c>
      <c r="HA118">
        <v>17.46</v>
      </c>
      <c r="HB118">
        <v>6.33</v>
      </c>
      <c r="HF118">
        <v>9.89</v>
      </c>
      <c r="HG118">
        <v>18.489999999999899</v>
      </c>
      <c r="HH118">
        <v>4.3600000000000003</v>
      </c>
      <c r="HL118">
        <v>9.2899999999999903</v>
      </c>
      <c r="HM118">
        <v>17.760000000000002</v>
      </c>
      <c r="HR118">
        <v>10.54</v>
      </c>
      <c r="HS118">
        <v>15.81</v>
      </c>
      <c r="HT118">
        <v>5.64</v>
      </c>
      <c r="HX118">
        <v>9.1199999999999903</v>
      </c>
      <c r="HY118">
        <v>17.57</v>
      </c>
      <c r="HZ118">
        <v>6.74</v>
      </c>
      <c r="ID118">
        <v>8.35</v>
      </c>
      <c r="IE118">
        <v>17.850000000000001</v>
      </c>
      <c r="IF118">
        <v>6.66</v>
      </c>
      <c r="IJ118">
        <v>8.32</v>
      </c>
      <c r="IK118">
        <v>20.22</v>
      </c>
      <c r="IP118">
        <v>10.26</v>
      </c>
      <c r="IQ118">
        <v>17.61</v>
      </c>
      <c r="IT118">
        <v>8.8800000000000008</v>
      </c>
      <c r="IV118">
        <v>10.26</v>
      </c>
      <c r="IW118">
        <v>17.53</v>
      </c>
      <c r="IX118">
        <v>7.83</v>
      </c>
      <c r="JB118">
        <v>9.94</v>
      </c>
      <c r="JC118">
        <v>18.649999999999899</v>
      </c>
      <c r="JD118">
        <v>4.5999999999999899</v>
      </c>
      <c r="JH118">
        <v>8.91</v>
      </c>
      <c r="JI118">
        <v>20.65</v>
      </c>
      <c r="JJ118">
        <v>5.24</v>
      </c>
      <c r="JO118">
        <v>20.059999999999899</v>
      </c>
      <c r="JP118">
        <v>9.48</v>
      </c>
      <c r="JU118">
        <v>9.2899999999999903</v>
      </c>
      <c r="JV118">
        <v>7.7</v>
      </c>
      <c r="JZ118">
        <v>6.94</v>
      </c>
      <c r="KA118">
        <v>16.829999999999899</v>
      </c>
      <c r="KB118">
        <v>6.26</v>
      </c>
      <c r="KF118">
        <v>9.1999999999999904</v>
      </c>
      <c r="KG118">
        <v>8.0500000000000007</v>
      </c>
      <c r="KH118">
        <v>25.17</v>
      </c>
      <c r="KL118">
        <v>9.5500000000000007</v>
      </c>
      <c r="KM118">
        <v>18.579999999999899</v>
      </c>
      <c r="KN118">
        <v>7.75</v>
      </c>
      <c r="KR118">
        <v>9.43</v>
      </c>
      <c r="KS118">
        <v>15.3</v>
      </c>
      <c r="KT118">
        <v>4.83</v>
      </c>
      <c r="KX118">
        <v>9.82</v>
      </c>
      <c r="KY118">
        <v>5.72</v>
      </c>
      <c r="KZ118">
        <v>11.15</v>
      </c>
      <c r="LD118">
        <v>8.7100000000000009</v>
      </c>
      <c r="LE118">
        <v>16.649999999999899</v>
      </c>
      <c r="LF118">
        <v>6.83</v>
      </c>
    </row>
    <row r="119" spans="1:319" x14ac:dyDescent="0.2">
      <c r="A119" s="37" t="s">
        <v>462</v>
      </c>
      <c r="B119">
        <v>1764.6100000000008</v>
      </c>
      <c r="C119">
        <v>33.934807692307707</v>
      </c>
      <c r="D119" s="37" t="s">
        <v>435</v>
      </c>
      <c r="E119" s="37" t="s">
        <v>460</v>
      </c>
      <c r="F119">
        <v>7.99</v>
      </c>
      <c r="H119">
        <v>6.58</v>
      </c>
      <c r="I119">
        <v>6.74</v>
      </c>
      <c r="K119">
        <v>8.7200000000000006</v>
      </c>
      <c r="L119">
        <v>8.25</v>
      </c>
      <c r="M119">
        <v>6.61</v>
      </c>
      <c r="N119">
        <v>7.14</v>
      </c>
      <c r="O119">
        <v>6.93</v>
      </c>
      <c r="P119">
        <v>8.69</v>
      </c>
      <c r="Q119">
        <v>6.63</v>
      </c>
      <c r="R119">
        <v>5.97</v>
      </c>
      <c r="T119">
        <v>8.41</v>
      </c>
      <c r="W119">
        <v>8.94</v>
      </c>
      <c r="Y119">
        <v>5.24</v>
      </c>
      <c r="AA119">
        <v>7.36</v>
      </c>
      <c r="AC119">
        <v>7.76</v>
      </c>
      <c r="AE119">
        <v>6.88</v>
      </c>
      <c r="AF119">
        <v>9.52</v>
      </c>
      <c r="AG119">
        <v>9.3000000000000007</v>
      </c>
      <c r="AI119">
        <v>14.16</v>
      </c>
      <c r="AJ119">
        <v>8.82</v>
      </c>
      <c r="AL119">
        <v>8.19</v>
      </c>
      <c r="AM119">
        <v>7.88</v>
      </c>
      <c r="AO119">
        <v>7.58</v>
      </c>
      <c r="AP119">
        <v>4.1900000000000004</v>
      </c>
      <c r="AR119">
        <v>7.32</v>
      </c>
      <c r="AS119">
        <v>8.34</v>
      </c>
      <c r="AU119">
        <v>5.32</v>
      </c>
      <c r="AV119">
        <v>7.72</v>
      </c>
      <c r="AX119">
        <v>8.0500000000000007</v>
      </c>
      <c r="AY119">
        <v>8.6</v>
      </c>
      <c r="BA119">
        <v>8.64</v>
      </c>
      <c r="BB119">
        <v>7.88</v>
      </c>
      <c r="BD119">
        <v>5.85</v>
      </c>
      <c r="BG119">
        <v>7.84</v>
      </c>
      <c r="BH119">
        <v>6.55</v>
      </c>
      <c r="BJ119">
        <v>9.17</v>
      </c>
      <c r="BK119">
        <v>8.2799999999999905</v>
      </c>
      <c r="BM119">
        <v>8.24</v>
      </c>
      <c r="BN119">
        <v>6.92</v>
      </c>
      <c r="BP119">
        <v>7.47</v>
      </c>
      <c r="BQ119">
        <v>6.89</v>
      </c>
      <c r="BS119">
        <v>7.66</v>
      </c>
      <c r="BT119">
        <v>8.39</v>
      </c>
      <c r="BV119">
        <v>9.17</v>
      </c>
      <c r="BW119">
        <v>8.1</v>
      </c>
      <c r="BX119">
        <v>5.6</v>
      </c>
      <c r="BY119">
        <v>8.5500000000000007</v>
      </c>
      <c r="CA119">
        <v>6.87</v>
      </c>
      <c r="CB119">
        <v>7.75</v>
      </c>
      <c r="CC119">
        <v>8.0399999999999903</v>
      </c>
      <c r="CD119">
        <v>6.88</v>
      </c>
      <c r="CF119">
        <v>6.42</v>
      </c>
      <c r="CG119">
        <v>13.93</v>
      </c>
      <c r="CI119">
        <v>8.64</v>
      </c>
      <c r="CJ119">
        <v>8.4499999999999904</v>
      </c>
      <c r="CK119">
        <v>6.44</v>
      </c>
      <c r="CL119">
        <v>8.02</v>
      </c>
      <c r="CM119">
        <v>5.9</v>
      </c>
      <c r="CO119">
        <v>8.08</v>
      </c>
      <c r="CP119">
        <v>7.44</v>
      </c>
      <c r="CR119">
        <v>6.78</v>
      </c>
      <c r="CS119">
        <v>5.94</v>
      </c>
      <c r="CU119">
        <v>8.77</v>
      </c>
      <c r="CV119">
        <v>8.11</v>
      </c>
      <c r="CX119">
        <v>7.78</v>
      </c>
      <c r="CY119">
        <v>7.24</v>
      </c>
      <c r="DA119">
        <v>8.31</v>
      </c>
      <c r="DB119">
        <v>7.55</v>
      </c>
      <c r="DD119">
        <v>8.0299999999999905</v>
      </c>
      <c r="DE119">
        <v>7.1</v>
      </c>
      <c r="DG119">
        <v>7.67</v>
      </c>
      <c r="DJ119">
        <v>10.0399999999999</v>
      </c>
      <c r="DL119">
        <v>7.43</v>
      </c>
      <c r="DN119">
        <v>8.8000000000000007</v>
      </c>
      <c r="DO119">
        <v>7.19</v>
      </c>
      <c r="DQ119">
        <v>15.62</v>
      </c>
      <c r="DS119">
        <v>8.57</v>
      </c>
      <c r="DT119">
        <v>7.98</v>
      </c>
      <c r="DU119">
        <v>7.91</v>
      </c>
      <c r="DW119">
        <v>7.32</v>
      </c>
      <c r="DX119">
        <v>7.76</v>
      </c>
      <c r="DZ119">
        <v>7.5</v>
      </c>
      <c r="EA119">
        <v>7.9</v>
      </c>
      <c r="EC119">
        <v>7.57</v>
      </c>
      <c r="ED119">
        <v>7.59</v>
      </c>
      <c r="EF119">
        <v>6.36</v>
      </c>
      <c r="EG119">
        <v>7.41</v>
      </c>
      <c r="EI119">
        <v>6.74</v>
      </c>
      <c r="EJ119">
        <v>7.74</v>
      </c>
      <c r="EK119">
        <v>7.27</v>
      </c>
      <c r="EL119">
        <v>8.9700000000000006</v>
      </c>
      <c r="EN119">
        <v>7.41</v>
      </c>
      <c r="ER119">
        <v>8.0399999999999903</v>
      </c>
      <c r="ES119">
        <v>7.93</v>
      </c>
      <c r="EU119">
        <v>18.89</v>
      </c>
      <c r="EV119">
        <v>7.45</v>
      </c>
      <c r="EW119">
        <v>8.07</v>
      </c>
      <c r="EX119">
        <v>6.68</v>
      </c>
      <c r="EY119">
        <v>8.02</v>
      </c>
      <c r="FA119">
        <v>8.76</v>
      </c>
      <c r="FB119">
        <v>7.15</v>
      </c>
      <c r="FD119">
        <v>8.39</v>
      </c>
      <c r="FE119">
        <v>7.95</v>
      </c>
      <c r="FG119">
        <v>6.87</v>
      </c>
      <c r="FH119">
        <v>8.81</v>
      </c>
      <c r="FJ119">
        <v>7.3</v>
      </c>
      <c r="FK119">
        <v>8.09</v>
      </c>
      <c r="FL119">
        <v>7</v>
      </c>
      <c r="FM119">
        <v>9.3800000000000008</v>
      </c>
      <c r="FP119">
        <v>7.83</v>
      </c>
      <c r="FQ119">
        <v>17.38</v>
      </c>
      <c r="FS119">
        <v>8.89</v>
      </c>
      <c r="FT119">
        <v>8.48</v>
      </c>
      <c r="FV119">
        <v>8.3800000000000008</v>
      </c>
      <c r="FW119">
        <v>9.31</v>
      </c>
      <c r="FX119">
        <v>7.09</v>
      </c>
      <c r="FY119">
        <v>5.67</v>
      </c>
      <c r="FZ119">
        <v>8.25</v>
      </c>
      <c r="GB119">
        <v>7.92</v>
      </c>
      <c r="GC119">
        <v>8.24</v>
      </c>
      <c r="GE119">
        <v>15.74</v>
      </c>
      <c r="GF119">
        <v>7.02</v>
      </c>
      <c r="GH119">
        <v>6.84</v>
      </c>
      <c r="GI119">
        <v>8.8800000000000008</v>
      </c>
      <c r="GK119">
        <v>7.24</v>
      </c>
      <c r="GL119">
        <v>3.74</v>
      </c>
      <c r="GN119">
        <v>8.1300000000000008</v>
      </c>
      <c r="GQ119">
        <v>9.5500000000000007</v>
      </c>
      <c r="GR119">
        <v>7.67</v>
      </c>
      <c r="GT119">
        <v>17.940000000000001</v>
      </c>
      <c r="GU119">
        <v>8.9499999999999904</v>
      </c>
      <c r="GW119">
        <v>8.1300000000000008</v>
      </c>
      <c r="GX119">
        <v>8.1999999999999904</v>
      </c>
      <c r="GZ119">
        <v>8.09</v>
      </c>
      <c r="HA119">
        <v>8.52</v>
      </c>
      <c r="HC119">
        <v>14.94</v>
      </c>
      <c r="HD119">
        <v>13.64</v>
      </c>
      <c r="HG119">
        <v>18.18</v>
      </c>
      <c r="HI119">
        <v>7.86</v>
      </c>
      <c r="HJ119">
        <v>8.5500000000000007</v>
      </c>
      <c r="HL119">
        <v>9.1300000000000008</v>
      </c>
      <c r="HM119">
        <v>7.37</v>
      </c>
      <c r="HO119">
        <v>7</v>
      </c>
      <c r="HP119">
        <v>7.57</v>
      </c>
      <c r="HR119">
        <v>9.2799999999999905</v>
      </c>
      <c r="HS119">
        <v>11.48</v>
      </c>
      <c r="HU119">
        <v>8.6999999999999904</v>
      </c>
      <c r="HV119">
        <v>10.01</v>
      </c>
      <c r="HX119">
        <v>5.82</v>
      </c>
      <c r="HY119">
        <v>8.8699999999999903</v>
      </c>
      <c r="IA119">
        <v>9.4</v>
      </c>
      <c r="IB119">
        <v>9.75</v>
      </c>
      <c r="ID119">
        <v>8.27</v>
      </c>
      <c r="IE119">
        <v>9.67</v>
      </c>
      <c r="IF119">
        <v>6.15</v>
      </c>
      <c r="IG119">
        <v>8.36</v>
      </c>
      <c r="IH119">
        <v>9.31</v>
      </c>
      <c r="IJ119">
        <v>8.4</v>
      </c>
      <c r="IK119">
        <v>9.01</v>
      </c>
      <c r="IM119">
        <v>9.52</v>
      </c>
      <c r="IN119">
        <v>8.19</v>
      </c>
      <c r="IP119">
        <v>8.1999999999999904</v>
      </c>
      <c r="IQ119">
        <v>8.3800000000000008</v>
      </c>
      <c r="IS119">
        <v>9.7200000000000006</v>
      </c>
      <c r="IT119">
        <v>10.09</v>
      </c>
      <c r="IV119">
        <v>9.18</v>
      </c>
      <c r="IW119">
        <v>8.01</v>
      </c>
      <c r="IY119">
        <v>8.16</v>
      </c>
      <c r="IZ119">
        <v>7.47</v>
      </c>
      <c r="JB119">
        <v>7.98</v>
      </c>
      <c r="JC119">
        <v>5.07</v>
      </c>
      <c r="JD119">
        <v>5.94</v>
      </c>
      <c r="JE119">
        <v>9.4</v>
      </c>
      <c r="JF119">
        <v>9.24</v>
      </c>
      <c r="JH119">
        <v>8.92</v>
      </c>
      <c r="JI119">
        <v>9.41</v>
      </c>
      <c r="JK119">
        <v>9.06</v>
      </c>
      <c r="JL119">
        <v>7.61</v>
      </c>
      <c r="JN119">
        <v>8.1999999999999904</v>
      </c>
      <c r="JP119">
        <v>8.17</v>
      </c>
      <c r="JQ119">
        <v>9.48</v>
      </c>
      <c r="JR119">
        <v>8.26</v>
      </c>
      <c r="JT119">
        <v>13.32</v>
      </c>
      <c r="JU119">
        <v>8.19</v>
      </c>
      <c r="JW119">
        <v>8.1999999999999904</v>
      </c>
      <c r="JX119">
        <v>7.9</v>
      </c>
      <c r="JZ119">
        <v>8.49</v>
      </c>
      <c r="KA119">
        <v>8.1999999999999904</v>
      </c>
      <c r="KC119">
        <v>8.1300000000000008</v>
      </c>
      <c r="KD119">
        <v>7.71</v>
      </c>
      <c r="KF119">
        <v>7.6</v>
      </c>
      <c r="KG119">
        <v>7.98</v>
      </c>
      <c r="KI119">
        <v>7.97</v>
      </c>
      <c r="KJ119">
        <v>7.22</v>
      </c>
      <c r="KL119">
        <v>8.44</v>
      </c>
      <c r="KM119">
        <v>9.02</v>
      </c>
      <c r="KO119">
        <v>13.17</v>
      </c>
      <c r="KP119">
        <v>9.1999999999999904</v>
      </c>
      <c r="KR119">
        <v>6.38</v>
      </c>
      <c r="KS119">
        <v>7.94</v>
      </c>
      <c r="KU119">
        <v>8.02</v>
      </c>
      <c r="KV119">
        <v>7.75</v>
      </c>
      <c r="KX119">
        <v>8.94</v>
      </c>
      <c r="KY119">
        <v>8.14</v>
      </c>
      <c r="LA119">
        <v>9.1</v>
      </c>
      <c r="LB119">
        <v>9.0299999999999905</v>
      </c>
      <c r="LD119">
        <v>8.1199999999999903</v>
      </c>
      <c r="LE119">
        <v>15.74</v>
      </c>
      <c r="LG119">
        <v>9.2200000000000006</v>
      </c>
    </row>
    <row r="120" spans="1:319" x14ac:dyDescent="0.2">
      <c r="A120" s="37" t="s">
        <v>463</v>
      </c>
      <c r="B120">
        <v>336.05</v>
      </c>
      <c r="C120">
        <v>6.4625000000000004</v>
      </c>
      <c r="D120" s="37" t="s">
        <v>435</v>
      </c>
      <c r="E120" s="37" t="s">
        <v>460</v>
      </c>
      <c r="I120">
        <v>6.81</v>
      </c>
      <c r="O120">
        <v>6.14</v>
      </c>
      <c r="U120">
        <v>7.84</v>
      </c>
      <c r="AA120">
        <v>8.0500000000000007</v>
      </c>
      <c r="AG120">
        <v>7.47</v>
      </c>
      <c r="AM120">
        <v>6.95</v>
      </c>
      <c r="AS120">
        <v>6.67</v>
      </c>
      <c r="AY120">
        <v>6.8</v>
      </c>
      <c r="BE120">
        <v>7.11</v>
      </c>
      <c r="BK120">
        <v>7.26</v>
      </c>
      <c r="BR120">
        <v>8.2899999999999903</v>
      </c>
      <c r="BW120">
        <v>8.09</v>
      </c>
      <c r="BX120">
        <v>3.88</v>
      </c>
      <c r="CD120">
        <v>7.15</v>
      </c>
      <c r="CJ120">
        <v>7.45</v>
      </c>
      <c r="CP120">
        <v>7.13</v>
      </c>
      <c r="CV120">
        <v>6.15</v>
      </c>
      <c r="DB120">
        <v>6.93</v>
      </c>
      <c r="DJ120">
        <v>6.44</v>
      </c>
      <c r="DO120">
        <v>5.0199999999999898</v>
      </c>
      <c r="DU120">
        <v>6.62</v>
      </c>
      <c r="EA120">
        <v>5.66</v>
      </c>
      <c r="EG120">
        <v>7.38</v>
      </c>
      <c r="EL120">
        <v>8.93</v>
      </c>
      <c r="ES120">
        <v>6.38</v>
      </c>
      <c r="EY120">
        <v>7.05</v>
      </c>
      <c r="FE120">
        <v>6.87</v>
      </c>
      <c r="FK120">
        <v>6.38</v>
      </c>
      <c r="FQ120">
        <v>8.4499999999999904</v>
      </c>
      <c r="FW120">
        <v>7.11</v>
      </c>
      <c r="GC120">
        <v>6.97</v>
      </c>
      <c r="GI120">
        <v>7.08</v>
      </c>
      <c r="GO120">
        <v>5.91</v>
      </c>
      <c r="GU120">
        <v>4.7699999999999898</v>
      </c>
      <c r="HA120">
        <v>5.84</v>
      </c>
      <c r="HG120">
        <v>2.14</v>
      </c>
      <c r="HY120">
        <v>6.55</v>
      </c>
      <c r="IE120">
        <v>6.58</v>
      </c>
      <c r="IK120">
        <v>7.36</v>
      </c>
      <c r="IQ120">
        <v>3.78</v>
      </c>
      <c r="JC120">
        <v>7.13</v>
      </c>
      <c r="JI120">
        <v>6.24</v>
      </c>
      <c r="JO120">
        <v>7.67</v>
      </c>
      <c r="JU120">
        <v>6.94</v>
      </c>
      <c r="KA120">
        <v>7.01</v>
      </c>
      <c r="KG120">
        <v>7.38</v>
      </c>
      <c r="KM120">
        <v>7.19</v>
      </c>
      <c r="KS120">
        <v>7</v>
      </c>
      <c r="KY120">
        <v>6.79</v>
      </c>
      <c r="LE120">
        <v>7.26</v>
      </c>
    </row>
    <row r="121" spans="1:319" x14ac:dyDescent="0.2">
      <c r="A121" s="37" t="s">
        <v>464</v>
      </c>
      <c r="D121" s="37" t="s">
        <v>435</v>
      </c>
      <c r="E121" s="37" t="s">
        <v>456</v>
      </c>
    </row>
    <row r="122" spans="1:319" x14ac:dyDescent="0.2">
      <c r="A122" s="37" t="s">
        <v>465</v>
      </c>
      <c r="B122">
        <v>1150.6099999999999</v>
      </c>
      <c r="C122">
        <v>22.127115384615383</v>
      </c>
      <c r="D122" s="37" t="s">
        <v>466</v>
      </c>
      <c r="E122" s="37" t="s">
        <v>467</v>
      </c>
      <c r="G122">
        <v>7.47</v>
      </c>
      <c r="I122">
        <v>14.28</v>
      </c>
      <c r="K122">
        <v>6.38</v>
      </c>
      <c r="M122">
        <v>2.72</v>
      </c>
      <c r="O122">
        <v>8.41</v>
      </c>
      <c r="Q122">
        <v>5.95</v>
      </c>
      <c r="S122">
        <v>7.41</v>
      </c>
      <c r="U122">
        <v>6.55</v>
      </c>
      <c r="W122">
        <v>5.87</v>
      </c>
      <c r="Y122">
        <v>5.04</v>
      </c>
      <c r="AA122">
        <v>7.71</v>
      </c>
      <c r="AC122">
        <v>7.53</v>
      </c>
      <c r="AG122">
        <v>8.6300000000000008</v>
      </c>
      <c r="AI122">
        <v>7.47</v>
      </c>
      <c r="AK122">
        <v>5.89</v>
      </c>
      <c r="AM122">
        <v>16.690000000000001</v>
      </c>
      <c r="AO122">
        <v>6.69</v>
      </c>
      <c r="AQ122">
        <v>7.2</v>
      </c>
      <c r="AS122">
        <v>6.53</v>
      </c>
      <c r="AU122">
        <v>6.42</v>
      </c>
      <c r="AW122">
        <v>8.02</v>
      </c>
      <c r="AY122">
        <v>7.72</v>
      </c>
      <c r="BA122">
        <v>7.13</v>
      </c>
      <c r="BD122">
        <v>7.74</v>
      </c>
      <c r="BE122">
        <v>6.99</v>
      </c>
      <c r="BG122">
        <v>9.1999999999999904</v>
      </c>
      <c r="BI122">
        <v>8.0500000000000007</v>
      </c>
      <c r="BK122">
        <v>8.9499999999999904</v>
      </c>
      <c r="BM122">
        <v>6.18</v>
      </c>
      <c r="BO122">
        <v>7.96</v>
      </c>
      <c r="BS122">
        <v>7.97</v>
      </c>
      <c r="BU122">
        <v>9.15</v>
      </c>
      <c r="BY122">
        <v>17.079999999999899</v>
      </c>
      <c r="CB122">
        <v>6.59</v>
      </c>
      <c r="CD122">
        <v>7.57</v>
      </c>
      <c r="CF122">
        <v>5.7</v>
      </c>
      <c r="CG122">
        <v>9.18</v>
      </c>
      <c r="CH122">
        <v>8.17</v>
      </c>
      <c r="CL122">
        <v>7.93</v>
      </c>
      <c r="CN122">
        <v>7.82</v>
      </c>
      <c r="CP122">
        <v>12.27</v>
      </c>
      <c r="CR122">
        <v>7.85</v>
      </c>
      <c r="CT122">
        <v>7.57</v>
      </c>
      <c r="CV122">
        <v>5.0599999999999898</v>
      </c>
      <c r="CX122">
        <v>5.9</v>
      </c>
      <c r="CZ122">
        <v>8.73</v>
      </c>
      <c r="DB122">
        <v>6.52</v>
      </c>
      <c r="DD122">
        <v>8.9</v>
      </c>
      <c r="DF122">
        <v>6.68</v>
      </c>
      <c r="DL122">
        <v>13.16</v>
      </c>
      <c r="DM122">
        <v>6.57</v>
      </c>
      <c r="DO122">
        <v>5.67</v>
      </c>
      <c r="DQ122">
        <v>5.38</v>
      </c>
      <c r="DS122">
        <v>8.2899999999999903</v>
      </c>
      <c r="DU122">
        <v>12.89</v>
      </c>
      <c r="DW122">
        <v>5.62</v>
      </c>
      <c r="DY122">
        <v>7.9</v>
      </c>
      <c r="EA122">
        <v>11.41</v>
      </c>
      <c r="EC122">
        <v>6.02</v>
      </c>
      <c r="EE122">
        <v>4.7699999999999898</v>
      </c>
      <c r="EG122">
        <v>8.0500000000000007</v>
      </c>
      <c r="EI122">
        <v>5.49</v>
      </c>
      <c r="EM122">
        <v>16.39</v>
      </c>
      <c r="EO122">
        <v>6.23</v>
      </c>
      <c r="EQ122">
        <v>8.26</v>
      </c>
      <c r="ES122">
        <v>12.14</v>
      </c>
      <c r="EU122">
        <v>6.53</v>
      </c>
      <c r="EW122">
        <v>4.7699999999999898</v>
      </c>
      <c r="EY122">
        <v>8.0500000000000007</v>
      </c>
      <c r="FA122">
        <v>5.49</v>
      </c>
      <c r="FC122">
        <v>5.97</v>
      </c>
      <c r="FE122">
        <v>6.89</v>
      </c>
      <c r="FG122">
        <v>9.14</v>
      </c>
      <c r="FI122">
        <v>8.66</v>
      </c>
      <c r="FK122">
        <v>12.44</v>
      </c>
      <c r="FM122">
        <v>6.6</v>
      </c>
      <c r="FO122">
        <v>6.24</v>
      </c>
      <c r="FQ122">
        <v>7.56</v>
      </c>
      <c r="FS122">
        <v>7.24</v>
      </c>
      <c r="FU122">
        <v>7.45</v>
      </c>
      <c r="FW122">
        <v>13.61</v>
      </c>
      <c r="FY122">
        <v>5.57</v>
      </c>
      <c r="GA122">
        <v>8.67</v>
      </c>
      <c r="GC122">
        <v>6.33</v>
      </c>
      <c r="GE122">
        <v>7.1</v>
      </c>
      <c r="GG122">
        <v>5.49</v>
      </c>
      <c r="GI122">
        <v>9.65</v>
      </c>
      <c r="GK122">
        <v>8.5</v>
      </c>
      <c r="GS122">
        <v>7.14</v>
      </c>
      <c r="GU122">
        <v>4.9800000000000004</v>
      </c>
      <c r="GW122">
        <v>9.33</v>
      </c>
      <c r="GY122">
        <v>8.89</v>
      </c>
      <c r="HA122">
        <v>5.14</v>
      </c>
      <c r="HC122">
        <v>8.34</v>
      </c>
      <c r="HE122">
        <v>6.87</v>
      </c>
      <c r="HG122">
        <v>9.68</v>
      </c>
      <c r="HI122">
        <v>5.45</v>
      </c>
      <c r="HK122">
        <v>9.3000000000000007</v>
      </c>
      <c r="HM122">
        <v>8.6999999999999904</v>
      </c>
      <c r="HO122">
        <v>4.63</v>
      </c>
      <c r="HQ122">
        <v>6.25</v>
      </c>
      <c r="HS122">
        <v>9.1199999999999903</v>
      </c>
      <c r="HU122">
        <v>6.36</v>
      </c>
      <c r="HW122">
        <v>9.91</v>
      </c>
      <c r="HY122">
        <v>7.8</v>
      </c>
      <c r="IA122">
        <v>6.59</v>
      </c>
      <c r="IC122">
        <v>8.98</v>
      </c>
      <c r="IE122">
        <v>7.51</v>
      </c>
      <c r="IG122">
        <v>6.62</v>
      </c>
      <c r="II122">
        <v>6.96</v>
      </c>
      <c r="IK122">
        <v>9</v>
      </c>
      <c r="IM122">
        <v>8.66</v>
      </c>
      <c r="IO122">
        <v>6.11</v>
      </c>
      <c r="IQ122">
        <v>5.98</v>
      </c>
      <c r="IS122">
        <v>10.19</v>
      </c>
      <c r="IU122">
        <v>6.11</v>
      </c>
      <c r="IW122">
        <v>7.94</v>
      </c>
      <c r="IY122">
        <v>9.81</v>
      </c>
      <c r="JB122">
        <v>6.94</v>
      </c>
      <c r="JE122">
        <v>9.6199999999999903</v>
      </c>
      <c r="JG122">
        <v>9.39</v>
      </c>
      <c r="JI122">
        <v>8.01</v>
      </c>
      <c r="JK122">
        <v>5.51</v>
      </c>
      <c r="JM122">
        <v>9.1300000000000008</v>
      </c>
      <c r="JO122">
        <v>9.2899999999999903</v>
      </c>
      <c r="JQ122">
        <v>7.41</v>
      </c>
      <c r="JS122">
        <v>7.92</v>
      </c>
      <c r="JU122">
        <v>6.08</v>
      </c>
      <c r="JW122">
        <v>7.35</v>
      </c>
      <c r="JY122">
        <v>5.91</v>
      </c>
      <c r="KA122">
        <v>6.81</v>
      </c>
      <c r="KC122">
        <v>10.24</v>
      </c>
      <c r="KE122">
        <v>6.14</v>
      </c>
      <c r="KG122">
        <v>5.43</v>
      </c>
      <c r="KI122">
        <v>8.85</v>
      </c>
      <c r="KK122">
        <v>8.27</v>
      </c>
      <c r="KM122">
        <v>6.18</v>
      </c>
      <c r="KO122">
        <v>6.83</v>
      </c>
      <c r="KQ122">
        <v>8.5</v>
      </c>
      <c r="KS122">
        <v>6.52</v>
      </c>
      <c r="KU122">
        <v>8.85</v>
      </c>
      <c r="KW122">
        <v>8.65</v>
      </c>
      <c r="KY122">
        <v>13.29</v>
      </c>
      <c r="LA122">
        <v>4.83</v>
      </c>
      <c r="LC122">
        <v>6.96</v>
      </c>
      <c r="LE122">
        <v>8.14</v>
      </c>
      <c r="LG122">
        <v>7.6</v>
      </c>
    </row>
    <row r="123" spans="1:319" x14ac:dyDescent="0.2">
      <c r="A123" s="37" t="s">
        <v>468</v>
      </c>
      <c r="D123" s="37" t="s">
        <v>466</v>
      </c>
      <c r="E123" s="37" t="s">
        <v>467</v>
      </c>
    </row>
    <row r="124" spans="1:319" x14ac:dyDescent="0.2">
      <c r="A124" s="37" t="s">
        <v>469</v>
      </c>
      <c r="D124" s="37" t="s">
        <v>466</v>
      </c>
      <c r="E124" s="37" t="s">
        <v>467</v>
      </c>
    </row>
    <row r="125" spans="1:319" x14ac:dyDescent="0.2">
      <c r="A125" s="37" t="s">
        <v>470</v>
      </c>
      <c r="B125">
        <v>1320.9599999999994</v>
      </c>
      <c r="C125">
        <v>25.40307692307691</v>
      </c>
      <c r="D125" s="37" t="s">
        <v>466</v>
      </c>
      <c r="E125" s="37" t="s">
        <v>467</v>
      </c>
      <c r="G125">
        <v>6.73</v>
      </c>
      <c r="H125">
        <v>5.0599999999999898</v>
      </c>
      <c r="I125">
        <v>6.9</v>
      </c>
      <c r="K125">
        <v>7.94</v>
      </c>
      <c r="M125">
        <v>6.49</v>
      </c>
      <c r="N125">
        <v>5.44</v>
      </c>
      <c r="O125">
        <v>7.03</v>
      </c>
      <c r="Q125">
        <v>7.15</v>
      </c>
      <c r="S125">
        <v>7.35</v>
      </c>
      <c r="T125">
        <v>6.97</v>
      </c>
      <c r="U125">
        <v>5.23</v>
      </c>
      <c r="W125">
        <v>5.87</v>
      </c>
      <c r="Y125">
        <v>13.62</v>
      </c>
      <c r="Z125">
        <v>6.86</v>
      </c>
      <c r="AA125">
        <v>7.87</v>
      </c>
      <c r="AC125">
        <v>6.49</v>
      </c>
      <c r="AE125">
        <v>8.66</v>
      </c>
      <c r="AF125">
        <v>8.64</v>
      </c>
      <c r="AG125">
        <v>4.93</v>
      </c>
      <c r="AI125">
        <v>6.97</v>
      </c>
      <c r="AK125">
        <v>7.12</v>
      </c>
      <c r="AL125">
        <v>8.84</v>
      </c>
      <c r="AO125">
        <v>7.09</v>
      </c>
      <c r="AP125">
        <v>7.65</v>
      </c>
      <c r="AQ125">
        <v>6.83</v>
      </c>
      <c r="AR125">
        <v>6.49</v>
      </c>
      <c r="AU125">
        <v>7.91</v>
      </c>
      <c r="AW125">
        <v>6.36</v>
      </c>
      <c r="AX125">
        <v>7.62</v>
      </c>
      <c r="BA125">
        <v>5.91</v>
      </c>
      <c r="BD125">
        <v>7.17</v>
      </c>
      <c r="BE125">
        <v>7.71</v>
      </c>
      <c r="BG125">
        <v>9.14</v>
      </c>
      <c r="BI125">
        <v>8.15</v>
      </c>
      <c r="BJ125">
        <v>7.35</v>
      </c>
      <c r="BK125">
        <v>7.34</v>
      </c>
      <c r="BM125">
        <v>7.16</v>
      </c>
      <c r="BO125">
        <v>8.01</v>
      </c>
      <c r="BP125">
        <v>7.32</v>
      </c>
      <c r="BS125">
        <v>7.31</v>
      </c>
      <c r="BU125">
        <v>7.98</v>
      </c>
      <c r="BV125">
        <v>8.66</v>
      </c>
      <c r="BW125">
        <v>6.42</v>
      </c>
      <c r="BY125">
        <v>7.26</v>
      </c>
      <c r="CB125">
        <v>7.93</v>
      </c>
      <c r="CC125">
        <v>7.52</v>
      </c>
      <c r="CF125">
        <v>8.24</v>
      </c>
      <c r="CH125">
        <v>9.6</v>
      </c>
      <c r="CI125">
        <v>6.78</v>
      </c>
      <c r="CJ125">
        <v>5.34</v>
      </c>
      <c r="CL125">
        <v>6.67</v>
      </c>
      <c r="CM125">
        <v>8.07</v>
      </c>
      <c r="CN125">
        <v>6.91</v>
      </c>
      <c r="CP125">
        <v>8.2200000000000006</v>
      </c>
      <c r="CR125">
        <v>6.19</v>
      </c>
      <c r="CT125">
        <v>9.5299999999999905</v>
      </c>
      <c r="CU125">
        <v>6.1</v>
      </c>
      <c r="CV125">
        <v>6.35</v>
      </c>
      <c r="CX125">
        <v>6.42</v>
      </c>
      <c r="CZ125">
        <v>6.65</v>
      </c>
      <c r="DA125">
        <v>9.1300000000000008</v>
      </c>
      <c r="DD125">
        <v>7.52</v>
      </c>
      <c r="DE125">
        <v>6.05</v>
      </c>
      <c r="DF125">
        <v>5.58</v>
      </c>
      <c r="DG125">
        <v>4.96</v>
      </c>
      <c r="DJ125">
        <v>6.39</v>
      </c>
      <c r="DL125">
        <v>5.6</v>
      </c>
      <c r="DM125">
        <v>6.48</v>
      </c>
      <c r="DN125">
        <v>4.51</v>
      </c>
      <c r="DO125">
        <v>6.01</v>
      </c>
      <c r="DQ125">
        <v>8.11</v>
      </c>
      <c r="DS125">
        <v>6.51</v>
      </c>
      <c r="DT125">
        <v>5.13</v>
      </c>
      <c r="DU125">
        <v>5.76</v>
      </c>
      <c r="DW125">
        <v>6.66</v>
      </c>
      <c r="DY125">
        <v>6.24</v>
      </c>
      <c r="DZ125">
        <v>10.0299999999999</v>
      </c>
      <c r="EA125">
        <v>6.27</v>
      </c>
      <c r="EE125">
        <v>7.29</v>
      </c>
      <c r="EF125">
        <v>6.61</v>
      </c>
      <c r="EG125">
        <v>4.16</v>
      </c>
      <c r="EI125">
        <v>7.99</v>
      </c>
      <c r="EJ125">
        <v>5.43</v>
      </c>
      <c r="EM125">
        <v>7.52</v>
      </c>
      <c r="EN125">
        <v>8.8000000000000007</v>
      </c>
      <c r="EO125">
        <v>5.77</v>
      </c>
      <c r="EQ125">
        <v>9.4499999999999904</v>
      </c>
      <c r="ER125">
        <v>6.31</v>
      </c>
      <c r="ES125">
        <v>6.52</v>
      </c>
      <c r="EU125">
        <v>5.47</v>
      </c>
      <c r="EW125">
        <v>7.29</v>
      </c>
      <c r="EX125">
        <v>6.61</v>
      </c>
      <c r="EY125">
        <v>4.16</v>
      </c>
      <c r="FA125">
        <v>7.99</v>
      </c>
      <c r="FC125">
        <v>6.34</v>
      </c>
      <c r="FD125">
        <v>6.99</v>
      </c>
      <c r="FE125">
        <v>11.16</v>
      </c>
      <c r="FG125">
        <v>6.7</v>
      </c>
      <c r="FI125">
        <v>8.4600000000000009</v>
      </c>
      <c r="FJ125">
        <v>7.23</v>
      </c>
      <c r="FK125">
        <v>7.3</v>
      </c>
      <c r="FM125">
        <v>5.38</v>
      </c>
      <c r="FO125">
        <v>7.46</v>
      </c>
      <c r="FP125">
        <v>6.67</v>
      </c>
      <c r="FS125">
        <v>7.61</v>
      </c>
      <c r="FT125">
        <v>6.04</v>
      </c>
      <c r="FU125">
        <v>7.74</v>
      </c>
      <c r="FV125">
        <v>9.64</v>
      </c>
      <c r="FW125">
        <v>4.8899999999999899</v>
      </c>
      <c r="FY125">
        <v>7.63</v>
      </c>
      <c r="GA125">
        <v>8.51</v>
      </c>
      <c r="GB125">
        <v>7.32</v>
      </c>
      <c r="GC125">
        <v>7.12</v>
      </c>
      <c r="GE125">
        <v>5.29</v>
      </c>
      <c r="GF125">
        <v>7.17</v>
      </c>
      <c r="GG125">
        <v>6.58</v>
      </c>
      <c r="GH125">
        <v>8.2799999999999905</v>
      </c>
      <c r="GI125">
        <v>3.41</v>
      </c>
      <c r="GS125">
        <v>7.15</v>
      </c>
      <c r="GT125">
        <v>7.6</v>
      </c>
      <c r="GV125">
        <v>8.5</v>
      </c>
      <c r="GW125">
        <v>5.84</v>
      </c>
      <c r="GY125">
        <v>7.89</v>
      </c>
      <c r="HA125">
        <v>3.47</v>
      </c>
      <c r="HC125">
        <v>7.97</v>
      </c>
      <c r="HE125">
        <v>8.02</v>
      </c>
      <c r="HG125">
        <v>8.0399999999999903</v>
      </c>
      <c r="HI125">
        <v>7.07</v>
      </c>
      <c r="HK125">
        <v>8.27</v>
      </c>
      <c r="HL125">
        <v>8.2799999999999905</v>
      </c>
      <c r="HN125">
        <v>7.23</v>
      </c>
      <c r="HO125">
        <v>7.11</v>
      </c>
      <c r="HQ125">
        <v>7.34</v>
      </c>
      <c r="HS125">
        <v>7.52</v>
      </c>
      <c r="HU125">
        <v>8.5399999999999903</v>
      </c>
      <c r="HW125">
        <v>9.43</v>
      </c>
      <c r="HX125">
        <v>4.2</v>
      </c>
      <c r="HZ125">
        <v>4.2300000000000004</v>
      </c>
      <c r="IA125">
        <v>7.72</v>
      </c>
      <c r="IC125">
        <v>7.39</v>
      </c>
      <c r="ID125">
        <v>8.59</v>
      </c>
      <c r="IE125">
        <v>8.32</v>
      </c>
      <c r="IG125">
        <v>8.31</v>
      </c>
      <c r="IK125">
        <v>7.83</v>
      </c>
      <c r="IM125">
        <v>7.53</v>
      </c>
      <c r="IO125">
        <v>8.02</v>
      </c>
      <c r="IP125">
        <v>7.1</v>
      </c>
      <c r="IQ125">
        <v>8.7799999999999905</v>
      </c>
      <c r="IS125">
        <v>7.11</v>
      </c>
      <c r="IU125">
        <v>9.06</v>
      </c>
      <c r="IV125">
        <v>7.24</v>
      </c>
      <c r="IX125">
        <v>6.31</v>
      </c>
      <c r="JB125">
        <v>8.2100000000000009</v>
      </c>
      <c r="JE125">
        <v>9.02</v>
      </c>
      <c r="JG125">
        <v>7.96</v>
      </c>
      <c r="JH125">
        <v>7.32</v>
      </c>
      <c r="JI125">
        <v>4.72</v>
      </c>
      <c r="JM125">
        <v>9.4499999999999904</v>
      </c>
      <c r="JN125">
        <v>6.74</v>
      </c>
      <c r="JQ125">
        <v>7.46</v>
      </c>
      <c r="JR125">
        <v>7.48</v>
      </c>
      <c r="JS125">
        <v>6.11</v>
      </c>
      <c r="JT125">
        <v>7.25</v>
      </c>
      <c r="JW125">
        <v>6.15</v>
      </c>
      <c r="JY125">
        <v>6.39</v>
      </c>
      <c r="JZ125">
        <v>6.44</v>
      </c>
      <c r="KA125">
        <v>6.83</v>
      </c>
      <c r="KC125">
        <v>7.73</v>
      </c>
      <c r="KE125">
        <v>6.5</v>
      </c>
      <c r="KF125">
        <v>5.05</v>
      </c>
      <c r="KI125">
        <v>9.61</v>
      </c>
      <c r="KK125">
        <v>4.95</v>
      </c>
      <c r="KL125">
        <v>7.35</v>
      </c>
      <c r="KO125">
        <v>8.02</v>
      </c>
      <c r="KQ125">
        <v>7.2</v>
      </c>
      <c r="KR125">
        <v>8.61</v>
      </c>
      <c r="KS125">
        <v>8.27</v>
      </c>
      <c r="KU125">
        <v>6.43</v>
      </c>
      <c r="KW125">
        <v>7.93</v>
      </c>
      <c r="KX125">
        <v>7.6</v>
      </c>
      <c r="LA125">
        <v>6.59</v>
      </c>
      <c r="LC125">
        <v>10.18</v>
      </c>
      <c r="LD125">
        <v>8.41</v>
      </c>
      <c r="LG125">
        <v>7.24</v>
      </c>
    </row>
    <row r="126" spans="1:319" x14ac:dyDescent="0.2">
      <c r="A126" s="37" t="s">
        <v>471</v>
      </c>
      <c r="B126">
        <v>1309.2800000000007</v>
      </c>
      <c r="C126">
        <v>25.178461538461551</v>
      </c>
      <c r="D126" s="37" t="s">
        <v>466</v>
      </c>
      <c r="E126" s="37" t="s">
        <v>467</v>
      </c>
      <c r="G126">
        <v>4.82</v>
      </c>
      <c r="H126">
        <v>3.37</v>
      </c>
      <c r="I126">
        <v>6.67</v>
      </c>
      <c r="K126">
        <v>7.9</v>
      </c>
      <c r="M126">
        <v>6.55</v>
      </c>
      <c r="N126">
        <v>5.77</v>
      </c>
      <c r="O126">
        <v>5.68</v>
      </c>
      <c r="Q126">
        <v>7.26</v>
      </c>
      <c r="S126">
        <v>7.23</v>
      </c>
      <c r="T126">
        <v>3.54</v>
      </c>
      <c r="U126">
        <v>6.38</v>
      </c>
      <c r="W126">
        <v>7.86</v>
      </c>
      <c r="AC126">
        <v>7.72</v>
      </c>
      <c r="AE126">
        <v>5.68</v>
      </c>
      <c r="AF126">
        <v>10.19</v>
      </c>
      <c r="AI126">
        <v>9.2899999999999903</v>
      </c>
      <c r="AK126">
        <v>9.7100000000000009</v>
      </c>
      <c r="AL126">
        <v>7.28</v>
      </c>
      <c r="AO126">
        <v>8.73</v>
      </c>
      <c r="AQ126">
        <v>8.43</v>
      </c>
      <c r="AR126">
        <v>9.48</v>
      </c>
      <c r="AU126">
        <v>6.06</v>
      </c>
      <c r="AW126">
        <v>8.73</v>
      </c>
      <c r="AX126">
        <v>6.24</v>
      </c>
      <c r="AZ126">
        <v>7.62</v>
      </c>
      <c r="BD126">
        <v>9.9</v>
      </c>
      <c r="BE126">
        <v>8.0299999999999905</v>
      </c>
      <c r="BG126">
        <v>4.78</v>
      </c>
      <c r="BI126">
        <v>5.5</v>
      </c>
      <c r="BJ126">
        <v>8.35</v>
      </c>
      <c r="BM126">
        <v>9.06</v>
      </c>
      <c r="BO126">
        <v>8.94</v>
      </c>
      <c r="BP126">
        <v>7.8</v>
      </c>
      <c r="BS126">
        <v>7.48</v>
      </c>
      <c r="BU126">
        <v>8.41</v>
      </c>
      <c r="BV126">
        <v>9.24</v>
      </c>
      <c r="BY126">
        <v>9.19</v>
      </c>
      <c r="CA126">
        <v>6.83</v>
      </c>
      <c r="CB126">
        <v>14.72</v>
      </c>
      <c r="CF126">
        <v>8.0299999999999905</v>
      </c>
      <c r="CG126">
        <v>8.91</v>
      </c>
      <c r="CH126">
        <v>8.01</v>
      </c>
      <c r="CI126">
        <v>6.67</v>
      </c>
      <c r="CL126">
        <v>14.82</v>
      </c>
      <c r="CM126">
        <v>5.87</v>
      </c>
      <c r="CN126">
        <v>7.53</v>
      </c>
      <c r="CQ126">
        <v>8.65</v>
      </c>
      <c r="CR126">
        <v>6.75</v>
      </c>
      <c r="CT126">
        <v>7.92</v>
      </c>
      <c r="CU126">
        <v>8.0500000000000007</v>
      </c>
      <c r="CX126">
        <v>6.23</v>
      </c>
      <c r="CZ126">
        <v>8.9</v>
      </c>
      <c r="DA126">
        <v>7.13</v>
      </c>
      <c r="DD126">
        <v>9.49</v>
      </c>
      <c r="DF126">
        <v>7.48</v>
      </c>
      <c r="DG126">
        <v>3.57</v>
      </c>
      <c r="DJ126">
        <v>9.56</v>
      </c>
      <c r="DL126">
        <v>7.35</v>
      </c>
      <c r="DM126">
        <v>9.36</v>
      </c>
      <c r="DN126">
        <v>4.9400000000000004</v>
      </c>
      <c r="DO126">
        <v>3.81</v>
      </c>
      <c r="DQ126">
        <v>5.79</v>
      </c>
      <c r="DS126">
        <v>6.93</v>
      </c>
      <c r="DT126">
        <v>6.9</v>
      </c>
      <c r="DU126">
        <v>3.69</v>
      </c>
      <c r="DW126">
        <v>5.89</v>
      </c>
      <c r="DY126">
        <v>8.68</v>
      </c>
      <c r="DZ126">
        <v>7.08</v>
      </c>
      <c r="EA126">
        <v>7.92</v>
      </c>
      <c r="EC126">
        <v>8.8000000000000007</v>
      </c>
      <c r="EE126">
        <v>9.24</v>
      </c>
      <c r="EF126">
        <v>6.48</v>
      </c>
      <c r="EG126">
        <v>6.78</v>
      </c>
      <c r="EI126">
        <v>6.81</v>
      </c>
      <c r="EJ126">
        <v>8.31</v>
      </c>
      <c r="EM126">
        <v>5.19</v>
      </c>
      <c r="EN126">
        <v>7.1</v>
      </c>
      <c r="EO126">
        <v>8.57</v>
      </c>
      <c r="EQ126">
        <v>7.67</v>
      </c>
      <c r="ER126">
        <v>5.77</v>
      </c>
      <c r="ES126">
        <v>4.63</v>
      </c>
      <c r="EU126">
        <v>7.07</v>
      </c>
      <c r="EW126">
        <v>9.24</v>
      </c>
      <c r="EX126">
        <v>6.48</v>
      </c>
      <c r="EY126">
        <v>6.78</v>
      </c>
      <c r="FA126">
        <v>6.81</v>
      </c>
      <c r="FC126">
        <v>9.09</v>
      </c>
      <c r="FD126">
        <v>6.58</v>
      </c>
      <c r="FE126">
        <v>7.09</v>
      </c>
      <c r="FG126">
        <v>8.17</v>
      </c>
      <c r="FI126">
        <v>5.72</v>
      </c>
      <c r="FJ126">
        <v>9.9499999999999904</v>
      </c>
      <c r="FK126">
        <v>7.63</v>
      </c>
      <c r="FM126">
        <v>8.06</v>
      </c>
      <c r="FO126">
        <v>8.11</v>
      </c>
      <c r="FP126">
        <v>7.19</v>
      </c>
      <c r="FS126">
        <v>3.71</v>
      </c>
      <c r="FU126">
        <v>10.24</v>
      </c>
      <c r="FV126">
        <v>7.39</v>
      </c>
      <c r="FW126">
        <v>7.03</v>
      </c>
      <c r="FY126">
        <v>7.05</v>
      </c>
      <c r="GA126">
        <v>6.63</v>
      </c>
      <c r="GB126">
        <v>8.81</v>
      </c>
      <c r="GE126">
        <v>4.3600000000000003</v>
      </c>
      <c r="GG126">
        <v>8.16</v>
      </c>
      <c r="GH126">
        <v>5.43</v>
      </c>
      <c r="GI126">
        <v>3.87</v>
      </c>
      <c r="GK126">
        <v>7.31</v>
      </c>
      <c r="GS126">
        <v>6.14</v>
      </c>
      <c r="GT126">
        <v>6.73</v>
      </c>
      <c r="GV126">
        <v>7.07</v>
      </c>
      <c r="GW126">
        <v>6.51</v>
      </c>
      <c r="GY126">
        <v>7.5</v>
      </c>
      <c r="HA126">
        <v>5.66</v>
      </c>
      <c r="HC126">
        <v>7.6</v>
      </c>
      <c r="HE126">
        <v>6.25</v>
      </c>
      <c r="HG126">
        <v>6.81</v>
      </c>
      <c r="HI126">
        <v>9.84</v>
      </c>
      <c r="HK126">
        <v>7.8</v>
      </c>
      <c r="HL126">
        <v>5.71</v>
      </c>
      <c r="HN126">
        <v>4.0999999999999899</v>
      </c>
      <c r="HO126">
        <v>7.05</v>
      </c>
      <c r="HQ126">
        <v>9.64</v>
      </c>
      <c r="HS126">
        <v>9.75</v>
      </c>
      <c r="HU126">
        <v>8.19</v>
      </c>
      <c r="HW126">
        <v>6.76</v>
      </c>
      <c r="HX126">
        <v>7.76</v>
      </c>
      <c r="HZ126">
        <v>5.68</v>
      </c>
      <c r="IA126">
        <v>6.53</v>
      </c>
      <c r="IC126">
        <v>10.4</v>
      </c>
      <c r="ID126">
        <v>4.84</v>
      </c>
      <c r="IG126">
        <v>5.61</v>
      </c>
      <c r="II126">
        <v>17.649999999999899</v>
      </c>
      <c r="IK126">
        <v>11.32</v>
      </c>
      <c r="IM126">
        <v>4.9000000000000004</v>
      </c>
      <c r="IO126">
        <v>9.7899999999999903</v>
      </c>
      <c r="IP126">
        <v>9.19</v>
      </c>
      <c r="IS126">
        <v>6.19</v>
      </c>
      <c r="IU126">
        <v>6.41</v>
      </c>
      <c r="IV126">
        <v>9.14</v>
      </c>
      <c r="IX126">
        <v>9.4700000000000006</v>
      </c>
      <c r="IY126">
        <v>6.44</v>
      </c>
      <c r="JB126">
        <v>7.25</v>
      </c>
      <c r="JE126">
        <v>10.3</v>
      </c>
      <c r="JG126">
        <v>9.84</v>
      </c>
      <c r="JH126">
        <v>7.14</v>
      </c>
      <c r="JM126">
        <v>7.7</v>
      </c>
      <c r="JN126">
        <v>9.19</v>
      </c>
      <c r="JQ126">
        <v>9.0299999999999905</v>
      </c>
      <c r="JS126">
        <v>9.65</v>
      </c>
      <c r="JT126">
        <v>6.22</v>
      </c>
      <c r="JW126">
        <v>8.68</v>
      </c>
      <c r="JY126">
        <v>8.11</v>
      </c>
      <c r="JZ126">
        <v>6.54</v>
      </c>
      <c r="KC126">
        <v>10.38</v>
      </c>
      <c r="KE126">
        <v>11</v>
      </c>
      <c r="KF126">
        <v>9.1300000000000008</v>
      </c>
      <c r="KI126">
        <v>7.2</v>
      </c>
      <c r="KK126">
        <v>6.9</v>
      </c>
      <c r="KL126">
        <v>7.83</v>
      </c>
      <c r="KO126">
        <v>7.65</v>
      </c>
      <c r="KQ126">
        <v>9.7200000000000006</v>
      </c>
      <c r="KR126">
        <v>8.92</v>
      </c>
      <c r="KU126">
        <v>8.92</v>
      </c>
      <c r="KW126">
        <v>8.66</v>
      </c>
      <c r="KX126">
        <v>8.43</v>
      </c>
      <c r="KY126">
        <v>8.6</v>
      </c>
      <c r="LA126">
        <v>7.23</v>
      </c>
      <c r="LC126">
        <v>7.99</v>
      </c>
      <c r="LD126">
        <v>8.5</v>
      </c>
      <c r="LE126">
        <v>7.49</v>
      </c>
      <c r="LG126">
        <v>7.01</v>
      </c>
    </row>
    <row r="127" spans="1:319" x14ac:dyDescent="0.2">
      <c r="A127" s="37" t="s">
        <v>472</v>
      </c>
      <c r="B127">
        <v>14.559999999999999</v>
      </c>
      <c r="C127">
        <v>0.27999999999999997</v>
      </c>
      <c r="D127" s="37" t="s">
        <v>466</v>
      </c>
      <c r="E127" s="37" t="s">
        <v>467</v>
      </c>
      <c r="IG127">
        <v>8.86</v>
      </c>
      <c r="IY127">
        <v>5.7</v>
      </c>
    </row>
    <row r="128" spans="1:319" x14ac:dyDescent="0.2">
      <c r="A128" s="37" t="s">
        <v>473</v>
      </c>
      <c r="B128">
        <v>741.06</v>
      </c>
      <c r="C128">
        <v>14.251153846153844</v>
      </c>
      <c r="D128" s="37" t="s">
        <v>466</v>
      </c>
      <c r="E128" s="37" t="s">
        <v>467</v>
      </c>
      <c r="G128">
        <v>6.84</v>
      </c>
      <c r="K128">
        <v>5.45</v>
      </c>
      <c r="M128">
        <v>8.48</v>
      </c>
      <c r="Q128">
        <v>7.35</v>
      </c>
      <c r="S128">
        <v>7.96</v>
      </c>
      <c r="W128">
        <v>7.8</v>
      </c>
      <c r="Y128">
        <v>6.65</v>
      </c>
      <c r="AC128">
        <v>7.1</v>
      </c>
      <c r="AE128">
        <v>7.53</v>
      </c>
      <c r="AI128">
        <v>5.57</v>
      </c>
      <c r="AK128">
        <v>6.8</v>
      </c>
      <c r="AO128">
        <v>5.87</v>
      </c>
      <c r="AQ128">
        <v>7.98</v>
      </c>
      <c r="AU128">
        <v>9.2799999999999905</v>
      </c>
      <c r="AW128">
        <v>7.48</v>
      </c>
      <c r="AY128">
        <v>7.97</v>
      </c>
      <c r="BD128">
        <v>7.53</v>
      </c>
      <c r="BG128">
        <v>7.55</v>
      </c>
      <c r="BI128">
        <v>7.35</v>
      </c>
      <c r="BM128">
        <v>7.15</v>
      </c>
      <c r="BO128">
        <v>7.93</v>
      </c>
      <c r="BS128">
        <v>7.74</v>
      </c>
      <c r="BW128">
        <v>7.19</v>
      </c>
      <c r="CB128">
        <v>8.42</v>
      </c>
      <c r="CF128">
        <v>8.2100000000000009</v>
      </c>
      <c r="CH128">
        <v>8.1199999999999903</v>
      </c>
      <c r="CL128">
        <v>7.79</v>
      </c>
      <c r="CN128">
        <v>7.8</v>
      </c>
      <c r="CR128">
        <v>5.18</v>
      </c>
      <c r="CT128">
        <v>7.55</v>
      </c>
      <c r="CX128">
        <v>5.85</v>
      </c>
      <c r="CZ128">
        <v>7.93</v>
      </c>
      <c r="DD128">
        <v>7.47</v>
      </c>
      <c r="DF128">
        <v>7.32</v>
      </c>
      <c r="DL128">
        <v>6.79</v>
      </c>
      <c r="DM128">
        <v>7.91</v>
      </c>
      <c r="DQ128">
        <v>5.96</v>
      </c>
      <c r="DS128">
        <v>7.22</v>
      </c>
      <c r="DW128">
        <v>7.14</v>
      </c>
      <c r="DY128">
        <v>7.66</v>
      </c>
      <c r="EC128">
        <v>7.18</v>
      </c>
      <c r="EE128">
        <v>7</v>
      </c>
      <c r="EI128">
        <v>7.1</v>
      </c>
      <c r="EM128">
        <v>8.09</v>
      </c>
      <c r="EO128">
        <v>8.41</v>
      </c>
      <c r="EQ128">
        <v>8.1300000000000008</v>
      </c>
      <c r="EU128">
        <v>7.03</v>
      </c>
      <c r="EW128">
        <v>7</v>
      </c>
      <c r="FA128">
        <v>7.1</v>
      </c>
      <c r="FC128">
        <v>7.33</v>
      </c>
      <c r="FG128">
        <v>5.19</v>
      </c>
      <c r="FI128">
        <v>7.51</v>
      </c>
      <c r="FM128">
        <v>5.5</v>
      </c>
      <c r="FO128">
        <v>8.51</v>
      </c>
      <c r="FS128">
        <v>8.11</v>
      </c>
      <c r="FU128">
        <v>8.4700000000000006</v>
      </c>
      <c r="FY128">
        <v>4.2699999999999898</v>
      </c>
      <c r="GA128">
        <v>7.84</v>
      </c>
      <c r="GE128">
        <v>6.53</v>
      </c>
      <c r="GG128">
        <v>8.4700000000000006</v>
      </c>
      <c r="GK128">
        <v>6.02</v>
      </c>
      <c r="GS128">
        <v>8.1999999999999904</v>
      </c>
      <c r="GW128">
        <v>9.26</v>
      </c>
      <c r="GY128">
        <v>9.4</v>
      </c>
      <c r="HC128">
        <v>8.25</v>
      </c>
      <c r="HE128">
        <v>8.68</v>
      </c>
      <c r="HI128">
        <v>9.56</v>
      </c>
      <c r="HK128">
        <v>6.3</v>
      </c>
      <c r="HO128">
        <v>8.68</v>
      </c>
      <c r="HQ128">
        <v>8.77</v>
      </c>
      <c r="HU128">
        <v>9.17</v>
      </c>
      <c r="HW128">
        <v>6.62</v>
      </c>
      <c r="IA128">
        <v>6.08</v>
      </c>
      <c r="IC128">
        <v>5.53</v>
      </c>
      <c r="IG128">
        <v>7.5</v>
      </c>
      <c r="IM128">
        <v>7.89</v>
      </c>
      <c r="IO128">
        <v>9.41</v>
      </c>
      <c r="IS128">
        <v>9.2899999999999903</v>
      </c>
      <c r="IU128">
        <v>6.72</v>
      </c>
      <c r="JB128">
        <v>8.4</v>
      </c>
      <c r="JE128">
        <v>8.0299999999999905</v>
      </c>
      <c r="JG128">
        <v>5.12</v>
      </c>
      <c r="JK128">
        <v>8.34</v>
      </c>
      <c r="JM128">
        <v>9.23</v>
      </c>
      <c r="JQ128">
        <v>6.27</v>
      </c>
      <c r="JS128">
        <v>6.94</v>
      </c>
      <c r="JW128">
        <v>8.86</v>
      </c>
      <c r="JY128">
        <v>9.15</v>
      </c>
      <c r="KC128">
        <v>8.85</v>
      </c>
      <c r="KE128">
        <v>7.94</v>
      </c>
      <c r="KI128">
        <v>9.2899999999999903</v>
      </c>
      <c r="KK128">
        <v>7.82</v>
      </c>
      <c r="KO128">
        <v>8.36</v>
      </c>
      <c r="KQ128">
        <v>4.09</v>
      </c>
      <c r="KU128">
        <v>5.92</v>
      </c>
      <c r="KW128">
        <v>5.14</v>
      </c>
      <c r="LA128">
        <v>9.16</v>
      </c>
      <c r="LC128">
        <v>6.9</v>
      </c>
      <c r="LG128">
        <v>8.2799999999999905</v>
      </c>
    </row>
    <row r="129" spans="1:319" x14ac:dyDescent="0.2">
      <c r="A129" s="37" t="s">
        <v>474</v>
      </c>
      <c r="B129">
        <v>620.67000000000007</v>
      </c>
      <c r="C129">
        <v>11.935961538461539</v>
      </c>
      <c r="D129" s="37" t="s">
        <v>466</v>
      </c>
      <c r="E129" s="37" t="s">
        <v>475</v>
      </c>
      <c r="G129">
        <v>7.21</v>
      </c>
      <c r="K129">
        <v>6.21</v>
      </c>
      <c r="M129">
        <v>3.55</v>
      </c>
      <c r="Q129">
        <v>5.61</v>
      </c>
      <c r="S129">
        <v>4.0599999999999898</v>
      </c>
      <c r="W129">
        <v>4.6900000000000004</v>
      </c>
      <c r="Y129">
        <v>5.96</v>
      </c>
      <c r="AC129">
        <v>7.06</v>
      </c>
      <c r="AE129">
        <v>4.5599999999999898</v>
      </c>
      <c r="AI129">
        <v>8.7899999999999903</v>
      </c>
      <c r="AK129">
        <v>6.87</v>
      </c>
      <c r="AO129">
        <v>7.57</v>
      </c>
      <c r="AQ129">
        <v>6.22</v>
      </c>
      <c r="AU129">
        <v>5.37</v>
      </c>
      <c r="AW129">
        <v>6.39</v>
      </c>
      <c r="BA129">
        <v>6.57</v>
      </c>
      <c r="BF129">
        <v>7.78</v>
      </c>
      <c r="BI129">
        <v>7.26</v>
      </c>
      <c r="BM129">
        <v>8.07</v>
      </c>
      <c r="BO129">
        <v>7.69</v>
      </c>
      <c r="BS129">
        <v>6.01</v>
      </c>
      <c r="BY129">
        <v>6.77</v>
      </c>
      <c r="CB129">
        <v>7.29</v>
      </c>
      <c r="CF129">
        <v>3.79</v>
      </c>
      <c r="CH129">
        <v>7.13</v>
      </c>
      <c r="CL129">
        <v>7.44</v>
      </c>
      <c r="CN129">
        <v>7.04</v>
      </c>
      <c r="CR129">
        <v>5.94</v>
      </c>
      <c r="CT129">
        <v>3.68</v>
      </c>
      <c r="CX129">
        <v>4.43</v>
      </c>
      <c r="CZ129">
        <v>6.69</v>
      </c>
      <c r="DD129">
        <v>7.22</v>
      </c>
      <c r="DF129">
        <v>7.66</v>
      </c>
      <c r="DL129">
        <v>4.6100000000000003</v>
      </c>
      <c r="DM129">
        <v>6.63</v>
      </c>
      <c r="DQ129">
        <v>3.2</v>
      </c>
      <c r="DW129">
        <v>7.92</v>
      </c>
      <c r="DY129">
        <v>8.48</v>
      </c>
      <c r="EC129">
        <v>3.99</v>
      </c>
      <c r="EE129">
        <v>6.82</v>
      </c>
      <c r="EI129">
        <v>7.67</v>
      </c>
      <c r="EL129">
        <v>13.29</v>
      </c>
      <c r="EO129">
        <v>5.32</v>
      </c>
      <c r="EQ129">
        <v>3.22</v>
      </c>
      <c r="EU129">
        <v>6.04</v>
      </c>
      <c r="EW129">
        <v>6.82</v>
      </c>
      <c r="FA129">
        <v>7.67</v>
      </c>
      <c r="FC129">
        <v>5.44</v>
      </c>
      <c r="FG129">
        <v>7.6</v>
      </c>
      <c r="FI129">
        <v>4.9400000000000004</v>
      </c>
      <c r="FM129">
        <v>6.69</v>
      </c>
      <c r="FO129">
        <v>7.82</v>
      </c>
      <c r="FS129">
        <v>4.7699999999999898</v>
      </c>
      <c r="FU129">
        <v>5.9</v>
      </c>
      <c r="FY129">
        <v>9.09</v>
      </c>
      <c r="GA129">
        <v>6.57</v>
      </c>
      <c r="GE129">
        <v>7.97</v>
      </c>
      <c r="GG129">
        <v>7.13</v>
      </c>
      <c r="GK129">
        <v>9</v>
      </c>
      <c r="GS129">
        <v>6.83</v>
      </c>
      <c r="GW129">
        <v>5.68</v>
      </c>
      <c r="GY129">
        <v>5.22</v>
      </c>
      <c r="HC129">
        <v>6.42</v>
      </c>
      <c r="HE129">
        <v>5.33</v>
      </c>
      <c r="HI129">
        <v>6.35</v>
      </c>
      <c r="HL129">
        <v>5.64</v>
      </c>
      <c r="HO129">
        <v>5.61</v>
      </c>
      <c r="HQ129">
        <v>4.3499999999999899</v>
      </c>
      <c r="HU129">
        <v>6.69</v>
      </c>
      <c r="IA129">
        <v>7</v>
      </c>
      <c r="IC129">
        <v>5.81</v>
      </c>
      <c r="IG129">
        <v>7.25</v>
      </c>
      <c r="II129">
        <v>3.79</v>
      </c>
      <c r="IM129">
        <v>7.1</v>
      </c>
      <c r="IO129">
        <v>4.95</v>
      </c>
      <c r="IS129">
        <v>5.65</v>
      </c>
      <c r="IU129">
        <v>6.1</v>
      </c>
      <c r="JB129">
        <v>5.78</v>
      </c>
      <c r="JE129">
        <v>7.55</v>
      </c>
      <c r="JG129">
        <v>5.04</v>
      </c>
      <c r="JK129">
        <v>5.22</v>
      </c>
      <c r="JM129">
        <v>5.95</v>
      </c>
      <c r="JQ129">
        <v>6.32</v>
      </c>
      <c r="JS129">
        <v>7.66</v>
      </c>
      <c r="JW129">
        <v>7.31</v>
      </c>
      <c r="JY129">
        <v>4.13</v>
      </c>
      <c r="KC129">
        <v>5.89</v>
      </c>
      <c r="KE129">
        <v>7.04</v>
      </c>
      <c r="KI129">
        <v>7.97</v>
      </c>
      <c r="KK129">
        <v>6.54</v>
      </c>
      <c r="KO129">
        <v>7.32</v>
      </c>
      <c r="KQ129">
        <v>8.14</v>
      </c>
      <c r="KU129">
        <v>7.46</v>
      </c>
      <c r="KW129">
        <v>5.14</v>
      </c>
      <c r="LA129">
        <v>8.7200000000000006</v>
      </c>
      <c r="LC129">
        <v>4.45</v>
      </c>
      <c r="LG129">
        <v>8.09</v>
      </c>
    </row>
    <row r="130" spans="1:319" x14ac:dyDescent="0.2">
      <c r="A130" s="37" t="s">
        <v>476</v>
      </c>
      <c r="B130">
        <v>1718.2999999999993</v>
      </c>
      <c r="C130">
        <v>33.044230769230758</v>
      </c>
      <c r="D130" s="37" t="s">
        <v>466</v>
      </c>
      <c r="E130" s="37" t="s">
        <v>475</v>
      </c>
      <c r="G130">
        <v>16.059999999999899</v>
      </c>
      <c r="J130">
        <v>17.170000000000002</v>
      </c>
      <c r="M130">
        <v>17.37</v>
      </c>
      <c r="P130">
        <v>17.260000000000002</v>
      </c>
      <c r="S130">
        <v>18.579999999999899</v>
      </c>
      <c r="V130">
        <v>17.47</v>
      </c>
      <c r="W130">
        <v>8.08</v>
      </c>
      <c r="Y130">
        <v>16.98</v>
      </c>
      <c r="AA130">
        <v>8.41</v>
      </c>
      <c r="AB130">
        <v>18.239999999999899</v>
      </c>
      <c r="AE130">
        <v>15.94</v>
      </c>
      <c r="AI130">
        <v>17.64</v>
      </c>
      <c r="AK130">
        <v>15.38</v>
      </c>
      <c r="AN130">
        <v>9.3800000000000008</v>
      </c>
      <c r="AP130">
        <v>7.44</v>
      </c>
      <c r="AQ130">
        <v>17.63</v>
      </c>
      <c r="AT130">
        <v>15.3</v>
      </c>
      <c r="AW130">
        <v>16.37</v>
      </c>
      <c r="AZ130">
        <v>18.48</v>
      </c>
      <c r="BB130">
        <v>18.3</v>
      </c>
      <c r="BF130">
        <v>19.37</v>
      </c>
      <c r="BI130">
        <v>25.04</v>
      </c>
      <c r="BO130">
        <v>18.350000000000001</v>
      </c>
      <c r="BR130">
        <v>18.989999999999899</v>
      </c>
      <c r="BU130">
        <v>13.65</v>
      </c>
      <c r="BX130">
        <v>14.579999999999901</v>
      </c>
      <c r="CB130">
        <v>17.59</v>
      </c>
      <c r="CE130">
        <v>8.7799999999999905</v>
      </c>
      <c r="CF130">
        <v>9.99</v>
      </c>
      <c r="CH130">
        <v>15.94</v>
      </c>
      <c r="CK130">
        <v>18.53</v>
      </c>
      <c r="CN130">
        <v>16.100000000000001</v>
      </c>
      <c r="CT130">
        <v>16.72</v>
      </c>
      <c r="CX130">
        <v>19.07</v>
      </c>
      <c r="CZ130">
        <v>17.77</v>
      </c>
      <c r="DC130">
        <v>17.66</v>
      </c>
      <c r="DF130">
        <v>17.34</v>
      </c>
      <c r="DJ130">
        <v>9.16</v>
      </c>
      <c r="DL130">
        <v>8.73</v>
      </c>
      <c r="DM130">
        <v>17.420000000000002</v>
      </c>
      <c r="DN130">
        <v>8.36</v>
      </c>
      <c r="DP130">
        <v>17.600000000000001</v>
      </c>
      <c r="DS130">
        <v>14.93</v>
      </c>
      <c r="DV130">
        <v>8.77</v>
      </c>
      <c r="DW130">
        <v>7.49</v>
      </c>
      <c r="DY130">
        <v>14.49</v>
      </c>
      <c r="EB130">
        <v>11.2</v>
      </c>
      <c r="EE130">
        <v>15.57</v>
      </c>
      <c r="EH130">
        <v>14.21</v>
      </c>
      <c r="EJ130">
        <v>8.75</v>
      </c>
      <c r="EL130">
        <v>8.51</v>
      </c>
      <c r="EM130">
        <v>8.84</v>
      </c>
      <c r="EN130">
        <v>16.87</v>
      </c>
      <c r="EQ130">
        <v>15.96</v>
      </c>
      <c r="ET130">
        <v>16.260000000000002</v>
      </c>
      <c r="EW130">
        <v>15.57</v>
      </c>
      <c r="EZ130">
        <v>14.21</v>
      </c>
      <c r="FB130">
        <v>7.59</v>
      </c>
      <c r="FD130">
        <v>18.2</v>
      </c>
      <c r="FF130">
        <v>19.05</v>
      </c>
      <c r="FI130">
        <v>13.57</v>
      </c>
      <c r="FM130">
        <v>16.72</v>
      </c>
      <c r="FO130">
        <v>16.34</v>
      </c>
      <c r="FR130">
        <v>19.68</v>
      </c>
      <c r="FU130">
        <v>17.329999999999899</v>
      </c>
      <c r="FX130">
        <v>15.35</v>
      </c>
      <c r="GA130">
        <v>19.350000000000001</v>
      </c>
      <c r="GD130">
        <v>16.32</v>
      </c>
      <c r="GG130">
        <v>12.62</v>
      </c>
      <c r="GJ130">
        <v>11.9</v>
      </c>
      <c r="GS130">
        <v>17.920000000000002</v>
      </c>
      <c r="GV130">
        <v>17.54</v>
      </c>
      <c r="GY130">
        <v>18.79</v>
      </c>
      <c r="HB130">
        <v>11.28</v>
      </c>
      <c r="HE130">
        <v>19.899999999999899</v>
      </c>
      <c r="HH130">
        <v>21.28</v>
      </c>
      <c r="HK130">
        <v>17.329999999999899</v>
      </c>
      <c r="HO130">
        <v>22.46</v>
      </c>
      <c r="HQ130">
        <v>16.8</v>
      </c>
      <c r="HT130">
        <v>15.65</v>
      </c>
      <c r="HW130">
        <v>13.66</v>
      </c>
      <c r="HY130">
        <v>19.690000000000001</v>
      </c>
      <c r="IC130">
        <v>20.399999999999899</v>
      </c>
      <c r="II130">
        <v>19.68</v>
      </c>
      <c r="IL130">
        <v>16</v>
      </c>
      <c r="IO130">
        <v>18.59</v>
      </c>
      <c r="IR130">
        <v>7.82</v>
      </c>
      <c r="IS130">
        <v>6.98</v>
      </c>
      <c r="IU130">
        <v>15.84</v>
      </c>
      <c r="IX130">
        <v>18.61</v>
      </c>
      <c r="IZ130">
        <v>9.23</v>
      </c>
      <c r="JB130">
        <v>8.5299999999999905</v>
      </c>
      <c r="JD130">
        <v>15.57</v>
      </c>
      <c r="JG130">
        <v>14.85</v>
      </c>
      <c r="JI130">
        <v>10.46</v>
      </c>
      <c r="JJ130">
        <v>20.68</v>
      </c>
      <c r="JK130">
        <v>12.47</v>
      </c>
      <c r="JM130">
        <v>20.77</v>
      </c>
      <c r="JP130">
        <v>17.12</v>
      </c>
      <c r="JS130">
        <v>18.27</v>
      </c>
      <c r="JV130">
        <v>15.41</v>
      </c>
      <c r="JY130">
        <v>16.88</v>
      </c>
      <c r="KB130">
        <v>18.87</v>
      </c>
      <c r="KE130">
        <v>9.19</v>
      </c>
      <c r="KF130">
        <v>11.02</v>
      </c>
      <c r="KH130">
        <v>14.28</v>
      </c>
      <c r="KK130">
        <v>19.579999999999899</v>
      </c>
      <c r="KQ130">
        <v>17.54</v>
      </c>
      <c r="KT130">
        <v>7.82</v>
      </c>
      <c r="KW130">
        <v>7.17</v>
      </c>
      <c r="KX130">
        <v>11.37</v>
      </c>
      <c r="LA130">
        <v>15.72</v>
      </c>
      <c r="LC130">
        <v>19.41</v>
      </c>
    </row>
    <row r="131" spans="1:319" x14ac:dyDescent="0.2">
      <c r="A131" s="37" t="s">
        <v>477</v>
      </c>
      <c r="B131">
        <v>707.55</v>
      </c>
      <c r="C131">
        <v>13.606730769230769</v>
      </c>
      <c r="D131" s="37" t="s">
        <v>466</v>
      </c>
      <c r="E131" s="37" t="s">
        <v>475</v>
      </c>
      <c r="G131">
        <v>6.62</v>
      </c>
      <c r="K131">
        <v>8.8699999999999903</v>
      </c>
      <c r="P131">
        <v>7.24</v>
      </c>
      <c r="Q131">
        <v>14.23</v>
      </c>
      <c r="S131">
        <v>6.79</v>
      </c>
      <c r="AA131">
        <v>13.34</v>
      </c>
      <c r="AC131">
        <v>9.34</v>
      </c>
      <c r="AP131">
        <v>10.56</v>
      </c>
      <c r="AQ131">
        <v>8.23</v>
      </c>
      <c r="AT131">
        <v>6.45</v>
      </c>
      <c r="BA131">
        <v>14.08</v>
      </c>
      <c r="BF131">
        <v>15.01</v>
      </c>
      <c r="BK131">
        <v>8.9</v>
      </c>
      <c r="BM131">
        <v>6.71</v>
      </c>
      <c r="BU131">
        <v>8.25</v>
      </c>
      <c r="BY131">
        <v>7.51</v>
      </c>
      <c r="CB131">
        <v>9.18</v>
      </c>
      <c r="CH131">
        <v>8.09</v>
      </c>
      <c r="CL131">
        <v>2.87</v>
      </c>
      <c r="CN131">
        <v>10.98</v>
      </c>
      <c r="CV131">
        <v>5.85</v>
      </c>
      <c r="CW131">
        <v>4.2699999999999898</v>
      </c>
      <c r="CZ131">
        <v>16.04</v>
      </c>
      <c r="DF131">
        <v>6.76</v>
      </c>
      <c r="DL131">
        <v>8.33</v>
      </c>
      <c r="DM131">
        <v>5.31</v>
      </c>
      <c r="DP131">
        <v>12.58</v>
      </c>
      <c r="DS131">
        <v>3.31</v>
      </c>
      <c r="DW131">
        <v>8.3699999999999903</v>
      </c>
      <c r="DY131">
        <v>6</v>
      </c>
      <c r="EC131">
        <v>6.73</v>
      </c>
      <c r="EF131">
        <v>4.84</v>
      </c>
      <c r="EH131">
        <v>5.79</v>
      </c>
      <c r="EJ131">
        <v>5.29</v>
      </c>
      <c r="EL131">
        <v>5.43</v>
      </c>
      <c r="EN131">
        <v>5.78</v>
      </c>
      <c r="EO131">
        <v>15.04</v>
      </c>
      <c r="EQ131">
        <v>4.2699999999999898</v>
      </c>
      <c r="EU131">
        <v>7.32</v>
      </c>
      <c r="EX131">
        <v>4.84</v>
      </c>
      <c r="EZ131">
        <v>5.79</v>
      </c>
      <c r="FC131">
        <v>2.5</v>
      </c>
      <c r="FG131">
        <v>15</v>
      </c>
      <c r="FM131">
        <v>9.02</v>
      </c>
      <c r="FN131">
        <v>7.38</v>
      </c>
      <c r="FS131">
        <v>7.58</v>
      </c>
      <c r="FT131">
        <v>4.07</v>
      </c>
      <c r="FU131">
        <v>4.8899999999999899</v>
      </c>
      <c r="FY131">
        <v>7</v>
      </c>
      <c r="FZ131">
        <v>7.73</v>
      </c>
      <c r="GA131">
        <v>5.21</v>
      </c>
      <c r="GD131">
        <v>7.32</v>
      </c>
      <c r="GF131">
        <v>4.91</v>
      </c>
      <c r="GG131">
        <v>4.88</v>
      </c>
      <c r="GK131">
        <v>8.4700000000000006</v>
      </c>
      <c r="GR131">
        <v>4.88</v>
      </c>
      <c r="GS131">
        <v>7.8</v>
      </c>
      <c r="GT131">
        <v>5.97</v>
      </c>
      <c r="GU131">
        <v>6.23</v>
      </c>
      <c r="GY131">
        <v>3.13</v>
      </c>
      <c r="HC131">
        <v>16.690000000000001</v>
      </c>
      <c r="HE131">
        <v>6.34</v>
      </c>
      <c r="HI131">
        <v>8.0299999999999905</v>
      </c>
      <c r="HP131">
        <v>8.58</v>
      </c>
      <c r="HQ131">
        <v>9.1</v>
      </c>
      <c r="HT131">
        <v>4.26</v>
      </c>
      <c r="HW131">
        <v>3.5</v>
      </c>
      <c r="IA131">
        <v>10.67</v>
      </c>
      <c r="IC131">
        <v>6.64</v>
      </c>
      <c r="IG131">
        <v>4.57</v>
      </c>
      <c r="II131">
        <v>6.84</v>
      </c>
      <c r="IM131">
        <v>8.02</v>
      </c>
      <c r="IU131">
        <v>6.43</v>
      </c>
      <c r="IY131">
        <v>16.010000000000002</v>
      </c>
      <c r="JC131">
        <v>10.26</v>
      </c>
      <c r="JE131">
        <v>11.02</v>
      </c>
      <c r="JQ131">
        <v>14.64</v>
      </c>
      <c r="JS131">
        <v>7.76</v>
      </c>
      <c r="JU131">
        <v>3.58</v>
      </c>
      <c r="JW131">
        <v>8.1999999999999904</v>
      </c>
      <c r="KC131">
        <v>8.68</v>
      </c>
      <c r="KI131">
        <v>7.89</v>
      </c>
      <c r="KN131">
        <v>12.54</v>
      </c>
      <c r="KO131">
        <v>15</v>
      </c>
      <c r="KU131">
        <v>7.59</v>
      </c>
      <c r="KW131">
        <v>6.71</v>
      </c>
      <c r="LA131">
        <v>13.77</v>
      </c>
      <c r="LG131">
        <v>9.07</v>
      </c>
    </row>
    <row r="132" spans="1:319" x14ac:dyDescent="0.2">
      <c r="A132" s="37" t="s">
        <v>478</v>
      </c>
      <c r="B132">
        <v>7.36</v>
      </c>
      <c r="C132">
        <v>0.14153846153846156</v>
      </c>
      <c r="D132" s="37" t="s">
        <v>466</v>
      </c>
      <c r="E132" s="37" t="s">
        <v>479</v>
      </c>
      <c r="HG132">
        <v>7.36</v>
      </c>
    </row>
    <row r="133" spans="1:319" x14ac:dyDescent="0.2">
      <c r="A133" s="37" t="s">
        <v>480</v>
      </c>
      <c r="B133">
        <v>2305.0000000000009</v>
      </c>
      <c r="C133">
        <v>44.326923076923094</v>
      </c>
      <c r="D133" s="37" t="s">
        <v>466</v>
      </c>
      <c r="E133" s="37" t="s">
        <v>479</v>
      </c>
      <c r="F133">
        <v>13.63</v>
      </c>
      <c r="H133">
        <v>21.12</v>
      </c>
      <c r="J133">
        <v>15.3</v>
      </c>
      <c r="M133">
        <v>13.32</v>
      </c>
      <c r="N133">
        <v>17.41</v>
      </c>
      <c r="O133">
        <v>9.0500000000000007</v>
      </c>
      <c r="P133">
        <v>13.86</v>
      </c>
      <c r="R133">
        <v>12.45</v>
      </c>
      <c r="T133">
        <v>23.7</v>
      </c>
      <c r="V133">
        <v>14.85</v>
      </c>
      <c r="Y133">
        <v>15.22</v>
      </c>
      <c r="Z133">
        <v>16.09</v>
      </c>
      <c r="AA133">
        <v>8.2899999999999903</v>
      </c>
      <c r="AB133">
        <v>18.920000000000002</v>
      </c>
      <c r="AE133">
        <v>12.59</v>
      </c>
      <c r="AF133">
        <v>13.58</v>
      </c>
      <c r="AH133">
        <v>14.26</v>
      </c>
      <c r="AJ133">
        <v>6.13</v>
      </c>
      <c r="AL133">
        <v>15.36</v>
      </c>
      <c r="AM133">
        <v>8.3800000000000008</v>
      </c>
      <c r="AN133">
        <v>7.13</v>
      </c>
      <c r="AP133">
        <v>13.15</v>
      </c>
      <c r="AQ133">
        <v>7.7</v>
      </c>
      <c r="AR133">
        <v>14.57</v>
      </c>
      <c r="AT133">
        <v>20.21</v>
      </c>
      <c r="AW133">
        <v>14</v>
      </c>
      <c r="AX133">
        <v>24.1</v>
      </c>
      <c r="AZ133">
        <v>12.65</v>
      </c>
      <c r="BB133">
        <v>16.309999999999899</v>
      </c>
      <c r="BD133">
        <v>16.579999999999899</v>
      </c>
      <c r="BF133">
        <v>6.92</v>
      </c>
      <c r="BH133">
        <v>11.18</v>
      </c>
      <c r="BJ133">
        <v>22.94</v>
      </c>
      <c r="BL133">
        <v>12.1</v>
      </c>
      <c r="BM133">
        <v>8.33</v>
      </c>
      <c r="BN133">
        <v>13.69</v>
      </c>
      <c r="BP133">
        <v>21.24</v>
      </c>
      <c r="BT133">
        <v>10.69</v>
      </c>
      <c r="BV133">
        <v>16.16</v>
      </c>
      <c r="BX133">
        <v>11.17</v>
      </c>
      <c r="CA133">
        <v>21.32</v>
      </c>
      <c r="CC133">
        <v>13.7</v>
      </c>
      <c r="CE133">
        <v>13.13</v>
      </c>
      <c r="CG133">
        <v>16.829999999999899</v>
      </c>
      <c r="CI133">
        <v>15.65</v>
      </c>
      <c r="CK133">
        <v>16.64</v>
      </c>
      <c r="CM133">
        <v>14</v>
      </c>
      <c r="CO133">
        <v>13.4</v>
      </c>
      <c r="CQ133">
        <v>12.66</v>
      </c>
      <c r="CT133">
        <v>13.29</v>
      </c>
      <c r="CU133">
        <v>12.66</v>
      </c>
      <c r="CW133">
        <v>11.83</v>
      </c>
      <c r="CY133">
        <v>14.74</v>
      </c>
      <c r="DA133">
        <v>21.48</v>
      </c>
      <c r="DC133">
        <v>15.39</v>
      </c>
      <c r="DE133">
        <v>11.02</v>
      </c>
      <c r="DG133">
        <v>14.9</v>
      </c>
      <c r="DJ133">
        <v>13.03</v>
      </c>
      <c r="DL133">
        <v>12.26</v>
      </c>
      <c r="DN133">
        <v>13.55</v>
      </c>
      <c r="DP133">
        <v>9.15</v>
      </c>
      <c r="DQ133">
        <v>3.68</v>
      </c>
      <c r="DS133">
        <v>4.9000000000000004</v>
      </c>
      <c r="DT133">
        <v>11.2</v>
      </c>
      <c r="DV133">
        <v>15.01</v>
      </c>
      <c r="DX133">
        <v>23.43</v>
      </c>
      <c r="DZ133">
        <v>15.26</v>
      </c>
      <c r="EB133">
        <v>14.57</v>
      </c>
      <c r="ED133">
        <v>12.95</v>
      </c>
      <c r="EF133">
        <v>15.14</v>
      </c>
      <c r="EG133">
        <v>7.73</v>
      </c>
      <c r="EJ133">
        <v>14.35</v>
      </c>
      <c r="EL133">
        <v>21.19</v>
      </c>
      <c r="EO133">
        <v>31.43</v>
      </c>
      <c r="EP133">
        <v>13.91</v>
      </c>
      <c r="ER133">
        <v>8.66</v>
      </c>
      <c r="ET133">
        <v>15.05</v>
      </c>
      <c r="EV133">
        <v>12.95</v>
      </c>
      <c r="EX133">
        <v>15.14</v>
      </c>
      <c r="EY133">
        <v>7.73</v>
      </c>
      <c r="FB133">
        <v>24.6</v>
      </c>
      <c r="FD133">
        <v>12.59</v>
      </c>
      <c r="FF133">
        <v>26.56</v>
      </c>
      <c r="FH133">
        <v>12.27</v>
      </c>
      <c r="FJ133">
        <v>14.27</v>
      </c>
      <c r="FL133">
        <v>22.15</v>
      </c>
      <c r="FN133">
        <v>12.91</v>
      </c>
      <c r="FP133">
        <v>17.68</v>
      </c>
      <c r="FR133">
        <v>13.16</v>
      </c>
      <c r="FT133">
        <v>14.52</v>
      </c>
      <c r="FV133">
        <v>20.87</v>
      </c>
      <c r="FX133">
        <v>8.7899999999999903</v>
      </c>
      <c r="FZ133">
        <v>12.14</v>
      </c>
      <c r="GB133">
        <v>17.53</v>
      </c>
      <c r="GD133">
        <v>13.13</v>
      </c>
      <c r="GF133">
        <v>12.88</v>
      </c>
      <c r="GG133">
        <v>9.06</v>
      </c>
      <c r="GH133">
        <v>13.57</v>
      </c>
      <c r="GJ133">
        <v>12.97</v>
      </c>
      <c r="GR133">
        <v>20.61</v>
      </c>
      <c r="GT133">
        <v>12.92</v>
      </c>
      <c r="GV133">
        <v>11</v>
      </c>
      <c r="GX133">
        <v>16.190000000000001</v>
      </c>
      <c r="GZ133">
        <v>10.130000000000001</v>
      </c>
      <c r="HA133">
        <v>9.5500000000000007</v>
      </c>
      <c r="HB133">
        <v>15.38</v>
      </c>
      <c r="HD133">
        <v>15.15</v>
      </c>
      <c r="HF133">
        <v>23.29</v>
      </c>
      <c r="HH133">
        <v>15.21</v>
      </c>
      <c r="HJ133">
        <v>15.65</v>
      </c>
      <c r="HL133">
        <v>19.12</v>
      </c>
      <c r="HN133">
        <v>11.97</v>
      </c>
      <c r="HP133">
        <v>10.19</v>
      </c>
      <c r="HR133">
        <v>14.75</v>
      </c>
      <c r="HT133">
        <v>11.88</v>
      </c>
      <c r="HW133">
        <v>16.190000000000001</v>
      </c>
      <c r="HX133">
        <v>13.19</v>
      </c>
      <c r="HZ133">
        <v>11.45</v>
      </c>
      <c r="IB133">
        <v>15.99</v>
      </c>
      <c r="ID133">
        <v>20.65</v>
      </c>
      <c r="IF133">
        <v>11.49</v>
      </c>
      <c r="IH133">
        <v>13.12</v>
      </c>
      <c r="IJ133">
        <v>13.3</v>
      </c>
      <c r="IL133">
        <v>14.33</v>
      </c>
      <c r="IN133">
        <v>15.31</v>
      </c>
      <c r="IP133">
        <v>14.37</v>
      </c>
      <c r="IR133">
        <v>11.45</v>
      </c>
      <c r="IT133">
        <v>14.01</v>
      </c>
      <c r="IV133">
        <v>14.17</v>
      </c>
      <c r="IX133">
        <v>12.85</v>
      </c>
      <c r="IZ133">
        <v>24.01</v>
      </c>
      <c r="JB133">
        <v>5.12</v>
      </c>
      <c r="JD133">
        <v>13.73</v>
      </c>
      <c r="JF133">
        <v>14.47</v>
      </c>
      <c r="JH133">
        <v>15.39</v>
      </c>
      <c r="JJ133">
        <v>15.72</v>
      </c>
      <c r="JL133">
        <v>25.03</v>
      </c>
      <c r="JN133">
        <v>15.61</v>
      </c>
      <c r="JP133">
        <v>21.13</v>
      </c>
      <c r="JR133">
        <v>10.91</v>
      </c>
      <c r="JT133">
        <v>12.23</v>
      </c>
      <c r="JV133">
        <v>18.12</v>
      </c>
      <c r="JX133">
        <v>20.02</v>
      </c>
      <c r="JZ133">
        <v>4.84</v>
      </c>
      <c r="KB133">
        <v>6.78</v>
      </c>
      <c r="KC133">
        <v>7.47</v>
      </c>
      <c r="KD133">
        <v>12.82</v>
      </c>
      <c r="KF133">
        <v>21.96</v>
      </c>
      <c r="KH133">
        <v>12.04</v>
      </c>
      <c r="KJ133">
        <v>14.38</v>
      </c>
      <c r="KL133">
        <v>14.61</v>
      </c>
      <c r="KN133">
        <v>11.54</v>
      </c>
      <c r="KP133">
        <v>13.62</v>
      </c>
      <c r="KR133">
        <v>6.66</v>
      </c>
      <c r="KT133">
        <v>15.06</v>
      </c>
      <c r="KV133">
        <v>6.59</v>
      </c>
      <c r="KX133">
        <v>25.53</v>
      </c>
      <c r="KZ133">
        <v>12.53</v>
      </c>
      <c r="LC133">
        <v>13.02</v>
      </c>
      <c r="LD133">
        <v>14.12</v>
      </c>
      <c r="LF133">
        <v>14.19</v>
      </c>
    </row>
    <row r="134" spans="1:319" x14ac:dyDescent="0.2">
      <c r="A134" s="37" t="s">
        <v>481</v>
      </c>
      <c r="B134">
        <v>1495.75</v>
      </c>
      <c r="C134">
        <v>28.764423076923077</v>
      </c>
      <c r="D134" s="37" t="s">
        <v>466</v>
      </c>
      <c r="E134" s="37" t="s">
        <v>482</v>
      </c>
      <c r="H134">
        <v>14.82</v>
      </c>
      <c r="J134">
        <v>19.850000000000001</v>
      </c>
      <c r="N134">
        <v>15.34</v>
      </c>
      <c r="P134">
        <v>14.89</v>
      </c>
      <c r="T134">
        <v>16.91</v>
      </c>
      <c r="V134">
        <v>17.260000000000002</v>
      </c>
      <c r="Z134">
        <v>22.93</v>
      </c>
      <c r="AB134">
        <v>14.47</v>
      </c>
      <c r="AF134">
        <v>16.3</v>
      </c>
      <c r="AH134">
        <v>12.13</v>
      </c>
      <c r="AL134">
        <v>15.32</v>
      </c>
      <c r="AN134">
        <v>6.81</v>
      </c>
      <c r="AR134">
        <v>14.75</v>
      </c>
      <c r="AT134">
        <v>12.72</v>
      </c>
      <c r="AW134">
        <v>5.84</v>
      </c>
      <c r="AX134">
        <v>14.8</v>
      </c>
      <c r="AZ134">
        <v>11.86</v>
      </c>
      <c r="BD134">
        <v>14.7</v>
      </c>
      <c r="BF134">
        <v>15.67</v>
      </c>
      <c r="BJ134">
        <v>14.58</v>
      </c>
      <c r="BL134">
        <v>14.51</v>
      </c>
      <c r="BP134">
        <v>15.63</v>
      </c>
      <c r="BV134">
        <v>15.08</v>
      </c>
      <c r="BX134">
        <v>7.11</v>
      </c>
      <c r="CC134">
        <v>14.2</v>
      </c>
      <c r="CE134">
        <v>12.13</v>
      </c>
      <c r="CI134">
        <v>17.02</v>
      </c>
      <c r="CK134">
        <v>16.52</v>
      </c>
      <c r="CO134">
        <v>13.88</v>
      </c>
      <c r="CQ134">
        <v>14.17</v>
      </c>
      <c r="CU134">
        <v>15.39</v>
      </c>
      <c r="CW134">
        <v>15.17</v>
      </c>
      <c r="CY134">
        <v>8.0299999999999905</v>
      </c>
      <c r="DA134">
        <v>13.36</v>
      </c>
      <c r="DC134">
        <v>14.56</v>
      </c>
      <c r="DG134">
        <v>21.92</v>
      </c>
      <c r="DL134">
        <v>12.39</v>
      </c>
      <c r="DN134">
        <v>14.07</v>
      </c>
      <c r="DP134">
        <v>10.33</v>
      </c>
      <c r="DT134">
        <v>14.28</v>
      </c>
      <c r="DV134">
        <v>11.76</v>
      </c>
      <c r="DY134">
        <v>8.07</v>
      </c>
      <c r="DZ134">
        <v>7.96</v>
      </c>
      <c r="EB134">
        <v>13.28</v>
      </c>
      <c r="EF134">
        <v>6.97</v>
      </c>
      <c r="EG134">
        <v>8.59</v>
      </c>
      <c r="EH134">
        <v>13.25</v>
      </c>
      <c r="EL134">
        <v>14.25</v>
      </c>
      <c r="EN134">
        <v>15.5</v>
      </c>
      <c r="ER134">
        <v>15.82</v>
      </c>
      <c r="ET134">
        <v>14.07</v>
      </c>
      <c r="EX134">
        <v>6.97</v>
      </c>
      <c r="EY134">
        <v>8.59</v>
      </c>
      <c r="EZ134">
        <v>13.25</v>
      </c>
      <c r="FD134">
        <v>16.62</v>
      </c>
      <c r="FF134">
        <v>15.21</v>
      </c>
      <c r="FJ134">
        <v>15.96</v>
      </c>
      <c r="FL134">
        <v>15.25</v>
      </c>
      <c r="FP134">
        <v>16.350000000000001</v>
      </c>
      <c r="FR134">
        <v>14.42</v>
      </c>
      <c r="FV134">
        <v>15.38</v>
      </c>
      <c r="FX134">
        <v>14.2</v>
      </c>
      <c r="GB134">
        <v>16.329999999999899</v>
      </c>
      <c r="GD134">
        <v>15.58</v>
      </c>
      <c r="GH134">
        <v>17.11</v>
      </c>
      <c r="GJ134">
        <v>12.63</v>
      </c>
      <c r="GT134">
        <v>15.37</v>
      </c>
      <c r="GV134">
        <v>14.2</v>
      </c>
      <c r="GZ134">
        <v>13.37</v>
      </c>
      <c r="HB134">
        <v>13.86</v>
      </c>
      <c r="HF134">
        <v>17.34</v>
      </c>
      <c r="HH134">
        <v>11.37</v>
      </c>
      <c r="HL134">
        <v>16.8</v>
      </c>
      <c r="HN134">
        <v>11.95</v>
      </c>
      <c r="HR134">
        <v>17.559999999999899</v>
      </c>
      <c r="HT134">
        <v>12.2</v>
      </c>
      <c r="HX134">
        <v>16.850000000000001</v>
      </c>
      <c r="HZ134">
        <v>12.04</v>
      </c>
      <c r="ID134">
        <v>17.27</v>
      </c>
      <c r="IF134">
        <v>14.54</v>
      </c>
      <c r="IJ134">
        <v>18.45</v>
      </c>
      <c r="IL134">
        <v>14.27</v>
      </c>
      <c r="IP134">
        <v>15.6</v>
      </c>
      <c r="IR134">
        <v>12.22</v>
      </c>
      <c r="IW134">
        <v>17.309999999999899</v>
      </c>
      <c r="IX134">
        <v>6.89</v>
      </c>
      <c r="IY134">
        <v>8.35</v>
      </c>
      <c r="JB134">
        <v>24.6</v>
      </c>
      <c r="JD134">
        <v>12.81</v>
      </c>
      <c r="JH134">
        <v>16.43</v>
      </c>
      <c r="JJ134">
        <v>13.7</v>
      </c>
      <c r="JN134">
        <v>15.98</v>
      </c>
      <c r="JP134">
        <v>13.66</v>
      </c>
      <c r="JT134">
        <v>18.239999999999899</v>
      </c>
      <c r="JV134">
        <v>12.03</v>
      </c>
      <c r="JZ134">
        <v>12.58</v>
      </c>
      <c r="KB134">
        <v>13.56</v>
      </c>
      <c r="KF134">
        <v>17.7</v>
      </c>
      <c r="KL134">
        <v>16.03</v>
      </c>
      <c r="KN134">
        <v>13.43</v>
      </c>
      <c r="KR134">
        <v>16.34</v>
      </c>
      <c r="KT134">
        <v>11.53</v>
      </c>
      <c r="KX134">
        <v>17.309999999999899</v>
      </c>
      <c r="KZ134">
        <v>5.68</v>
      </c>
      <c r="LD134">
        <v>16.57</v>
      </c>
      <c r="LF134">
        <v>14.69</v>
      </c>
    </row>
    <row r="135" spans="1:319" x14ac:dyDescent="0.2">
      <c r="A135" s="37" t="s">
        <v>483</v>
      </c>
      <c r="B135">
        <v>1713.0300000000002</v>
      </c>
      <c r="C135">
        <v>32.942884615384621</v>
      </c>
      <c r="D135" s="37" t="s">
        <v>466</v>
      </c>
      <c r="E135" s="37" t="s">
        <v>482</v>
      </c>
      <c r="F135">
        <v>9.76</v>
      </c>
      <c r="H135">
        <v>3.56</v>
      </c>
      <c r="J135">
        <v>13.98</v>
      </c>
      <c r="M135">
        <v>8.15</v>
      </c>
      <c r="N135">
        <v>11.59</v>
      </c>
      <c r="P135">
        <v>11.26</v>
      </c>
      <c r="R135">
        <v>14.82</v>
      </c>
      <c r="T135">
        <v>11.23</v>
      </c>
      <c r="V135">
        <v>7.8</v>
      </c>
      <c r="Y135">
        <v>7.68</v>
      </c>
      <c r="Z135">
        <v>13.34</v>
      </c>
      <c r="AB135">
        <v>15.07</v>
      </c>
      <c r="AE135">
        <v>7.81</v>
      </c>
      <c r="AF135">
        <v>7.98</v>
      </c>
      <c r="AH135">
        <v>8.2899999999999903</v>
      </c>
      <c r="AI135">
        <v>8.1</v>
      </c>
      <c r="AJ135">
        <v>7.34</v>
      </c>
      <c r="AL135">
        <v>8.19</v>
      </c>
      <c r="AN135">
        <v>13.88</v>
      </c>
      <c r="AP135">
        <v>8.7899999999999903</v>
      </c>
      <c r="AR135">
        <v>6.76</v>
      </c>
      <c r="AT135">
        <v>7.85</v>
      </c>
      <c r="AV135">
        <v>16.690000000000001</v>
      </c>
      <c r="AX135">
        <v>7.86</v>
      </c>
      <c r="AZ135">
        <v>7.99</v>
      </c>
      <c r="BA135">
        <v>6.81</v>
      </c>
      <c r="BB135">
        <v>6.66</v>
      </c>
      <c r="BD135">
        <v>9.08</v>
      </c>
      <c r="BF135">
        <v>16.71</v>
      </c>
      <c r="BJ135">
        <v>15.3</v>
      </c>
      <c r="BL135">
        <v>15.46</v>
      </c>
      <c r="BN135">
        <v>15.23</v>
      </c>
      <c r="BP135">
        <v>7.54</v>
      </c>
      <c r="BR135">
        <v>5.45</v>
      </c>
      <c r="BT135">
        <v>8.84</v>
      </c>
      <c r="BU135">
        <v>7.48</v>
      </c>
      <c r="BV135">
        <v>8.74</v>
      </c>
      <c r="BX135">
        <v>8.73</v>
      </c>
      <c r="CA135">
        <v>15.29</v>
      </c>
      <c r="CC135">
        <v>13.65</v>
      </c>
      <c r="CE135">
        <v>13.12</v>
      </c>
      <c r="CG135">
        <v>14.97</v>
      </c>
      <c r="CI135">
        <v>15.93</v>
      </c>
      <c r="CK135">
        <v>16.46</v>
      </c>
      <c r="CO135">
        <v>14.33</v>
      </c>
      <c r="CQ135">
        <v>14.53</v>
      </c>
      <c r="CU135">
        <v>15.03</v>
      </c>
      <c r="CW135">
        <v>13.35</v>
      </c>
      <c r="CY135">
        <v>16.21</v>
      </c>
      <c r="DA135">
        <v>7.69</v>
      </c>
      <c r="DC135">
        <v>15.96</v>
      </c>
      <c r="DE135">
        <v>10.92</v>
      </c>
      <c r="DG135">
        <v>14.27</v>
      </c>
      <c r="DJ135">
        <v>5.33</v>
      </c>
      <c r="DL135">
        <v>5.94</v>
      </c>
      <c r="DN135">
        <v>13.52</v>
      </c>
      <c r="DP135">
        <v>12.78</v>
      </c>
      <c r="DT135">
        <v>19.25</v>
      </c>
      <c r="DV135">
        <v>14.12</v>
      </c>
      <c r="DX135">
        <v>10.72</v>
      </c>
      <c r="DZ135">
        <v>5.38</v>
      </c>
      <c r="EB135">
        <v>11.84</v>
      </c>
      <c r="ED135">
        <v>15.28</v>
      </c>
      <c r="EF135">
        <v>13.23</v>
      </c>
      <c r="EH135">
        <v>7.7</v>
      </c>
      <c r="EJ135">
        <v>13.59</v>
      </c>
      <c r="EN135">
        <v>14.71</v>
      </c>
      <c r="EP135">
        <v>14.99</v>
      </c>
      <c r="ER135">
        <v>14.4</v>
      </c>
      <c r="ET135">
        <v>13.93</v>
      </c>
      <c r="EV135">
        <v>15.28</v>
      </c>
      <c r="EX135">
        <v>13.23</v>
      </c>
      <c r="EZ135">
        <v>7.7</v>
      </c>
      <c r="FB135">
        <v>14.21</v>
      </c>
      <c r="FD135">
        <v>6.15</v>
      </c>
      <c r="FF135">
        <v>12.94</v>
      </c>
      <c r="FH135">
        <v>11.85</v>
      </c>
      <c r="FJ135">
        <v>16.29</v>
      </c>
      <c r="FL135">
        <v>12.64</v>
      </c>
      <c r="FN135">
        <v>9.67</v>
      </c>
      <c r="FP135">
        <v>12.07</v>
      </c>
      <c r="FR135">
        <v>13.3</v>
      </c>
      <c r="FT135">
        <v>12.76</v>
      </c>
      <c r="FX135">
        <v>13.3</v>
      </c>
      <c r="FZ135">
        <v>12.08</v>
      </c>
      <c r="GB135">
        <v>8.99</v>
      </c>
      <c r="GD135">
        <v>14.42</v>
      </c>
      <c r="GF135">
        <v>10.78</v>
      </c>
      <c r="GH135">
        <v>14.48</v>
      </c>
      <c r="GJ135">
        <v>9.89</v>
      </c>
      <c r="GR135">
        <v>15.24</v>
      </c>
      <c r="GV135">
        <v>15.05</v>
      </c>
      <c r="GX135">
        <v>14.99</v>
      </c>
      <c r="GZ135">
        <v>15.01</v>
      </c>
      <c r="HB135">
        <v>7.4</v>
      </c>
      <c r="HD135">
        <v>14.5</v>
      </c>
      <c r="HH135">
        <v>13.74</v>
      </c>
      <c r="HJ135">
        <v>12.54</v>
      </c>
      <c r="HL135">
        <v>7.39</v>
      </c>
      <c r="HN135">
        <v>17.100000000000001</v>
      </c>
      <c r="HP135">
        <v>18.399999999999899</v>
      </c>
      <c r="HR135">
        <v>15.48</v>
      </c>
      <c r="HT135">
        <v>6.29</v>
      </c>
      <c r="HW135">
        <v>17.86</v>
      </c>
      <c r="HZ135">
        <v>15.5</v>
      </c>
      <c r="IB135">
        <v>17.670000000000002</v>
      </c>
      <c r="IF135">
        <v>15.56</v>
      </c>
      <c r="IH135">
        <v>12.86</v>
      </c>
      <c r="IJ135">
        <v>8.23</v>
      </c>
      <c r="IL135">
        <v>14.96</v>
      </c>
      <c r="IN135">
        <v>9.8000000000000007</v>
      </c>
      <c r="IP135">
        <v>8.9499999999999904</v>
      </c>
      <c r="IR135">
        <v>16.12</v>
      </c>
      <c r="IT135">
        <v>15.64</v>
      </c>
      <c r="IV135">
        <v>7.95</v>
      </c>
      <c r="IX135">
        <v>15.69</v>
      </c>
      <c r="IZ135">
        <v>17.62</v>
      </c>
      <c r="JB135">
        <v>9.07</v>
      </c>
      <c r="JD135">
        <v>14.28</v>
      </c>
      <c r="JH135">
        <v>5.83</v>
      </c>
      <c r="JJ135">
        <v>16.12</v>
      </c>
      <c r="JL135">
        <v>14.13</v>
      </c>
      <c r="JN135">
        <v>16.690000000000001</v>
      </c>
      <c r="JP135">
        <v>5.79</v>
      </c>
      <c r="JR135">
        <v>15.2</v>
      </c>
      <c r="JT135">
        <v>7.24</v>
      </c>
      <c r="JV135">
        <v>7.01</v>
      </c>
      <c r="JX135">
        <v>14.61</v>
      </c>
      <c r="JZ135">
        <v>7.52</v>
      </c>
      <c r="KB135">
        <v>7.91</v>
      </c>
      <c r="KD135">
        <v>16.21</v>
      </c>
      <c r="KF135">
        <v>7.88</v>
      </c>
      <c r="KH135">
        <v>14.22</v>
      </c>
      <c r="KJ135">
        <v>7.74</v>
      </c>
      <c r="KL135">
        <v>15.08</v>
      </c>
      <c r="KN135">
        <v>17.82</v>
      </c>
      <c r="KP135">
        <v>9.9600000000000009</v>
      </c>
      <c r="KR135">
        <v>9.16</v>
      </c>
      <c r="KT135">
        <v>15.82</v>
      </c>
      <c r="KV135">
        <v>16.39</v>
      </c>
      <c r="KX135">
        <v>5.82</v>
      </c>
      <c r="KZ135">
        <v>4.1399999999999899</v>
      </c>
      <c r="LC135">
        <v>8.9</v>
      </c>
      <c r="LD135">
        <v>8.3000000000000007</v>
      </c>
      <c r="LF135">
        <v>8.4</v>
      </c>
    </row>
    <row r="136" spans="1:319" x14ac:dyDescent="0.2">
      <c r="A136" s="37" t="s">
        <v>484</v>
      </c>
      <c r="B136">
        <v>1165.5899999999999</v>
      </c>
      <c r="C136">
        <v>22.415192307692305</v>
      </c>
      <c r="D136" s="37" t="s">
        <v>466</v>
      </c>
      <c r="E136" s="37" t="s">
        <v>482</v>
      </c>
      <c r="F136">
        <v>5.72</v>
      </c>
      <c r="I136">
        <v>8.44</v>
      </c>
      <c r="K136">
        <v>13.38</v>
      </c>
      <c r="O136">
        <v>7.06</v>
      </c>
      <c r="Q136">
        <v>7.42</v>
      </c>
      <c r="R136">
        <v>8.0299999999999905</v>
      </c>
      <c r="U136">
        <v>14.11</v>
      </c>
      <c r="W136">
        <v>3.33</v>
      </c>
      <c r="Y136">
        <v>5.3</v>
      </c>
      <c r="AA136">
        <v>12.83</v>
      </c>
      <c r="AB136">
        <v>7.2</v>
      </c>
      <c r="AF136">
        <v>7.52</v>
      </c>
      <c r="AG136">
        <v>7.57</v>
      </c>
      <c r="AI136">
        <v>6.37</v>
      </c>
      <c r="AJ136">
        <v>6.82</v>
      </c>
      <c r="AM136">
        <v>7.5</v>
      </c>
      <c r="AO136">
        <v>6.39</v>
      </c>
      <c r="AP136">
        <v>6.64</v>
      </c>
      <c r="AS136">
        <v>13.74</v>
      </c>
      <c r="AU136">
        <v>6.52</v>
      </c>
      <c r="AV136">
        <v>7.96</v>
      </c>
      <c r="AY136">
        <v>7.55</v>
      </c>
      <c r="BA136">
        <v>7.5</v>
      </c>
      <c r="BB136">
        <v>6.73</v>
      </c>
      <c r="BE136">
        <v>6.89</v>
      </c>
      <c r="BG136">
        <v>6.16</v>
      </c>
      <c r="BH136">
        <v>7.47</v>
      </c>
      <c r="BJ136">
        <v>6.88</v>
      </c>
      <c r="BL136">
        <v>11.01</v>
      </c>
      <c r="BM136">
        <v>13.19</v>
      </c>
      <c r="BN136">
        <v>12.37</v>
      </c>
      <c r="BT136">
        <v>7.87</v>
      </c>
      <c r="BW136">
        <v>7.98</v>
      </c>
      <c r="BY136">
        <v>6.28</v>
      </c>
      <c r="CA136">
        <v>8.0299999999999905</v>
      </c>
      <c r="CD136">
        <v>7.38</v>
      </c>
      <c r="CF136">
        <v>7.65</v>
      </c>
      <c r="CG136">
        <v>7.33</v>
      </c>
      <c r="CJ136">
        <v>15.78</v>
      </c>
      <c r="CL136">
        <v>7.75</v>
      </c>
      <c r="CM136">
        <v>7.9</v>
      </c>
      <c r="CP136">
        <v>7.1</v>
      </c>
      <c r="CR136">
        <v>6.66</v>
      </c>
      <c r="CT136">
        <v>7.33</v>
      </c>
      <c r="CV136">
        <v>5.5</v>
      </c>
      <c r="CX136">
        <v>6.44</v>
      </c>
      <c r="CY136">
        <v>6.37</v>
      </c>
      <c r="DB136">
        <v>6.92</v>
      </c>
      <c r="DD136">
        <v>7.3</v>
      </c>
      <c r="DE136">
        <v>5.08</v>
      </c>
      <c r="DJ136">
        <v>12.95</v>
      </c>
      <c r="DL136">
        <v>7.24</v>
      </c>
      <c r="DO136">
        <v>5.49</v>
      </c>
      <c r="DP136">
        <v>8.6</v>
      </c>
      <c r="DQ136">
        <v>6.65</v>
      </c>
      <c r="DU136">
        <v>5.33</v>
      </c>
      <c r="DW136">
        <v>8.19</v>
      </c>
      <c r="DX136">
        <v>6.05</v>
      </c>
      <c r="EA136">
        <v>5.74</v>
      </c>
      <c r="EC136">
        <v>11.33</v>
      </c>
      <c r="ED136">
        <v>6.91</v>
      </c>
      <c r="EG136">
        <v>6.23</v>
      </c>
      <c r="EH136">
        <v>13.13</v>
      </c>
      <c r="EI136">
        <v>7.96</v>
      </c>
      <c r="EJ136">
        <v>9.52</v>
      </c>
      <c r="EL136">
        <v>13.4</v>
      </c>
      <c r="EO136">
        <v>6.4</v>
      </c>
      <c r="EP136">
        <v>13.6</v>
      </c>
      <c r="ES136">
        <v>11.23</v>
      </c>
      <c r="EU136">
        <v>6.86</v>
      </c>
      <c r="EV136">
        <v>6.91</v>
      </c>
      <c r="EY136">
        <v>6.23</v>
      </c>
      <c r="EZ136">
        <v>13.13</v>
      </c>
      <c r="FA136">
        <v>7.96</v>
      </c>
      <c r="FB136">
        <v>5.2</v>
      </c>
      <c r="FE136">
        <v>7.71</v>
      </c>
      <c r="FG136">
        <v>7.12</v>
      </c>
      <c r="FK136">
        <v>9.77</v>
      </c>
      <c r="FM136">
        <v>12.11</v>
      </c>
      <c r="FN136">
        <v>7.24</v>
      </c>
      <c r="FQ136">
        <v>12.09</v>
      </c>
      <c r="FS136">
        <v>7.41</v>
      </c>
      <c r="FT136">
        <v>6.48</v>
      </c>
      <c r="FW136">
        <v>6.45</v>
      </c>
      <c r="FY136">
        <v>6.01</v>
      </c>
      <c r="FZ136">
        <v>4.8</v>
      </c>
      <c r="GC136">
        <v>7.13</v>
      </c>
      <c r="GE136">
        <v>9.76</v>
      </c>
      <c r="GF136">
        <v>7.64</v>
      </c>
      <c r="GI136">
        <v>14.18</v>
      </c>
      <c r="GK136">
        <v>6.52</v>
      </c>
      <c r="GR136">
        <v>4.7</v>
      </c>
      <c r="GT136">
        <v>5.42</v>
      </c>
      <c r="GW136">
        <v>12.57</v>
      </c>
      <c r="GX136">
        <v>8.43</v>
      </c>
      <c r="HA136">
        <v>5.95</v>
      </c>
      <c r="HC136">
        <v>7.39</v>
      </c>
      <c r="HD136">
        <v>6.25</v>
      </c>
      <c r="HG136">
        <v>6.74</v>
      </c>
      <c r="HI136">
        <v>7.44</v>
      </c>
      <c r="HJ136">
        <v>6.33</v>
      </c>
      <c r="HM136">
        <v>8.32</v>
      </c>
      <c r="HO136">
        <v>6.47</v>
      </c>
      <c r="HP136">
        <v>6.56</v>
      </c>
      <c r="HS136">
        <v>5.54</v>
      </c>
      <c r="HU136">
        <v>8.24</v>
      </c>
      <c r="HY136">
        <v>13.78</v>
      </c>
      <c r="IA136">
        <v>9.81</v>
      </c>
      <c r="IB136">
        <v>6.73</v>
      </c>
      <c r="IE136">
        <v>8.1999999999999904</v>
      </c>
      <c r="IH136">
        <v>7.91</v>
      </c>
      <c r="IK136">
        <v>14.19</v>
      </c>
      <c r="IN136">
        <v>6.99</v>
      </c>
      <c r="IQ136">
        <v>6.9</v>
      </c>
      <c r="IS136">
        <v>7.36</v>
      </c>
      <c r="IT136">
        <v>7.15</v>
      </c>
      <c r="IW136">
        <v>8.7200000000000006</v>
      </c>
      <c r="IX136">
        <v>6.71</v>
      </c>
      <c r="IZ136">
        <v>5.44</v>
      </c>
      <c r="JC136">
        <v>7.25</v>
      </c>
      <c r="JE136">
        <v>6.64</v>
      </c>
      <c r="JG136">
        <v>14.66</v>
      </c>
      <c r="JI136">
        <v>6.7</v>
      </c>
      <c r="JL136">
        <v>5.84</v>
      </c>
      <c r="JO136">
        <v>7.1</v>
      </c>
      <c r="JQ136">
        <v>8.5399999999999903</v>
      </c>
      <c r="JR136">
        <v>7.58</v>
      </c>
      <c r="JU136">
        <v>6.53</v>
      </c>
      <c r="JW136">
        <v>6.27</v>
      </c>
      <c r="JX136">
        <v>6.68</v>
      </c>
      <c r="KA136">
        <v>7.59</v>
      </c>
      <c r="KC136">
        <v>7.33</v>
      </c>
      <c r="KD136">
        <v>8.31</v>
      </c>
      <c r="KG136">
        <v>9.64</v>
      </c>
      <c r="KI136">
        <v>7.25</v>
      </c>
      <c r="KJ136">
        <v>7.58</v>
      </c>
      <c r="KM136">
        <v>7.69</v>
      </c>
      <c r="KO136">
        <v>8.1</v>
      </c>
      <c r="KP136">
        <v>5.83</v>
      </c>
      <c r="KS136">
        <v>6.39</v>
      </c>
      <c r="KU136">
        <v>7.3</v>
      </c>
      <c r="KV136">
        <v>4.55</v>
      </c>
      <c r="KY136">
        <v>13.79</v>
      </c>
      <c r="LC136">
        <v>6.26</v>
      </c>
      <c r="LE136">
        <v>15.04</v>
      </c>
    </row>
    <row r="137" spans="1:319" x14ac:dyDescent="0.2">
      <c r="A137" s="37" t="s">
        <v>485</v>
      </c>
      <c r="B137">
        <v>1210.4999999999995</v>
      </c>
      <c r="C137">
        <v>23.278846153846146</v>
      </c>
      <c r="D137" s="37" t="s">
        <v>466</v>
      </c>
      <c r="E137" s="37" t="s">
        <v>486</v>
      </c>
      <c r="G137">
        <v>13.68</v>
      </c>
      <c r="I137">
        <v>7.63</v>
      </c>
      <c r="K137">
        <v>10.32</v>
      </c>
      <c r="M137">
        <v>12.96</v>
      </c>
      <c r="O137">
        <v>9.5</v>
      </c>
      <c r="Q137">
        <v>15.09</v>
      </c>
      <c r="S137">
        <v>13.55</v>
      </c>
      <c r="U137">
        <v>9.3800000000000008</v>
      </c>
      <c r="Y137">
        <v>6.66</v>
      </c>
      <c r="Z137">
        <v>6.07</v>
      </c>
      <c r="AA137">
        <v>6.03</v>
      </c>
      <c r="AC137">
        <v>7.25</v>
      </c>
      <c r="AG137">
        <v>16.47</v>
      </c>
      <c r="AI137">
        <v>7.09</v>
      </c>
      <c r="AK137">
        <v>16.03</v>
      </c>
      <c r="AM137">
        <v>7.99</v>
      </c>
      <c r="AO137">
        <v>6.19</v>
      </c>
      <c r="AQ137">
        <v>13.07</v>
      </c>
      <c r="AS137">
        <v>3.9</v>
      </c>
      <c r="BB137">
        <v>8.3800000000000008</v>
      </c>
      <c r="BD137">
        <v>8.39</v>
      </c>
      <c r="BF137">
        <v>9.3800000000000008</v>
      </c>
      <c r="BI137">
        <v>8.1199999999999903</v>
      </c>
      <c r="BK137">
        <v>7.01</v>
      </c>
      <c r="BM137">
        <v>10.01</v>
      </c>
      <c r="BO137">
        <v>16.25</v>
      </c>
      <c r="BS137">
        <v>15.9</v>
      </c>
      <c r="BU137">
        <v>12.53</v>
      </c>
      <c r="BY137">
        <v>10.27</v>
      </c>
      <c r="CB137">
        <v>5.93</v>
      </c>
      <c r="CD137">
        <v>6.13</v>
      </c>
      <c r="CF137">
        <v>9.59</v>
      </c>
      <c r="CH137">
        <v>15.45</v>
      </c>
      <c r="CJ137">
        <v>6.97</v>
      </c>
      <c r="CL137">
        <v>6.4</v>
      </c>
      <c r="CN137">
        <v>13.6</v>
      </c>
      <c r="CP137">
        <v>6.33</v>
      </c>
      <c r="CR137">
        <v>9.1999999999999904</v>
      </c>
      <c r="CT137">
        <v>6.65</v>
      </c>
      <c r="CU137">
        <v>6.56</v>
      </c>
      <c r="CV137">
        <v>8.39</v>
      </c>
      <c r="CX137">
        <v>6.99</v>
      </c>
      <c r="CZ137">
        <v>15.02</v>
      </c>
      <c r="DB137">
        <v>7</v>
      </c>
      <c r="DD137">
        <v>5.97</v>
      </c>
      <c r="DF137">
        <v>14.34</v>
      </c>
      <c r="DJ137">
        <v>13.8</v>
      </c>
      <c r="DM137">
        <v>15.78</v>
      </c>
      <c r="DO137">
        <v>9.02</v>
      </c>
      <c r="DQ137">
        <v>12.74</v>
      </c>
      <c r="DS137">
        <v>5.99</v>
      </c>
      <c r="DU137">
        <v>7.47</v>
      </c>
      <c r="DW137">
        <v>10.4</v>
      </c>
      <c r="EA137">
        <v>6.66</v>
      </c>
      <c r="EC137">
        <v>7.24</v>
      </c>
      <c r="EE137">
        <v>15.48</v>
      </c>
      <c r="EG137">
        <v>8.1999999999999904</v>
      </c>
      <c r="EI137">
        <v>14.43</v>
      </c>
      <c r="EJ137">
        <v>3.82</v>
      </c>
      <c r="EM137">
        <v>16.88</v>
      </c>
      <c r="EN137">
        <v>3.99</v>
      </c>
      <c r="EO137">
        <v>5.0999999999999899</v>
      </c>
      <c r="EP137">
        <v>7.57</v>
      </c>
      <c r="EQ137">
        <v>11.01</v>
      </c>
      <c r="ES137">
        <v>7.16</v>
      </c>
      <c r="EU137">
        <v>7.19</v>
      </c>
      <c r="EW137">
        <v>15.48</v>
      </c>
      <c r="EY137">
        <v>8.1999999999999904</v>
      </c>
      <c r="FA137">
        <v>14.43</v>
      </c>
      <c r="FC137">
        <v>12.83</v>
      </c>
      <c r="FE137">
        <v>7.04</v>
      </c>
      <c r="FG137">
        <v>7.05</v>
      </c>
      <c r="FH137">
        <v>6.91</v>
      </c>
      <c r="FI137">
        <v>5.43</v>
      </c>
      <c r="FK137">
        <v>6.08</v>
      </c>
      <c r="FM137">
        <v>10.17</v>
      </c>
      <c r="FN137">
        <v>5.81</v>
      </c>
      <c r="FO137">
        <v>4.57</v>
      </c>
      <c r="FQ137">
        <v>9.0299999999999905</v>
      </c>
      <c r="FS137">
        <v>10.55</v>
      </c>
      <c r="FU137">
        <v>6.89</v>
      </c>
      <c r="FW137">
        <v>5.9</v>
      </c>
      <c r="FY137">
        <v>10.15</v>
      </c>
      <c r="FZ137">
        <v>7.09</v>
      </c>
      <c r="GA137">
        <v>6.86</v>
      </c>
      <c r="GC137">
        <v>6.89</v>
      </c>
      <c r="GG137">
        <v>13.35</v>
      </c>
      <c r="GI137">
        <v>7.45</v>
      </c>
      <c r="GK137">
        <v>8.6</v>
      </c>
      <c r="GS137">
        <v>11.52</v>
      </c>
      <c r="GU137">
        <v>9.31</v>
      </c>
      <c r="GW137">
        <v>4.6399999999999899</v>
      </c>
      <c r="GY137">
        <v>10.72</v>
      </c>
      <c r="HA137">
        <v>7.02</v>
      </c>
      <c r="HE137">
        <v>17.25</v>
      </c>
      <c r="HG137">
        <v>5.23</v>
      </c>
      <c r="HI137">
        <v>7.7</v>
      </c>
      <c r="HK137">
        <v>10.49</v>
      </c>
      <c r="HM137">
        <v>5.31</v>
      </c>
      <c r="HO137">
        <v>7.31</v>
      </c>
      <c r="HP137">
        <v>9.1300000000000008</v>
      </c>
      <c r="HR137">
        <v>5.61</v>
      </c>
      <c r="HW137">
        <v>7.56</v>
      </c>
      <c r="HY137">
        <v>7.62</v>
      </c>
      <c r="IA137">
        <v>10.91</v>
      </c>
      <c r="IC137">
        <v>18.600000000000001</v>
      </c>
      <c r="IE137">
        <v>8.34</v>
      </c>
      <c r="IG137">
        <v>10.98</v>
      </c>
      <c r="II137">
        <v>16.12</v>
      </c>
      <c r="IK137">
        <v>7.58</v>
      </c>
      <c r="IM137">
        <v>5.33</v>
      </c>
      <c r="IO137">
        <v>15.35</v>
      </c>
      <c r="IQ137">
        <v>8.93</v>
      </c>
      <c r="IS137">
        <v>7.01</v>
      </c>
      <c r="IU137">
        <v>6.08</v>
      </c>
      <c r="IW137">
        <v>5.57</v>
      </c>
      <c r="IY137">
        <v>7.22</v>
      </c>
      <c r="IZ137">
        <v>8.1</v>
      </c>
      <c r="JC137">
        <v>8.0500000000000007</v>
      </c>
      <c r="JG137">
        <v>10.34</v>
      </c>
      <c r="JJ137">
        <v>7.11</v>
      </c>
      <c r="JM137">
        <v>8.94</v>
      </c>
      <c r="JO137">
        <v>6.67</v>
      </c>
      <c r="JQ137">
        <v>4.13</v>
      </c>
      <c r="JS137">
        <v>6.22</v>
      </c>
      <c r="JU137">
        <v>3</v>
      </c>
      <c r="JW137">
        <v>9.11</v>
      </c>
      <c r="JY137">
        <v>8.66</v>
      </c>
      <c r="KB137">
        <v>7.46</v>
      </c>
      <c r="KN137">
        <v>5.01</v>
      </c>
      <c r="KO137">
        <v>10.41</v>
      </c>
      <c r="LC137">
        <v>8.6300000000000008</v>
      </c>
      <c r="LE137">
        <v>5.59</v>
      </c>
      <c r="LF137">
        <v>6.32</v>
      </c>
    </row>
    <row r="138" spans="1:319" x14ac:dyDescent="0.2">
      <c r="A138" s="37" t="s">
        <v>487</v>
      </c>
      <c r="B138">
        <v>610.64999999999986</v>
      </c>
      <c r="C138">
        <v>11.743269230769227</v>
      </c>
      <c r="D138" s="37" t="s">
        <v>466</v>
      </c>
      <c r="E138" s="37" t="s">
        <v>486</v>
      </c>
      <c r="G138">
        <v>6.66</v>
      </c>
      <c r="J138">
        <v>5.27</v>
      </c>
      <c r="M138">
        <v>5.94</v>
      </c>
      <c r="P138">
        <v>4.66</v>
      </c>
      <c r="S138">
        <v>5.99</v>
      </c>
      <c r="W138">
        <v>9.0399999999999903</v>
      </c>
      <c r="Y138">
        <v>7.09</v>
      </c>
      <c r="AB138">
        <v>8.33</v>
      </c>
      <c r="AE138">
        <v>7.09</v>
      </c>
      <c r="AH138">
        <v>6.34</v>
      </c>
      <c r="AK138">
        <v>6.64</v>
      </c>
      <c r="AO138">
        <v>5.49</v>
      </c>
      <c r="AQ138">
        <v>5.98</v>
      </c>
      <c r="AT138">
        <v>4.5999999999999899</v>
      </c>
      <c r="AW138">
        <v>7.28</v>
      </c>
      <c r="AZ138">
        <v>5.96</v>
      </c>
      <c r="BB138">
        <v>6.24</v>
      </c>
      <c r="BG138">
        <v>8.77</v>
      </c>
      <c r="BK138">
        <v>7.86</v>
      </c>
      <c r="BN138">
        <v>9.0500000000000007</v>
      </c>
      <c r="BR138">
        <v>8.74</v>
      </c>
      <c r="BV138">
        <v>9.32</v>
      </c>
      <c r="CA138">
        <v>8.86</v>
      </c>
      <c r="CE138">
        <v>6.91</v>
      </c>
      <c r="CH138">
        <v>9.94</v>
      </c>
      <c r="CK138">
        <v>5.27</v>
      </c>
      <c r="CN138">
        <v>7.91</v>
      </c>
      <c r="CQ138">
        <v>7.81</v>
      </c>
      <c r="CT138">
        <v>7.63</v>
      </c>
      <c r="CW138">
        <v>8.2100000000000009</v>
      </c>
      <c r="CZ138">
        <v>7.64</v>
      </c>
      <c r="DF138">
        <v>6.48</v>
      </c>
      <c r="DN138">
        <v>6.09</v>
      </c>
      <c r="DV138">
        <v>7.31</v>
      </c>
      <c r="DY138">
        <v>4.7300000000000004</v>
      </c>
      <c r="EB138">
        <v>5.28</v>
      </c>
      <c r="EE138">
        <v>6.98</v>
      </c>
      <c r="EH138">
        <v>5.09</v>
      </c>
      <c r="EJ138">
        <v>8.7899999999999903</v>
      </c>
      <c r="EM138">
        <v>7.35</v>
      </c>
      <c r="EQ138">
        <v>7.87</v>
      </c>
      <c r="ET138">
        <v>5.86</v>
      </c>
      <c r="EW138">
        <v>6.98</v>
      </c>
      <c r="EZ138">
        <v>5.09</v>
      </c>
      <c r="FC138">
        <v>7.52</v>
      </c>
      <c r="FF138">
        <v>5.49</v>
      </c>
      <c r="FL138">
        <v>6.15</v>
      </c>
      <c r="FO138">
        <v>6.09</v>
      </c>
      <c r="FR138">
        <v>5.69</v>
      </c>
      <c r="FU138">
        <v>6.5</v>
      </c>
      <c r="FX138">
        <v>4.9800000000000004</v>
      </c>
      <c r="GA138">
        <v>8.3800000000000008</v>
      </c>
      <c r="GD138">
        <v>5.69</v>
      </c>
      <c r="GG138">
        <v>7.15</v>
      </c>
      <c r="GJ138">
        <v>5.33</v>
      </c>
      <c r="GS138">
        <v>6.66</v>
      </c>
      <c r="GV138">
        <v>5.38</v>
      </c>
      <c r="GY138">
        <v>6.57</v>
      </c>
      <c r="HB138">
        <v>5.41</v>
      </c>
      <c r="HE138">
        <v>7.99</v>
      </c>
      <c r="HH138">
        <v>6.74</v>
      </c>
      <c r="HK138">
        <v>6.23</v>
      </c>
      <c r="HN138">
        <v>5.64</v>
      </c>
      <c r="HQ138">
        <v>6.95</v>
      </c>
      <c r="HT138">
        <v>4.97</v>
      </c>
      <c r="HW138">
        <v>6.17</v>
      </c>
      <c r="HZ138">
        <v>5.54</v>
      </c>
      <c r="IC138">
        <v>8.66</v>
      </c>
      <c r="IF138">
        <v>5.2</v>
      </c>
      <c r="II138">
        <v>9.0399999999999903</v>
      </c>
      <c r="IL138">
        <v>5.77</v>
      </c>
      <c r="IO138">
        <v>7.2</v>
      </c>
      <c r="IR138">
        <v>5.49</v>
      </c>
      <c r="IU138">
        <v>7.52</v>
      </c>
      <c r="IX138">
        <v>5.22</v>
      </c>
      <c r="JC138">
        <v>8.81</v>
      </c>
      <c r="JG138">
        <v>6.56</v>
      </c>
      <c r="JJ138">
        <v>6.43</v>
      </c>
      <c r="JM138">
        <v>6.7</v>
      </c>
      <c r="JP138">
        <v>5.38</v>
      </c>
      <c r="JS138">
        <v>6.62</v>
      </c>
      <c r="JY138">
        <v>5.12</v>
      </c>
      <c r="KB138">
        <v>5.13</v>
      </c>
      <c r="KE138">
        <v>8.61</v>
      </c>
      <c r="KH138">
        <v>4.62</v>
      </c>
      <c r="KK138">
        <v>9.17</v>
      </c>
      <c r="KQ138">
        <v>7.23</v>
      </c>
      <c r="KT138">
        <v>5.63</v>
      </c>
      <c r="KW138">
        <v>6.98</v>
      </c>
      <c r="KZ138">
        <v>5.03</v>
      </c>
      <c r="LD138">
        <v>8.89</v>
      </c>
    </row>
    <row r="139" spans="1:319" x14ac:dyDescent="0.2">
      <c r="A139" s="37" t="s">
        <v>488</v>
      </c>
      <c r="B139">
        <v>953.48100000000034</v>
      </c>
      <c r="C139">
        <v>18.336173076923082</v>
      </c>
      <c r="D139" s="37" t="s">
        <v>466</v>
      </c>
      <c r="E139" s="37" t="s">
        <v>486</v>
      </c>
      <c r="F139">
        <v>5.18</v>
      </c>
      <c r="I139">
        <v>8.36</v>
      </c>
      <c r="K139">
        <v>12.87</v>
      </c>
      <c r="O139">
        <v>6.79</v>
      </c>
      <c r="Q139">
        <v>8.8800000000000008</v>
      </c>
      <c r="R139">
        <v>6.47</v>
      </c>
      <c r="U139">
        <v>7.38</v>
      </c>
      <c r="W139">
        <v>6.73</v>
      </c>
      <c r="Z139">
        <v>9.23</v>
      </c>
      <c r="AA139">
        <v>8.91</v>
      </c>
      <c r="AC139">
        <v>8.86</v>
      </c>
      <c r="AE139">
        <v>7.26</v>
      </c>
      <c r="AG139">
        <v>7.99</v>
      </c>
      <c r="AK139">
        <v>8.9909999999999908</v>
      </c>
      <c r="AM139">
        <v>5.47</v>
      </c>
      <c r="AO139">
        <v>6.81</v>
      </c>
      <c r="AQ139">
        <v>8.2100000000000009</v>
      </c>
      <c r="AS139">
        <v>5.73</v>
      </c>
      <c r="AU139">
        <v>5.93</v>
      </c>
      <c r="AW139">
        <v>7.38</v>
      </c>
      <c r="AY139">
        <v>4.47</v>
      </c>
      <c r="BA139">
        <v>9.92</v>
      </c>
      <c r="BD139">
        <v>8.77</v>
      </c>
      <c r="BE139">
        <v>9.27</v>
      </c>
      <c r="BG139">
        <v>7.18</v>
      </c>
      <c r="BI139">
        <v>8.2899999999999903</v>
      </c>
      <c r="BL139">
        <v>5.6</v>
      </c>
      <c r="BM139">
        <v>6.88</v>
      </c>
      <c r="BO139">
        <v>8.41</v>
      </c>
      <c r="BU139">
        <v>8.8699999999999903</v>
      </c>
      <c r="BW139">
        <v>5.79</v>
      </c>
      <c r="CB139">
        <v>7.87</v>
      </c>
      <c r="CD139">
        <v>9.1199999999999903</v>
      </c>
      <c r="CF139">
        <v>5.54</v>
      </c>
      <c r="CH139">
        <v>6.73</v>
      </c>
      <c r="CJ139">
        <v>8.4</v>
      </c>
      <c r="CL139">
        <v>7.98</v>
      </c>
      <c r="CN139">
        <v>7.49</v>
      </c>
      <c r="CP139">
        <v>5.42</v>
      </c>
      <c r="CR139">
        <v>5.3</v>
      </c>
      <c r="CT139">
        <v>6.18</v>
      </c>
      <c r="CV139">
        <v>7.11</v>
      </c>
      <c r="CX139">
        <v>6.93</v>
      </c>
      <c r="CZ139">
        <v>7.67</v>
      </c>
      <c r="DB139">
        <v>6.8</v>
      </c>
      <c r="DE139">
        <v>6.55</v>
      </c>
      <c r="DL139">
        <v>24.03</v>
      </c>
      <c r="DO139">
        <v>7.5</v>
      </c>
      <c r="DQ139">
        <v>9.15</v>
      </c>
      <c r="DU139">
        <v>8.6300000000000008</v>
      </c>
      <c r="DW139">
        <v>6.36</v>
      </c>
      <c r="DX139">
        <v>5.28</v>
      </c>
      <c r="EA139">
        <v>6.26</v>
      </c>
      <c r="EC139">
        <v>7.6</v>
      </c>
      <c r="ED139">
        <v>6.06</v>
      </c>
      <c r="EG139">
        <v>6.74</v>
      </c>
      <c r="EI139">
        <v>8.34</v>
      </c>
      <c r="EJ139">
        <v>4.8499999999999899</v>
      </c>
      <c r="EL139">
        <v>6.85</v>
      </c>
      <c r="EO139">
        <v>9.4700000000000006</v>
      </c>
      <c r="EP139">
        <v>5.54</v>
      </c>
      <c r="ER139">
        <v>8.08</v>
      </c>
      <c r="EV139">
        <v>6.06</v>
      </c>
      <c r="EY139">
        <v>6.74</v>
      </c>
      <c r="FA139">
        <v>8.34</v>
      </c>
      <c r="FT139">
        <v>5.41</v>
      </c>
      <c r="FU139">
        <v>10.16</v>
      </c>
      <c r="FW139">
        <v>7.22</v>
      </c>
      <c r="FY139">
        <v>8.5399999999999903</v>
      </c>
      <c r="GF139">
        <v>5.95</v>
      </c>
      <c r="GI139">
        <v>6.93</v>
      </c>
      <c r="GK139">
        <v>7.19</v>
      </c>
      <c r="GR139">
        <v>6.87</v>
      </c>
      <c r="GU139">
        <v>6.04</v>
      </c>
      <c r="GW139">
        <v>8.3699999999999903</v>
      </c>
      <c r="HA139">
        <v>9.5299999999999905</v>
      </c>
      <c r="HC139">
        <v>8.11</v>
      </c>
      <c r="HD139">
        <v>8.14</v>
      </c>
      <c r="HG139">
        <v>8.99</v>
      </c>
      <c r="HI139">
        <v>6.69</v>
      </c>
      <c r="HM139">
        <v>10.31</v>
      </c>
      <c r="HO139">
        <v>8.31</v>
      </c>
      <c r="HP139">
        <v>5.55</v>
      </c>
      <c r="HS139">
        <v>4.5999999999999899</v>
      </c>
      <c r="HU139">
        <v>7.93</v>
      </c>
      <c r="HY139">
        <v>7.85</v>
      </c>
      <c r="IA139">
        <v>6.44</v>
      </c>
      <c r="IB139">
        <v>5.69</v>
      </c>
      <c r="IE139">
        <v>9.33</v>
      </c>
      <c r="IH139">
        <v>5.69</v>
      </c>
      <c r="IK139">
        <v>8.69</v>
      </c>
      <c r="IM139">
        <v>8.35</v>
      </c>
      <c r="IO139">
        <v>10.54</v>
      </c>
      <c r="IQ139">
        <v>9.59</v>
      </c>
      <c r="IS139">
        <v>6.87</v>
      </c>
      <c r="IU139">
        <v>8.58</v>
      </c>
      <c r="IW139">
        <v>6.5</v>
      </c>
      <c r="IY139">
        <v>4.07</v>
      </c>
      <c r="IZ139">
        <v>6.58</v>
      </c>
      <c r="JB139">
        <v>3.04</v>
      </c>
      <c r="JC139">
        <v>8.66</v>
      </c>
      <c r="JE139">
        <v>6.19</v>
      </c>
      <c r="JG139">
        <v>9.0399999999999903</v>
      </c>
      <c r="JI139">
        <v>9.2200000000000006</v>
      </c>
      <c r="JK139">
        <v>6.1</v>
      </c>
      <c r="JM139">
        <v>7.31</v>
      </c>
      <c r="JO139">
        <v>6.97</v>
      </c>
      <c r="JQ139">
        <v>5.61</v>
      </c>
      <c r="JS139">
        <v>7.18</v>
      </c>
      <c r="JU139">
        <v>7.68</v>
      </c>
      <c r="JW139">
        <v>7.37</v>
      </c>
      <c r="JY139">
        <v>6.35</v>
      </c>
      <c r="KC139">
        <v>7.28</v>
      </c>
      <c r="KE139">
        <v>10.23</v>
      </c>
      <c r="KG139">
        <v>5.09</v>
      </c>
      <c r="KI139">
        <v>6.95</v>
      </c>
      <c r="KK139">
        <v>8.99</v>
      </c>
      <c r="KO139">
        <v>9.34</v>
      </c>
      <c r="KQ139">
        <v>7.64</v>
      </c>
      <c r="KS139">
        <v>6.65</v>
      </c>
      <c r="KU139">
        <v>5.09</v>
      </c>
      <c r="KW139">
        <v>7.49</v>
      </c>
      <c r="KZ139">
        <v>5.0199999999999898</v>
      </c>
      <c r="LA139">
        <v>5.79</v>
      </c>
      <c r="LC139">
        <v>6.38</v>
      </c>
      <c r="LE139">
        <v>10.66</v>
      </c>
      <c r="LG139">
        <v>10.7</v>
      </c>
    </row>
    <row r="140" spans="1:319" x14ac:dyDescent="0.2">
      <c r="A140" s="37" t="s">
        <v>489</v>
      </c>
      <c r="B140">
        <v>1127.4800000000005</v>
      </c>
      <c r="C140">
        <v>21.682307692307702</v>
      </c>
      <c r="D140" s="37" t="s">
        <v>466</v>
      </c>
      <c r="E140" s="37" t="s">
        <v>486</v>
      </c>
      <c r="F140">
        <v>14.6</v>
      </c>
      <c r="G140">
        <v>13.06</v>
      </c>
      <c r="H140">
        <v>5.94</v>
      </c>
      <c r="J140">
        <v>15.89</v>
      </c>
      <c r="M140">
        <v>6.56</v>
      </c>
      <c r="N140">
        <v>12.97</v>
      </c>
      <c r="P140">
        <v>13.89</v>
      </c>
      <c r="R140">
        <v>14.31</v>
      </c>
      <c r="T140">
        <v>6.84</v>
      </c>
      <c r="V140">
        <v>14.28</v>
      </c>
      <c r="Y140">
        <v>5.74</v>
      </c>
      <c r="Z140">
        <v>15.32</v>
      </c>
      <c r="AB140">
        <v>16.190000000000001</v>
      </c>
      <c r="AE140">
        <v>8.76</v>
      </c>
      <c r="AH140">
        <v>16.13</v>
      </c>
      <c r="AJ140">
        <v>12.66</v>
      </c>
      <c r="AN140">
        <v>13.72</v>
      </c>
      <c r="AP140">
        <v>6.99</v>
      </c>
      <c r="AR140">
        <v>6.61</v>
      </c>
      <c r="AV140">
        <v>12.85</v>
      </c>
      <c r="AZ140">
        <v>12.86</v>
      </c>
      <c r="BD140">
        <v>15.42</v>
      </c>
      <c r="BJ140">
        <v>8.48</v>
      </c>
      <c r="BM140">
        <v>6.09</v>
      </c>
      <c r="BN140">
        <v>6.72</v>
      </c>
      <c r="BP140">
        <v>7.72</v>
      </c>
      <c r="BR140">
        <v>7.12</v>
      </c>
      <c r="BT140">
        <v>13.75</v>
      </c>
      <c r="BX140">
        <v>15</v>
      </c>
      <c r="CA140">
        <v>12.49</v>
      </c>
      <c r="CG140">
        <v>8.77</v>
      </c>
      <c r="CK140">
        <v>16.16</v>
      </c>
      <c r="CM140">
        <v>5.08</v>
      </c>
      <c r="CO140">
        <v>5.95</v>
      </c>
      <c r="CT140">
        <v>6.58</v>
      </c>
      <c r="CW140">
        <v>13.68</v>
      </c>
      <c r="CY140">
        <v>5.91</v>
      </c>
      <c r="DA140">
        <v>8.09</v>
      </c>
      <c r="DC140">
        <v>6.72</v>
      </c>
      <c r="DE140">
        <v>16.059999999999899</v>
      </c>
      <c r="DG140">
        <v>6.08</v>
      </c>
      <c r="DL140">
        <v>23.14</v>
      </c>
      <c r="DN140">
        <v>6.99</v>
      </c>
      <c r="DP140">
        <v>6.3</v>
      </c>
      <c r="DS140">
        <v>13.31</v>
      </c>
      <c r="DT140">
        <v>7.29</v>
      </c>
      <c r="DV140">
        <v>11.38</v>
      </c>
      <c r="DX140">
        <v>13.13</v>
      </c>
      <c r="DZ140">
        <v>5.49</v>
      </c>
      <c r="EB140">
        <v>7.11</v>
      </c>
      <c r="ED140">
        <v>13.13</v>
      </c>
      <c r="EF140">
        <v>6.93</v>
      </c>
      <c r="EH140">
        <v>13.07</v>
      </c>
      <c r="EJ140">
        <v>14.29</v>
      </c>
      <c r="EL140">
        <v>12.13</v>
      </c>
      <c r="EN140">
        <v>6.98</v>
      </c>
      <c r="EP140">
        <v>6.34</v>
      </c>
      <c r="ER140">
        <v>6.69</v>
      </c>
      <c r="ET140">
        <v>8.25</v>
      </c>
      <c r="EV140">
        <v>13.13</v>
      </c>
      <c r="EX140">
        <v>6.93</v>
      </c>
      <c r="EZ140">
        <v>13.07</v>
      </c>
      <c r="FB140">
        <v>10.67</v>
      </c>
      <c r="FD140">
        <v>6.45</v>
      </c>
      <c r="FF140">
        <v>12.45</v>
      </c>
      <c r="FH140">
        <v>7.66</v>
      </c>
      <c r="FJ140">
        <v>11.81</v>
      </c>
      <c r="FL140">
        <v>15.67</v>
      </c>
      <c r="FN140">
        <v>6.83</v>
      </c>
      <c r="FO140">
        <v>5.53</v>
      </c>
      <c r="FP140">
        <v>7.05</v>
      </c>
      <c r="FR140">
        <v>14.32</v>
      </c>
      <c r="FV140">
        <v>7.93</v>
      </c>
      <c r="FX140">
        <v>13.75</v>
      </c>
      <c r="FZ140">
        <v>6.64</v>
      </c>
      <c r="GA140">
        <v>6.98</v>
      </c>
      <c r="GB140">
        <v>9.36</v>
      </c>
      <c r="GD140">
        <v>16.37</v>
      </c>
      <c r="GF140">
        <v>14.15</v>
      </c>
      <c r="GJ140">
        <v>7.49</v>
      </c>
      <c r="GR140">
        <v>7.07</v>
      </c>
      <c r="GT140">
        <v>7.7</v>
      </c>
      <c r="GV140">
        <v>7.66</v>
      </c>
      <c r="GX140">
        <v>13.21</v>
      </c>
      <c r="HB140">
        <v>6.12</v>
      </c>
      <c r="HD140">
        <v>9.01</v>
      </c>
      <c r="HH140">
        <v>8.8699999999999903</v>
      </c>
      <c r="HJ140">
        <v>8.19</v>
      </c>
      <c r="HN140">
        <v>8.94</v>
      </c>
      <c r="HW140">
        <v>17.32</v>
      </c>
      <c r="JF140">
        <v>9.5299999999999905</v>
      </c>
      <c r="JG140">
        <v>7.49</v>
      </c>
      <c r="JJ140">
        <v>6.06</v>
      </c>
      <c r="JK140">
        <v>10.53</v>
      </c>
      <c r="JL140">
        <v>5.9</v>
      </c>
      <c r="JN140">
        <v>6.76</v>
      </c>
      <c r="JR140">
        <v>18.84</v>
      </c>
      <c r="JT140">
        <v>8.1</v>
      </c>
      <c r="JV140">
        <v>8.5</v>
      </c>
      <c r="JZ140">
        <v>6.38</v>
      </c>
      <c r="KC140">
        <v>6.07</v>
      </c>
      <c r="KD140">
        <v>15.16</v>
      </c>
      <c r="KF140">
        <v>5.99</v>
      </c>
      <c r="KH140">
        <v>6.47</v>
      </c>
      <c r="KJ140">
        <v>12.35</v>
      </c>
      <c r="KN140">
        <v>6.71</v>
      </c>
      <c r="KP140">
        <v>10.94</v>
      </c>
      <c r="KT140">
        <v>6.39</v>
      </c>
      <c r="KV140">
        <v>11.32</v>
      </c>
      <c r="KZ140">
        <v>7.47</v>
      </c>
      <c r="LC140">
        <v>7.31</v>
      </c>
      <c r="LF140">
        <v>14.89</v>
      </c>
    </row>
    <row r="141" spans="1:319" x14ac:dyDescent="0.2">
      <c r="A141" s="37" t="s">
        <v>490</v>
      </c>
      <c r="B141">
        <v>815.66999999999973</v>
      </c>
      <c r="C141">
        <v>15.685961538461534</v>
      </c>
      <c r="D141" s="37" t="s">
        <v>466</v>
      </c>
      <c r="E141" s="37" t="s">
        <v>486</v>
      </c>
      <c r="G141">
        <v>4.17</v>
      </c>
      <c r="J141">
        <v>9.36</v>
      </c>
      <c r="M141">
        <v>8.7100000000000009</v>
      </c>
      <c r="P141">
        <v>9.44</v>
      </c>
      <c r="S141">
        <v>9.33</v>
      </c>
      <c r="T141">
        <v>8.2899999999999903</v>
      </c>
      <c r="V141">
        <v>8.33</v>
      </c>
      <c r="Y141">
        <v>8.69</v>
      </c>
      <c r="AA141">
        <v>6.03</v>
      </c>
      <c r="AC141">
        <v>6.76</v>
      </c>
      <c r="AE141">
        <v>8.2200000000000006</v>
      </c>
      <c r="AH141">
        <v>9.9499999999999904</v>
      </c>
      <c r="AJ141">
        <v>7.47</v>
      </c>
      <c r="AN141">
        <v>13.8</v>
      </c>
      <c r="AP141">
        <v>6.38</v>
      </c>
      <c r="AT141">
        <v>6.77</v>
      </c>
      <c r="AV141">
        <v>7.49</v>
      </c>
      <c r="AZ141">
        <v>7.48</v>
      </c>
      <c r="BB141">
        <v>6.89</v>
      </c>
      <c r="BF141">
        <v>8.81</v>
      </c>
      <c r="BH141">
        <v>9.76</v>
      </c>
      <c r="BL141">
        <v>8.59</v>
      </c>
      <c r="BO141">
        <v>8.4600000000000009</v>
      </c>
      <c r="BR141">
        <v>8.94</v>
      </c>
      <c r="BT141">
        <v>7.17</v>
      </c>
      <c r="BX141">
        <v>8.61</v>
      </c>
      <c r="CA141">
        <v>8.3800000000000008</v>
      </c>
      <c r="CE141">
        <v>8.52</v>
      </c>
      <c r="CG141">
        <v>17.79</v>
      </c>
      <c r="CK141">
        <v>9.51</v>
      </c>
      <c r="CM141">
        <v>7.14</v>
      </c>
      <c r="CQ141">
        <v>5.67</v>
      </c>
      <c r="CW141">
        <v>7.35</v>
      </c>
      <c r="CY141">
        <v>8.19</v>
      </c>
      <c r="DC141">
        <v>8.0299999999999905</v>
      </c>
      <c r="DF141">
        <v>7.34</v>
      </c>
      <c r="DJ141">
        <v>7.85</v>
      </c>
      <c r="DL141">
        <v>6.77</v>
      </c>
      <c r="DM141">
        <v>6.44</v>
      </c>
      <c r="DO141">
        <v>6.4</v>
      </c>
      <c r="DS141">
        <v>7.98</v>
      </c>
      <c r="DV141">
        <v>9.5399999999999903</v>
      </c>
      <c r="EB141">
        <v>5.72</v>
      </c>
      <c r="EE141">
        <v>7.59</v>
      </c>
      <c r="EJ141">
        <v>8.23</v>
      </c>
      <c r="EL141">
        <v>6.15</v>
      </c>
      <c r="EN141">
        <v>4.97</v>
      </c>
      <c r="EQ141">
        <v>8.2200000000000006</v>
      </c>
      <c r="ET141">
        <v>8.15</v>
      </c>
      <c r="EW141">
        <v>7.59</v>
      </c>
      <c r="FC141">
        <v>7.65</v>
      </c>
      <c r="FF141">
        <v>8.44</v>
      </c>
      <c r="FI141">
        <v>8.4499999999999904</v>
      </c>
      <c r="FL141">
        <v>8.61</v>
      </c>
      <c r="FO141">
        <v>8.6</v>
      </c>
      <c r="FR141">
        <v>8.0399999999999903</v>
      </c>
      <c r="FU141">
        <v>9.18</v>
      </c>
      <c r="FX141">
        <v>8.99</v>
      </c>
      <c r="GA141">
        <v>7.12</v>
      </c>
      <c r="GD141">
        <v>10.0399999999999</v>
      </c>
      <c r="GG141">
        <v>9.01</v>
      </c>
      <c r="GJ141">
        <v>8.02</v>
      </c>
      <c r="GS141">
        <v>6.05</v>
      </c>
      <c r="GV141">
        <v>8.68</v>
      </c>
      <c r="GY141">
        <v>9.4600000000000009</v>
      </c>
      <c r="HB141">
        <v>5.77</v>
      </c>
      <c r="HE141">
        <v>7.16</v>
      </c>
      <c r="HH141">
        <v>9.18</v>
      </c>
      <c r="HK141">
        <v>9.25</v>
      </c>
      <c r="HN141">
        <v>8.08</v>
      </c>
      <c r="HQ141">
        <v>8.6</v>
      </c>
      <c r="HS141">
        <v>7.07</v>
      </c>
      <c r="HW141">
        <v>5.45</v>
      </c>
      <c r="HZ141">
        <v>9.09</v>
      </c>
      <c r="IC141">
        <v>8.1199999999999903</v>
      </c>
      <c r="II141">
        <v>8.4</v>
      </c>
      <c r="IL141">
        <v>10.84</v>
      </c>
      <c r="IN141">
        <v>8.51</v>
      </c>
      <c r="IR141">
        <v>6.31</v>
      </c>
      <c r="IT141">
        <v>9.92</v>
      </c>
      <c r="IX141">
        <v>9.1199999999999903</v>
      </c>
      <c r="IZ141">
        <v>8.83</v>
      </c>
      <c r="JD141">
        <v>9.8699999999999903</v>
      </c>
      <c r="JF141">
        <v>9.5</v>
      </c>
      <c r="JJ141">
        <v>5.05</v>
      </c>
      <c r="JL141">
        <v>8.09</v>
      </c>
      <c r="JP141">
        <v>9.34</v>
      </c>
      <c r="JR141">
        <v>7.75</v>
      </c>
      <c r="JV141">
        <v>5.94</v>
      </c>
      <c r="JX141">
        <v>8.9700000000000006</v>
      </c>
      <c r="KB141">
        <v>8.0299999999999905</v>
      </c>
      <c r="KD141">
        <v>4.96</v>
      </c>
      <c r="KH141">
        <v>8.6</v>
      </c>
      <c r="KJ141">
        <v>4.92</v>
      </c>
      <c r="KK141">
        <v>8.93</v>
      </c>
      <c r="KN141">
        <v>6.93</v>
      </c>
      <c r="KP141">
        <v>8.25</v>
      </c>
      <c r="KT141">
        <v>7.86</v>
      </c>
      <c r="KW141">
        <v>7.68</v>
      </c>
      <c r="KZ141">
        <v>7.61</v>
      </c>
      <c r="LC141">
        <v>7.93</v>
      </c>
    </row>
    <row r="142" spans="1:319" x14ac:dyDescent="0.2">
      <c r="A142" s="37" t="s">
        <v>491</v>
      </c>
      <c r="B142">
        <v>655.01</v>
      </c>
      <c r="C142">
        <v>12.596346153846154</v>
      </c>
      <c r="D142" s="37" t="s">
        <v>466</v>
      </c>
      <c r="E142" s="37" t="s">
        <v>492</v>
      </c>
      <c r="F142">
        <v>6.9</v>
      </c>
      <c r="I142">
        <v>8.1</v>
      </c>
      <c r="M142">
        <v>9.17</v>
      </c>
      <c r="O142">
        <v>5.26</v>
      </c>
      <c r="R142">
        <v>15.1</v>
      </c>
      <c r="U142">
        <v>8.42</v>
      </c>
      <c r="Y142">
        <v>8.59</v>
      </c>
      <c r="AA142">
        <v>14.65</v>
      </c>
      <c r="AE142">
        <v>7.54</v>
      </c>
      <c r="AJ142">
        <v>8.89</v>
      </c>
      <c r="AM142">
        <v>9.48</v>
      </c>
      <c r="AP142">
        <v>8.52</v>
      </c>
      <c r="AS142">
        <v>6.84</v>
      </c>
      <c r="AV142">
        <v>8.19</v>
      </c>
      <c r="BD142">
        <v>8.19</v>
      </c>
      <c r="BH142">
        <v>5.32</v>
      </c>
      <c r="BL142">
        <v>7.54</v>
      </c>
      <c r="BO142">
        <v>6.95</v>
      </c>
      <c r="BT142">
        <v>7.11</v>
      </c>
      <c r="BW142">
        <v>7.54</v>
      </c>
      <c r="CG142">
        <v>7.1</v>
      </c>
      <c r="CJ142">
        <v>9.19</v>
      </c>
      <c r="CP142">
        <v>7.04</v>
      </c>
      <c r="CT142">
        <v>7.96</v>
      </c>
      <c r="CZ142">
        <v>7.96</v>
      </c>
      <c r="DB142">
        <v>8.7100000000000009</v>
      </c>
      <c r="DE142">
        <v>8.1</v>
      </c>
      <c r="DG142">
        <v>6.68</v>
      </c>
      <c r="DL142">
        <v>6.66</v>
      </c>
      <c r="DO142">
        <v>7.19</v>
      </c>
      <c r="DS142">
        <v>7.2</v>
      </c>
      <c r="DU142">
        <v>4.9800000000000004</v>
      </c>
      <c r="DX142">
        <v>8.75</v>
      </c>
      <c r="DZ142">
        <v>6.49</v>
      </c>
      <c r="ED142">
        <v>7.05</v>
      </c>
      <c r="EH142">
        <v>7.34</v>
      </c>
      <c r="EJ142">
        <v>5.35</v>
      </c>
      <c r="EP142">
        <v>5.95</v>
      </c>
      <c r="ES142">
        <v>6.74</v>
      </c>
      <c r="EV142">
        <v>7.05</v>
      </c>
      <c r="EZ142">
        <v>7.34</v>
      </c>
      <c r="FC142">
        <v>7.72</v>
      </c>
      <c r="FE142">
        <v>7.89</v>
      </c>
      <c r="FI142">
        <v>5.93</v>
      </c>
      <c r="FK142">
        <v>6.21</v>
      </c>
      <c r="FO142">
        <v>8.23</v>
      </c>
      <c r="FR142">
        <v>7.19</v>
      </c>
      <c r="FT142">
        <v>5.84</v>
      </c>
      <c r="FX142">
        <v>8.93</v>
      </c>
      <c r="GC142">
        <v>6.83</v>
      </c>
      <c r="GF142">
        <v>8.01</v>
      </c>
      <c r="GJ142">
        <v>7.22</v>
      </c>
      <c r="GR142">
        <v>6.95</v>
      </c>
      <c r="GU142">
        <v>7.92</v>
      </c>
      <c r="HA142">
        <v>4.5199999999999898</v>
      </c>
      <c r="HD142">
        <v>4.03</v>
      </c>
      <c r="HG142">
        <v>4.51</v>
      </c>
      <c r="HM142">
        <v>8.4</v>
      </c>
      <c r="HP142">
        <v>6.61</v>
      </c>
      <c r="HS142">
        <v>8.5500000000000007</v>
      </c>
      <c r="HX142">
        <v>7.1</v>
      </c>
      <c r="HZ142">
        <v>7.07</v>
      </c>
      <c r="IB142">
        <v>8.5500000000000007</v>
      </c>
      <c r="IE142">
        <v>7.65</v>
      </c>
      <c r="IH142">
        <v>8.7200000000000006</v>
      </c>
      <c r="IK142">
        <v>6.43</v>
      </c>
      <c r="IM142">
        <v>7.6</v>
      </c>
      <c r="IN142">
        <v>4.88</v>
      </c>
      <c r="IQ142">
        <v>7.17</v>
      </c>
      <c r="IT142">
        <v>6.56</v>
      </c>
      <c r="IW142">
        <v>3.83</v>
      </c>
      <c r="IZ142">
        <v>6.92</v>
      </c>
      <c r="JC142">
        <v>7.42</v>
      </c>
      <c r="JF142">
        <v>6.37</v>
      </c>
      <c r="JJ142">
        <v>8.19</v>
      </c>
      <c r="JO142">
        <v>8.81</v>
      </c>
      <c r="JU142">
        <v>9.44</v>
      </c>
      <c r="JX142">
        <v>8.76</v>
      </c>
      <c r="KA142">
        <v>7.39</v>
      </c>
      <c r="KE142">
        <v>9.64</v>
      </c>
      <c r="KG142">
        <v>8.67</v>
      </c>
      <c r="KJ142">
        <v>6.95</v>
      </c>
      <c r="KM142">
        <v>7.32</v>
      </c>
      <c r="KS142">
        <v>7.07</v>
      </c>
      <c r="KV142">
        <v>9.7799999999999905</v>
      </c>
      <c r="KY142">
        <v>7.83</v>
      </c>
      <c r="LC142">
        <v>8.27</v>
      </c>
    </row>
    <row r="143" spans="1:319" x14ac:dyDescent="0.2">
      <c r="A143" s="37" t="s">
        <v>493</v>
      </c>
      <c r="B143">
        <v>152.35</v>
      </c>
      <c r="C143">
        <v>2.9298076923076923</v>
      </c>
      <c r="D143" s="37" t="s">
        <v>466</v>
      </c>
      <c r="E143" s="37" t="s">
        <v>492</v>
      </c>
      <c r="J143">
        <v>8.8699999999999903</v>
      </c>
      <c r="AK143">
        <v>8.68</v>
      </c>
      <c r="BK143">
        <v>5.48</v>
      </c>
      <c r="BY143">
        <v>6.41</v>
      </c>
      <c r="CP143">
        <v>6.67</v>
      </c>
      <c r="CV143">
        <v>7.29</v>
      </c>
      <c r="CZ143">
        <v>8.01</v>
      </c>
      <c r="DJ143">
        <v>4.67</v>
      </c>
      <c r="DV143">
        <v>5.98</v>
      </c>
      <c r="DY143">
        <v>8.3000000000000007</v>
      </c>
      <c r="EN143">
        <v>8.27</v>
      </c>
      <c r="FG143">
        <v>8.17</v>
      </c>
      <c r="FR143">
        <v>5.63</v>
      </c>
      <c r="FW143">
        <v>4.62</v>
      </c>
      <c r="HG143">
        <v>8.49</v>
      </c>
      <c r="HS143">
        <v>5.82</v>
      </c>
      <c r="IP143">
        <v>6.15</v>
      </c>
      <c r="JC143">
        <v>5.96</v>
      </c>
      <c r="JT143">
        <v>8.0299999999999905</v>
      </c>
      <c r="KA143">
        <v>6.33</v>
      </c>
      <c r="KE143">
        <v>8.4600000000000009</v>
      </c>
      <c r="KV143">
        <v>6.06</v>
      </c>
    </row>
    <row r="144" spans="1:319" x14ac:dyDescent="0.2">
      <c r="A144" s="37" t="s">
        <v>494</v>
      </c>
      <c r="B144">
        <v>701.89000000000033</v>
      </c>
      <c r="C144">
        <v>13.497884615384622</v>
      </c>
      <c r="D144" s="37" t="s">
        <v>466</v>
      </c>
      <c r="E144" s="37" t="s">
        <v>492</v>
      </c>
      <c r="G144">
        <v>6.61</v>
      </c>
      <c r="J144">
        <v>7.97</v>
      </c>
      <c r="M144">
        <v>6.84</v>
      </c>
      <c r="P144">
        <v>9.3800000000000008</v>
      </c>
      <c r="S144">
        <v>8.34</v>
      </c>
      <c r="V144">
        <v>6.96</v>
      </c>
      <c r="Y144">
        <v>5.38</v>
      </c>
      <c r="AE144">
        <v>6.71</v>
      </c>
      <c r="AG144">
        <v>7.29</v>
      </c>
      <c r="AJ144">
        <v>2.54</v>
      </c>
      <c r="AM144">
        <v>9.74</v>
      </c>
      <c r="AP144">
        <v>8.51</v>
      </c>
      <c r="AU144">
        <v>7.67</v>
      </c>
      <c r="AV144">
        <v>8.67</v>
      </c>
      <c r="AY144">
        <v>5.25</v>
      </c>
      <c r="BF144">
        <v>7.66</v>
      </c>
      <c r="BH144">
        <v>6.33</v>
      </c>
      <c r="BK144">
        <v>7</v>
      </c>
      <c r="BO144">
        <v>6.71</v>
      </c>
      <c r="BR144">
        <v>7.8</v>
      </c>
      <c r="BW144">
        <v>9.5500000000000007</v>
      </c>
      <c r="CA144">
        <v>8.5500000000000007</v>
      </c>
      <c r="CD144">
        <v>8.1</v>
      </c>
      <c r="CG144">
        <v>7.76</v>
      </c>
      <c r="CJ144">
        <v>6.43</v>
      </c>
      <c r="CM144">
        <v>4.97</v>
      </c>
      <c r="CO144">
        <v>7.57</v>
      </c>
      <c r="CT144">
        <v>6.86</v>
      </c>
      <c r="CV144">
        <v>8.64</v>
      </c>
      <c r="DA144">
        <v>6.89</v>
      </c>
      <c r="DF144">
        <v>6.19</v>
      </c>
      <c r="DJ144">
        <v>8.32</v>
      </c>
      <c r="DL144">
        <v>6.42</v>
      </c>
      <c r="DP144">
        <v>5.46</v>
      </c>
      <c r="DS144">
        <v>6.81</v>
      </c>
      <c r="DV144">
        <v>7.12</v>
      </c>
      <c r="DY144">
        <v>7.95</v>
      </c>
      <c r="EB144">
        <v>7.73</v>
      </c>
      <c r="EE144">
        <v>8.4700000000000006</v>
      </c>
      <c r="EH144">
        <v>7.45</v>
      </c>
      <c r="EJ144">
        <v>7.15</v>
      </c>
      <c r="EN144">
        <v>7.2</v>
      </c>
      <c r="EQ144">
        <v>8.16</v>
      </c>
      <c r="ET144">
        <v>6.89</v>
      </c>
      <c r="EW144">
        <v>8.4700000000000006</v>
      </c>
      <c r="EZ144">
        <v>7.45</v>
      </c>
      <c r="FC144">
        <v>8.61</v>
      </c>
      <c r="FI144">
        <v>9.3699999999999903</v>
      </c>
      <c r="FN144">
        <v>7.61</v>
      </c>
      <c r="FS144">
        <v>10.14</v>
      </c>
      <c r="FU144">
        <v>3.31</v>
      </c>
      <c r="FZ144">
        <v>8.65</v>
      </c>
      <c r="GC144">
        <v>6.95</v>
      </c>
      <c r="GF144">
        <v>9.2799999999999905</v>
      </c>
      <c r="GI144">
        <v>8.39</v>
      </c>
      <c r="GR144">
        <v>6.95</v>
      </c>
      <c r="GU144">
        <v>7.9</v>
      </c>
      <c r="GX144">
        <v>9.16</v>
      </c>
      <c r="HA144">
        <v>11.38</v>
      </c>
      <c r="HD144">
        <v>4.79</v>
      </c>
      <c r="HJ144">
        <v>10.95</v>
      </c>
      <c r="HM144">
        <v>10.25</v>
      </c>
      <c r="HQ144">
        <v>8.7899999999999903</v>
      </c>
      <c r="HS144">
        <v>8.09</v>
      </c>
      <c r="HX144">
        <v>6.35</v>
      </c>
      <c r="HY144">
        <v>7.43</v>
      </c>
      <c r="IB144">
        <v>7.46</v>
      </c>
      <c r="IE144">
        <v>6.52</v>
      </c>
      <c r="IH144">
        <v>10.32</v>
      </c>
      <c r="IK144">
        <v>10.48</v>
      </c>
      <c r="IN144">
        <v>8.08</v>
      </c>
      <c r="IQ144">
        <v>5.61</v>
      </c>
      <c r="IT144">
        <v>6.95</v>
      </c>
      <c r="IW144">
        <v>9.39</v>
      </c>
      <c r="IZ144">
        <v>8.6999999999999904</v>
      </c>
      <c r="JF144">
        <v>5.09</v>
      </c>
      <c r="JI144">
        <v>7.54</v>
      </c>
      <c r="JL144">
        <v>5.92</v>
      </c>
      <c r="JO144">
        <v>6.33</v>
      </c>
      <c r="JR144">
        <v>8.6999999999999904</v>
      </c>
      <c r="JU144">
        <v>6</v>
      </c>
      <c r="JX144">
        <v>7.93</v>
      </c>
      <c r="KA144">
        <v>8.25</v>
      </c>
      <c r="KD144">
        <v>6.97</v>
      </c>
      <c r="KG144">
        <v>7.98</v>
      </c>
      <c r="KJ144">
        <v>6.23</v>
      </c>
      <c r="KM144">
        <v>8.4600000000000009</v>
      </c>
      <c r="KP144">
        <v>6.27</v>
      </c>
      <c r="KS144">
        <v>7.77</v>
      </c>
      <c r="KV144">
        <v>4.5</v>
      </c>
      <c r="KY144">
        <v>8.52</v>
      </c>
      <c r="LC144">
        <v>8.58</v>
      </c>
      <c r="LG144">
        <v>7.07</v>
      </c>
    </row>
    <row r="145" spans="1:319" x14ac:dyDescent="0.2">
      <c r="A145" s="37" t="s">
        <v>495</v>
      </c>
      <c r="B145">
        <v>1601.5599999999995</v>
      </c>
      <c r="C145">
        <v>30.799230769230761</v>
      </c>
      <c r="D145" s="37" t="s">
        <v>466</v>
      </c>
      <c r="E145" s="37" t="s">
        <v>492</v>
      </c>
      <c r="H145">
        <v>17.88</v>
      </c>
      <c r="K145">
        <v>15.32</v>
      </c>
      <c r="N145">
        <v>14.02</v>
      </c>
      <c r="Q145">
        <v>16.670000000000002</v>
      </c>
      <c r="T145">
        <v>16.489999999999899</v>
      </c>
      <c r="W145">
        <v>8.35</v>
      </c>
      <c r="Y145">
        <v>2.25999999999999</v>
      </c>
      <c r="Z145">
        <v>13.41</v>
      </c>
      <c r="AB145">
        <v>6.61</v>
      </c>
      <c r="AC145">
        <v>12.21</v>
      </c>
      <c r="AF145">
        <v>17.670000000000002</v>
      </c>
      <c r="AG145">
        <v>8.57</v>
      </c>
      <c r="AI145">
        <v>16.690000000000001</v>
      </c>
      <c r="AK145">
        <v>5.95</v>
      </c>
      <c r="AL145">
        <v>17.46</v>
      </c>
      <c r="AO145">
        <v>16.72</v>
      </c>
      <c r="AR145">
        <v>13.73</v>
      </c>
      <c r="AU145">
        <v>10.83</v>
      </c>
      <c r="AX145">
        <v>10.91</v>
      </c>
      <c r="BA145">
        <v>18.57</v>
      </c>
      <c r="BD145">
        <v>15.91</v>
      </c>
      <c r="BG145">
        <v>16.5</v>
      </c>
      <c r="BJ145">
        <v>15.72</v>
      </c>
      <c r="BM145">
        <v>7.48</v>
      </c>
      <c r="BO145">
        <v>16.149999999999899</v>
      </c>
      <c r="BS145">
        <v>16.77</v>
      </c>
      <c r="BT145">
        <v>7.11</v>
      </c>
      <c r="BV145">
        <v>16.41</v>
      </c>
      <c r="BX145">
        <v>8.17</v>
      </c>
      <c r="BY145">
        <v>16.32</v>
      </c>
      <c r="CC145">
        <v>16.579999999999899</v>
      </c>
      <c r="CF145">
        <v>13.93</v>
      </c>
      <c r="CI145">
        <v>22.38</v>
      </c>
      <c r="CL145">
        <v>17.05</v>
      </c>
      <c r="CO145">
        <v>13.9</v>
      </c>
      <c r="CR145">
        <v>14.46</v>
      </c>
      <c r="CU145">
        <v>15.81</v>
      </c>
      <c r="CX145">
        <v>12.6</v>
      </c>
      <c r="DA145">
        <v>10.11</v>
      </c>
      <c r="DD145">
        <v>13.68</v>
      </c>
      <c r="DG145">
        <v>21.73</v>
      </c>
      <c r="DN145">
        <v>3.42</v>
      </c>
      <c r="DQ145">
        <v>16.28</v>
      </c>
      <c r="DS145">
        <v>8.65</v>
      </c>
      <c r="DT145">
        <v>11.41</v>
      </c>
      <c r="DW145">
        <v>16.77</v>
      </c>
      <c r="EA145">
        <v>20.47</v>
      </c>
      <c r="EC145">
        <v>14.05</v>
      </c>
      <c r="EF145">
        <v>15.42</v>
      </c>
      <c r="EI145">
        <v>15.09</v>
      </c>
      <c r="EM145">
        <v>11.27</v>
      </c>
      <c r="EO145">
        <v>14.77</v>
      </c>
      <c r="ER145">
        <v>13.09</v>
      </c>
      <c r="EU145">
        <v>12.53</v>
      </c>
      <c r="EX145">
        <v>15.42</v>
      </c>
      <c r="FA145">
        <v>15.09</v>
      </c>
      <c r="FD145">
        <v>14.97</v>
      </c>
      <c r="FG145">
        <v>8.83</v>
      </c>
      <c r="FJ145">
        <v>20.36</v>
      </c>
      <c r="FN145">
        <v>8.81</v>
      </c>
      <c r="FO145">
        <v>8.2899999999999903</v>
      </c>
      <c r="FP145">
        <v>12.42</v>
      </c>
      <c r="FS145">
        <v>25.189999999999898</v>
      </c>
      <c r="FV145">
        <v>13.88</v>
      </c>
      <c r="FY145">
        <v>15.21</v>
      </c>
      <c r="GB145">
        <v>15.08</v>
      </c>
      <c r="GE145">
        <v>13.69</v>
      </c>
      <c r="GH145">
        <v>13.28</v>
      </c>
      <c r="GK145">
        <v>13.62</v>
      </c>
      <c r="GT145">
        <v>17.600000000000001</v>
      </c>
      <c r="GW145">
        <v>12.15</v>
      </c>
      <c r="GX145">
        <v>7.12</v>
      </c>
      <c r="GZ145">
        <v>13.68</v>
      </c>
      <c r="HC145">
        <v>12.11</v>
      </c>
      <c r="HF145">
        <v>14.52</v>
      </c>
      <c r="HI145">
        <v>15.24</v>
      </c>
      <c r="HL145">
        <v>12.26</v>
      </c>
      <c r="HO145">
        <v>14.74</v>
      </c>
      <c r="HR145">
        <v>20.13</v>
      </c>
      <c r="HU145">
        <v>17.45</v>
      </c>
      <c r="HX145">
        <v>17.04</v>
      </c>
      <c r="HY145">
        <v>3.88</v>
      </c>
      <c r="IA145">
        <v>13.78</v>
      </c>
      <c r="ID145">
        <v>15.29</v>
      </c>
      <c r="IG145">
        <v>8.01</v>
      </c>
      <c r="IJ145">
        <v>15.68</v>
      </c>
      <c r="IM145">
        <v>18.25</v>
      </c>
      <c r="IN145">
        <v>8.59</v>
      </c>
      <c r="IP145">
        <v>9.31</v>
      </c>
      <c r="IS145">
        <v>19.53</v>
      </c>
      <c r="IV145">
        <v>19.62</v>
      </c>
      <c r="IY145">
        <v>14.98</v>
      </c>
      <c r="JB145">
        <v>14.17</v>
      </c>
      <c r="JE145">
        <v>15.78</v>
      </c>
      <c r="JF145">
        <v>9.0399999999999903</v>
      </c>
      <c r="JG145">
        <v>10.210000000000001</v>
      </c>
      <c r="JK145">
        <v>19.77</v>
      </c>
      <c r="JN145">
        <v>18.95</v>
      </c>
      <c r="JQ145">
        <v>19.29</v>
      </c>
      <c r="JT145">
        <v>8.01</v>
      </c>
      <c r="JW145">
        <v>19.36</v>
      </c>
      <c r="JZ145">
        <v>8.84</v>
      </c>
      <c r="KB145">
        <v>7.68</v>
      </c>
      <c r="KF145">
        <v>18.3</v>
      </c>
      <c r="KI145">
        <v>10.95</v>
      </c>
      <c r="KL145">
        <v>18.579999999999899</v>
      </c>
      <c r="KO145">
        <v>18.29</v>
      </c>
      <c r="KR145">
        <v>17.190000000000001</v>
      </c>
      <c r="KU145">
        <v>18.64</v>
      </c>
      <c r="KX145">
        <v>16.309999999999899</v>
      </c>
      <c r="LA145">
        <v>19.36</v>
      </c>
      <c r="LD145">
        <v>15.42</v>
      </c>
      <c r="LG145">
        <v>20.010000000000002</v>
      </c>
    </row>
    <row r="146" spans="1:319" x14ac:dyDescent="0.2">
      <c r="A146" s="37" t="s">
        <v>496</v>
      </c>
      <c r="B146">
        <v>1481.0399999999993</v>
      </c>
      <c r="C146">
        <v>28.481538461538449</v>
      </c>
      <c r="D146" s="37" t="s">
        <v>497</v>
      </c>
      <c r="E146" s="37" t="s">
        <v>498</v>
      </c>
      <c r="H146">
        <v>15.49</v>
      </c>
      <c r="I146">
        <v>6.53</v>
      </c>
      <c r="J146">
        <v>7.09</v>
      </c>
      <c r="K146">
        <v>6.9</v>
      </c>
      <c r="N146">
        <v>7.65</v>
      </c>
      <c r="O146">
        <v>7</v>
      </c>
      <c r="P146">
        <v>4.37</v>
      </c>
      <c r="S146">
        <v>7.85</v>
      </c>
      <c r="U146">
        <v>12.95</v>
      </c>
      <c r="W146">
        <v>14.97</v>
      </c>
      <c r="X146">
        <v>8.33</v>
      </c>
      <c r="AA146">
        <v>13.95</v>
      </c>
      <c r="AC146">
        <v>14.98</v>
      </c>
      <c r="AE146">
        <v>7.21</v>
      </c>
      <c r="AF146">
        <v>4.6900000000000004</v>
      </c>
      <c r="AG146">
        <v>6.44</v>
      </c>
      <c r="AH146">
        <v>7.18</v>
      </c>
      <c r="AK146">
        <v>16.43</v>
      </c>
      <c r="AM146">
        <v>5.33</v>
      </c>
      <c r="AN146">
        <v>6.92</v>
      </c>
      <c r="AQ146">
        <v>12.89</v>
      </c>
      <c r="AT146">
        <v>12.37</v>
      </c>
      <c r="AU146">
        <v>6.6</v>
      </c>
      <c r="AW146">
        <v>3.75</v>
      </c>
      <c r="AX146">
        <v>6.56</v>
      </c>
      <c r="AZ146">
        <v>8.7799999999999994</v>
      </c>
      <c r="BA146">
        <v>5.37</v>
      </c>
      <c r="BB146">
        <v>6.03</v>
      </c>
      <c r="BD146">
        <v>8.31</v>
      </c>
      <c r="BE146">
        <v>6.64</v>
      </c>
      <c r="BG146">
        <v>3.72</v>
      </c>
      <c r="BH146">
        <v>7.83</v>
      </c>
      <c r="BI146">
        <v>6.49</v>
      </c>
      <c r="BJ146">
        <v>4.62</v>
      </c>
      <c r="BL146">
        <v>11.62</v>
      </c>
      <c r="BN146">
        <v>7.36</v>
      </c>
      <c r="BP146">
        <v>14.63</v>
      </c>
      <c r="BR146">
        <v>6.79</v>
      </c>
      <c r="BU146">
        <v>7.91</v>
      </c>
      <c r="BW146">
        <v>8.33</v>
      </c>
      <c r="BX146">
        <v>5.9</v>
      </c>
      <c r="CC146">
        <v>7.12</v>
      </c>
      <c r="CD146">
        <v>6.85</v>
      </c>
      <c r="CF146">
        <v>6.6</v>
      </c>
      <c r="CH146">
        <v>14.96</v>
      </c>
      <c r="CK146">
        <v>11.99</v>
      </c>
      <c r="CL146">
        <v>7.24</v>
      </c>
      <c r="CO146">
        <v>14.86</v>
      </c>
      <c r="CQ146">
        <v>6.15</v>
      </c>
      <c r="CT146">
        <v>6.97</v>
      </c>
      <c r="CU146">
        <v>16.07</v>
      </c>
      <c r="CV146">
        <v>7.39</v>
      </c>
      <c r="CX146">
        <v>4.8600000000000003</v>
      </c>
      <c r="CZ146">
        <v>8.75</v>
      </c>
      <c r="DA146">
        <v>6.21</v>
      </c>
      <c r="DB146">
        <v>7.21</v>
      </c>
      <c r="DD146">
        <v>7.62</v>
      </c>
      <c r="DF146">
        <v>12.04</v>
      </c>
      <c r="DK146">
        <v>21.12</v>
      </c>
      <c r="DM146">
        <v>8.27</v>
      </c>
      <c r="DO146">
        <v>6.68</v>
      </c>
      <c r="DP146">
        <v>5.81</v>
      </c>
      <c r="DS146">
        <v>6.9</v>
      </c>
      <c r="DT146">
        <v>5.88</v>
      </c>
      <c r="DV146">
        <v>8.16</v>
      </c>
      <c r="DW146">
        <v>6.08</v>
      </c>
      <c r="DX146">
        <v>7.4</v>
      </c>
      <c r="EA146">
        <v>12.48</v>
      </c>
      <c r="EB146">
        <v>7.48</v>
      </c>
      <c r="ED146">
        <v>3.97</v>
      </c>
      <c r="EE146">
        <v>7.38</v>
      </c>
      <c r="EG146">
        <v>15.43</v>
      </c>
      <c r="EI146">
        <v>6.83</v>
      </c>
      <c r="EK146">
        <v>6.07</v>
      </c>
      <c r="EL146">
        <v>5.68</v>
      </c>
      <c r="EN146">
        <v>12.56</v>
      </c>
      <c r="EP146">
        <v>8.1</v>
      </c>
      <c r="EQ146">
        <v>6.7</v>
      </c>
      <c r="ER146">
        <v>7.13</v>
      </c>
      <c r="ET146">
        <v>4.76</v>
      </c>
      <c r="EV146">
        <v>11.47</v>
      </c>
      <c r="EY146">
        <v>14.01</v>
      </c>
      <c r="EZ146">
        <v>7.64</v>
      </c>
      <c r="FB146">
        <v>9.56</v>
      </c>
      <c r="FE146">
        <v>15.39</v>
      </c>
      <c r="FF146">
        <v>9.64</v>
      </c>
      <c r="FJ146">
        <v>14.77</v>
      </c>
      <c r="FM146">
        <v>12.83</v>
      </c>
      <c r="FN146">
        <v>7.3</v>
      </c>
      <c r="FO146">
        <v>6.21</v>
      </c>
      <c r="FQ146">
        <v>4.8600000000000003</v>
      </c>
      <c r="FS146">
        <v>5.29</v>
      </c>
      <c r="FT146">
        <v>12.57</v>
      </c>
      <c r="FW146">
        <v>7.87</v>
      </c>
      <c r="FY146">
        <v>16.71</v>
      </c>
      <c r="FZ146">
        <v>8.23</v>
      </c>
      <c r="GA146">
        <v>4.08</v>
      </c>
      <c r="GC146">
        <v>14.3</v>
      </c>
      <c r="GE146">
        <v>7.49</v>
      </c>
      <c r="GG146">
        <v>11.62</v>
      </c>
      <c r="GI146">
        <v>7.09</v>
      </c>
      <c r="GJ146">
        <v>7.91</v>
      </c>
      <c r="GL146">
        <v>6.46</v>
      </c>
      <c r="GM146">
        <v>7.55</v>
      </c>
      <c r="GO146">
        <v>4.55</v>
      </c>
      <c r="GP146">
        <v>6.95</v>
      </c>
      <c r="GQ146">
        <v>6.13</v>
      </c>
      <c r="GS146">
        <v>7.7</v>
      </c>
      <c r="GT146">
        <v>5.84</v>
      </c>
      <c r="GU146">
        <v>6.57</v>
      </c>
      <c r="GW146">
        <v>6.53</v>
      </c>
      <c r="GY146">
        <v>7.45</v>
      </c>
      <c r="GZ146">
        <v>6.14</v>
      </c>
      <c r="HB146">
        <v>6.25</v>
      </c>
      <c r="HD146">
        <v>5.96</v>
      </c>
      <c r="HF146">
        <v>12.18</v>
      </c>
      <c r="HI146">
        <v>5.72</v>
      </c>
      <c r="HJ146">
        <v>6.98</v>
      </c>
      <c r="HK146">
        <v>6.31</v>
      </c>
      <c r="HM146">
        <v>7.02</v>
      </c>
      <c r="HN146">
        <v>5.63</v>
      </c>
      <c r="HP146">
        <v>14.59</v>
      </c>
      <c r="HS146">
        <v>9.6199999999999992</v>
      </c>
      <c r="HU146">
        <v>8.27</v>
      </c>
      <c r="HW146">
        <v>6.86</v>
      </c>
      <c r="HZ146">
        <v>14.92</v>
      </c>
      <c r="ID146">
        <v>17.170000000000002</v>
      </c>
      <c r="IG146">
        <v>15.19</v>
      </c>
      <c r="IH146">
        <v>7.34</v>
      </c>
      <c r="IJ146">
        <v>7.14</v>
      </c>
      <c r="IL146">
        <v>5.12</v>
      </c>
      <c r="IM146">
        <v>10.55</v>
      </c>
      <c r="IN146">
        <v>8.56</v>
      </c>
      <c r="IP146">
        <v>7.15</v>
      </c>
      <c r="IR146">
        <v>8.89</v>
      </c>
      <c r="IS146">
        <v>5.61</v>
      </c>
      <c r="IU146">
        <v>15.34</v>
      </c>
      <c r="IW146">
        <v>6.31</v>
      </c>
      <c r="IY146">
        <v>7.62</v>
      </c>
      <c r="IZ146">
        <v>5.32</v>
      </c>
      <c r="JB146">
        <v>5.32</v>
      </c>
      <c r="JE146">
        <v>13.75</v>
      </c>
      <c r="JG146">
        <v>6.54</v>
      </c>
      <c r="JH146">
        <v>6.31</v>
      </c>
      <c r="JK146">
        <v>15.87</v>
      </c>
      <c r="JM146">
        <v>13.39</v>
      </c>
      <c r="JP146">
        <v>17.46</v>
      </c>
      <c r="JR146">
        <v>8.18</v>
      </c>
      <c r="JS146">
        <v>7.95</v>
      </c>
      <c r="JV146">
        <v>13.56</v>
      </c>
      <c r="JX146">
        <v>4.4400000000000004</v>
      </c>
      <c r="KA146">
        <v>13.72</v>
      </c>
      <c r="KC146">
        <v>8.6999999999999993</v>
      </c>
      <c r="KE146">
        <v>5.74</v>
      </c>
      <c r="KG146">
        <v>7.61</v>
      </c>
      <c r="KH146">
        <v>10.119999999999999</v>
      </c>
      <c r="KJ146">
        <v>10.7</v>
      </c>
      <c r="KL146">
        <v>6.53</v>
      </c>
      <c r="KM146">
        <v>8.69</v>
      </c>
      <c r="KO146">
        <v>10.039999999999999</v>
      </c>
      <c r="KP146">
        <v>10.49</v>
      </c>
      <c r="KS146">
        <v>7.07</v>
      </c>
      <c r="KT146">
        <v>8.11</v>
      </c>
      <c r="KW146">
        <v>14.58</v>
      </c>
      <c r="KY146">
        <v>6.68</v>
      </c>
      <c r="KZ146">
        <v>6.86</v>
      </c>
      <c r="LD146">
        <v>13.99</v>
      </c>
      <c r="LG146">
        <v>13.79</v>
      </c>
    </row>
    <row r="147" spans="1:319" x14ac:dyDescent="0.2">
      <c r="A147" s="37" t="s">
        <v>499</v>
      </c>
      <c r="B147">
        <v>2753.3199999999983</v>
      </c>
      <c r="C147">
        <v>52.948461538461508</v>
      </c>
      <c r="D147" s="37" t="s">
        <v>497</v>
      </c>
      <c r="E147" s="37" t="s">
        <v>498</v>
      </c>
      <c r="F147">
        <v>14.56</v>
      </c>
      <c r="H147">
        <v>11.76</v>
      </c>
      <c r="K147">
        <v>17.829999999999998</v>
      </c>
      <c r="M147">
        <v>17.09</v>
      </c>
      <c r="N147">
        <v>20.52</v>
      </c>
      <c r="Q147">
        <v>21.89</v>
      </c>
      <c r="R147">
        <v>13.17</v>
      </c>
      <c r="T147">
        <v>8.26</v>
      </c>
      <c r="U147">
        <v>12.83</v>
      </c>
      <c r="W147">
        <v>19.59</v>
      </c>
      <c r="X147">
        <v>13.54</v>
      </c>
      <c r="Z147">
        <v>15.93</v>
      </c>
      <c r="AA147">
        <v>8.4499999999999993</v>
      </c>
      <c r="AB147">
        <v>10.11</v>
      </c>
      <c r="AC147">
        <v>4.45</v>
      </c>
      <c r="AE147">
        <v>14.75</v>
      </c>
      <c r="AF147">
        <v>9.11</v>
      </c>
      <c r="AG147">
        <v>14.29</v>
      </c>
      <c r="AI147">
        <v>7.51</v>
      </c>
      <c r="AK147">
        <v>26.89</v>
      </c>
      <c r="AL147">
        <v>9.09</v>
      </c>
      <c r="AM147">
        <v>7.95</v>
      </c>
      <c r="AN147">
        <v>8.26</v>
      </c>
      <c r="AP147">
        <v>16.38</v>
      </c>
      <c r="AR147">
        <v>17.09</v>
      </c>
      <c r="AT147">
        <v>8.5500000000000007</v>
      </c>
      <c r="AU147">
        <v>9.74</v>
      </c>
      <c r="AW147">
        <v>8.0500000000000007</v>
      </c>
      <c r="AX147">
        <v>24.24</v>
      </c>
      <c r="AY147">
        <v>11.08</v>
      </c>
      <c r="BA147">
        <v>7.52</v>
      </c>
      <c r="BD147">
        <v>22.51</v>
      </c>
      <c r="BE147">
        <v>7.92</v>
      </c>
      <c r="BG147">
        <v>7.91</v>
      </c>
      <c r="BI147">
        <v>24.79</v>
      </c>
      <c r="BJ147">
        <v>12.85</v>
      </c>
      <c r="BK147">
        <v>8.1</v>
      </c>
      <c r="BL147">
        <v>7.59</v>
      </c>
      <c r="BM147">
        <v>6.71</v>
      </c>
      <c r="BN147">
        <v>14.73</v>
      </c>
      <c r="BO147">
        <v>7.95</v>
      </c>
      <c r="BP147">
        <v>8.1</v>
      </c>
      <c r="BS147">
        <v>34.71</v>
      </c>
      <c r="BT147">
        <v>8.86</v>
      </c>
      <c r="BU147">
        <v>17.43</v>
      </c>
      <c r="BV147">
        <v>16.97</v>
      </c>
      <c r="BY147">
        <v>21.23</v>
      </c>
      <c r="CA147">
        <v>15.18</v>
      </c>
      <c r="CD147">
        <v>12.28</v>
      </c>
      <c r="CE147">
        <v>11.53</v>
      </c>
      <c r="CF147">
        <v>13.94</v>
      </c>
      <c r="CH147">
        <v>14.9</v>
      </c>
      <c r="CI147">
        <v>14.3</v>
      </c>
      <c r="CJ147">
        <v>15.74</v>
      </c>
      <c r="CL147">
        <v>14.78</v>
      </c>
      <c r="CM147">
        <v>12.86</v>
      </c>
      <c r="CN147">
        <v>5.12</v>
      </c>
      <c r="CO147">
        <v>8.4499999999999993</v>
      </c>
      <c r="CP147">
        <v>15.92</v>
      </c>
      <c r="CQ147">
        <v>5.58</v>
      </c>
      <c r="CR147">
        <v>15.45</v>
      </c>
      <c r="CU147">
        <v>20.11</v>
      </c>
      <c r="CV147">
        <v>12.35</v>
      </c>
      <c r="CX147">
        <v>6.14</v>
      </c>
      <c r="CY147">
        <v>5.2</v>
      </c>
      <c r="CZ147">
        <v>6.77</v>
      </c>
      <c r="DA147">
        <v>7.63</v>
      </c>
      <c r="DB147">
        <v>8.33</v>
      </c>
      <c r="DC147">
        <v>15.12</v>
      </c>
      <c r="DE147">
        <v>14.3</v>
      </c>
      <c r="DG147">
        <v>11.73</v>
      </c>
      <c r="DK147">
        <v>22.16</v>
      </c>
      <c r="DL147">
        <v>7.36</v>
      </c>
      <c r="DM147">
        <v>24.77</v>
      </c>
      <c r="DO147">
        <v>14.13</v>
      </c>
      <c r="DQ147">
        <v>11.03</v>
      </c>
      <c r="DT147">
        <v>30.48</v>
      </c>
      <c r="DV147">
        <v>15.81</v>
      </c>
      <c r="DX147">
        <v>5.8</v>
      </c>
      <c r="DY147">
        <v>8.44</v>
      </c>
      <c r="DZ147">
        <v>5.37</v>
      </c>
      <c r="EA147">
        <v>14.92</v>
      </c>
      <c r="EC147">
        <v>13.15</v>
      </c>
      <c r="ED147">
        <v>14.25</v>
      </c>
      <c r="EE147">
        <v>15.46</v>
      </c>
      <c r="EG147">
        <v>12.21</v>
      </c>
      <c r="EI147">
        <v>15.08</v>
      </c>
      <c r="EK147">
        <v>6.59</v>
      </c>
      <c r="EL147">
        <v>19.07</v>
      </c>
      <c r="EN147">
        <v>16.809999999999999</v>
      </c>
      <c r="EP147">
        <v>23.75</v>
      </c>
      <c r="EQ147">
        <v>15.71</v>
      </c>
      <c r="ES147">
        <v>16.77</v>
      </c>
      <c r="EU147">
        <v>15.52</v>
      </c>
      <c r="EV147">
        <v>15.94</v>
      </c>
      <c r="EW147">
        <v>14.98</v>
      </c>
      <c r="EY147">
        <v>14.87</v>
      </c>
      <c r="FA147">
        <v>8.8800000000000008</v>
      </c>
      <c r="FC147">
        <v>15.35</v>
      </c>
      <c r="FD147">
        <v>16.36</v>
      </c>
      <c r="FG147">
        <v>18.36</v>
      </c>
      <c r="FH147">
        <v>16.72</v>
      </c>
      <c r="FI147">
        <v>5.78</v>
      </c>
      <c r="FJ147">
        <v>6.45</v>
      </c>
      <c r="FK147">
        <v>15.57</v>
      </c>
      <c r="FM147">
        <v>7.92</v>
      </c>
      <c r="FN147">
        <v>16.78</v>
      </c>
      <c r="FP147">
        <v>17.12</v>
      </c>
      <c r="FQ147">
        <v>7.83</v>
      </c>
      <c r="FS147">
        <v>16.170000000000002</v>
      </c>
      <c r="FT147">
        <v>17.989999999999998</v>
      </c>
      <c r="FV147">
        <v>16.809999999999999</v>
      </c>
      <c r="FX147">
        <v>15.42</v>
      </c>
      <c r="FZ147">
        <v>16.100000000000001</v>
      </c>
      <c r="GB147">
        <v>17.61</v>
      </c>
      <c r="GD147">
        <v>7.59</v>
      </c>
      <c r="GE147">
        <v>8.83</v>
      </c>
      <c r="GF147">
        <v>19.86</v>
      </c>
      <c r="GH147">
        <v>8.75</v>
      </c>
      <c r="GI147">
        <v>15.13</v>
      </c>
      <c r="GK147">
        <v>15.82</v>
      </c>
      <c r="GM147">
        <v>7.35</v>
      </c>
      <c r="GN147">
        <v>18.2</v>
      </c>
      <c r="GO147">
        <v>8.81</v>
      </c>
      <c r="GQ147">
        <v>17.600000000000001</v>
      </c>
      <c r="GS147">
        <v>7.9</v>
      </c>
      <c r="GT147">
        <v>14.78</v>
      </c>
      <c r="GU147">
        <v>8.0500000000000007</v>
      </c>
      <c r="GV147">
        <v>14.09</v>
      </c>
      <c r="GW147">
        <v>7.74</v>
      </c>
      <c r="GX147">
        <v>14.95</v>
      </c>
      <c r="GY147">
        <v>7.8</v>
      </c>
      <c r="GZ147">
        <v>8.1999999999999993</v>
      </c>
      <c r="HB147">
        <v>17.34</v>
      </c>
      <c r="HD147">
        <v>8.18</v>
      </c>
      <c r="HF147">
        <v>22.91</v>
      </c>
      <c r="HH147">
        <v>18.399999999999999</v>
      </c>
      <c r="HK147">
        <v>22.48</v>
      </c>
      <c r="HL147">
        <v>8.4600000000000009</v>
      </c>
      <c r="HN147">
        <v>7.88</v>
      </c>
      <c r="HO147">
        <v>7.15</v>
      </c>
      <c r="HP147">
        <v>8.75</v>
      </c>
      <c r="HR147">
        <v>17.57</v>
      </c>
      <c r="HS147">
        <v>26.8</v>
      </c>
      <c r="HU147">
        <v>15.51</v>
      </c>
      <c r="HW147">
        <v>13.8</v>
      </c>
      <c r="HX147">
        <v>7.97</v>
      </c>
      <c r="HY147">
        <v>9.14</v>
      </c>
      <c r="HZ147">
        <v>8.06</v>
      </c>
      <c r="IA147">
        <v>14.98</v>
      </c>
      <c r="IB147">
        <v>7.05</v>
      </c>
      <c r="ID147">
        <v>17.61</v>
      </c>
      <c r="IE147">
        <v>8.2899999999999991</v>
      </c>
      <c r="IF147">
        <v>15.53</v>
      </c>
      <c r="IH147">
        <v>9.65</v>
      </c>
      <c r="IJ147">
        <v>7.35</v>
      </c>
      <c r="IK147">
        <v>7.05</v>
      </c>
      <c r="IL147">
        <v>17.28</v>
      </c>
      <c r="IM147">
        <v>13.43</v>
      </c>
      <c r="IO147">
        <v>19.350000000000001</v>
      </c>
      <c r="IP147">
        <v>8.27</v>
      </c>
      <c r="IQ147">
        <v>9.19</v>
      </c>
      <c r="IS147">
        <v>7.45</v>
      </c>
      <c r="IT147">
        <v>17.399999999999999</v>
      </c>
      <c r="IU147">
        <v>15.33</v>
      </c>
      <c r="IV147">
        <v>9.76</v>
      </c>
      <c r="IW147">
        <v>7.3</v>
      </c>
      <c r="IX147">
        <v>7.95</v>
      </c>
      <c r="IZ147">
        <v>14.94</v>
      </c>
      <c r="JC147">
        <v>8.39</v>
      </c>
      <c r="JD147">
        <v>27.12</v>
      </c>
      <c r="JE147">
        <v>8.1999999999999993</v>
      </c>
      <c r="JG147">
        <v>6.95</v>
      </c>
      <c r="JH147">
        <v>27.21</v>
      </c>
      <c r="JI147">
        <v>8.7899999999999991</v>
      </c>
      <c r="JJ147">
        <v>9.49</v>
      </c>
      <c r="JM147">
        <v>25.47</v>
      </c>
      <c r="JN147">
        <v>19.12</v>
      </c>
      <c r="JO147">
        <v>6.35</v>
      </c>
      <c r="JP147">
        <v>9.2799999999999994</v>
      </c>
      <c r="JQ147">
        <v>6.53</v>
      </c>
      <c r="JR147">
        <v>7.87</v>
      </c>
      <c r="JS147">
        <v>14.92</v>
      </c>
      <c r="JT147">
        <v>14.54</v>
      </c>
      <c r="JV147">
        <v>14.12</v>
      </c>
      <c r="JX147">
        <v>6.74</v>
      </c>
      <c r="JZ147">
        <v>23.22</v>
      </c>
      <c r="KA147">
        <v>17.89</v>
      </c>
      <c r="KD147">
        <v>8.98</v>
      </c>
      <c r="KE147">
        <v>6.15</v>
      </c>
      <c r="KF147">
        <v>15.31</v>
      </c>
      <c r="KG147">
        <v>7.77</v>
      </c>
      <c r="KH147">
        <v>7.09</v>
      </c>
      <c r="KI147">
        <v>8.73</v>
      </c>
      <c r="KJ147">
        <v>16.760000000000002</v>
      </c>
      <c r="KL147">
        <v>10.14</v>
      </c>
      <c r="KO147">
        <v>17.48</v>
      </c>
      <c r="KR147">
        <v>27.88</v>
      </c>
      <c r="KS147">
        <v>8.06</v>
      </c>
      <c r="KU147">
        <v>8.6300000000000008</v>
      </c>
      <c r="KV147">
        <v>15.17</v>
      </c>
      <c r="KW147">
        <v>12.24</v>
      </c>
      <c r="KX147">
        <v>15.48</v>
      </c>
      <c r="LA147">
        <v>16.010000000000002</v>
      </c>
      <c r="LB147">
        <v>9.1300000000000008</v>
      </c>
      <c r="LC147">
        <v>17.079999999999998</v>
      </c>
      <c r="LD147">
        <v>8.15</v>
      </c>
      <c r="LE147">
        <v>6.24</v>
      </c>
      <c r="LG147">
        <v>15.43</v>
      </c>
    </row>
    <row r="148" spans="1:319" x14ac:dyDescent="0.2">
      <c r="A148" s="37" t="s">
        <v>500</v>
      </c>
      <c r="B148">
        <v>1959.65</v>
      </c>
      <c r="C148">
        <v>37.685576923076923</v>
      </c>
      <c r="D148" s="37" t="s">
        <v>497</v>
      </c>
      <c r="E148" s="37" t="s">
        <v>498</v>
      </c>
      <c r="F148">
        <v>13.54</v>
      </c>
      <c r="H148">
        <v>5.63</v>
      </c>
      <c r="I148">
        <v>5.99</v>
      </c>
      <c r="J148">
        <v>12.82</v>
      </c>
      <c r="K148">
        <v>4.47</v>
      </c>
      <c r="M148">
        <v>14.16</v>
      </c>
      <c r="P148">
        <v>17.170000000000002</v>
      </c>
      <c r="Q148">
        <v>9.35</v>
      </c>
      <c r="R148">
        <v>11.13</v>
      </c>
      <c r="T148">
        <v>5.2</v>
      </c>
      <c r="U148">
        <v>7.15</v>
      </c>
      <c r="W148">
        <v>13.79</v>
      </c>
      <c r="X148">
        <v>7.57</v>
      </c>
      <c r="Y148">
        <v>11.47</v>
      </c>
      <c r="Z148">
        <v>7.18</v>
      </c>
      <c r="AB148">
        <v>4.87</v>
      </c>
      <c r="AC148">
        <v>8.0500000000000007</v>
      </c>
      <c r="AE148">
        <v>15.52</v>
      </c>
      <c r="AH148">
        <v>13.47</v>
      </c>
      <c r="AI148">
        <v>10.83</v>
      </c>
      <c r="AK148">
        <v>9.19</v>
      </c>
      <c r="AL148">
        <v>6.52</v>
      </c>
      <c r="AN148">
        <v>11.97</v>
      </c>
      <c r="AO148">
        <v>11.38</v>
      </c>
      <c r="AS148">
        <v>13.41</v>
      </c>
      <c r="AT148">
        <v>8.0399999999999991</v>
      </c>
      <c r="AU148">
        <v>11.99</v>
      </c>
      <c r="AV148">
        <v>10.63</v>
      </c>
      <c r="AW148">
        <v>3.93</v>
      </c>
      <c r="AX148">
        <v>7.34</v>
      </c>
      <c r="AY148">
        <v>8.19</v>
      </c>
      <c r="BA148">
        <v>11.98</v>
      </c>
      <c r="BB148">
        <v>12.17</v>
      </c>
      <c r="BD148">
        <v>7.46</v>
      </c>
      <c r="BF148">
        <v>7.69</v>
      </c>
      <c r="BG148">
        <v>7.48</v>
      </c>
      <c r="BH148">
        <v>13.49</v>
      </c>
      <c r="BI148">
        <v>6.65</v>
      </c>
      <c r="BJ148">
        <v>6.43</v>
      </c>
      <c r="BK148">
        <v>13.69</v>
      </c>
      <c r="BM148">
        <v>13.01</v>
      </c>
      <c r="BO148">
        <v>6.15</v>
      </c>
      <c r="BR148">
        <v>6.78</v>
      </c>
      <c r="BS148">
        <v>14.97</v>
      </c>
      <c r="BT148">
        <v>6.03</v>
      </c>
      <c r="BV148">
        <v>12.28</v>
      </c>
      <c r="BW148">
        <v>7.09</v>
      </c>
      <c r="BX148">
        <v>7.09</v>
      </c>
      <c r="CC148">
        <v>9.9</v>
      </c>
      <c r="CD148">
        <v>6.68</v>
      </c>
      <c r="CE148">
        <v>6.86</v>
      </c>
      <c r="CG148">
        <v>7.78</v>
      </c>
      <c r="CI148">
        <v>7.85</v>
      </c>
      <c r="CJ148">
        <v>6.79</v>
      </c>
      <c r="CK148">
        <v>11.76</v>
      </c>
      <c r="CL148">
        <v>11.05</v>
      </c>
      <c r="CM148">
        <v>4.97</v>
      </c>
      <c r="CO148">
        <v>14.28</v>
      </c>
      <c r="CP148">
        <v>5.85</v>
      </c>
      <c r="CQ148">
        <v>6.05</v>
      </c>
      <c r="CR148">
        <v>6.91</v>
      </c>
      <c r="CT148">
        <v>5.0599999999999996</v>
      </c>
      <c r="CU148">
        <v>11.69</v>
      </c>
      <c r="CV148">
        <v>5.46</v>
      </c>
      <c r="CX148">
        <v>6.58</v>
      </c>
      <c r="DA148">
        <v>11.47</v>
      </c>
      <c r="DB148">
        <v>7.31</v>
      </c>
      <c r="DC148">
        <v>7.37</v>
      </c>
      <c r="DD148">
        <v>12.28</v>
      </c>
      <c r="DF148">
        <v>10.83</v>
      </c>
      <c r="DJ148">
        <v>16.09</v>
      </c>
      <c r="DK148">
        <v>4.91</v>
      </c>
      <c r="DL148">
        <v>8.86</v>
      </c>
      <c r="DM148">
        <v>11.47</v>
      </c>
      <c r="DP148">
        <v>13.56</v>
      </c>
      <c r="DS148">
        <v>13.5</v>
      </c>
      <c r="DT148">
        <v>7.25</v>
      </c>
      <c r="DV148">
        <v>12.83</v>
      </c>
      <c r="DX148">
        <v>5.45</v>
      </c>
      <c r="DY148">
        <v>5.76</v>
      </c>
      <c r="DZ148">
        <v>5.69</v>
      </c>
      <c r="EA148">
        <v>11.34</v>
      </c>
      <c r="EC148">
        <v>10.91</v>
      </c>
      <c r="ED148">
        <v>6.1</v>
      </c>
      <c r="EE148">
        <v>11.2</v>
      </c>
      <c r="EI148">
        <v>21.26</v>
      </c>
      <c r="EL148">
        <v>11.39</v>
      </c>
      <c r="EN148">
        <v>14.22</v>
      </c>
      <c r="EO148">
        <v>6.61</v>
      </c>
      <c r="EP148">
        <v>4.34</v>
      </c>
      <c r="EQ148">
        <v>13.57</v>
      </c>
      <c r="ER148">
        <v>7.53</v>
      </c>
      <c r="ES148">
        <v>5.98</v>
      </c>
      <c r="ET148">
        <v>4.95</v>
      </c>
      <c r="EU148">
        <v>5.67</v>
      </c>
      <c r="EV148">
        <v>13.03</v>
      </c>
      <c r="EW148">
        <v>6.88</v>
      </c>
      <c r="EY148">
        <v>14.47</v>
      </c>
      <c r="FB148">
        <v>5.76</v>
      </c>
      <c r="FC148">
        <v>6.25</v>
      </c>
      <c r="FD148">
        <v>6.89</v>
      </c>
      <c r="FE148">
        <v>7.21</v>
      </c>
      <c r="FF148">
        <v>6.27</v>
      </c>
      <c r="FG148">
        <v>26.47</v>
      </c>
      <c r="FH148">
        <v>6.87</v>
      </c>
      <c r="FI148">
        <v>8.4499999999999993</v>
      </c>
      <c r="FK148">
        <v>13.39</v>
      </c>
      <c r="FM148">
        <v>5.13</v>
      </c>
      <c r="FN148">
        <v>5.74</v>
      </c>
      <c r="FO148">
        <v>12.53</v>
      </c>
      <c r="FP148">
        <v>5.99</v>
      </c>
      <c r="FR148">
        <v>7.78</v>
      </c>
      <c r="FS148">
        <v>10.75</v>
      </c>
      <c r="FU148">
        <v>12.06</v>
      </c>
      <c r="FX148">
        <v>13.27</v>
      </c>
      <c r="FY148">
        <v>8.57</v>
      </c>
      <c r="FZ148">
        <v>8.23</v>
      </c>
      <c r="GA148">
        <v>8.02</v>
      </c>
      <c r="GC148">
        <v>13.28</v>
      </c>
      <c r="GD148">
        <v>5.01</v>
      </c>
      <c r="GE148">
        <v>5.94</v>
      </c>
      <c r="GG148">
        <v>7.85</v>
      </c>
      <c r="GH148">
        <v>12.73</v>
      </c>
      <c r="GJ148">
        <v>12.43</v>
      </c>
      <c r="GL148">
        <v>12.49</v>
      </c>
      <c r="GN148">
        <v>6.62</v>
      </c>
      <c r="GO148">
        <v>13.47</v>
      </c>
      <c r="GQ148">
        <v>8.9600000000000009</v>
      </c>
      <c r="GR148">
        <v>5.99</v>
      </c>
      <c r="GS148">
        <v>6.29</v>
      </c>
      <c r="GU148">
        <v>13.57</v>
      </c>
      <c r="GV148">
        <v>6.5</v>
      </c>
      <c r="GW148">
        <v>5.22</v>
      </c>
      <c r="GX148">
        <v>9.7100000000000009</v>
      </c>
      <c r="GZ148">
        <v>6.13</v>
      </c>
      <c r="HA148">
        <v>6.82</v>
      </c>
      <c r="HB148">
        <v>4.59</v>
      </c>
      <c r="HC148">
        <v>12.44</v>
      </c>
      <c r="HE148">
        <v>15</v>
      </c>
      <c r="HF148">
        <v>7.26</v>
      </c>
      <c r="HJ148">
        <v>32.04</v>
      </c>
      <c r="HM148">
        <v>12.57</v>
      </c>
      <c r="HO148">
        <v>11.96</v>
      </c>
      <c r="HP148">
        <v>5.4</v>
      </c>
      <c r="HR148">
        <v>6.2</v>
      </c>
      <c r="HT148">
        <v>21.96</v>
      </c>
      <c r="HU148">
        <v>4.09</v>
      </c>
      <c r="HX148">
        <v>12.46</v>
      </c>
      <c r="HY148">
        <v>13.95</v>
      </c>
      <c r="IA148">
        <v>6.45</v>
      </c>
      <c r="IB148">
        <v>5.23</v>
      </c>
      <c r="IE148">
        <v>7</v>
      </c>
      <c r="IF148">
        <v>4.8600000000000003</v>
      </c>
      <c r="IG148">
        <v>14.54</v>
      </c>
      <c r="IH148">
        <v>5.52</v>
      </c>
      <c r="IJ148">
        <v>5.6</v>
      </c>
      <c r="IK148">
        <v>6.58</v>
      </c>
      <c r="IL148">
        <v>11.91</v>
      </c>
      <c r="IM148">
        <v>8.31</v>
      </c>
      <c r="IN148">
        <v>7.64</v>
      </c>
      <c r="IP148">
        <v>10.77</v>
      </c>
      <c r="IQ148">
        <v>9.8800000000000008</v>
      </c>
      <c r="IS148">
        <v>11.66</v>
      </c>
      <c r="IT148">
        <v>4.92</v>
      </c>
      <c r="IV148">
        <v>5.32</v>
      </c>
      <c r="IW148">
        <v>14.61</v>
      </c>
      <c r="IY148">
        <v>8.1199999999999992</v>
      </c>
      <c r="IZ148">
        <v>6.1</v>
      </c>
      <c r="JB148">
        <v>13.71</v>
      </c>
      <c r="JC148">
        <v>9.9700000000000006</v>
      </c>
      <c r="JE148">
        <v>11.69</v>
      </c>
      <c r="JH148">
        <v>14.61</v>
      </c>
      <c r="JM148">
        <v>25.11</v>
      </c>
      <c r="JN148">
        <v>6.1</v>
      </c>
      <c r="JO148">
        <v>15.39</v>
      </c>
      <c r="JP148">
        <v>7.14</v>
      </c>
      <c r="JQ148">
        <v>7.62</v>
      </c>
      <c r="JR148">
        <v>15.64</v>
      </c>
      <c r="JU148">
        <v>13.55</v>
      </c>
      <c r="JW148">
        <v>13.69</v>
      </c>
      <c r="JX148">
        <v>7.1</v>
      </c>
      <c r="JY148">
        <v>13.18</v>
      </c>
      <c r="KB148">
        <v>5.87</v>
      </c>
      <c r="KC148">
        <v>5.38</v>
      </c>
      <c r="KE148">
        <v>16.87</v>
      </c>
      <c r="KG148">
        <v>3.46</v>
      </c>
      <c r="KH148">
        <v>6.76</v>
      </c>
      <c r="KI148">
        <v>11.04</v>
      </c>
      <c r="KJ148">
        <v>10.66</v>
      </c>
      <c r="KM148">
        <v>21.07</v>
      </c>
      <c r="KO148">
        <v>6.61</v>
      </c>
      <c r="KQ148">
        <v>10.97</v>
      </c>
      <c r="KS148">
        <v>10.51</v>
      </c>
      <c r="KU148">
        <v>9.93</v>
      </c>
      <c r="KW148">
        <v>9.86</v>
      </c>
      <c r="KY148">
        <v>6.96</v>
      </c>
      <c r="KZ148">
        <v>11.24</v>
      </c>
      <c r="LA148">
        <v>7.03</v>
      </c>
      <c r="LB148">
        <v>11.22</v>
      </c>
      <c r="LC148">
        <v>7.14</v>
      </c>
      <c r="LD148">
        <v>6.63</v>
      </c>
      <c r="LE148">
        <v>12.92</v>
      </c>
      <c r="LG148">
        <v>11.45</v>
      </c>
    </row>
    <row r="149" spans="1:319" x14ac:dyDescent="0.2">
      <c r="A149" s="37" t="s">
        <v>501</v>
      </c>
      <c r="B149">
        <v>1334.5000000000007</v>
      </c>
      <c r="C149">
        <v>25.663461538461551</v>
      </c>
      <c r="D149" s="37" t="s">
        <v>497</v>
      </c>
      <c r="E149" s="37" t="s">
        <v>498</v>
      </c>
      <c r="F149">
        <v>8.41</v>
      </c>
      <c r="H149">
        <v>5.61</v>
      </c>
      <c r="I149">
        <v>8.92</v>
      </c>
      <c r="M149">
        <v>10.11</v>
      </c>
      <c r="N149">
        <v>8.4499999999999993</v>
      </c>
      <c r="Q149">
        <v>8.56</v>
      </c>
      <c r="S149">
        <v>17.920000000000002</v>
      </c>
      <c r="W149">
        <v>17.77</v>
      </c>
      <c r="Y149">
        <v>7.53</v>
      </c>
      <c r="AA149">
        <v>14.9</v>
      </c>
      <c r="AF149">
        <v>8.35</v>
      </c>
      <c r="AG149">
        <v>10.46</v>
      </c>
      <c r="AJ149">
        <v>8.17</v>
      </c>
      <c r="AK149">
        <v>8.66</v>
      </c>
      <c r="AN149">
        <v>9.2200000000000006</v>
      </c>
      <c r="AP149">
        <v>8.8000000000000007</v>
      </c>
      <c r="AQ149">
        <v>8.1</v>
      </c>
      <c r="AS149">
        <v>9.2100000000000009</v>
      </c>
      <c r="AX149">
        <v>18.04</v>
      </c>
      <c r="BA149">
        <v>9.06</v>
      </c>
      <c r="BB149">
        <v>8.41</v>
      </c>
      <c r="BD149">
        <v>8.75</v>
      </c>
      <c r="BF149">
        <v>8.8000000000000007</v>
      </c>
      <c r="BH149">
        <v>6.68</v>
      </c>
      <c r="BJ149">
        <v>8.5</v>
      </c>
      <c r="BN149">
        <v>25.71</v>
      </c>
      <c r="BR149">
        <v>8.06</v>
      </c>
      <c r="BS149">
        <v>8.9499999999999993</v>
      </c>
      <c r="BT149">
        <v>8.67</v>
      </c>
      <c r="BV149">
        <v>10.029999999999999</v>
      </c>
      <c r="BY149">
        <v>7.64</v>
      </c>
      <c r="CB149">
        <v>8.4</v>
      </c>
      <c r="CC149">
        <v>6.32</v>
      </c>
      <c r="CE149">
        <v>7.28</v>
      </c>
      <c r="CG149">
        <v>4.17</v>
      </c>
      <c r="CI149">
        <v>7.73</v>
      </c>
      <c r="CJ149">
        <v>7.41</v>
      </c>
      <c r="CN149">
        <v>14.79</v>
      </c>
      <c r="CQ149">
        <v>6.66</v>
      </c>
      <c r="CR149">
        <v>11.47</v>
      </c>
      <c r="CT149">
        <v>6.91</v>
      </c>
      <c r="CV149">
        <v>6.03</v>
      </c>
      <c r="CX149">
        <v>7.27</v>
      </c>
      <c r="CY149">
        <v>16.63</v>
      </c>
      <c r="DB149">
        <v>8.6300000000000008</v>
      </c>
      <c r="DC149">
        <v>8.09</v>
      </c>
      <c r="DE149">
        <v>6.82</v>
      </c>
      <c r="DK149">
        <v>16.260000000000002</v>
      </c>
      <c r="DN149">
        <v>6.73</v>
      </c>
      <c r="DS149">
        <v>23.29</v>
      </c>
      <c r="DV149">
        <v>6.86</v>
      </c>
      <c r="DW149">
        <v>8.08</v>
      </c>
      <c r="DY149">
        <v>5.62</v>
      </c>
      <c r="DZ149">
        <v>7.24</v>
      </c>
      <c r="EB149">
        <v>5.1100000000000003</v>
      </c>
      <c r="EF149">
        <v>16.52</v>
      </c>
      <c r="EI149">
        <v>7.65</v>
      </c>
      <c r="EJ149">
        <v>5.0199999999999996</v>
      </c>
      <c r="EO149">
        <v>8.25</v>
      </c>
      <c r="EP149">
        <v>8.32</v>
      </c>
      <c r="ER149">
        <v>15.61</v>
      </c>
      <c r="ET149">
        <v>5.98</v>
      </c>
      <c r="EU149">
        <v>6.31</v>
      </c>
      <c r="EV149">
        <v>6.42</v>
      </c>
      <c r="EW149">
        <v>5.28</v>
      </c>
      <c r="EX149">
        <v>6.37</v>
      </c>
      <c r="EZ149">
        <v>4.6399999999999997</v>
      </c>
      <c r="FC149">
        <v>7.34</v>
      </c>
      <c r="FD149">
        <v>14.22</v>
      </c>
      <c r="FH149">
        <v>16.87</v>
      </c>
      <c r="FJ149">
        <v>6.14</v>
      </c>
      <c r="FL149">
        <v>7.58</v>
      </c>
      <c r="FN149">
        <v>8.6199999999999992</v>
      </c>
      <c r="FQ149">
        <v>17.21</v>
      </c>
      <c r="FT149">
        <v>7.12</v>
      </c>
      <c r="FU149">
        <v>8.31</v>
      </c>
      <c r="FV149">
        <v>5.07</v>
      </c>
      <c r="FY149">
        <v>10.28</v>
      </c>
      <c r="FZ149">
        <v>5.84</v>
      </c>
      <c r="GA149">
        <v>8.73</v>
      </c>
      <c r="GD149">
        <v>7.1</v>
      </c>
      <c r="GG149">
        <v>20.329999999999998</v>
      </c>
      <c r="GI149">
        <v>10.3</v>
      </c>
      <c r="GK149">
        <v>8.9499999999999993</v>
      </c>
      <c r="GO149">
        <v>15.54</v>
      </c>
      <c r="GP149">
        <v>7.83</v>
      </c>
      <c r="GT149">
        <v>15.38</v>
      </c>
      <c r="GU149">
        <v>8.32</v>
      </c>
      <c r="GZ149">
        <v>8.7899999999999991</v>
      </c>
      <c r="HD149">
        <v>7.46</v>
      </c>
      <c r="HF149">
        <v>7.59</v>
      </c>
      <c r="HH149">
        <v>7.75</v>
      </c>
      <c r="HI149">
        <v>8.2899999999999991</v>
      </c>
      <c r="HM149">
        <v>14.26</v>
      </c>
      <c r="HN149">
        <v>8.1300000000000008</v>
      </c>
      <c r="HS149">
        <v>18.36</v>
      </c>
      <c r="HU149">
        <v>17.66</v>
      </c>
      <c r="HX149">
        <v>9.86</v>
      </c>
      <c r="HY149">
        <v>13.72</v>
      </c>
      <c r="ID149">
        <v>10.26</v>
      </c>
      <c r="IE149">
        <v>7.11</v>
      </c>
      <c r="IJ149">
        <v>18.87</v>
      </c>
      <c r="IL149">
        <v>7.78</v>
      </c>
      <c r="IN149">
        <v>8.0399999999999991</v>
      </c>
      <c r="IO149">
        <v>5.44</v>
      </c>
      <c r="IQ149">
        <v>9.93</v>
      </c>
      <c r="IU149">
        <v>9.27</v>
      </c>
      <c r="IX149">
        <v>19.579999999999998</v>
      </c>
      <c r="IZ149">
        <v>15.18</v>
      </c>
      <c r="JD149">
        <v>13.75</v>
      </c>
      <c r="JF149">
        <v>6.82</v>
      </c>
      <c r="JI149">
        <v>9.4499999999999993</v>
      </c>
      <c r="JJ149">
        <v>8.5</v>
      </c>
      <c r="JM149">
        <v>16.7</v>
      </c>
      <c r="JQ149">
        <v>9.6</v>
      </c>
      <c r="JR149">
        <v>8.84</v>
      </c>
      <c r="JS149">
        <v>14.68</v>
      </c>
      <c r="JW149">
        <v>8.85</v>
      </c>
      <c r="KA149">
        <v>17.760000000000002</v>
      </c>
      <c r="KC149">
        <v>7.95</v>
      </c>
      <c r="KE149">
        <v>9.52</v>
      </c>
      <c r="KF149">
        <v>8.01</v>
      </c>
      <c r="KH149">
        <v>6.9</v>
      </c>
      <c r="KL149">
        <v>17.93</v>
      </c>
      <c r="KO149">
        <v>9.1999999999999993</v>
      </c>
      <c r="KQ149">
        <v>17.239999999999998</v>
      </c>
      <c r="KT149">
        <v>8.3800000000000008</v>
      </c>
      <c r="KV149">
        <v>5.63</v>
      </c>
      <c r="KX149">
        <v>8.9499999999999993</v>
      </c>
      <c r="KZ149">
        <v>7.03</v>
      </c>
      <c r="LA149">
        <v>8.2200000000000006</v>
      </c>
      <c r="LC149">
        <v>8.68</v>
      </c>
      <c r="LE149">
        <v>18.88</v>
      </c>
    </row>
    <row r="150" spans="1:319" x14ac:dyDescent="0.2">
      <c r="A150" s="37" t="s">
        <v>502</v>
      </c>
      <c r="B150">
        <v>481.06999999999994</v>
      </c>
      <c r="C150">
        <v>9.2513461538461534</v>
      </c>
      <c r="D150" s="37" t="s">
        <v>497</v>
      </c>
      <c r="E150" s="37" t="s">
        <v>503</v>
      </c>
      <c r="W150">
        <v>7.75</v>
      </c>
      <c r="AE150">
        <v>9.92</v>
      </c>
      <c r="AL150">
        <v>10.65</v>
      </c>
      <c r="AR150">
        <v>10.08</v>
      </c>
      <c r="AW150">
        <v>8.16</v>
      </c>
      <c r="BB150">
        <v>8.8699999999999992</v>
      </c>
      <c r="BH150">
        <v>9.17</v>
      </c>
      <c r="BN150">
        <v>10.44</v>
      </c>
      <c r="BV150">
        <v>9.75</v>
      </c>
      <c r="CB150">
        <v>7.85</v>
      </c>
      <c r="CI150">
        <v>7.31</v>
      </c>
      <c r="CM150">
        <v>5.73</v>
      </c>
      <c r="CR150">
        <v>7.76</v>
      </c>
      <c r="CV150">
        <v>6.26</v>
      </c>
      <c r="CX150">
        <v>7.03</v>
      </c>
      <c r="CZ150">
        <v>7.76</v>
      </c>
      <c r="DJ150">
        <v>8.89</v>
      </c>
      <c r="DQ150">
        <v>7.56</v>
      </c>
      <c r="DV150">
        <v>8.51</v>
      </c>
      <c r="EB150">
        <v>5.81</v>
      </c>
      <c r="EF150">
        <v>8.27</v>
      </c>
      <c r="EL150">
        <v>8.82</v>
      </c>
      <c r="EP150">
        <v>8.31</v>
      </c>
      <c r="EY150">
        <v>8.2200000000000006</v>
      </c>
      <c r="FB150">
        <v>9.1199999999999992</v>
      </c>
      <c r="FF150">
        <v>9.0299999999999994</v>
      </c>
      <c r="FJ150">
        <v>9.5399999999999991</v>
      </c>
      <c r="FN150">
        <v>9.4</v>
      </c>
      <c r="FR150">
        <v>7.15</v>
      </c>
      <c r="FW150">
        <v>8.64</v>
      </c>
      <c r="GC150">
        <v>10.18</v>
      </c>
      <c r="GH150">
        <v>9.4600000000000009</v>
      </c>
      <c r="GM150">
        <v>8.8000000000000007</v>
      </c>
      <c r="GT150">
        <v>9.73</v>
      </c>
      <c r="HA150">
        <v>9.83</v>
      </c>
      <c r="HD150">
        <v>9.82</v>
      </c>
      <c r="HJ150">
        <v>6.91</v>
      </c>
      <c r="HO150">
        <v>9.6999999999999993</v>
      </c>
      <c r="HU150">
        <v>11.12</v>
      </c>
      <c r="HW150">
        <v>9.7100000000000009</v>
      </c>
      <c r="IG150">
        <v>10.57</v>
      </c>
      <c r="IL150">
        <v>10.32</v>
      </c>
      <c r="IR150">
        <v>9.44</v>
      </c>
      <c r="IV150">
        <v>10.78</v>
      </c>
      <c r="JE150">
        <v>10.83</v>
      </c>
      <c r="JI150">
        <v>8.8000000000000007</v>
      </c>
      <c r="JO150">
        <v>6.92</v>
      </c>
      <c r="JS150">
        <v>8.1300000000000008</v>
      </c>
      <c r="KE150">
        <v>11.04</v>
      </c>
      <c r="KK150">
        <v>10.96</v>
      </c>
      <c r="KQ150">
        <v>11.33</v>
      </c>
      <c r="KT150">
        <v>5.95</v>
      </c>
      <c r="KY150">
        <v>9.18</v>
      </c>
      <c r="LC150">
        <v>9.8000000000000007</v>
      </c>
    </row>
    <row r="151" spans="1:319" x14ac:dyDescent="0.2">
      <c r="A151" s="37" t="s">
        <v>504</v>
      </c>
      <c r="B151">
        <v>1887.4500000000007</v>
      </c>
      <c r="C151">
        <v>36.297115384615395</v>
      </c>
      <c r="D151" s="37" t="s">
        <v>497</v>
      </c>
      <c r="E151" s="37" t="s">
        <v>505</v>
      </c>
      <c r="G151">
        <v>17.2</v>
      </c>
      <c r="I151">
        <v>4.68</v>
      </c>
      <c r="J151">
        <v>5.08</v>
      </c>
      <c r="K151">
        <v>11.49</v>
      </c>
      <c r="N151">
        <v>20.54</v>
      </c>
      <c r="Q151">
        <v>20.54</v>
      </c>
      <c r="T151">
        <v>19.309999999999999</v>
      </c>
      <c r="W151">
        <v>15.38</v>
      </c>
      <c r="X151">
        <v>19.43</v>
      </c>
      <c r="AA151">
        <v>15.08</v>
      </c>
      <c r="AB151">
        <v>9.32</v>
      </c>
      <c r="AE151">
        <v>14.8</v>
      </c>
      <c r="AG151">
        <v>14.6</v>
      </c>
      <c r="AI151">
        <v>12.52</v>
      </c>
      <c r="AL151">
        <v>20.57</v>
      </c>
      <c r="AM151">
        <v>13.09</v>
      </c>
      <c r="AO151">
        <v>9.84</v>
      </c>
      <c r="AQ151">
        <v>12.99</v>
      </c>
      <c r="AS151">
        <v>5.82</v>
      </c>
      <c r="AT151">
        <v>10.38</v>
      </c>
      <c r="AW151">
        <v>14.64</v>
      </c>
      <c r="AY151">
        <v>7.71</v>
      </c>
      <c r="AZ151">
        <v>12.94</v>
      </c>
      <c r="BB151">
        <v>17.29</v>
      </c>
      <c r="BD151">
        <v>6.59</v>
      </c>
      <c r="BF151">
        <v>18.12</v>
      </c>
      <c r="BI151">
        <v>15.74</v>
      </c>
      <c r="BJ151">
        <v>7.45</v>
      </c>
      <c r="BL151">
        <v>16.09</v>
      </c>
      <c r="BO151">
        <v>12.36</v>
      </c>
      <c r="BP151">
        <v>9.67</v>
      </c>
      <c r="BR151">
        <v>6.75</v>
      </c>
      <c r="BV151">
        <v>23.32</v>
      </c>
      <c r="BW151">
        <v>16.11</v>
      </c>
      <c r="CB151">
        <v>13.54</v>
      </c>
      <c r="CC151">
        <v>10.02</v>
      </c>
      <c r="CD151">
        <v>6.29</v>
      </c>
      <c r="CF151">
        <v>10.64</v>
      </c>
      <c r="CG151">
        <v>12.47</v>
      </c>
      <c r="CH151">
        <v>19.829999999999998</v>
      </c>
      <c r="CK151">
        <v>16.73</v>
      </c>
      <c r="CM151">
        <v>5.46</v>
      </c>
      <c r="CN151">
        <v>10.18</v>
      </c>
      <c r="CO151">
        <v>4.66</v>
      </c>
      <c r="CP151">
        <v>12.42</v>
      </c>
      <c r="CR151">
        <v>11.02</v>
      </c>
      <c r="CT151">
        <v>5.55</v>
      </c>
      <c r="CU151">
        <v>4.8600000000000003</v>
      </c>
      <c r="CV151">
        <v>7.48</v>
      </c>
      <c r="CW151">
        <v>6.67</v>
      </c>
      <c r="CX151">
        <v>12.69</v>
      </c>
      <c r="CZ151">
        <v>12.85</v>
      </c>
      <c r="DB151">
        <v>11.59</v>
      </c>
      <c r="DD151">
        <v>6.66</v>
      </c>
      <c r="DF151">
        <v>17.54</v>
      </c>
      <c r="DH151">
        <v>9.66</v>
      </c>
      <c r="DL151">
        <v>17.14</v>
      </c>
      <c r="DP151">
        <v>28.37</v>
      </c>
      <c r="DT151">
        <v>5.87</v>
      </c>
      <c r="DU151">
        <v>23.65</v>
      </c>
      <c r="DX151">
        <v>12.14</v>
      </c>
      <c r="DZ151">
        <v>14.27</v>
      </c>
      <c r="EC151">
        <v>9.99</v>
      </c>
      <c r="EE151">
        <v>15.51</v>
      </c>
      <c r="EF151">
        <v>7.71</v>
      </c>
      <c r="EI151">
        <v>10.42</v>
      </c>
      <c r="EK151">
        <v>12.21</v>
      </c>
      <c r="EL151">
        <v>6.82</v>
      </c>
      <c r="EM151">
        <v>7.8</v>
      </c>
      <c r="EO151">
        <v>7.05</v>
      </c>
      <c r="EP151">
        <v>5.61</v>
      </c>
      <c r="EQ151">
        <v>10.51</v>
      </c>
      <c r="ES151">
        <v>10.44</v>
      </c>
      <c r="EV151">
        <v>4.2300000000000004</v>
      </c>
      <c r="EW151">
        <v>13.26</v>
      </c>
      <c r="EY151">
        <v>16.87</v>
      </c>
      <c r="FA151">
        <v>4.8</v>
      </c>
      <c r="FB151">
        <v>7.35</v>
      </c>
      <c r="FC151">
        <v>20.38</v>
      </c>
      <c r="FE151">
        <v>14.47</v>
      </c>
      <c r="FF151">
        <v>11.99</v>
      </c>
      <c r="FH151">
        <v>8.7200000000000006</v>
      </c>
      <c r="FI151">
        <v>17.55</v>
      </c>
      <c r="FL151">
        <v>20.170000000000002</v>
      </c>
      <c r="FN151">
        <v>9.14</v>
      </c>
      <c r="FP151">
        <v>7.38</v>
      </c>
      <c r="FR151">
        <v>14.12</v>
      </c>
      <c r="FS151">
        <v>12.66</v>
      </c>
      <c r="FV151">
        <v>10.86</v>
      </c>
      <c r="FW151">
        <v>12.49</v>
      </c>
      <c r="FY151">
        <v>13.19</v>
      </c>
      <c r="GA151">
        <v>15.34</v>
      </c>
      <c r="GC151">
        <v>15.95</v>
      </c>
      <c r="GE151">
        <v>7.79</v>
      </c>
      <c r="GG151">
        <v>7.24</v>
      </c>
      <c r="GH151">
        <v>11.8</v>
      </c>
      <c r="GK151">
        <v>6.18</v>
      </c>
      <c r="GM151">
        <v>29.82</v>
      </c>
      <c r="GP151">
        <v>10.71</v>
      </c>
      <c r="GQ151">
        <v>10.51</v>
      </c>
      <c r="GS151">
        <v>10.94</v>
      </c>
      <c r="GU151">
        <v>16.399999999999999</v>
      </c>
      <c r="GW151">
        <v>11.41</v>
      </c>
      <c r="GY151">
        <v>5.66</v>
      </c>
      <c r="GZ151">
        <v>13.51</v>
      </c>
      <c r="HC151">
        <v>13.41</v>
      </c>
      <c r="HD151">
        <v>13.38</v>
      </c>
      <c r="HF151">
        <v>5.0199999999999996</v>
      </c>
      <c r="HG151">
        <v>5.35</v>
      </c>
      <c r="HH151">
        <v>7.07</v>
      </c>
      <c r="HK151">
        <v>13.71</v>
      </c>
      <c r="HM151">
        <v>17.989999999999998</v>
      </c>
      <c r="HP151">
        <v>14.49</v>
      </c>
      <c r="HQ151">
        <v>11.23</v>
      </c>
      <c r="HU151">
        <v>16.5</v>
      </c>
      <c r="HX151">
        <v>11.87</v>
      </c>
      <c r="IA151">
        <v>14.06</v>
      </c>
      <c r="IB151">
        <v>13.14</v>
      </c>
      <c r="IE151">
        <v>14.1</v>
      </c>
      <c r="II151">
        <v>27.93</v>
      </c>
      <c r="IQ151">
        <v>31.7</v>
      </c>
      <c r="IR151">
        <v>7.46</v>
      </c>
      <c r="IV151">
        <v>19.03</v>
      </c>
      <c r="IW151">
        <v>10.38</v>
      </c>
      <c r="IZ151">
        <v>16.53</v>
      </c>
      <c r="JD151">
        <v>25.15</v>
      </c>
      <c r="JF151">
        <v>8.2799999999999994</v>
      </c>
      <c r="JJ151">
        <v>7.94</v>
      </c>
      <c r="JL151">
        <v>6.95</v>
      </c>
      <c r="JN151">
        <v>23.26</v>
      </c>
      <c r="JO151">
        <v>8.19</v>
      </c>
      <c r="JR151">
        <v>14.18</v>
      </c>
      <c r="JW151">
        <v>31.95</v>
      </c>
      <c r="JY151">
        <v>8.7899999999999991</v>
      </c>
      <c r="JZ151">
        <v>7.82</v>
      </c>
      <c r="KA151">
        <v>7.61</v>
      </c>
      <c r="KF151">
        <v>19.670000000000002</v>
      </c>
      <c r="KG151">
        <v>2.5499999999999998</v>
      </c>
      <c r="KI151">
        <v>6.98</v>
      </c>
      <c r="KL151">
        <v>7.29</v>
      </c>
      <c r="KM151">
        <v>20.79</v>
      </c>
      <c r="KO151">
        <v>11.01</v>
      </c>
      <c r="KR151">
        <v>25.44</v>
      </c>
      <c r="KV151">
        <v>16.64</v>
      </c>
      <c r="KW151">
        <v>11.71</v>
      </c>
      <c r="LA151">
        <v>16.079999999999998</v>
      </c>
      <c r="LD151">
        <v>13.07</v>
      </c>
      <c r="LF151">
        <v>8.68</v>
      </c>
      <c r="LG151">
        <v>8.42</v>
      </c>
    </row>
    <row r="152" spans="1:319" x14ac:dyDescent="0.2">
      <c r="A152" s="37" t="s">
        <v>506</v>
      </c>
      <c r="B152">
        <v>458.04</v>
      </c>
      <c r="C152">
        <v>8.8084615384615397</v>
      </c>
      <c r="D152" s="37" t="s">
        <v>497</v>
      </c>
      <c r="E152" s="37" t="s">
        <v>507</v>
      </c>
      <c r="K152">
        <v>7.1</v>
      </c>
      <c r="Q152">
        <v>6.39</v>
      </c>
      <c r="W152">
        <v>8.11</v>
      </c>
      <c r="AC152">
        <v>8.01</v>
      </c>
      <c r="AI152">
        <v>13.38</v>
      </c>
      <c r="AO152">
        <v>7.38</v>
      </c>
      <c r="AU152">
        <v>11.81</v>
      </c>
      <c r="BA152">
        <v>7.61</v>
      </c>
      <c r="BG152">
        <v>7.04</v>
      </c>
      <c r="BM152">
        <v>13.46</v>
      </c>
      <c r="BS152">
        <v>7.63</v>
      </c>
      <c r="BY152">
        <v>7.43</v>
      </c>
      <c r="CL152">
        <v>13.91</v>
      </c>
      <c r="CR152">
        <v>6.69</v>
      </c>
      <c r="CX152">
        <v>6.53</v>
      </c>
      <c r="DD152">
        <v>6.72</v>
      </c>
      <c r="DJ152">
        <v>12.17</v>
      </c>
      <c r="DQ152">
        <v>6.44</v>
      </c>
      <c r="DW152">
        <v>13.27</v>
      </c>
      <c r="EC152">
        <v>7.41</v>
      </c>
      <c r="EI152">
        <v>11.56</v>
      </c>
      <c r="EO152">
        <v>7.84</v>
      </c>
      <c r="EU152">
        <v>6.49</v>
      </c>
      <c r="FA152">
        <v>6.89</v>
      </c>
      <c r="FG152">
        <v>7.21</v>
      </c>
      <c r="FM152">
        <v>12.32</v>
      </c>
      <c r="FS152">
        <v>5.75</v>
      </c>
      <c r="GE152">
        <v>8.8699999999999992</v>
      </c>
      <c r="GK152">
        <v>6.27</v>
      </c>
      <c r="GQ152">
        <v>11.21</v>
      </c>
      <c r="GW152">
        <v>7.62</v>
      </c>
      <c r="GX152">
        <v>12.5</v>
      </c>
      <c r="HC152">
        <v>6.32</v>
      </c>
      <c r="HI152">
        <v>9.51</v>
      </c>
      <c r="HO152">
        <v>10.91</v>
      </c>
      <c r="HU152">
        <v>8.34</v>
      </c>
      <c r="IA152">
        <v>6.13</v>
      </c>
      <c r="IG152">
        <v>6.84</v>
      </c>
      <c r="IM152">
        <v>8.27</v>
      </c>
      <c r="IS152">
        <v>8.2799999999999994</v>
      </c>
      <c r="IY152">
        <v>8.5399999999999991</v>
      </c>
      <c r="JE152">
        <v>12.51</v>
      </c>
      <c r="JK152">
        <v>6.73</v>
      </c>
      <c r="JQ152">
        <v>7.6</v>
      </c>
      <c r="JW152">
        <v>13.72</v>
      </c>
      <c r="KC152">
        <v>12.81</v>
      </c>
      <c r="KI152">
        <v>5.99</v>
      </c>
      <c r="KO152">
        <v>8.26</v>
      </c>
      <c r="KS152">
        <v>3.46</v>
      </c>
      <c r="KU152">
        <v>7.39</v>
      </c>
      <c r="LA152">
        <v>11.1</v>
      </c>
      <c r="LG152">
        <v>12.31</v>
      </c>
    </row>
    <row r="153" spans="1:319" x14ac:dyDescent="0.2">
      <c r="A153" s="37" t="s">
        <v>508</v>
      </c>
      <c r="B153">
        <v>187.96</v>
      </c>
      <c r="C153">
        <v>3.6146153846153846</v>
      </c>
      <c r="D153" s="37" t="s">
        <v>497</v>
      </c>
      <c r="E153" s="37" t="s">
        <v>507</v>
      </c>
      <c r="F153">
        <v>7</v>
      </c>
      <c r="H153">
        <v>4.05</v>
      </c>
      <c r="K153">
        <v>7.44</v>
      </c>
      <c r="M153">
        <v>5.26</v>
      </c>
      <c r="P153">
        <v>7.75</v>
      </c>
      <c r="S153">
        <v>12.49</v>
      </c>
      <c r="V153">
        <v>3.02</v>
      </c>
      <c r="Y153">
        <v>19.850000000000001</v>
      </c>
      <c r="AA153">
        <v>10.58</v>
      </c>
      <c r="AE153">
        <v>5.25</v>
      </c>
      <c r="AF153">
        <v>4.6399999999999997</v>
      </c>
      <c r="BB153">
        <v>4.0999999999999996</v>
      </c>
      <c r="BH153">
        <v>0.65</v>
      </c>
      <c r="BJ153">
        <v>3.95</v>
      </c>
      <c r="BP153">
        <v>12.04</v>
      </c>
      <c r="BW153">
        <v>4.78</v>
      </c>
      <c r="CD153">
        <v>4.5999999999999996</v>
      </c>
      <c r="CH153">
        <v>4.79</v>
      </c>
      <c r="CJ153">
        <v>5.65</v>
      </c>
      <c r="CU153">
        <v>2.97</v>
      </c>
      <c r="CV153">
        <v>5.04</v>
      </c>
      <c r="DA153">
        <v>5.53</v>
      </c>
      <c r="DT153">
        <v>5.51</v>
      </c>
      <c r="DY153">
        <v>6.2</v>
      </c>
      <c r="EB153">
        <v>5.19</v>
      </c>
      <c r="GH153">
        <v>6.82</v>
      </c>
      <c r="GQ153">
        <v>3.82</v>
      </c>
      <c r="HH153">
        <v>4.04</v>
      </c>
      <c r="HK153">
        <v>8.7799999999999994</v>
      </c>
      <c r="JF153">
        <v>0.74</v>
      </c>
      <c r="JQ153">
        <v>3.13</v>
      </c>
      <c r="KB153">
        <v>2.2999999999999998</v>
      </c>
    </row>
    <row r="154" spans="1:319" x14ac:dyDescent="0.2">
      <c r="A154" s="37" t="s">
        <v>509</v>
      </c>
      <c r="B154">
        <v>920.05000000000018</v>
      </c>
      <c r="C154">
        <v>17.693269230769236</v>
      </c>
      <c r="D154" s="37" t="s">
        <v>497</v>
      </c>
      <c r="E154" s="37" t="s">
        <v>507</v>
      </c>
      <c r="I154">
        <v>7.23</v>
      </c>
      <c r="N154">
        <v>7.02</v>
      </c>
      <c r="S154">
        <v>7.96</v>
      </c>
      <c r="V154">
        <v>6.58</v>
      </c>
      <c r="Y154">
        <v>5.77</v>
      </c>
      <c r="AC154">
        <v>5.25</v>
      </c>
      <c r="AE154">
        <v>6.07</v>
      </c>
      <c r="AG154">
        <v>7.76</v>
      </c>
      <c r="AI154">
        <v>4.42</v>
      </c>
      <c r="AJ154">
        <v>5.35</v>
      </c>
      <c r="AL154">
        <v>6.68</v>
      </c>
      <c r="AN154">
        <v>5.31</v>
      </c>
      <c r="AO154">
        <v>6.19</v>
      </c>
      <c r="AQ154">
        <v>4.8899999999999997</v>
      </c>
      <c r="AS154">
        <v>8.36</v>
      </c>
      <c r="AU154">
        <v>6.55</v>
      </c>
      <c r="AV154">
        <v>6.36</v>
      </c>
      <c r="AY154">
        <v>6.61</v>
      </c>
      <c r="AZ154">
        <v>7.19</v>
      </c>
      <c r="BB154">
        <v>7.55</v>
      </c>
      <c r="BD154">
        <v>6.96</v>
      </c>
      <c r="BF154">
        <v>6.7</v>
      </c>
      <c r="BI154">
        <v>10.199999999999999</v>
      </c>
      <c r="BP154">
        <v>7.24</v>
      </c>
      <c r="BR154">
        <v>7.41</v>
      </c>
      <c r="BT154">
        <v>5.48</v>
      </c>
      <c r="BX154">
        <v>6.58</v>
      </c>
      <c r="CC154">
        <v>5</v>
      </c>
      <c r="CD154">
        <v>5.99</v>
      </c>
      <c r="CH154">
        <v>6.73</v>
      </c>
      <c r="CI154">
        <v>9.01</v>
      </c>
      <c r="CN154">
        <v>4.72</v>
      </c>
      <c r="CP154">
        <v>7.89</v>
      </c>
      <c r="CR154">
        <v>7.31</v>
      </c>
      <c r="CU154">
        <v>6.69</v>
      </c>
      <c r="CW154">
        <v>5.6</v>
      </c>
      <c r="CX154">
        <v>6.74</v>
      </c>
      <c r="CZ154">
        <v>14.25</v>
      </c>
      <c r="DC154">
        <v>7.56</v>
      </c>
      <c r="DE154">
        <v>6.32</v>
      </c>
      <c r="DK154">
        <v>6.69</v>
      </c>
      <c r="DL154">
        <v>5.15</v>
      </c>
      <c r="DN154">
        <v>5.79</v>
      </c>
      <c r="DR154">
        <v>7.65</v>
      </c>
      <c r="DT154">
        <v>6.96</v>
      </c>
      <c r="DV154">
        <v>7.23</v>
      </c>
      <c r="DZ154">
        <v>6.86</v>
      </c>
      <c r="ED154">
        <v>6.79</v>
      </c>
      <c r="EF154">
        <v>5.62</v>
      </c>
      <c r="EI154">
        <v>6.53</v>
      </c>
      <c r="EJ154">
        <v>4.7699999999999996</v>
      </c>
      <c r="EK154">
        <v>6.81</v>
      </c>
      <c r="EO154">
        <v>11.32</v>
      </c>
      <c r="EP154">
        <v>6.25</v>
      </c>
      <c r="ER154">
        <v>6.72</v>
      </c>
      <c r="ET154">
        <v>6.75</v>
      </c>
      <c r="EV154">
        <v>7.55</v>
      </c>
      <c r="EX154">
        <v>7.55</v>
      </c>
      <c r="FA154">
        <v>6.5</v>
      </c>
      <c r="FB154">
        <v>5.9</v>
      </c>
      <c r="FE154">
        <v>7.8</v>
      </c>
      <c r="FF154">
        <v>7.2</v>
      </c>
      <c r="FI154">
        <v>5.69</v>
      </c>
      <c r="FJ154">
        <v>6.5</v>
      </c>
      <c r="FL154">
        <v>6.63</v>
      </c>
      <c r="FN154">
        <v>6.01</v>
      </c>
      <c r="FO154">
        <v>5.97</v>
      </c>
      <c r="FQ154">
        <v>6.6</v>
      </c>
      <c r="FS154">
        <v>8.11</v>
      </c>
      <c r="FU154">
        <v>5.43</v>
      </c>
      <c r="FW154">
        <v>8.23</v>
      </c>
      <c r="FY154">
        <v>6.83</v>
      </c>
      <c r="GA154">
        <v>7.54</v>
      </c>
      <c r="GC154">
        <v>7.89</v>
      </c>
      <c r="GD154">
        <v>7.4</v>
      </c>
      <c r="GH154">
        <v>3.96</v>
      </c>
      <c r="GK154">
        <v>6.65</v>
      </c>
      <c r="GM154">
        <v>5.12</v>
      </c>
      <c r="GN154">
        <v>6.21</v>
      </c>
      <c r="GS154">
        <v>15.32</v>
      </c>
      <c r="GV154">
        <v>6.76</v>
      </c>
      <c r="GW154">
        <v>5.29</v>
      </c>
      <c r="GY154">
        <v>6.76</v>
      </c>
      <c r="HA154">
        <v>7.99</v>
      </c>
      <c r="HC154">
        <v>5.74</v>
      </c>
      <c r="HE154">
        <v>8.26</v>
      </c>
      <c r="HF154">
        <v>5.78</v>
      </c>
      <c r="HK154">
        <v>4.1500000000000004</v>
      </c>
      <c r="HL154">
        <v>7.36</v>
      </c>
      <c r="HO154">
        <v>5.2</v>
      </c>
      <c r="HP154">
        <v>7.62</v>
      </c>
      <c r="HR154">
        <v>5.34</v>
      </c>
      <c r="HU154">
        <v>6.73</v>
      </c>
      <c r="HY154">
        <v>14.65</v>
      </c>
      <c r="IB154">
        <v>6.29</v>
      </c>
      <c r="IG154">
        <v>7.2</v>
      </c>
      <c r="II154">
        <v>7.65</v>
      </c>
      <c r="IK154">
        <v>6.11</v>
      </c>
      <c r="IN154">
        <v>8.69</v>
      </c>
      <c r="IO154">
        <v>7.43</v>
      </c>
      <c r="IQ154">
        <v>6.58</v>
      </c>
      <c r="IS154">
        <v>7.89</v>
      </c>
      <c r="IU154">
        <v>7.57</v>
      </c>
      <c r="IW154">
        <v>7.07</v>
      </c>
      <c r="IY154">
        <v>6.76</v>
      </c>
      <c r="IZ154">
        <v>7.83</v>
      </c>
      <c r="JB154">
        <v>7.25</v>
      </c>
      <c r="JE154">
        <v>6.85</v>
      </c>
      <c r="JF154">
        <v>6.52</v>
      </c>
      <c r="JJ154">
        <v>7.81</v>
      </c>
      <c r="JL154">
        <v>4.91</v>
      </c>
      <c r="JN154">
        <v>7.01</v>
      </c>
      <c r="JP154">
        <v>9.11</v>
      </c>
      <c r="JQ154">
        <v>6.06</v>
      </c>
      <c r="JS154">
        <v>4.1399999999999997</v>
      </c>
      <c r="JT154">
        <v>7.25</v>
      </c>
      <c r="JW154">
        <v>8.0299999999999994</v>
      </c>
      <c r="JZ154">
        <v>5.59</v>
      </c>
      <c r="KA154">
        <v>9.34</v>
      </c>
      <c r="KB154">
        <v>5.28</v>
      </c>
      <c r="KE154">
        <v>7.33</v>
      </c>
      <c r="KG154">
        <v>6.55</v>
      </c>
      <c r="KI154">
        <v>7.36</v>
      </c>
      <c r="KJ154">
        <v>6.6</v>
      </c>
      <c r="KM154">
        <v>7.15</v>
      </c>
      <c r="KO154">
        <v>6.94</v>
      </c>
      <c r="KP154">
        <v>6.36</v>
      </c>
      <c r="KU154">
        <v>15.25</v>
      </c>
      <c r="KW154">
        <v>7.66</v>
      </c>
      <c r="KY154">
        <v>6.77</v>
      </c>
      <c r="LC154">
        <v>6.37</v>
      </c>
      <c r="LF154">
        <v>5.9</v>
      </c>
    </row>
    <row r="155" spans="1:319" x14ac:dyDescent="0.2">
      <c r="A155" s="37" t="s">
        <v>510</v>
      </c>
      <c r="B155">
        <v>139.58000000000001</v>
      </c>
      <c r="C155">
        <v>2.6842307692307696</v>
      </c>
      <c r="D155" s="37" t="s">
        <v>497</v>
      </c>
      <c r="E155" s="37" t="s">
        <v>507</v>
      </c>
      <c r="I155">
        <v>6.8</v>
      </c>
      <c r="AC155">
        <v>2.58</v>
      </c>
      <c r="AY155">
        <v>10.029999999999999</v>
      </c>
      <c r="BB155">
        <v>11.47</v>
      </c>
      <c r="CJ155">
        <v>10.33</v>
      </c>
      <c r="CP155">
        <v>7.14</v>
      </c>
      <c r="DU155">
        <v>7.99</v>
      </c>
      <c r="EA155">
        <v>7.89</v>
      </c>
      <c r="EG155">
        <v>7.64</v>
      </c>
      <c r="ES155">
        <v>7.22</v>
      </c>
      <c r="FW155">
        <v>8.56</v>
      </c>
      <c r="GC155">
        <v>8</v>
      </c>
      <c r="GL155">
        <v>8.3000000000000007</v>
      </c>
      <c r="HG155">
        <v>9.1300000000000008</v>
      </c>
      <c r="HS155">
        <v>7.29</v>
      </c>
      <c r="IT155">
        <v>10.97</v>
      </c>
      <c r="JI155">
        <v>8.24</v>
      </c>
    </row>
    <row r="156" spans="1:319" x14ac:dyDescent="0.2">
      <c r="A156" s="37" t="s">
        <v>511</v>
      </c>
      <c r="B156">
        <v>653.38999999999976</v>
      </c>
      <c r="C156">
        <v>12.565192307692303</v>
      </c>
      <c r="D156" s="37" t="s">
        <v>497</v>
      </c>
      <c r="E156" s="37" t="s">
        <v>492</v>
      </c>
      <c r="H156">
        <v>7.52</v>
      </c>
      <c r="J156">
        <v>8.1</v>
      </c>
      <c r="N156">
        <v>7.96</v>
      </c>
      <c r="Q156">
        <v>7.76</v>
      </c>
      <c r="T156">
        <v>6.33</v>
      </c>
      <c r="Z156">
        <v>5.82</v>
      </c>
      <c r="AB156">
        <v>6.99</v>
      </c>
      <c r="AE156">
        <v>9.61</v>
      </c>
      <c r="AH156">
        <v>8.59</v>
      </c>
      <c r="AL156">
        <v>10.050000000000001</v>
      </c>
      <c r="AO156">
        <v>8.09</v>
      </c>
      <c r="AR156">
        <v>8.41</v>
      </c>
      <c r="BE156">
        <v>8.5</v>
      </c>
      <c r="BH156">
        <v>8.64</v>
      </c>
      <c r="BK156">
        <v>7.35</v>
      </c>
      <c r="BO156">
        <v>7.7</v>
      </c>
      <c r="BT156">
        <v>7.18</v>
      </c>
      <c r="BX156">
        <v>8.59</v>
      </c>
      <c r="CD156">
        <v>6.77</v>
      </c>
      <c r="CF156">
        <v>5.41</v>
      </c>
      <c r="CI156">
        <v>9.39</v>
      </c>
      <c r="CL156">
        <v>7.43</v>
      </c>
      <c r="CN156">
        <v>3.98</v>
      </c>
      <c r="CP156">
        <v>8.35</v>
      </c>
      <c r="CT156">
        <v>7.71</v>
      </c>
      <c r="CX156">
        <v>7.1</v>
      </c>
      <c r="CZ156">
        <v>7.41</v>
      </c>
      <c r="DC156">
        <v>7.4</v>
      </c>
      <c r="DG156">
        <v>7.28</v>
      </c>
      <c r="DM156">
        <v>8.9</v>
      </c>
      <c r="DN156">
        <v>7.1</v>
      </c>
      <c r="DS156">
        <v>4.09</v>
      </c>
      <c r="DT156">
        <v>7.51</v>
      </c>
      <c r="DW156">
        <v>6.53</v>
      </c>
      <c r="DX156">
        <v>8.67</v>
      </c>
      <c r="EC156">
        <v>7.46</v>
      </c>
      <c r="EI156">
        <v>15.8</v>
      </c>
      <c r="EN156">
        <v>7.3</v>
      </c>
      <c r="EO156">
        <v>7.64</v>
      </c>
      <c r="ES156">
        <v>7.16</v>
      </c>
      <c r="EZ156">
        <v>8.3800000000000008</v>
      </c>
      <c r="FE156">
        <v>14.46</v>
      </c>
      <c r="FI156">
        <v>8.94</v>
      </c>
      <c r="FM156">
        <v>8.11</v>
      </c>
      <c r="FR156">
        <v>8.34</v>
      </c>
      <c r="FV156">
        <v>9.07</v>
      </c>
      <c r="GB156">
        <v>8.2100000000000009</v>
      </c>
      <c r="GD156">
        <v>7.87</v>
      </c>
      <c r="GI156">
        <v>8.19</v>
      </c>
      <c r="GK156">
        <v>8.5500000000000007</v>
      </c>
      <c r="GQ156">
        <v>8.8000000000000007</v>
      </c>
      <c r="GS156">
        <v>9.27</v>
      </c>
      <c r="GZ156">
        <v>10.17</v>
      </c>
      <c r="HB156">
        <v>7.96</v>
      </c>
      <c r="HE156">
        <v>8.5500000000000007</v>
      </c>
      <c r="HI156">
        <v>8.84</v>
      </c>
      <c r="HQ156">
        <v>10.51</v>
      </c>
      <c r="HR156">
        <v>9.51</v>
      </c>
      <c r="IC156">
        <v>9.9</v>
      </c>
      <c r="IG156">
        <v>9.39</v>
      </c>
      <c r="IJ156">
        <v>8.8800000000000008</v>
      </c>
      <c r="IQ156">
        <v>7.9</v>
      </c>
      <c r="IU156">
        <v>8</v>
      </c>
      <c r="IY156">
        <v>7.72</v>
      </c>
      <c r="JE156">
        <v>9.02</v>
      </c>
      <c r="JI156">
        <v>9.31</v>
      </c>
      <c r="JL156">
        <v>7.88</v>
      </c>
      <c r="JO156">
        <v>8.61</v>
      </c>
      <c r="JS156">
        <v>8.69</v>
      </c>
      <c r="JW156">
        <v>9.7799999999999994</v>
      </c>
      <c r="JZ156">
        <v>8.11</v>
      </c>
      <c r="KH156">
        <v>8.83</v>
      </c>
      <c r="KL156">
        <v>8.8000000000000007</v>
      </c>
      <c r="KQ156">
        <v>7.35</v>
      </c>
      <c r="KS156">
        <v>10.28</v>
      </c>
      <c r="KY156">
        <v>8.8000000000000007</v>
      </c>
      <c r="LA156">
        <v>5.0599999999999996</v>
      </c>
      <c r="LF156">
        <v>17.77</v>
      </c>
    </row>
    <row r="157" spans="1:319" x14ac:dyDescent="0.2">
      <c r="A157" s="37" t="s">
        <v>512</v>
      </c>
      <c r="B157">
        <v>195.62999999999997</v>
      </c>
      <c r="C157">
        <v>3.7621153846153841</v>
      </c>
      <c r="D157" s="37" t="s">
        <v>513</v>
      </c>
      <c r="E157" s="37" t="s">
        <v>514</v>
      </c>
      <c r="G157">
        <v>2.79</v>
      </c>
      <c r="M157">
        <v>6.26</v>
      </c>
      <c r="R157">
        <v>2.2799999999999998</v>
      </c>
      <c r="Y157">
        <v>2.79</v>
      </c>
      <c r="AE157">
        <v>8.06</v>
      </c>
      <c r="AP157">
        <v>6.53</v>
      </c>
      <c r="AT157">
        <v>3.45</v>
      </c>
      <c r="BD157">
        <v>8.93</v>
      </c>
      <c r="BF157">
        <v>3.99</v>
      </c>
      <c r="BN157">
        <v>4.58</v>
      </c>
      <c r="CY157">
        <v>4.92</v>
      </c>
      <c r="DE157">
        <v>3.26</v>
      </c>
      <c r="DL157">
        <v>2.2400000000000002</v>
      </c>
      <c r="DS157">
        <v>3.97</v>
      </c>
      <c r="DX157">
        <v>3.69</v>
      </c>
      <c r="ED157">
        <v>5.14</v>
      </c>
      <c r="EJ157">
        <v>4.8</v>
      </c>
      <c r="EP157">
        <v>3.05</v>
      </c>
      <c r="EV157">
        <v>2.82</v>
      </c>
      <c r="FB157">
        <v>5.28</v>
      </c>
      <c r="FH157">
        <v>4.96</v>
      </c>
      <c r="FN157">
        <v>3.89</v>
      </c>
      <c r="FT157">
        <v>4.79</v>
      </c>
      <c r="FZ157">
        <v>3.86</v>
      </c>
      <c r="GF157">
        <v>4.25</v>
      </c>
      <c r="GL157">
        <v>3.65</v>
      </c>
      <c r="GR157">
        <v>2.83</v>
      </c>
      <c r="GX157">
        <v>3.4</v>
      </c>
      <c r="HD157">
        <v>3.25</v>
      </c>
      <c r="HJ157">
        <v>3.25</v>
      </c>
      <c r="HP157">
        <v>4.74</v>
      </c>
      <c r="HW157">
        <v>4.6100000000000003</v>
      </c>
      <c r="IB157">
        <v>4.3499999999999996</v>
      </c>
      <c r="IH157">
        <v>4.7300000000000004</v>
      </c>
      <c r="IN157">
        <v>4.17</v>
      </c>
      <c r="IT157">
        <v>3.6</v>
      </c>
      <c r="IZ157">
        <v>5.0199999999999996</v>
      </c>
      <c r="JF157">
        <v>3.79</v>
      </c>
      <c r="JL157">
        <v>5.03</v>
      </c>
      <c r="JX157">
        <v>3.28</v>
      </c>
      <c r="KD157">
        <v>8.9499999999999993</v>
      </c>
      <c r="KJ157">
        <v>7.7</v>
      </c>
      <c r="KV157">
        <v>8.6999999999999993</v>
      </c>
    </row>
    <row r="158" spans="1:319" x14ac:dyDescent="0.2">
      <c r="A158" s="37" t="s">
        <v>515</v>
      </c>
      <c r="B158">
        <v>689.43000000000006</v>
      </c>
      <c r="C158">
        <v>13.258269230769232</v>
      </c>
      <c r="D158" s="37" t="s">
        <v>513</v>
      </c>
      <c r="E158" s="37" t="s">
        <v>514</v>
      </c>
      <c r="G158">
        <v>9.64</v>
      </c>
      <c r="J158">
        <v>5.98</v>
      </c>
      <c r="M158">
        <v>7.87</v>
      </c>
      <c r="P158">
        <v>5.79</v>
      </c>
      <c r="R158">
        <v>3.8</v>
      </c>
      <c r="S158">
        <v>3.32</v>
      </c>
      <c r="Y158">
        <v>9.64</v>
      </c>
      <c r="AB158">
        <v>5.98</v>
      </c>
      <c r="AE158">
        <v>5.23</v>
      </c>
      <c r="AH158">
        <v>7.51</v>
      </c>
      <c r="AK158">
        <v>6.75</v>
      </c>
      <c r="AN158">
        <v>7.19</v>
      </c>
      <c r="AQ158">
        <v>6.4</v>
      </c>
      <c r="AT158">
        <v>7.19</v>
      </c>
      <c r="AW158">
        <v>4.99</v>
      </c>
      <c r="AZ158">
        <v>7.09</v>
      </c>
      <c r="BD158">
        <v>8.3699999999999992</v>
      </c>
      <c r="BF158">
        <v>7.28</v>
      </c>
      <c r="BI158">
        <v>6.04</v>
      </c>
      <c r="BO158">
        <v>5.95</v>
      </c>
      <c r="BR158">
        <v>7.86</v>
      </c>
      <c r="CB158">
        <v>7.46</v>
      </c>
      <c r="CD158">
        <v>5.17</v>
      </c>
      <c r="CE158">
        <v>4.51</v>
      </c>
      <c r="CH158">
        <v>8.5</v>
      </c>
      <c r="CJ158">
        <v>6.1</v>
      </c>
      <c r="CK158">
        <v>5.0199999999999996</v>
      </c>
      <c r="CN158">
        <v>7.46</v>
      </c>
      <c r="CP158">
        <v>5.17</v>
      </c>
      <c r="CQ158">
        <v>4.51</v>
      </c>
      <c r="CT158">
        <v>6.91</v>
      </c>
      <c r="CU158">
        <v>5.12</v>
      </c>
      <c r="CW158">
        <v>5.51</v>
      </c>
      <c r="CZ158">
        <v>5.48</v>
      </c>
      <c r="DC158">
        <v>8.2100000000000009</v>
      </c>
      <c r="DE158">
        <v>3.5</v>
      </c>
      <c r="DF158">
        <v>3.41</v>
      </c>
      <c r="DJ158">
        <v>5.96</v>
      </c>
      <c r="DL158">
        <v>4.78</v>
      </c>
      <c r="DM158">
        <v>2.35</v>
      </c>
      <c r="DP158">
        <v>3.95</v>
      </c>
      <c r="DS158">
        <v>12.89</v>
      </c>
      <c r="DW158">
        <v>5.36</v>
      </c>
      <c r="DX158">
        <v>3.06</v>
      </c>
      <c r="DY158">
        <v>3.75</v>
      </c>
      <c r="EB158">
        <v>5.09</v>
      </c>
      <c r="ED158">
        <v>4.4000000000000004</v>
      </c>
      <c r="EE158">
        <v>4.1100000000000003</v>
      </c>
      <c r="EI158">
        <v>6.2</v>
      </c>
      <c r="EJ158">
        <v>4.91</v>
      </c>
      <c r="EL158">
        <v>2.04</v>
      </c>
      <c r="EN158">
        <v>4.3899999999999997</v>
      </c>
      <c r="EP158">
        <v>3.86</v>
      </c>
      <c r="EQ158">
        <v>4.76</v>
      </c>
      <c r="ET158">
        <v>5.42</v>
      </c>
      <c r="EV158">
        <v>3.95</v>
      </c>
      <c r="EW158">
        <v>7.74</v>
      </c>
      <c r="EZ158">
        <v>5.39</v>
      </c>
      <c r="FB158">
        <v>3.88</v>
      </c>
      <c r="FC158">
        <v>4.6100000000000003</v>
      </c>
      <c r="FF158">
        <v>5.04</v>
      </c>
      <c r="FI158">
        <v>4.91</v>
      </c>
      <c r="FL158">
        <v>5.55</v>
      </c>
      <c r="FN158">
        <v>3.56</v>
      </c>
      <c r="FO158">
        <v>3.49</v>
      </c>
      <c r="FR158">
        <v>5.84</v>
      </c>
      <c r="FT158">
        <v>3.56</v>
      </c>
      <c r="FU158">
        <v>3.45</v>
      </c>
      <c r="FX158">
        <v>5.58</v>
      </c>
      <c r="FZ158">
        <v>4.32</v>
      </c>
      <c r="GA158">
        <v>3.89</v>
      </c>
      <c r="GD158">
        <v>6.21</v>
      </c>
      <c r="GG158">
        <v>4.59</v>
      </c>
      <c r="GJ158">
        <v>5.3</v>
      </c>
      <c r="GL158">
        <v>3.76</v>
      </c>
      <c r="GM158">
        <v>3.76</v>
      </c>
      <c r="GP158">
        <v>5.42</v>
      </c>
      <c r="GR158">
        <v>4.07</v>
      </c>
      <c r="GS158">
        <v>3.61</v>
      </c>
      <c r="GV158">
        <v>5.85</v>
      </c>
      <c r="GY158">
        <v>7.77</v>
      </c>
      <c r="HB158">
        <v>5.35</v>
      </c>
      <c r="HD158">
        <v>3.37</v>
      </c>
      <c r="HE158">
        <v>3.66</v>
      </c>
      <c r="HH158">
        <v>5.82</v>
      </c>
      <c r="HJ158">
        <v>3.37</v>
      </c>
      <c r="HK158">
        <v>3.66</v>
      </c>
      <c r="HN158">
        <v>5.82</v>
      </c>
      <c r="HP158">
        <v>3.47</v>
      </c>
      <c r="HQ158">
        <v>5.34</v>
      </c>
      <c r="HT158">
        <v>5.78</v>
      </c>
      <c r="HW158">
        <v>8.0500000000000007</v>
      </c>
      <c r="HZ158">
        <v>5.67</v>
      </c>
      <c r="IB158">
        <v>3.68</v>
      </c>
      <c r="IC158">
        <v>4.6100000000000003</v>
      </c>
      <c r="IF158">
        <v>5.3</v>
      </c>
      <c r="II158">
        <v>5.85</v>
      </c>
      <c r="IL158">
        <v>4.92</v>
      </c>
      <c r="IO158">
        <v>7.52</v>
      </c>
      <c r="IR158">
        <v>4.4800000000000004</v>
      </c>
      <c r="IU158">
        <v>8.25</v>
      </c>
      <c r="IX158">
        <v>7.58</v>
      </c>
      <c r="JB158">
        <v>4.3600000000000003</v>
      </c>
      <c r="JD158">
        <v>7.17</v>
      </c>
      <c r="JG158">
        <v>6.77</v>
      </c>
      <c r="JJ158">
        <v>7.68</v>
      </c>
      <c r="JM158">
        <v>6.19</v>
      </c>
      <c r="JP158">
        <v>7.13</v>
      </c>
      <c r="JS158">
        <v>6.15</v>
      </c>
      <c r="JV158">
        <v>7.33</v>
      </c>
      <c r="JY158">
        <v>8.26</v>
      </c>
      <c r="KB158">
        <v>6.84</v>
      </c>
      <c r="KE158">
        <v>7.55</v>
      </c>
      <c r="KH158">
        <v>8.14</v>
      </c>
      <c r="KK158">
        <v>6.72</v>
      </c>
      <c r="KN158">
        <v>5.95</v>
      </c>
      <c r="KQ158">
        <v>4.24</v>
      </c>
      <c r="KT158">
        <v>9.6</v>
      </c>
      <c r="KW158">
        <v>4.6399999999999997</v>
      </c>
      <c r="KZ158">
        <v>6.21</v>
      </c>
      <c r="LC158">
        <v>3.79</v>
      </c>
      <c r="LF158">
        <v>8.8699999999999992</v>
      </c>
    </row>
    <row r="159" spans="1:319" x14ac:dyDescent="0.2">
      <c r="A159" s="37" t="s">
        <v>516</v>
      </c>
      <c r="B159">
        <v>556.00000000000023</v>
      </c>
      <c r="C159">
        <v>10.692307692307697</v>
      </c>
      <c r="D159" s="37" t="s">
        <v>513</v>
      </c>
      <c r="E159" s="37" t="s">
        <v>514</v>
      </c>
      <c r="G159">
        <v>6.4</v>
      </c>
      <c r="I159">
        <v>4.8</v>
      </c>
      <c r="M159">
        <v>5.65</v>
      </c>
      <c r="O159">
        <v>6.75</v>
      </c>
      <c r="R159">
        <v>7.14</v>
      </c>
      <c r="U159">
        <v>4.1500000000000004</v>
      </c>
      <c r="Y159">
        <v>6.4</v>
      </c>
      <c r="AA159">
        <v>4.8</v>
      </c>
      <c r="AE159">
        <v>4.32</v>
      </c>
      <c r="AG159">
        <v>4.57</v>
      </c>
      <c r="AJ159">
        <v>6.12</v>
      </c>
      <c r="AM159">
        <v>5.79</v>
      </c>
      <c r="AP159">
        <v>3.84</v>
      </c>
      <c r="AS159">
        <v>4.28</v>
      </c>
      <c r="AV159">
        <v>4.33</v>
      </c>
      <c r="AY159">
        <v>6.23</v>
      </c>
      <c r="BH159">
        <v>9.7200000000000006</v>
      </c>
      <c r="BK159">
        <v>6.18</v>
      </c>
      <c r="BN159">
        <v>6.37</v>
      </c>
      <c r="BR159">
        <v>7.03</v>
      </c>
      <c r="CA159">
        <v>7.08</v>
      </c>
      <c r="CD159">
        <v>5.49</v>
      </c>
      <c r="CG159">
        <v>8.1</v>
      </c>
      <c r="CJ159">
        <v>6.27</v>
      </c>
      <c r="CM159">
        <v>7.08</v>
      </c>
      <c r="CP159">
        <v>5.49</v>
      </c>
      <c r="CT159">
        <v>6.43</v>
      </c>
      <c r="CV159">
        <v>7.01</v>
      </c>
      <c r="CW159">
        <v>4.13</v>
      </c>
      <c r="CY159">
        <v>6.39</v>
      </c>
      <c r="DB159">
        <v>7.41</v>
      </c>
      <c r="DE159">
        <v>6.17</v>
      </c>
      <c r="DJ159">
        <v>5.31</v>
      </c>
      <c r="DL159">
        <v>6.79</v>
      </c>
      <c r="DO159">
        <v>6.67</v>
      </c>
      <c r="DS159">
        <v>4.08</v>
      </c>
      <c r="DU159">
        <v>4.25</v>
      </c>
      <c r="DX159">
        <v>5.05</v>
      </c>
      <c r="EA159">
        <v>3.72</v>
      </c>
      <c r="ED159">
        <v>3.46</v>
      </c>
      <c r="EG159">
        <v>5.43</v>
      </c>
      <c r="EJ159">
        <v>4.63</v>
      </c>
      <c r="EM159">
        <v>5.97</v>
      </c>
      <c r="EP159">
        <v>5.15</v>
      </c>
      <c r="ES159">
        <v>4.8099999999999996</v>
      </c>
      <c r="EV159">
        <v>4.24</v>
      </c>
      <c r="EY159">
        <v>4.79</v>
      </c>
      <c r="FB159">
        <v>4.04</v>
      </c>
      <c r="FE159">
        <v>5.72</v>
      </c>
      <c r="FK159">
        <v>9.84</v>
      </c>
      <c r="FN159">
        <v>5.32</v>
      </c>
      <c r="FQ159">
        <v>5.42</v>
      </c>
      <c r="FT159">
        <v>4.4400000000000004</v>
      </c>
      <c r="FW159">
        <v>5.58</v>
      </c>
      <c r="FZ159">
        <v>4.67</v>
      </c>
      <c r="GC159">
        <v>5.47</v>
      </c>
      <c r="GF159">
        <v>4.5199999999999996</v>
      </c>
      <c r="GI159">
        <v>6.32</v>
      </c>
      <c r="GL159">
        <v>6.25</v>
      </c>
      <c r="GO159">
        <v>4.68</v>
      </c>
      <c r="GR159">
        <v>5.14</v>
      </c>
      <c r="GU159">
        <v>5.79</v>
      </c>
      <c r="GX159">
        <v>5.48</v>
      </c>
      <c r="HA159">
        <v>6.19</v>
      </c>
      <c r="HD159">
        <v>6.13</v>
      </c>
      <c r="HG159">
        <v>4.0599999999999996</v>
      </c>
      <c r="HJ159">
        <v>6.13</v>
      </c>
      <c r="HM159">
        <v>4.0599999999999996</v>
      </c>
      <c r="HP159">
        <v>4.55</v>
      </c>
      <c r="HS159">
        <v>5.4</v>
      </c>
      <c r="HW159">
        <v>6.64</v>
      </c>
      <c r="HY159">
        <v>4.97</v>
      </c>
      <c r="IB159">
        <v>5.39</v>
      </c>
      <c r="IE159">
        <v>5.8</v>
      </c>
      <c r="IH159">
        <v>5.0199999999999996</v>
      </c>
      <c r="IK159">
        <v>7.01</v>
      </c>
      <c r="IN159">
        <v>8.26</v>
      </c>
      <c r="IQ159">
        <v>5.24</v>
      </c>
      <c r="IT159">
        <v>5.54</v>
      </c>
      <c r="IW159">
        <v>6.96</v>
      </c>
      <c r="IZ159">
        <v>5.21</v>
      </c>
      <c r="JC159">
        <v>5.35</v>
      </c>
      <c r="JF159">
        <v>4.9800000000000004</v>
      </c>
      <c r="JI159">
        <v>4.79</v>
      </c>
      <c r="JL159">
        <v>7.25</v>
      </c>
      <c r="JO159">
        <v>4.12</v>
      </c>
      <c r="JR159">
        <v>4.8099999999999996</v>
      </c>
      <c r="JU159">
        <v>7.72</v>
      </c>
      <c r="JX159">
        <v>5.42</v>
      </c>
      <c r="KA159">
        <v>4.8099999999999996</v>
      </c>
      <c r="KD159">
        <v>4.72</v>
      </c>
      <c r="KG159">
        <v>5.34</v>
      </c>
      <c r="KJ159">
        <v>5.51</v>
      </c>
      <c r="KM159">
        <v>3.3</v>
      </c>
      <c r="KP159">
        <v>4.62</v>
      </c>
      <c r="KS159">
        <v>5.4</v>
      </c>
      <c r="KV159">
        <v>5.32</v>
      </c>
      <c r="KY159">
        <v>4.34</v>
      </c>
      <c r="LC159">
        <v>5.83</v>
      </c>
      <c r="LE159">
        <v>4.8600000000000003</v>
      </c>
    </row>
    <row r="160" spans="1:319" x14ac:dyDescent="0.2">
      <c r="A160" s="37" t="s">
        <v>517</v>
      </c>
      <c r="B160">
        <v>739.08999999999958</v>
      </c>
      <c r="C160">
        <v>14.213269230769223</v>
      </c>
      <c r="D160" s="37" t="s">
        <v>513</v>
      </c>
      <c r="E160" s="37" t="s">
        <v>514</v>
      </c>
      <c r="G160">
        <v>7.01</v>
      </c>
      <c r="H160">
        <v>5.88</v>
      </c>
      <c r="I160">
        <v>5.01</v>
      </c>
      <c r="M160">
        <v>6.71</v>
      </c>
      <c r="N160">
        <v>6.71</v>
      </c>
      <c r="O160">
        <v>3.55</v>
      </c>
      <c r="R160">
        <v>8.18</v>
      </c>
      <c r="T160">
        <v>5.18</v>
      </c>
      <c r="U160">
        <v>2.4500000000000002</v>
      </c>
      <c r="Y160">
        <v>7.01</v>
      </c>
      <c r="Z160">
        <v>5.88</v>
      </c>
      <c r="AA160">
        <v>5.01</v>
      </c>
      <c r="AE160">
        <v>7.79</v>
      </c>
      <c r="AG160">
        <v>6.77</v>
      </c>
      <c r="AJ160">
        <v>6.3</v>
      </c>
      <c r="AM160">
        <v>5.24</v>
      </c>
      <c r="AP160">
        <v>5.67</v>
      </c>
      <c r="AS160">
        <v>11.92</v>
      </c>
      <c r="AV160">
        <v>5.09</v>
      </c>
      <c r="AW160">
        <v>7.64</v>
      </c>
      <c r="AY160">
        <v>5.38</v>
      </c>
      <c r="BB160">
        <v>3.93</v>
      </c>
      <c r="BE160">
        <v>7.5</v>
      </c>
      <c r="BH160">
        <v>8.07</v>
      </c>
      <c r="BJ160">
        <v>7.1</v>
      </c>
      <c r="BK160">
        <v>4.33</v>
      </c>
      <c r="BN160">
        <v>5.57</v>
      </c>
      <c r="BP160">
        <v>6.63</v>
      </c>
      <c r="CA160">
        <v>6.48</v>
      </c>
      <c r="CD160">
        <v>6.79</v>
      </c>
      <c r="CG160">
        <v>6.59</v>
      </c>
      <c r="CJ160">
        <v>5.97</v>
      </c>
      <c r="CK160">
        <v>6.99</v>
      </c>
      <c r="CM160">
        <v>6.48</v>
      </c>
      <c r="CP160">
        <v>6.79</v>
      </c>
      <c r="CV160">
        <v>5.78</v>
      </c>
      <c r="CY160">
        <v>6.64</v>
      </c>
      <c r="DB160">
        <v>6.91</v>
      </c>
      <c r="DE160">
        <v>7.27</v>
      </c>
      <c r="DG160">
        <v>3.99</v>
      </c>
      <c r="DJ160">
        <v>2.8</v>
      </c>
      <c r="DL160">
        <v>6.29</v>
      </c>
      <c r="DN160">
        <v>4.87</v>
      </c>
      <c r="DO160">
        <v>3.7</v>
      </c>
      <c r="DS160">
        <v>5.54</v>
      </c>
      <c r="DT160">
        <v>4.3499999999999996</v>
      </c>
      <c r="DU160">
        <v>4.2699999999999996</v>
      </c>
      <c r="DX160">
        <v>5.71</v>
      </c>
      <c r="DZ160">
        <v>5.22</v>
      </c>
      <c r="EA160">
        <v>3.24</v>
      </c>
      <c r="ED160">
        <v>5.41</v>
      </c>
      <c r="EF160">
        <v>1.95</v>
      </c>
      <c r="EI160">
        <v>4.28</v>
      </c>
      <c r="EJ160">
        <v>6.69</v>
      </c>
      <c r="EM160">
        <v>6.34</v>
      </c>
      <c r="EN160">
        <v>5.73</v>
      </c>
      <c r="EP160">
        <v>5.3</v>
      </c>
      <c r="ER160">
        <v>3.44</v>
      </c>
      <c r="ES160">
        <v>2.0699999999999998</v>
      </c>
      <c r="EV160">
        <v>9.2799999999999994</v>
      </c>
      <c r="EX160">
        <v>4.66</v>
      </c>
      <c r="EZ160">
        <v>4.2699999999999996</v>
      </c>
      <c r="FB160">
        <v>6.51</v>
      </c>
      <c r="FD160">
        <v>4.57</v>
      </c>
      <c r="FE160">
        <v>4.49</v>
      </c>
      <c r="FH160">
        <v>8.18</v>
      </c>
      <c r="FJ160">
        <v>4.2699999999999996</v>
      </c>
      <c r="FK160">
        <v>3.07</v>
      </c>
      <c r="FN160">
        <v>4.07</v>
      </c>
      <c r="FP160">
        <v>4.9000000000000004</v>
      </c>
      <c r="FQ160">
        <v>2.72</v>
      </c>
      <c r="FT160">
        <v>5.94</v>
      </c>
      <c r="FU160">
        <v>4</v>
      </c>
      <c r="FW160">
        <v>3.39</v>
      </c>
      <c r="FZ160">
        <v>4.2699999999999996</v>
      </c>
      <c r="GB160">
        <v>5.23</v>
      </c>
      <c r="GC160">
        <v>5.53</v>
      </c>
      <c r="GF160">
        <v>6.54</v>
      </c>
      <c r="GH160">
        <v>11</v>
      </c>
      <c r="GI160">
        <v>2.99</v>
      </c>
      <c r="GL160">
        <v>4.16</v>
      </c>
      <c r="GN160">
        <v>5.98</v>
      </c>
      <c r="GO160">
        <v>3.45</v>
      </c>
      <c r="GR160">
        <v>7.5</v>
      </c>
      <c r="GT160">
        <v>4.58</v>
      </c>
      <c r="GU160">
        <v>1.88</v>
      </c>
      <c r="GX160">
        <v>6.83</v>
      </c>
      <c r="GZ160">
        <v>4.7699999999999996</v>
      </c>
      <c r="HA160">
        <v>4.1900000000000004</v>
      </c>
      <c r="HD160">
        <v>6.14</v>
      </c>
      <c r="HF160">
        <v>5.71</v>
      </c>
      <c r="HG160">
        <v>2.4900000000000002</v>
      </c>
      <c r="HJ160">
        <v>6.14</v>
      </c>
      <c r="HL160">
        <v>5.71</v>
      </c>
      <c r="HM160">
        <v>2.4900000000000002</v>
      </c>
      <c r="HP160">
        <v>5.08</v>
      </c>
      <c r="HR160">
        <v>5.55</v>
      </c>
      <c r="HS160">
        <v>3.06</v>
      </c>
      <c r="HW160">
        <v>8.09</v>
      </c>
      <c r="HX160">
        <v>4.12</v>
      </c>
      <c r="HY160">
        <v>3.57</v>
      </c>
      <c r="IB160">
        <v>3.38</v>
      </c>
      <c r="ID160">
        <v>5.94</v>
      </c>
      <c r="IF160">
        <v>5.16</v>
      </c>
      <c r="IH160">
        <v>3.82</v>
      </c>
      <c r="IL160">
        <v>4.05</v>
      </c>
      <c r="IN160">
        <v>6.68</v>
      </c>
      <c r="IQ160">
        <v>5.4</v>
      </c>
      <c r="IT160">
        <v>7.91</v>
      </c>
      <c r="IV160">
        <v>5.15</v>
      </c>
      <c r="IX160">
        <v>4.0999999999999996</v>
      </c>
      <c r="IZ160">
        <v>6.64</v>
      </c>
      <c r="JB160">
        <v>4.3</v>
      </c>
      <c r="JD160">
        <v>6.06</v>
      </c>
      <c r="JF160">
        <v>5.53</v>
      </c>
      <c r="JI160">
        <v>7.12</v>
      </c>
      <c r="JL160">
        <v>4.2</v>
      </c>
      <c r="JO160">
        <v>7.76</v>
      </c>
      <c r="JR160">
        <v>6.02</v>
      </c>
      <c r="JU160">
        <v>6.62</v>
      </c>
      <c r="JV160">
        <v>8.43</v>
      </c>
      <c r="JX160">
        <v>4.1500000000000004</v>
      </c>
      <c r="KA160">
        <v>6.13</v>
      </c>
      <c r="KD160">
        <v>5.52</v>
      </c>
      <c r="KE160">
        <v>7.02</v>
      </c>
      <c r="KG160">
        <v>4.59</v>
      </c>
      <c r="KJ160">
        <v>4.2699999999999996</v>
      </c>
      <c r="KM160">
        <v>5.53</v>
      </c>
      <c r="KP160">
        <v>6.74</v>
      </c>
      <c r="KS160">
        <v>5.21</v>
      </c>
      <c r="KV160">
        <v>7</v>
      </c>
      <c r="KY160">
        <v>5.07</v>
      </c>
      <c r="LC160">
        <v>7.55</v>
      </c>
      <c r="LE160">
        <v>7.28</v>
      </c>
    </row>
    <row r="161" spans="1:317" x14ac:dyDescent="0.2">
      <c r="A161" s="37" t="s">
        <v>518</v>
      </c>
      <c r="B161">
        <v>362.25000000000006</v>
      </c>
      <c r="C161">
        <v>6.9663461538461551</v>
      </c>
      <c r="D161" s="37" t="s">
        <v>513</v>
      </c>
      <c r="E161" s="37" t="s">
        <v>514</v>
      </c>
      <c r="G161">
        <v>5.32</v>
      </c>
      <c r="M161">
        <v>4.2699999999999996</v>
      </c>
      <c r="S161">
        <v>6.68</v>
      </c>
      <c r="Y161">
        <v>5.32</v>
      </c>
      <c r="AE161">
        <v>6.96</v>
      </c>
      <c r="AK161">
        <v>7.05</v>
      </c>
      <c r="AQ161">
        <v>5.79</v>
      </c>
      <c r="AW161">
        <v>6.3</v>
      </c>
      <c r="BD161">
        <v>7.46</v>
      </c>
      <c r="BH161">
        <v>4.47</v>
      </c>
      <c r="BO161">
        <v>7.33</v>
      </c>
      <c r="CB161">
        <v>7.26</v>
      </c>
      <c r="CH161">
        <v>7.27</v>
      </c>
      <c r="CN161">
        <v>7.26</v>
      </c>
      <c r="CT161">
        <v>6.04</v>
      </c>
      <c r="CZ161">
        <v>6.5</v>
      </c>
      <c r="DF161">
        <v>4.92</v>
      </c>
      <c r="DM161">
        <v>6.29</v>
      </c>
      <c r="DO161">
        <v>6.86</v>
      </c>
      <c r="DQ161">
        <v>6.24</v>
      </c>
      <c r="DS161">
        <v>5.21</v>
      </c>
      <c r="DY161">
        <v>6.38</v>
      </c>
      <c r="EE161">
        <v>4.76</v>
      </c>
      <c r="EL161">
        <v>6.44</v>
      </c>
      <c r="EQ161">
        <v>6.06</v>
      </c>
      <c r="EW161">
        <v>6.91</v>
      </c>
      <c r="FC161">
        <v>6.23</v>
      </c>
      <c r="FI161">
        <v>6.64</v>
      </c>
      <c r="FO161">
        <v>6.2</v>
      </c>
      <c r="FU161">
        <v>4.74</v>
      </c>
      <c r="GA161">
        <v>6.3</v>
      </c>
      <c r="GG161">
        <v>6.51</v>
      </c>
      <c r="GM161">
        <v>4.95</v>
      </c>
      <c r="GS161">
        <v>8.52</v>
      </c>
      <c r="GY161">
        <v>7.8</v>
      </c>
      <c r="HE161">
        <v>6.42</v>
      </c>
      <c r="HK161">
        <v>6.42</v>
      </c>
      <c r="HQ161">
        <v>5.94</v>
      </c>
      <c r="HW161">
        <v>8.15</v>
      </c>
      <c r="IC161">
        <v>6.31</v>
      </c>
      <c r="II161">
        <v>7.67</v>
      </c>
      <c r="IJ161">
        <v>5.86</v>
      </c>
      <c r="IO161">
        <v>6.27</v>
      </c>
      <c r="IQ161">
        <v>6.84</v>
      </c>
      <c r="IU161">
        <v>8.74</v>
      </c>
      <c r="IW161">
        <v>5.61</v>
      </c>
      <c r="JB161">
        <v>6.55</v>
      </c>
      <c r="JG161">
        <v>4.07</v>
      </c>
      <c r="JM161">
        <v>7.8</v>
      </c>
      <c r="JS161">
        <v>7.57</v>
      </c>
      <c r="JY161">
        <v>8.43</v>
      </c>
      <c r="KE161">
        <v>5.63</v>
      </c>
      <c r="KG161">
        <v>3.35</v>
      </c>
      <c r="KK161">
        <v>5.67</v>
      </c>
      <c r="KQ161">
        <v>7.41</v>
      </c>
      <c r="KW161">
        <v>7</v>
      </c>
      <c r="LE161">
        <v>5.3</v>
      </c>
    </row>
    <row r="162" spans="1:317" x14ac:dyDescent="0.2">
      <c r="A162" s="37" t="s">
        <v>519</v>
      </c>
      <c r="B162">
        <v>295.30999999999989</v>
      </c>
      <c r="C162">
        <v>5.6790384615384593</v>
      </c>
      <c r="D162" s="37" t="s">
        <v>513</v>
      </c>
      <c r="E162" s="37" t="s">
        <v>514</v>
      </c>
      <c r="I162">
        <v>7.31</v>
      </c>
      <c r="O162">
        <v>7.28</v>
      </c>
      <c r="U162">
        <v>8.16</v>
      </c>
      <c r="AA162">
        <v>7.31</v>
      </c>
      <c r="AG162">
        <v>6.57</v>
      </c>
      <c r="AM162">
        <v>6.73</v>
      </c>
      <c r="AS162">
        <v>6.04</v>
      </c>
      <c r="AY162">
        <v>5.43</v>
      </c>
      <c r="BE162">
        <v>6.95</v>
      </c>
      <c r="BK162">
        <v>5.35</v>
      </c>
      <c r="BR162">
        <v>7.22</v>
      </c>
      <c r="CD162">
        <v>6.96</v>
      </c>
      <c r="CJ162">
        <v>7.55</v>
      </c>
      <c r="CP162">
        <v>6.96</v>
      </c>
      <c r="CV162">
        <v>4.6399999999999997</v>
      </c>
      <c r="DB162">
        <v>7.37</v>
      </c>
      <c r="DU162">
        <v>6.21</v>
      </c>
      <c r="EA162">
        <v>6.66</v>
      </c>
      <c r="EG162">
        <v>6.85</v>
      </c>
      <c r="EM162">
        <v>6.28</v>
      </c>
      <c r="ES162">
        <v>5.03</v>
      </c>
      <c r="EY162">
        <v>5.85</v>
      </c>
      <c r="FE162">
        <v>8.07</v>
      </c>
      <c r="FK162">
        <v>5.0599999999999996</v>
      </c>
      <c r="FQ162">
        <v>7.4</v>
      </c>
      <c r="FW162">
        <v>8.11</v>
      </c>
      <c r="GC162">
        <v>7.27</v>
      </c>
      <c r="GI162">
        <v>6.95</v>
      </c>
      <c r="GO162">
        <v>5.69</v>
      </c>
      <c r="GU162">
        <v>6.25</v>
      </c>
      <c r="HA162">
        <v>4.04</v>
      </c>
      <c r="HG162">
        <v>6.81</v>
      </c>
      <c r="HM162">
        <v>6.81</v>
      </c>
      <c r="HS162">
        <v>6.49</v>
      </c>
      <c r="HY162">
        <v>4.76</v>
      </c>
      <c r="IE162">
        <v>6.9</v>
      </c>
      <c r="IK162">
        <v>4.37</v>
      </c>
      <c r="JC162">
        <v>5.74</v>
      </c>
      <c r="JI162">
        <v>7.46</v>
      </c>
      <c r="JO162">
        <v>6.21</v>
      </c>
      <c r="JU162">
        <v>5.66</v>
      </c>
      <c r="KA162">
        <v>3.83</v>
      </c>
      <c r="KM162">
        <v>6.21</v>
      </c>
      <c r="KS162">
        <v>6.59</v>
      </c>
      <c r="KY162">
        <v>5.14</v>
      </c>
      <c r="LC162">
        <v>8.7799999999999994</v>
      </c>
    </row>
    <row r="163" spans="1:317" x14ac:dyDescent="0.2">
      <c r="A163" s="37" t="s">
        <v>520</v>
      </c>
      <c r="B163">
        <v>445.15999999999997</v>
      </c>
      <c r="C163">
        <v>8.56076923076923</v>
      </c>
      <c r="D163" s="37" t="s">
        <v>513</v>
      </c>
      <c r="E163" s="37" t="s">
        <v>521</v>
      </c>
      <c r="G163">
        <v>5.4</v>
      </c>
      <c r="J163">
        <v>4.33</v>
      </c>
      <c r="M163">
        <v>4.8099999999999996</v>
      </c>
      <c r="P163">
        <v>4.0999999999999996</v>
      </c>
      <c r="S163">
        <v>5.21</v>
      </c>
      <c r="Y163">
        <v>5.4</v>
      </c>
      <c r="AB163">
        <v>4.33</v>
      </c>
      <c r="AE163">
        <v>8.31</v>
      </c>
      <c r="AK163">
        <v>5.32</v>
      </c>
      <c r="AN163">
        <v>6.99</v>
      </c>
      <c r="AQ163">
        <v>4.47</v>
      </c>
      <c r="AX163">
        <v>7.44</v>
      </c>
      <c r="BD163">
        <v>7.09</v>
      </c>
      <c r="BI163">
        <v>7.94</v>
      </c>
      <c r="BO163">
        <v>6.53</v>
      </c>
      <c r="BR163">
        <v>7.26</v>
      </c>
      <c r="CB163">
        <v>5.13</v>
      </c>
      <c r="CE163">
        <v>4.2699999999999996</v>
      </c>
      <c r="CH163">
        <v>7.56</v>
      </c>
      <c r="CK163">
        <v>5.17</v>
      </c>
      <c r="CN163">
        <v>5.13</v>
      </c>
      <c r="CQ163">
        <v>4.2699999999999996</v>
      </c>
      <c r="CT163">
        <v>4.03</v>
      </c>
      <c r="CW163">
        <v>5.81</v>
      </c>
      <c r="CZ163">
        <v>5.56</v>
      </c>
      <c r="DC163">
        <v>4.68</v>
      </c>
      <c r="DF163">
        <v>5.08</v>
      </c>
      <c r="DM163">
        <v>3.4</v>
      </c>
      <c r="DP163">
        <v>4.72</v>
      </c>
      <c r="DQ163">
        <v>5.0599999999999996</v>
      </c>
      <c r="DS163">
        <v>4.58</v>
      </c>
      <c r="DW163">
        <v>3.58</v>
      </c>
      <c r="DY163">
        <v>4.93</v>
      </c>
      <c r="EB163">
        <v>4.2</v>
      </c>
      <c r="EE163">
        <v>5.45</v>
      </c>
      <c r="EI163">
        <v>3.5</v>
      </c>
      <c r="EL163">
        <v>5.09</v>
      </c>
      <c r="EN163">
        <v>3.43</v>
      </c>
      <c r="EQ163">
        <v>5.66</v>
      </c>
      <c r="ET163">
        <v>4.03</v>
      </c>
      <c r="EW163">
        <v>5.07</v>
      </c>
      <c r="EZ163">
        <v>3.5</v>
      </c>
      <c r="FC163">
        <v>5.79</v>
      </c>
      <c r="FF163">
        <v>3.5</v>
      </c>
      <c r="FI163">
        <v>5.39</v>
      </c>
      <c r="FS163">
        <v>7.62</v>
      </c>
      <c r="FV163">
        <v>6.38</v>
      </c>
      <c r="FX163">
        <v>2.75</v>
      </c>
      <c r="GA163">
        <v>5.29</v>
      </c>
      <c r="GD163">
        <v>3.44</v>
      </c>
      <c r="GG163">
        <v>5.49</v>
      </c>
      <c r="GJ163">
        <v>4.0999999999999996</v>
      </c>
      <c r="GM163">
        <v>4.8899999999999997</v>
      </c>
      <c r="GP163">
        <v>3.25</v>
      </c>
      <c r="GS163">
        <v>5.12</v>
      </c>
      <c r="GV163">
        <v>3.89</v>
      </c>
      <c r="GY163">
        <v>4.8899999999999997</v>
      </c>
      <c r="HB163">
        <v>3.64</v>
      </c>
      <c r="HE163">
        <v>4.26</v>
      </c>
      <c r="HH163">
        <v>3.87</v>
      </c>
      <c r="HK163">
        <v>4.26</v>
      </c>
      <c r="HN163">
        <v>3.87</v>
      </c>
      <c r="HQ163">
        <v>6.07</v>
      </c>
      <c r="HT163">
        <v>2.48</v>
      </c>
      <c r="HW163">
        <v>4.47</v>
      </c>
      <c r="HZ163">
        <v>4.43</v>
      </c>
      <c r="IC163">
        <v>5.47</v>
      </c>
      <c r="IF163">
        <v>3.98</v>
      </c>
      <c r="II163">
        <v>4.3099999999999996</v>
      </c>
      <c r="IO163">
        <v>5.33</v>
      </c>
      <c r="IR163">
        <v>3.56</v>
      </c>
      <c r="IU163">
        <v>5.25</v>
      </c>
      <c r="IX163">
        <v>3.27</v>
      </c>
      <c r="JB163">
        <v>6.34</v>
      </c>
      <c r="JD163">
        <v>2.56</v>
      </c>
      <c r="JG163">
        <v>5.49</v>
      </c>
      <c r="JJ163">
        <v>5.59</v>
      </c>
      <c r="JM163">
        <v>5.68</v>
      </c>
      <c r="JS163">
        <v>6.63</v>
      </c>
      <c r="JY163">
        <v>5.21</v>
      </c>
      <c r="KB163">
        <v>3.9</v>
      </c>
      <c r="KE163">
        <v>7.85</v>
      </c>
      <c r="KK163">
        <v>8.2799999999999994</v>
      </c>
      <c r="KN163">
        <v>6.67</v>
      </c>
      <c r="KQ163">
        <v>8.4600000000000009</v>
      </c>
      <c r="KW163">
        <v>7.39</v>
      </c>
      <c r="LD163">
        <v>6.98</v>
      </c>
    </row>
    <row r="164" spans="1:317" x14ac:dyDescent="0.2">
      <c r="A164" s="37" t="s">
        <v>522</v>
      </c>
      <c r="B164">
        <v>437.50999999999982</v>
      </c>
      <c r="C164">
        <v>8.4136538461538422</v>
      </c>
      <c r="D164" s="37" t="s">
        <v>513</v>
      </c>
      <c r="E164" s="37" t="s">
        <v>521</v>
      </c>
      <c r="G164">
        <v>5.28</v>
      </c>
      <c r="J164">
        <v>4.13</v>
      </c>
      <c r="M164">
        <v>4.3899999999999997</v>
      </c>
      <c r="P164">
        <v>3.46</v>
      </c>
      <c r="S164">
        <v>4.66</v>
      </c>
      <c r="Y164">
        <v>5.28</v>
      </c>
      <c r="AB164">
        <v>4.13</v>
      </c>
      <c r="AE164">
        <v>8.19</v>
      </c>
      <c r="AK164">
        <v>8.66</v>
      </c>
      <c r="AQ164">
        <v>7.5</v>
      </c>
      <c r="AW164">
        <v>7.7</v>
      </c>
      <c r="BD164">
        <v>9.58</v>
      </c>
      <c r="BI164">
        <v>7.99</v>
      </c>
      <c r="BO164">
        <v>9.16</v>
      </c>
      <c r="CB164">
        <v>8.6</v>
      </c>
      <c r="CH164">
        <v>7.98</v>
      </c>
      <c r="CN164">
        <v>8.6</v>
      </c>
      <c r="CT164">
        <v>8.1999999999999993</v>
      </c>
      <c r="CZ164">
        <v>9.43</v>
      </c>
      <c r="DF164">
        <v>4.25</v>
      </c>
      <c r="DM164">
        <v>2.2599999999999998</v>
      </c>
      <c r="DP164">
        <v>3.09</v>
      </c>
      <c r="DQ164">
        <v>6.02</v>
      </c>
      <c r="DS164">
        <v>3.9</v>
      </c>
      <c r="DW164">
        <v>5.24</v>
      </c>
      <c r="DY164">
        <v>4.49</v>
      </c>
      <c r="EB164">
        <v>3.09</v>
      </c>
      <c r="EE164">
        <v>5.57</v>
      </c>
      <c r="EI164">
        <v>4.99</v>
      </c>
      <c r="EL164">
        <v>3.74</v>
      </c>
      <c r="EN164">
        <v>3.02</v>
      </c>
      <c r="EQ164">
        <v>4.8899999999999997</v>
      </c>
      <c r="ET164">
        <v>2.93</v>
      </c>
      <c r="EW164">
        <v>4.8600000000000003</v>
      </c>
      <c r="EZ164">
        <v>7.27</v>
      </c>
      <c r="FC164">
        <v>5.07</v>
      </c>
      <c r="FF164">
        <v>4.03</v>
      </c>
      <c r="FI164">
        <v>5.04</v>
      </c>
      <c r="FL164">
        <v>3.96</v>
      </c>
      <c r="FO164">
        <v>6.06</v>
      </c>
      <c r="FR164">
        <v>4.04</v>
      </c>
      <c r="FU164">
        <v>10.75</v>
      </c>
      <c r="FX164">
        <v>4.29</v>
      </c>
      <c r="GA164">
        <v>5.2</v>
      </c>
      <c r="GD164">
        <v>3.99</v>
      </c>
      <c r="GG164">
        <v>5.73</v>
      </c>
      <c r="GJ164">
        <v>3.19</v>
      </c>
      <c r="GM164">
        <v>5.08</v>
      </c>
      <c r="GP164">
        <v>3.67</v>
      </c>
      <c r="GS164">
        <v>4.8600000000000003</v>
      </c>
      <c r="GV164">
        <v>3.58</v>
      </c>
      <c r="GY164">
        <v>4.4400000000000004</v>
      </c>
      <c r="HB164">
        <v>3.89</v>
      </c>
      <c r="HE164">
        <v>5.54</v>
      </c>
      <c r="HH164">
        <v>2.82</v>
      </c>
      <c r="HK164">
        <v>5.54</v>
      </c>
      <c r="HN164">
        <v>2.82</v>
      </c>
      <c r="HQ164">
        <v>5.38</v>
      </c>
      <c r="HT164">
        <v>3.24</v>
      </c>
      <c r="HW164">
        <v>4.6500000000000004</v>
      </c>
      <c r="HZ164">
        <v>3.78</v>
      </c>
      <c r="IC164">
        <v>4.6900000000000004</v>
      </c>
      <c r="IF164">
        <v>3.45</v>
      </c>
      <c r="II164">
        <v>5.53</v>
      </c>
      <c r="IL164">
        <v>3.53</v>
      </c>
      <c r="IO164">
        <v>4.7699999999999996</v>
      </c>
      <c r="IR164">
        <v>3.68</v>
      </c>
      <c r="IU164">
        <v>5.08</v>
      </c>
      <c r="IX164">
        <v>3.99</v>
      </c>
      <c r="JB164">
        <v>5.98</v>
      </c>
      <c r="JD164">
        <v>2.78</v>
      </c>
      <c r="JG164">
        <v>9.27</v>
      </c>
      <c r="JJ164">
        <v>3.71</v>
      </c>
      <c r="JM164">
        <v>4.6399999999999997</v>
      </c>
      <c r="JS164">
        <v>8.34</v>
      </c>
      <c r="JY164">
        <v>5.07</v>
      </c>
      <c r="KE164">
        <v>7.36</v>
      </c>
      <c r="KK164">
        <v>7.9</v>
      </c>
      <c r="KQ164">
        <v>7.34</v>
      </c>
      <c r="KW164">
        <v>8.1199999999999992</v>
      </c>
      <c r="LC164">
        <v>9.11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D113-6891-4DAD-AA69-0FAD08B490BF}">
  <dimension ref="A1:BU326"/>
  <sheetViews>
    <sheetView topLeftCell="A215" workbookViewId="0">
      <selection activeCell="A256" sqref="A256:XFD256"/>
    </sheetView>
  </sheetViews>
  <sheetFormatPr baseColWidth="10" defaultColWidth="8.83203125" defaultRowHeight="15" x14ac:dyDescent="0.2"/>
  <cols>
    <col min="1" max="1" width="57" bestFit="1" customWidth="1"/>
    <col min="2" max="2" width="13.6640625" bestFit="1" customWidth="1"/>
    <col min="3" max="3" width="25.83203125" bestFit="1" customWidth="1"/>
    <col min="4" max="4" width="8" bestFit="1" customWidth="1"/>
    <col min="5" max="5" width="22" bestFit="1" customWidth="1"/>
    <col min="6" max="7" width="42.6640625" bestFit="1" customWidth="1"/>
    <col min="8" max="8" width="59" bestFit="1" customWidth="1"/>
    <col min="9" max="9" width="27.5" bestFit="1" customWidth="1"/>
    <col min="10" max="10" width="15.5" bestFit="1" customWidth="1"/>
    <col min="11" max="11" width="16.83203125" bestFit="1" customWidth="1"/>
    <col min="12" max="12" width="48.6640625" bestFit="1" customWidth="1"/>
    <col min="13" max="13" width="36.33203125" bestFit="1" customWidth="1"/>
    <col min="14" max="14" width="33.5" bestFit="1" customWidth="1"/>
    <col min="15" max="15" width="29.1640625" bestFit="1" customWidth="1"/>
    <col min="16" max="16" width="30" bestFit="1" customWidth="1"/>
    <col min="17" max="17" width="36.5" bestFit="1" customWidth="1"/>
    <col min="18" max="18" width="31.33203125" bestFit="1" customWidth="1"/>
    <col min="19" max="19" width="21.33203125" bestFit="1" customWidth="1"/>
    <col min="20" max="20" width="38.6640625" bestFit="1" customWidth="1"/>
    <col min="21" max="21" width="37.6640625" bestFit="1" customWidth="1"/>
    <col min="22" max="22" width="32.5" bestFit="1" customWidth="1"/>
    <col min="23" max="23" width="37.6640625" bestFit="1" customWidth="1"/>
    <col min="24" max="24" width="25.33203125" bestFit="1" customWidth="1"/>
    <col min="25" max="25" width="22" bestFit="1" customWidth="1"/>
    <col min="26" max="26" width="19.5" bestFit="1" customWidth="1"/>
    <col min="27" max="27" width="8.83203125" bestFit="1" customWidth="1"/>
    <col min="28" max="28" width="21.5" bestFit="1" customWidth="1"/>
    <col min="29" max="29" width="25.1640625" bestFit="1" customWidth="1"/>
    <col min="30" max="30" width="23.83203125" bestFit="1" customWidth="1"/>
    <col min="31" max="31" width="16.33203125" bestFit="1" customWidth="1"/>
    <col min="32" max="32" width="20.5" bestFit="1" customWidth="1"/>
    <col min="33" max="33" width="10.6640625" bestFit="1" customWidth="1"/>
    <col min="34" max="34" width="21.83203125" bestFit="1" customWidth="1"/>
    <col min="35" max="35" width="20.33203125" bestFit="1" customWidth="1"/>
    <col min="36" max="36" width="28.6640625" bestFit="1" customWidth="1"/>
    <col min="37" max="37" width="24.83203125" bestFit="1" customWidth="1"/>
    <col min="38" max="38" width="25.83203125" bestFit="1" customWidth="1"/>
    <col min="39" max="39" width="25" bestFit="1" customWidth="1"/>
    <col min="40" max="40" width="22.5" bestFit="1" customWidth="1"/>
    <col min="41" max="41" width="14.6640625" bestFit="1" customWidth="1"/>
    <col min="42" max="42" width="23.6640625" bestFit="1" customWidth="1"/>
    <col min="43" max="43" width="30" bestFit="1" customWidth="1"/>
    <col min="44" max="44" width="27.33203125" bestFit="1" customWidth="1"/>
    <col min="45" max="45" width="30" bestFit="1" customWidth="1"/>
    <col min="46" max="46" width="27.1640625" bestFit="1" customWidth="1"/>
    <col min="47" max="47" width="20.5" bestFit="1" customWidth="1"/>
    <col min="48" max="48" width="29" bestFit="1" customWidth="1"/>
    <col min="49" max="49" width="24" bestFit="1" customWidth="1"/>
    <col min="50" max="50" width="31.6640625" bestFit="1" customWidth="1"/>
    <col min="51" max="51" width="25.1640625" bestFit="1" customWidth="1"/>
  </cols>
  <sheetData>
    <row r="1" spans="1:73" s="38" customFormat="1" x14ac:dyDescent="0.2">
      <c r="A1" s="159">
        <v>1</v>
      </c>
      <c r="B1" s="159">
        <v>2</v>
      </c>
      <c r="C1" s="159">
        <v>3</v>
      </c>
      <c r="D1" s="159">
        <v>4</v>
      </c>
      <c r="E1" s="159">
        <v>5</v>
      </c>
      <c r="F1" s="159">
        <v>6</v>
      </c>
      <c r="G1" s="159">
        <v>7</v>
      </c>
      <c r="H1" s="159">
        <v>8</v>
      </c>
      <c r="I1" s="159">
        <v>9</v>
      </c>
      <c r="J1" s="159">
        <v>10</v>
      </c>
      <c r="K1" s="159">
        <v>11</v>
      </c>
      <c r="L1" s="159">
        <v>12</v>
      </c>
      <c r="M1" s="159">
        <v>13</v>
      </c>
      <c r="N1" s="159">
        <v>14</v>
      </c>
      <c r="O1" s="159">
        <v>15</v>
      </c>
      <c r="P1" s="159">
        <v>16</v>
      </c>
      <c r="Q1" s="159">
        <v>17</v>
      </c>
      <c r="R1" s="159">
        <v>18</v>
      </c>
      <c r="S1" s="159">
        <v>19</v>
      </c>
      <c r="T1" s="159">
        <v>20</v>
      </c>
      <c r="U1" s="159">
        <v>21</v>
      </c>
      <c r="V1" s="159">
        <v>22</v>
      </c>
      <c r="W1" s="159">
        <v>23</v>
      </c>
      <c r="X1" s="159">
        <v>24</v>
      </c>
      <c r="Y1" s="159">
        <v>25</v>
      </c>
      <c r="Z1" s="159">
        <v>26</v>
      </c>
      <c r="AA1" s="159">
        <v>27</v>
      </c>
      <c r="AB1" s="159">
        <v>28</v>
      </c>
      <c r="AC1" s="159">
        <v>29</v>
      </c>
      <c r="AD1" s="159">
        <v>30</v>
      </c>
      <c r="AE1" s="159">
        <v>31</v>
      </c>
      <c r="AF1" s="159">
        <v>32</v>
      </c>
      <c r="AG1" s="159">
        <v>33</v>
      </c>
      <c r="AH1" s="159">
        <v>34</v>
      </c>
      <c r="AI1" s="159">
        <v>35</v>
      </c>
      <c r="AJ1" s="159">
        <v>36</v>
      </c>
      <c r="AK1" s="159">
        <v>37</v>
      </c>
      <c r="AL1" s="159">
        <v>38</v>
      </c>
      <c r="AM1" s="159">
        <v>39</v>
      </c>
      <c r="AN1" s="159">
        <v>40</v>
      </c>
      <c r="AO1" s="159">
        <v>41</v>
      </c>
      <c r="AP1" s="159">
        <v>42</v>
      </c>
      <c r="AQ1" s="159">
        <v>43</v>
      </c>
      <c r="AR1" s="159">
        <v>44</v>
      </c>
      <c r="AS1" s="159">
        <v>45</v>
      </c>
      <c r="AT1" s="159">
        <v>46</v>
      </c>
      <c r="AU1" s="159">
        <v>47</v>
      </c>
      <c r="AV1" s="159">
        <v>48</v>
      </c>
      <c r="AW1" s="159">
        <v>49</v>
      </c>
      <c r="AX1" s="159">
        <v>50</v>
      </c>
      <c r="AY1" s="159">
        <v>51</v>
      </c>
      <c r="BA1" s="8">
        <v>0.26</v>
      </c>
      <c r="BB1" s="8">
        <v>0.19</v>
      </c>
      <c r="BC1" s="8">
        <v>7.0000000000000007E-2</v>
      </c>
      <c r="BD1" s="8">
        <v>7.0000000000000007E-2</v>
      </c>
      <c r="BE1" s="8">
        <v>0.32</v>
      </c>
      <c r="BF1" s="8">
        <v>0.01</v>
      </c>
      <c r="BG1" s="8">
        <v>0.08</v>
      </c>
      <c r="BH1" s="23">
        <v>21.05</v>
      </c>
      <c r="BI1" s="23">
        <v>18.02</v>
      </c>
      <c r="BJ1" s="23">
        <v>26.67</v>
      </c>
      <c r="BK1" s="23">
        <v>6.19</v>
      </c>
      <c r="BL1" s="23">
        <v>4.32</v>
      </c>
      <c r="BM1" s="23">
        <v>5.65</v>
      </c>
      <c r="BN1" s="23">
        <v>13.33</v>
      </c>
    </row>
    <row r="2" spans="1:73" x14ac:dyDescent="0.2">
      <c r="A2" t="s">
        <v>523</v>
      </c>
      <c r="B2" t="s">
        <v>524</v>
      </c>
      <c r="C2" t="s">
        <v>525</v>
      </c>
      <c r="D2" t="s">
        <v>526</v>
      </c>
      <c r="E2" t="s">
        <v>527</v>
      </c>
      <c r="F2" t="s">
        <v>528</v>
      </c>
      <c r="G2" t="s">
        <v>529</v>
      </c>
      <c r="H2" t="s">
        <v>530</v>
      </c>
      <c r="I2" t="s">
        <v>531</v>
      </c>
      <c r="J2" t="s">
        <v>532</v>
      </c>
      <c r="K2" t="s">
        <v>533</v>
      </c>
      <c r="L2" t="s">
        <v>534</v>
      </c>
      <c r="M2" t="s">
        <v>535</v>
      </c>
      <c r="N2" t="s">
        <v>536</v>
      </c>
      <c r="O2" t="s">
        <v>537</v>
      </c>
      <c r="P2" t="s">
        <v>538</v>
      </c>
      <c r="Q2" t="s">
        <v>539</v>
      </c>
      <c r="R2" t="s">
        <v>540</v>
      </c>
      <c r="S2" t="s">
        <v>541</v>
      </c>
      <c r="T2" t="s">
        <v>542</v>
      </c>
      <c r="U2" t="s">
        <v>543</v>
      </c>
      <c r="V2" t="s">
        <v>544</v>
      </c>
      <c r="W2" t="s">
        <v>545</v>
      </c>
      <c r="X2" t="s">
        <v>546</v>
      </c>
      <c r="Y2" t="s">
        <v>547</v>
      </c>
      <c r="Z2" t="s">
        <v>548</v>
      </c>
      <c r="AA2" t="s">
        <v>549</v>
      </c>
      <c r="AB2" t="s">
        <v>550</v>
      </c>
      <c r="AC2" t="s">
        <v>551</v>
      </c>
      <c r="AD2" t="s">
        <v>552</v>
      </c>
      <c r="AE2" t="s">
        <v>553</v>
      </c>
      <c r="AF2" t="s">
        <v>554</v>
      </c>
      <c r="AG2" t="s">
        <v>555</v>
      </c>
      <c r="AH2" t="s">
        <v>556</v>
      </c>
      <c r="AI2" t="s">
        <v>557</v>
      </c>
      <c r="AJ2" t="s">
        <v>558</v>
      </c>
      <c r="AK2" t="s">
        <v>559</v>
      </c>
      <c r="AL2" t="s">
        <v>560</v>
      </c>
      <c r="AM2" t="s">
        <v>561</v>
      </c>
      <c r="AN2" t="s">
        <v>562</v>
      </c>
      <c r="AO2" t="s">
        <v>563</v>
      </c>
      <c r="AP2" t="s">
        <v>564</v>
      </c>
      <c r="AQ2" t="s">
        <v>565</v>
      </c>
      <c r="AR2" t="s">
        <v>566</v>
      </c>
      <c r="AS2" t="s">
        <v>567</v>
      </c>
      <c r="AT2" t="s">
        <v>568</v>
      </c>
      <c r="AU2" t="s">
        <v>569</v>
      </c>
      <c r="AV2" t="s">
        <v>570</v>
      </c>
      <c r="AW2" t="s">
        <v>571</v>
      </c>
      <c r="AX2" t="s">
        <v>572</v>
      </c>
      <c r="AY2" t="s">
        <v>573</v>
      </c>
      <c r="AZ2" t="s">
        <v>2090</v>
      </c>
      <c r="BA2" t="s">
        <v>2179</v>
      </c>
      <c r="BB2" t="s">
        <v>2180</v>
      </c>
      <c r="BC2" t="s">
        <v>2181</v>
      </c>
      <c r="BD2" t="s">
        <v>2182</v>
      </c>
      <c r="BE2" t="s">
        <v>2183</v>
      </c>
      <c r="BF2" t="s">
        <v>2184</v>
      </c>
      <c r="BG2" t="s">
        <v>2185</v>
      </c>
      <c r="BH2" t="s">
        <v>2186</v>
      </c>
      <c r="BI2" t="s">
        <v>2187</v>
      </c>
      <c r="BJ2" t="s">
        <v>2188</v>
      </c>
      <c r="BK2" t="s">
        <v>2189</v>
      </c>
      <c r="BL2" t="s">
        <v>2190</v>
      </c>
      <c r="BM2" t="s">
        <v>2191</v>
      </c>
      <c r="BN2" t="s">
        <v>2192</v>
      </c>
      <c r="BO2" t="s">
        <v>2193</v>
      </c>
      <c r="BP2" t="s">
        <v>2194</v>
      </c>
      <c r="BQ2" t="s">
        <v>2195</v>
      </c>
      <c r="BR2" t="s">
        <v>2196</v>
      </c>
      <c r="BS2" t="s">
        <v>2197</v>
      </c>
      <c r="BT2" t="s">
        <v>2198</v>
      </c>
      <c r="BU2" t="s">
        <v>2199</v>
      </c>
    </row>
    <row r="3" spans="1:73" x14ac:dyDescent="0.2">
      <c r="A3" s="37" t="s">
        <v>574</v>
      </c>
      <c r="B3" s="115">
        <v>43466</v>
      </c>
      <c r="C3" s="37" t="s">
        <v>575</v>
      </c>
      <c r="D3">
        <v>180</v>
      </c>
      <c r="E3">
        <v>180</v>
      </c>
      <c r="F3">
        <v>289</v>
      </c>
      <c r="G3">
        <v>289</v>
      </c>
      <c r="H3" s="37" t="s">
        <v>576</v>
      </c>
      <c r="I3" s="37" t="s">
        <v>577</v>
      </c>
      <c r="J3" s="37" t="s">
        <v>578</v>
      </c>
      <c r="K3" s="37" t="s">
        <v>579</v>
      </c>
      <c r="M3">
        <v>218</v>
      </c>
      <c r="N3">
        <v>220</v>
      </c>
      <c r="O3">
        <v>918</v>
      </c>
      <c r="P3">
        <v>4.21</v>
      </c>
      <c r="R3">
        <v>450</v>
      </c>
      <c r="S3">
        <v>450</v>
      </c>
      <c r="T3">
        <v>89</v>
      </c>
      <c r="U3">
        <v>0.41799999999999998</v>
      </c>
      <c r="V3">
        <v>1</v>
      </c>
      <c r="W3">
        <v>0</v>
      </c>
      <c r="X3">
        <v>1</v>
      </c>
      <c r="Y3">
        <v>21</v>
      </c>
      <c r="Z3">
        <v>88172</v>
      </c>
      <c r="AA3">
        <v>2.02</v>
      </c>
      <c r="AB3">
        <v>88172</v>
      </c>
      <c r="AC3">
        <v>2.02</v>
      </c>
      <c r="AD3">
        <v>14961</v>
      </c>
      <c r="AE3">
        <v>1841787</v>
      </c>
      <c r="AF3">
        <v>0.16969999999999999</v>
      </c>
      <c r="AG3">
        <v>223</v>
      </c>
      <c r="AH3">
        <v>5031405</v>
      </c>
      <c r="AI3">
        <v>5341</v>
      </c>
      <c r="AJ3">
        <v>503</v>
      </c>
      <c r="AK3" s="37" t="s">
        <v>580</v>
      </c>
      <c r="AL3" s="37" t="s">
        <v>581</v>
      </c>
      <c r="AM3" s="37" t="s">
        <v>582</v>
      </c>
      <c r="AN3" s="37" t="s">
        <v>583</v>
      </c>
      <c r="AO3" s="37" t="s">
        <v>584</v>
      </c>
      <c r="AP3">
        <v>6</v>
      </c>
      <c r="AQ3">
        <v>15</v>
      </c>
      <c r="AR3">
        <v>32</v>
      </c>
      <c r="AS3">
        <v>87</v>
      </c>
      <c r="AT3">
        <v>15</v>
      </c>
      <c r="AU3" s="115">
        <v>26023</v>
      </c>
      <c r="AV3" s="37"/>
      <c r="AW3" s="37"/>
      <c r="AX3" s="37"/>
      <c r="AY3" s="37"/>
      <c r="AZ3" s="37">
        <f>developmentdata2019[[#This Row],[NUMBER OF CURRENT APARTMENTS]]*5/2000</f>
        <v>0.54500000000000004</v>
      </c>
      <c r="BA3" s="37">
        <f>developmentdata2019[[#This Row],[Total]]*BA$1</f>
        <v>0.14170000000000002</v>
      </c>
      <c r="BB3" s="37">
        <f>developmentdata2019[[#This Row],[Trash (tons/day)]]*BB$1</f>
        <v>2.6923000000000002E-2</v>
      </c>
      <c r="BC3" s="37">
        <f>developmentdata2019[[#This Row],[MGP (tons/day)]]*BC$1</f>
        <v>1.8846100000000003E-3</v>
      </c>
      <c r="BD3" s="37">
        <f>developmentdata2019[[#This Row],[Cardboard (tons/day)]]*BD$1</f>
        <v>1.3192270000000002E-4</v>
      </c>
      <c r="BE3" s="37">
        <f>developmentdata2019[[#This Row],[Paper (tons/day)]]*BE$1</f>
        <v>4.2215264000000011E-5</v>
      </c>
      <c r="BF3" s="37">
        <f>developmentdata2019[[#This Row],[Organics (tons/day)]]*BF$1</f>
        <v>4.2215264000000011E-7</v>
      </c>
      <c r="BG3" s="37">
        <f>developmentdata2019[[#This Row],[E-Waste (tons/day)]]*BG$1</f>
        <v>3.3772211200000007E-8</v>
      </c>
      <c r="BH3" s="37">
        <f>developmentdata2019[[#This Row],[Trash (tons/day)]]*BH$1</f>
        <v>2.9827850000000007</v>
      </c>
      <c r="BI3" s="37">
        <f>developmentdata2019[[#This Row],[MGP (tons/day)]]*BI$1</f>
        <v>0.48515246000000001</v>
      </c>
      <c r="BJ3" s="37">
        <f>developmentdata2019[[#This Row],[Cardboard (tons/day)]]*BJ$1</f>
        <v>5.0262548700000013E-2</v>
      </c>
      <c r="BK3" s="37">
        <f>developmentdata2019[[#This Row],[Paper (tons/day)]]*BK$1</f>
        <v>8.1660151300000025E-4</v>
      </c>
      <c r="BL3" s="37">
        <f>developmentdata2019[[#This Row],[Organics (tons/day)]]*BL$1</f>
        <v>1.8236994048000005E-4</v>
      </c>
      <c r="BM3" s="37">
        <f>developmentdata2019[[#This Row],[E-Waste (tons/day)]]*BM$1</f>
        <v>2.3851624160000009E-6</v>
      </c>
      <c r="BN3" s="37">
        <f>developmentdata2019[[#This Row],[Textiles (tons/day)]]*BN$1</f>
        <v>4.5018357529600008E-7</v>
      </c>
      <c r="BO3" s="37">
        <f>developmentdata2019[[#This Row],[Trash (CY/day)]]*201.974</f>
        <v>602.44501759000013</v>
      </c>
      <c r="BP3" s="37">
        <f>developmentdata2019[[#This Row],[MGP (CY/day)]]*201.974</f>
        <v>97.988182956039992</v>
      </c>
      <c r="BQ3" s="37">
        <f>developmentdata2019[[#This Row],[Cardboard (CY/day)]]*201.974</f>
        <v>10.151728011133802</v>
      </c>
      <c r="BR3" s="37">
        <f>developmentdata2019[[#This Row],[Paper  (CY/day)]]*201.974</f>
        <v>0.16493227398666205</v>
      </c>
      <c r="BS3" s="37">
        <f>developmentdata2019[[#This Row],[Organics (CY/day)]]*201.974</f>
        <v>3.6833986358507528E-2</v>
      </c>
      <c r="BT3" s="37">
        <f>developmentdata2019[[#This Row],[E-Waste (CY/day)]]*201.974</f>
        <v>4.8174079380918416E-4</v>
      </c>
      <c r="BU3" s="37">
        <f>developmentdata2019[[#This Row],[Textiles (CY/day)]]*201.974</f>
        <v>9.0925377436834311E-5</v>
      </c>
    </row>
    <row r="4" spans="1:73" x14ac:dyDescent="0.2">
      <c r="A4" s="37" t="s">
        <v>585</v>
      </c>
      <c r="B4" s="115">
        <v>43466</v>
      </c>
      <c r="C4" s="37" t="s">
        <v>586</v>
      </c>
      <c r="D4">
        <v>242</v>
      </c>
      <c r="E4">
        <v>167</v>
      </c>
      <c r="F4">
        <v>361</v>
      </c>
      <c r="G4">
        <v>283</v>
      </c>
      <c r="H4" s="37" t="s">
        <v>587</v>
      </c>
      <c r="I4" s="37" t="s">
        <v>577</v>
      </c>
      <c r="J4" s="37" t="s">
        <v>588</v>
      </c>
      <c r="K4" s="37" t="s">
        <v>579</v>
      </c>
      <c r="M4">
        <v>30</v>
      </c>
      <c r="N4">
        <v>30</v>
      </c>
      <c r="O4">
        <v>131</v>
      </c>
      <c r="P4">
        <v>4.37</v>
      </c>
      <c r="R4">
        <v>65</v>
      </c>
      <c r="S4">
        <v>65</v>
      </c>
      <c r="T4">
        <v>5</v>
      </c>
      <c r="U4">
        <v>0.17199999999999999</v>
      </c>
      <c r="V4">
        <v>1</v>
      </c>
      <c r="W4">
        <v>0</v>
      </c>
      <c r="X4">
        <v>1</v>
      </c>
      <c r="Y4">
        <v>4</v>
      </c>
      <c r="Z4">
        <v>10000</v>
      </c>
      <c r="AA4">
        <v>0.23</v>
      </c>
      <c r="AB4">
        <v>10000</v>
      </c>
      <c r="AC4">
        <v>0.23</v>
      </c>
      <c r="AD4">
        <v>6983</v>
      </c>
      <c r="AE4">
        <v>351238</v>
      </c>
      <c r="AF4">
        <v>0.69830000000000003</v>
      </c>
      <c r="AG4">
        <v>283</v>
      </c>
      <c r="AH4">
        <v>839110</v>
      </c>
      <c r="AI4">
        <v>6505</v>
      </c>
      <c r="AJ4">
        <v>643</v>
      </c>
      <c r="AK4" s="37" t="s">
        <v>589</v>
      </c>
      <c r="AL4" s="37" t="s">
        <v>590</v>
      </c>
      <c r="AM4" s="37" t="s">
        <v>591</v>
      </c>
      <c r="AN4" s="37" t="s">
        <v>592</v>
      </c>
      <c r="AO4" s="37" t="s">
        <v>593</v>
      </c>
      <c r="AP4">
        <v>16</v>
      </c>
      <c r="AQ4">
        <v>9</v>
      </c>
      <c r="AR4">
        <v>20</v>
      </c>
      <c r="AS4">
        <v>55</v>
      </c>
      <c r="AT4">
        <v>41</v>
      </c>
      <c r="AU4" s="115">
        <v>26603</v>
      </c>
      <c r="AV4" s="37"/>
      <c r="AW4" s="37"/>
      <c r="AX4" s="37"/>
      <c r="AY4" s="37"/>
      <c r="AZ4" s="37">
        <f>developmentdata2019[[#This Row],[NUMBER OF CURRENT APARTMENTS]]*5/2000</f>
        <v>7.4999999999999997E-2</v>
      </c>
      <c r="BA4" s="37">
        <f>developmentdata2019[[#This Row],[Total]]*BA$1</f>
        <v>1.95E-2</v>
      </c>
      <c r="BB4" s="37">
        <f>developmentdata2019[[#This Row],[Trash (tons/day)]]*BB$1</f>
        <v>3.705E-3</v>
      </c>
      <c r="BC4" s="37">
        <f>developmentdata2019[[#This Row],[MGP (tons/day)]]*BC$1</f>
        <v>2.5935000000000004E-4</v>
      </c>
      <c r="BD4" s="37">
        <f>developmentdata2019[[#This Row],[Cardboard (tons/day)]]*BD$1</f>
        <v>1.8154500000000004E-5</v>
      </c>
      <c r="BE4" s="37">
        <f>developmentdata2019[[#This Row],[Paper (tons/day)]]*BE$1</f>
        <v>5.8094400000000018E-6</v>
      </c>
      <c r="BF4" s="37">
        <f>developmentdata2019[[#This Row],[Organics (tons/day)]]*BF$1</f>
        <v>5.8094400000000019E-8</v>
      </c>
      <c r="BG4" s="37">
        <f>developmentdata2019[[#This Row],[E-Waste (tons/day)]]*BG$1</f>
        <v>4.6475520000000016E-9</v>
      </c>
      <c r="BH4" s="37">
        <f>developmentdata2019[[#This Row],[Trash (tons/day)]]*BH$1</f>
        <v>0.41047500000000003</v>
      </c>
      <c r="BI4" s="37">
        <f>developmentdata2019[[#This Row],[MGP (tons/day)]]*BI$1</f>
        <v>6.6764099999999993E-2</v>
      </c>
      <c r="BJ4" s="37">
        <f>developmentdata2019[[#This Row],[Cardboard (tons/day)]]*BJ$1</f>
        <v>6.9168645000000015E-3</v>
      </c>
      <c r="BK4" s="37">
        <f>developmentdata2019[[#This Row],[Paper (tons/day)]]*BK$1</f>
        <v>1.1237635500000003E-4</v>
      </c>
      <c r="BL4" s="37">
        <f>developmentdata2019[[#This Row],[Organics (tons/day)]]*BL$1</f>
        <v>2.5096780800000008E-5</v>
      </c>
      <c r="BM4" s="37">
        <f>developmentdata2019[[#This Row],[E-Waste (tons/day)]]*BM$1</f>
        <v>3.2823336000000014E-7</v>
      </c>
      <c r="BN4" s="37">
        <f>developmentdata2019[[#This Row],[Textiles (tons/day)]]*BN$1</f>
        <v>6.1951868160000019E-8</v>
      </c>
      <c r="BO4" s="37">
        <f>developmentdata2019[[#This Row],[Trash (CY/day)]]*201.974</f>
        <v>82.905277650000002</v>
      </c>
      <c r="BP4" s="37">
        <f>developmentdata2019[[#This Row],[MGP (CY/day)]]*201.974</f>
        <v>13.484612333399998</v>
      </c>
      <c r="BQ4" s="37">
        <f>developmentdata2019[[#This Row],[Cardboard (CY/day)]]*201.974</f>
        <v>1.3970267905230003</v>
      </c>
      <c r="BR4" s="37">
        <f>developmentdata2019[[#This Row],[Paper  (CY/day)]]*201.974</f>
        <v>2.2697101924770004E-2</v>
      </c>
      <c r="BS4" s="37">
        <f>developmentdata2019[[#This Row],[Organics (CY/day)]]*201.974</f>
        <v>5.0688972052992014E-3</v>
      </c>
      <c r="BT4" s="37">
        <f>developmentdata2019[[#This Row],[E-Waste (CY/day)]]*201.974</f>
        <v>6.6294604652640022E-5</v>
      </c>
      <c r="BU4" s="37">
        <f>developmentdata2019[[#This Row],[Textiles (CY/day)]]*201.974</f>
        <v>1.2512666619747843E-5</v>
      </c>
    </row>
    <row r="5" spans="1:73" x14ac:dyDescent="0.2">
      <c r="A5" s="37" t="s">
        <v>594</v>
      </c>
      <c r="B5" s="115">
        <v>43466</v>
      </c>
      <c r="C5" s="37" t="s">
        <v>595</v>
      </c>
      <c r="D5">
        <v>233</v>
      </c>
      <c r="E5">
        <v>308</v>
      </c>
      <c r="F5">
        <v>354</v>
      </c>
      <c r="G5">
        <v>344</v>
      </c>
      <c r="H5" s="37" t="s">
        <v>596</v>
      </c>
      <c r="I5" s="37" t="s">
        <v>577</v>
      </c>
      <c r="J5" s="37" t="s">
        <v>588</v>
      </c>
      <c r="K5" s="37" t="s">
        <v>597</v>
      </c>
      <c r="M5">
        <v>65</v>
      </c>
      <c r="N5">
        <v>66</v>
      </c>
      <c r="O5">
        <v>293.5</v>
      </c>
      <c r="P5">
        <v>4.5199999999999996</v>
      </c>
      <c r="R5">
        <v>170</v>
      </c>
      <c r="S5">
        <v>170</v>
      </c>
      <c r="T5">
        <v>21</v>
      </c>
      <c r="U5">
        <v>0.32800000000000001</v>
      </c>
      <c r="V5">
        <v>1</v>
      </c>
      <c r="W5">
        <v>0</v>
      </c>
      <c r="X5">
        <v>1</v>
      </c>
      <c r="Y5">
        <v>6</v>
      </c>
      <c r="Z5">
        <v>18987</v>
      </c>
      <c r="AA5">
        <v>0.44</v>
      </c>
      <c r="AB5">
        <v>18987</v>
      </c>
      <c r="AC5">
        <v>0.44</v>
      </c>
      <c r="AD5">
        <v>12231</v>
      </c>
      <c r="AE5">
        <v>851926</v>
      </c>
      <c r="AF5">
        <v>0.64419999999999999</v>
      </c>
      <c r="AG5">
        <v>386</v>
      </c>
      <c r="AH5">
        <v>2205187</v>
      </c>
      <c r="AI5">
        <v>7302</v>
      </c>
      <c r="AJ5">
        <v>440</v>
      </c>
      <c r="AK5" s="37" t="s">
        <v>598</v>
      </c>
      <c r="AL5" s="37" t="s">
        <v>599</v>
      </c>
      <c r="AM5" s="37" t="s">
        <v>600</v>
      </c>
      <c r="AN5" s="37" t="s">
        <v>601</v>
      </c>
      <c r="AO5" s="37" t="s">
        <v>584</v>
      </c>
      <c r="AP5">
        <v>3</v>
      </c>
      <c r="AQ5">
        <v>15</v>
      </c>
      <c r="AR5">
        <v>32</v>
      </c>
      <c r="AS5">
        <v>79</v>
      </c>
      <c r="AT5">
        <v>16</v>
      </c>
      <c r="AU5" s="115">
        <v>27759</v>
      </c>
      <c r="AV5" s="37"/>
      <c r="AW5" s="37"/>
      <c r="AX5" s="37"/>
      <c r="AY5" s="37"/>
      <c r="AZ5" s="37">
        <f>developmentdata2019[[#This Row],[NUMBER OF CURRENT APARTMENTS]]*5/2000</f>
        <v>0.16250000000000001</v>
      </c>
      <c r="BA5" s="37">
        <f>developmentdata2019[[#This Row],[Total]]*BA$1</f>
        <v>4.2250000000000003E-2</v>
      </c>
      <c r="BB5" s="37">
        <f>developmentdata2019[[#This Row],[Trash (tons/day)]]*BB$1</f>
        <v>8.0274999999999999E-3</v>
      </c>
      <c r="BC5" s="37">
        <f>developmentdata2019[[#This Row],[MGP (tons/day)]]*BC$1</f>
        <v>5.6192500000000001E-4</v>
      </c>
      <c r="BD5" s="37">
        <f>developmentdata2019[[#This Row],[Cardboard (tons/day)]]*BD$1</f>
        <v>3.9334750000000005E-5</v>
      </c>
      <c r="BE5" s="37">
        <f>developmentdata2019[[#This Row],[Paper (tons/day)]]*BE$1</f>
        <v>1.2587120000000002E-5</v>
      </c>
      <c r="BF5" s="37">
        <f>developmentdata2019[[#This Row],[Organics (tons/day)]]*BF$1</f>
        <v>1.2587120000000001E-7</v>
      </c>
      <c r="BG5" s="37">
        <f>developmentdata2019[[#This Row],[E-Waste (tons/day)]]*BG$1</f>
        <v>1.0069696000000001E-8</v>
      </c>
      <c r="BH5" s="37">
        <f>developmentdata2019[[#This Row],[Trash (tons/day)]]*BH$1</f>
        <v>0.88936250000000006</v>
      </c>
      <c r="BI5" s="37">
        <f>developmentdata2019[[#This Row],[MGP (tons/day)]]*BI$1</f>
        <v>0.14465554999999999</v>
      </c>
      <c r="BJ5" s="37">
        <f>developmentdata2019[[#This Row],[Cardboard (tons/day)]]*BJ$1</f>
        <v>1.4986539750000001E-2</v>
      </c>
      <c r="BK5" s="37">
        <f>developmentdata2019[[#This Row],[Paper (tons/day)]]*BK$1</f>
        <v>2.4348210250000005E-4</v>
      </c>
      <c r="BL5" s="37">
        <f>developmentdata2019[[#This Row],[Organics (tons/day)]]*BL$1</f>
        <v>5.4376358400000008E-5</v>
      </c>
      <c r="BM5" s="37">
        <f>developmentdata2019[[#This Row],[E-Waste (tons/day)]]*BM$1</f>
        <v>7.111722800000001E-7</v>
      </c>
      <c r="BN5" s="37">
        <f>developmentdata2019[[#This Row],[Textiles (tons/day)]]*BN$1</f>
        <v>1.3422904768000002E-7</v>
      </c>
      <c r="BO5" s="37">
        <f>developmentdata2019[[#This Row],[Trash (CY/day)]]*201.974</f>
        <v>179.62810157499999</v>
      </c>
      <c r="BP5" s="37">
        <f>developmentdata2019[[#This Row],[MGP (CY/day)]]*201.974</f>
        <v>29.216660055699997</v>
      </c>
      <c r="BQ5" s="37">
        <f>developmentdata2019[[#This Row],[Cardboard (CY/day)]]*201.974</f>
        <v>3.0268913794665</v>
      </c>
      <c r="BR5" s="37">
        <f>developmentdata2019[[#This Row],[Paper  (CY/day)]]*201.974</f>
        <v>4.9177054170335008E-2</v>
      </c>
      <c r="BS5" s="37">
        <f>developmentdata2019[[#This Row],[Organics (CY/day)]]*201.974</f>
        <v>1.0982610611481602E-2</v>
      </c>
      <c r="BT5" s="37">
        <f>developmentdata2019[[#This Row],[E-Waste (CY/day)]]*201.974</f>
        <v>1.4363831008072002E-4</v>
      </c>
      <c r="BU5" s="37">
        <f>developmentdata2019[[#This Row],[Textiles (CY/day)]]*201.974</f>
        <v>2.7110777676120325E-5</v>
      </c>
    </row>
    <row r="6" spans="1:73" x14ac:dyDescent="0.2">
      <c r="A6" s="37" t="s">
        <v>602</v>
      </c>
      <c r="B6" s="115">
        <v>43466</v>
      </c>
      <c r="C6" s="37" t="s">
        <v>603</v>
      </c>
      <c r="D6">
        <v>154</v>
      </c>
      <c r="E6">
        <v>97</v>
      </c>
      <c r="F6">
        <v>264</v>
      </c>
      <c r="G6">
        <v>261</v>
      </c>
      <c r="H6" s="37" t="s">
        <v>604</v>
      </c>
      <c r="I6" s="37" t="s">
        <v>577</v>
      </c>
      <c r="J6" s="37" t="s">
        <v>578</v>
      </c>
      <c r="K6" s="37" t="s">
        <v>579</v>
      </c>
      <c r="M6">
        <v>98</v>
      </c>
      <c r="N6">
        <v>100</v>
      </c>
      <c r="O6">
        <v>386</v>
      </c>
      <c r="P6">
        <v>3.94</v>
      </c>
      <c r="R6">
        <v>165</v>
      </c>
      <c r="S6">
        <v>165</v>
      </c>
      <c r="T6">
        <v>41</v>
      </c>
      <c r="U6">
        <v>0.42699999999999999</v>
      </c>
      <c r="V6">
        <v>1</v>
      </c>
      <c r="W6">
        <v>0</v>
      </c>
      <c r="X6">
        <v>1</v>
      </c>
      <c r="Y6">
        <v>17</v>
      </c>
      <c r="Z6">
        <v>29359</v>
      </c>
      <c r="AA6">
        <v>0.67</v>
      </c>
      <c r="AB6">
        <v>29359</v>
      </c>
      <c r="AC6">
        <v>0.67</v>
      </c>
      <c r="AD6">
        <v>5759</v>
      </c>
      <c r="AE6">
        <v>771591</v>
      </c>
      <c r="AF6">
        <v>0.19620000000000001</v>
      </c>
      <c r="AG6">
        <v>246</v>
      </c>
      <c r="AH6">
        <v>1880013</v>
      </c>
      <c r="AI6">
        <v>4694</v>
      </c>
      <c r="AJ6">
        <v>529</v>
      </c>
      <c r="AK6" s="37" t="s">
        <v>605</v>
      </c>
      <c r="AL6" s="37" t="s">
        <v>606</v>
      </c>
      <c r="AM6" s="37" t="s">
        <v>607</v>
      </c>
      <c r="AN6" s="37"/>
      <c r="AO6" s="37" t="s">
        <v>608</v>
      </c>
      <c r="AP6">
        <v>10</v>
      </c>
      <c r="AQ6">
        <v>13</v>
      </c>
      <c r="AR6">
        <v>30</v>
      </c>
      <c r="AS6">
        <v>70</v>
      </c>
      <c r="AT6">
        <v>9</v>
      </c>
      <c r="AU6" s="115">
        <v>23832</v>
      </c>
      <c r="AV6" s="37"/>
      <c r="AW6" s="37"/>
      <c r="AX6" s="37"/>
      <c r="AY6" s="37"/>
      <c r="AZ6" s="37">
        <f>developmentdata2019[[#This Row],[NUMBER OF CURRENT APARTMENTS]]*5/2000</f>
        <v>0.245</v>
      </c>
      <c r="BA6" s="37">
        <f>developmentdata2019[[#This Row],[Total]]*BA$1</f>
        <v>6.3700000000000007E-2</v>
      </c>
      <c r="BB6" s="37">
        <f>developmentdata2019[[#This Row],[Trash (tons/day)]]*BB$1</f>
        <v>1.2103000000000001E-2</v>
      </c>
      <c r="BC6" s="37">
        <f>developmentdata2019[[#This Row],[MGP (tons/day)]]*BC$1</f>
        <v>8.4721000000000015E-4</v>
      </c>
      <c r="BD6" s="37">
        <f>developmentdata2019[[#This Row],[Cardboard (tons/day)]]*BD$1</f>
        <v>5.9304700000000015E-5</v>
      </c>
      <c r="BE6" s="37">
        <f>developmentdata2019[[#This Row],[Paper (tons/day)]]*BE$1</f>
        <v>1.8977504000000007E-5</v>
      </c>
      <c r="BF6" s="37">
        <f>developmentdata2019[[#This Row],[Organics (tons/day)]]*BF$1</f>
        <v>1.8977504000000008E-7</v>
      </c>
      <c r="BG6" s="37">
        <f>developmentdata2019[[#This Row],[E-Waste (tons/day)]]*BG$1</f>
        <v>1.5182003200000008E-8</v>
      </c>
      <c r="BH6" s="37">
        <f>developmentdata2019[[#This Row],[Trash (tons/day)]]*BH$1</f>
        <v>1.3408850000000001</v>
      </c>
      <c r="BI6" s="37">
        <f>developmentdata2019[[#This Row],[MGP (tons/day)]]*BI$1</f>
        <v>0.21809606000000001</v>
      </c>
      <c r="BJ6" s="37">
        <f>developmentdata2019[[#This Row],[Cardboard (tons/day)]]*BJ$1</f>
        <v>2.2595090700000004E-2</v>
      </c>
      <c r="BK6" s="37">
        <f>developmentdata2019[[#This Row],[Paper (tons/day)]]*BK$1</f>
        <v>3.6709609300000014E-4</v>
      </c>
      <c r="BL6" s="37">
        <f>developmentdata2019[[#This Row],[Organics (tons/day)]]*BL$1</f>
        <v>8.1982817280000039E-5</v>
      </c>
      <c r="BM6" s="37">
        <f>developmentdata2019[[#This Row],[E-Waste (tons/day)]]*BM$1</f>
        <v>1.0722289760000006E-6</v>
      </c>
      <c r="BN6" s="37">
        <f>developmentdata2019[[#This Row],[Textiles (tons/day)]]*BN$1</f>
        <v>2.0237610265600011E-7</v>
      </c>
      <c r="BO6" s="37">
        <f>developmentdata2019[[#This Row],[Trash (CY/day)]]*201.974</f>
        <v>270.82390699000001</v>
      </c>
      <c r="BP6" s="37">
        <f>developmentdata2019[[#This Row],[MGP (CY/day)]]*201.974</f>
        <v>44.049733622440002</v>
      </c>
      <c r="BQ6" s="37">
        <f>developmentdata2019[[#This Row],[Cardboard (CY/day)]]*201.974</f>
        <v>4.5636208490418007</v>
      </c>
      <c r="BR6" s="37">
        <f>developmentdata2019[[#This Row],[Paper  (CY/day)]]*201.974</f>
        <v>7.414386628758203E-2</v>
      </c>
      <c r="BS6" s="37">
        <f>developmentdata2019[[#This Row],[Organics (CY/day)]]*201.974</f>
        <v>1.6558397537310726E-2</v>
      </c>
      <c r="BT6" s="37">
        <f>developmentdata2019[[#This Row],[E-Waste (CY/day)]]*201.974</f>
        <v>2.165623751986241E-4</v>
      </c>
      <c r="BU6" s="37">
        <f>developmentdata2019[[#This Row],[Textiles (CY/day)]]*201.974</f>
        <v>4.0874710957842967E-5</v>
      </c>
    </row>
    <row r="7" spans="1:73" x14ac:dyDescent="0.2">
      <c r="A7" s="37" t="s">
        <v>609</v>
      </c>
      <c r="B7" s="115">
        <v>43466</v>
      </c>
      <c r="C7" s="37" t="s">
        <v>610</v>
      </c>
      <c r="D7">
        <v>214</v>
      </c>
      <c r="E7">
        <v>67</v>
      </c>
      <c r="F7">
        <v>332</v>
      </c>
      <c r="G7">
        <v>222</v>
      </c>
      <c r="H7" s="37" t="s">
        <v>611</v>
      </c>
      <c r="I7" s="37" t="s">
        <v>577</v>
      </c>
      <c r="J7" s="37" t="s">
        <v>588</v>
      </c>
      <c r="K7" s="37" t="s">
        <v>579</v>
      </c>
      <c r="M7">
        <v>96</v>
      </c>
      <c r="N7">
        <v>96</v>
      </c>
      <c r="O7">
        <v>386</v>
      </c>
      <c r="P7">
        <v>4.0199999999999996</v>
      </c>
      <c r="R7">
        <v>156</v>
      </c>
      <c r="S7">
        <v>156</v>
      </c>
      <c r="T7">
        <v>47</v>
      </c>
      <c r="U7">
        <v>0.505</v>
      </c>
      <c r="V7">
        <v>1</v>
      </c>
      <c r="W7">
        <v>0</v>
      </c>
      <c r="X7">
        <v>1</v>
      </c>
      <c r="Y7">
        <v>6</v>
      </c>
      <c r="Z7">
        <v>39937</v>
      </c>
      <c r="AA7">
        <v>0.92</v>
      </c>
      <c r="AB7">
        <v>39937</v>
      </c>
      <c r="AC7">
        <v>0.92</v>
      </c>
      <c r="AD7">
        <v>13337</v>
      </c>
      <c r="AE7">
        <v>810629</v>
      </c>
      <c r="AF7">
        <v>0.33400000000000002</v>
      </c>
      <c r="AG7">
        <v>170</v>
      </c>
      <c r="AH7">
        <v>2278928</v>
      </c>
      <c r="AI7">
        <v>5814</v>
      </c>
      <c r="AJ7">
        <v>452</v>
      </c>
      <c r="AK7" s="37" t="s">
        <v>612</v>
      </c>
      <c r="AL7" s="37" t="s">
        <v>613</v>
      </c>
      <c r="AM7" s="37" t="s">
        <v>614</v>
      </c>
      <c r="AN7" s="37"/>
      <c r="AO7" s="37" t="s">
        <v>584</v>
      </c>
      <c r="AP7">
        <v>9</v>
      </c>
      <c r="AQ7">
        <v>15</v>
      </c>
      <c r="AR7">
        <v>32</v>
      </c>
      <c r="AS7">
        <v>85</v>
      </c>
      <c r="AT7">
        <v>17</v>
      </c>
      <c r="AU7" s="115">
        <v>25933</v>
      </c>
      <c r="AV7" s="37"/>
      <c r="AW7" s="37"/>
      <c r="AX7" s="37"/>
      <c r="AY7" s="37"/>
      <c r="AZ7" s="37">
        <f>developmentdata2019[[#This Row],[NUMBER OF CURRENT APARTMENTS]]*5/2000</f>
        <v>0.24</v>
      </c>
      <c r="BA7" s="37">
        <f>developmentdata2019[[#This Row],[Total]]*BA$1</f>
        <v>6.2399999999999997E-2</v>
      </c>
      <c r="BB7" s="37">
        <f>developmentdata2019[[#This Row],[Trash (tons/day)]]*BB$1</f>
        <v>1.1856E-2</v>
      </c>
      <c r="BC7" s="37">
        <f>developmentdata2019[[#This Row],[MGP (tons/day)]]*BC$1</f>
        <v>8.2992000000000005E-4</v>
      </c>
      <c r="BD7" s="37">
        <f>developmentdata2019[[#This Row],[Cardboard (tons/day)]]*BD$1</f>
        <v>5.8094400000000011E-5</v>
      </c>
      <c r="BE7" s="37">
        <f>developmentdata2019[[#This Row],[Paper (tons/day)]]*BE$1</f>
        <v>1.8590208000000002E-5</v>
      </c>
      <c r="BF7" s="37">
        <f>developmentdata2019[[#This Row],[Organics (tons/day)]]*BF$1</f>
        <v>1.8590208000000002E-7</v>
      </c>
      <c r="BG7" s="37">
        <f>developmentdata2019[[#This Row],[E-Waste (tons/day)]]*BG$1</f>
        <v>1.4872166400000003E-8</v>
      </c>
      <c r="BH7" s="37">
        <f>developmentdata2019[[#This Row],[Trash (tons/day)]]*BH$1</f>
        <v>1.31352</v>
      </c>
      <c r="BI7" s="37">
        <f>developmentdata2019[[#This Row],[MGP (tons/day)]]*BI$1</f>
        <v>0.21364511999999999</v>
      </c>
      <c r="BJ7" s="37">
        <f>developmentdata2019[[#This Row],[Cardboard (tons/day)]]*BJ$1</f>
        <v>2.2133966400000003E-2</v>
      </c>
      <c r="BK7" s="37">
        <f>developmentdata2019[[#This Row],[Paper (tons/day)]]*BK$1</f>
        <v>3.5960433600000009E-4</v>
      </c>
      <c r="BL7" s="37">
        <f>developmentdata2019[[#This Row],[Organics (tons/day)]]*BL$1</f>
        <v>8.0309698560000013E-5</v>
      </c>
      <c r="BM7" s="37">
        <f>developmentdata2019[[#This Row],[E-Waste (tons/day)]]*BM$1</f>
        <v>1.0503467520000001E-6</v>
      </c>
      <c r="BN7" s="37">
        <f>developmentdata2019[[#This Row],[Textiles (tons/day)]]*BN$1</f>
        <v>1.9824597811200003E-7</v>
      </c>
      <c r="BO7" s="37">
        <f>developmentdata2019[[#This Row],[Trash (CY/day)]]*201.974</f>
        <v>265.29688848000001</v>
      </c>
      <c r="BP7" s="37">
        <f>developmentdata2019[[#This Row],[MGP (CY/day)]]*201.974</f>
        <v>43.150759466879997</v>
      </c>
      <c r="BQ7" s="37">
        <f>developmentdata2019[[#This Row],[Cardboard (CY/day)]]*201.974</f>
        <v>4.4704857296736007</v>
      </c>
      <c r="BR7" s="37">
        <f>developmentdata2019[[#This Row],[Paper  (CY/day)]]*201.974</f>
        <v>7.2630726159264011E-2</v>
      </c>
      <c r="BS7" s="37">
        <f>developmentdata2019[[#This Row],[Organics (CY/day)]]*201.974</f>
        <v>1.6220471056957442E-2</v>
      </c>
      <c r="BT7" s="37">
        <f>developmentdata2019[[#This Row],[E-Waste (CY/day)]]*201.974</f>
        <v>2.1214273488844802E-4</v>
      </c>
      <c r="BU7" s="37">
        <f>developmentdata2019[[#This Row],[Textiles (CY/day)]]*201.974</f>
        <v>4.0040533183193095E-5</v>
      </c>
    </row>
    <row r="8" spans="1:73" x14ac:dyDescent="0.2">
      <c r="A8" s="37" t="s">
        <v>615</v>
      </c>
      <c r="B8" s="115">
        <v>43466</v>
      </c>
      <c r="C8" s="37" t="s">
        <v>616</v>
      </c>
      <c r="D8">
        <v>359</v>
      </c>
      <c r="E8">
        <v>359</v>
      </c>
      <c r="F8">
        <v>840</v>
      </c>
      <c r="G8">
        <v>840</v>
      </c>
      <c r="H8" s="37" t="s">
        <v>617</v>
      </c>
      <c r="I8" s="37" t="s">
        <v>577</v>
      </c>
      <c r="J8" s="37" t="s">
        <v>588</v>
      </c>
      <c r="K8" s="37" t="s">
        <v>579</v>
      </c>
      <c r="M8">
        <v>35</v>
      </c>
      <c r="N8">
        <v>35</v>
      </c>
      <c r="O8">
        <v>157.5</v>
      </c>
      <c r="P8">
        <v>4.5</v>
      </c>
      <c r="R8">
        <v>74</v>
      </c>
      <c r="S8">
        <v>74</v>
      </c>
      <c r="T8">
        <v>7</v>
      </c>
      <c r="U8">
        <v>0.2</v>
      </c>
      <c r="V8">
        <v>1</v>
      </c>
      <c r="W8">
        <v>0</v>
      </c>
      <c r="X8">
        <v>1</v>
      </c>
      <c r="Y8">
        <v>7</v>
      </c>
      <c r="Z8">
        <v>9621</v>
      </c>
      <c r="AA8">
        <v>0.22</v>
      </c>
      <c r="AB8">
        <v>9621</v>
      </c>
      <c r="AC8">
        <v>0.22</v>
      </c>
      <c r="AD8">
        <v>5774</v>
      </c>
      <c r="AE8">
        <v>361857</v>
      </c>
      <c r="AF8">
        <v>0.60009999999999997</v>
      </c>
      <c r="AG8">
        <v>336</v>
      </c>
      <c r="AH8">
        <v>4503296</v>
      </c>
      <c r="AI8">
        <v>28412</v>
      </c>
      <c r="AJ8">
        <v>644</v>
      </c>
      <c r="AK8" s="37" t="s">
        <v>618</v>
      </c>
      <c r="AL8" s="37" t="s">
        <v>619</v>
      </c>
      <c r="AM8" s="37" t="s">
        <v>620</v>
      </c>
      <c r="AN8" s="37"/>
      <c r="AO8" s="37" t="s">
        <v>608</v>
      </c>
      <c r="AP8">
        <v>7</v>
      </c>
      <c r="AQ8">
        <v>10</v>
      </c>
      <c r="AR8">
        <v>29</v>
      </c>
      <c r="AS8">
        <v>69</v>
      </c>
      <c r="AT8">
        <v>6</v>
      </c>
      <c r="AU8" s="115">
        <v>35155</v>
      </c>
      <c r="AV8" s="37"/>
      <c r="AW8" s="37"/>
      <c r="AX8" s="37" t="s">
        <v>621</v>
      </c>
      <c r="AY8" s="37" t="s">
        <v>621</v>
      </c>
      <c r="AZ8" s="37">
        <f>developmentdata2019[[#This Row],[NUMBER OF CURRENT APARTMENTS]]*5/2000</f>
        <v>8.7499999999999994E-2</v>
      </c>
      <c r="BA8" s="37">
        <f>developmentdata2019[[#This Row],[Total]]*BA$1</f>
        <v>2.2749999999999999E-2</v>
      </c>
      <c r="BB8" s="37">
        <f>developmentdata2019[[#This Row],[Trash (tons/day)]]*BB$1</f>
        <v>4.3225E-3</v>
      </c>
      <c r="BC8" s="37">
        <f>developmentdata2019[[#This Row],[MGP (tons/day)]]*BC$1</f>
        <v>3.0257500000000002E-4</v>
      </c>
      <c r="BD8" s="37">
        <f>developmentdata2019[[#This Row],[Cardboard (tons/day)]]*BD$1</f>
        <v>2.1180250000000004E-5</v>
      </c>
      <c r="BE8" s="37">
        <f>developmentdata2019[[#This Row],[Paper (tons/day)]]*BE$1</f>
        <v>6.7776800000000015E-6</v>
      </c>
      <c r="BF8" s="37">
        <f>developmentdata2019[[#This Row],[Organics (tons/day)]]*BF$1</f>
        <v>6.7776800000000014E-8</v>
      </c>
      <c r="BG8" s="37">
        <f>developmentdata2019[[#This Row],[E-Waste (tons/day)]]*BG$1</f>
        <v>5.4221440000000009E-9</v>
      </c>
      <c r="BH8" s="37">
        <f>developmentdata2019[[#This Row],[Trash (tons/day)]]*BH$1</f>
        <v>0.47888750000000002</v>
      </c>
      <c r="BI8" s="37">
        <f>developmentdata2019[[#This Row],[MGP (tons/day)]]*BI$1</f>
        <v>7.7891450000000001E-2</v>
      </c>
      <c r="BJ8" s="37">
        <f>developmentdata2019[[#This Row],[Cardboard (tons/day)]]*BJ$1</f>
        <v>8.0696752500000017E-3</v>
      </c>
      <c r="BK8" s="37">
        <f>developmentdata2019[[#This Row],[Paper (tons/day)]]*BK$1</f>
        <v>1.3110574750000003E-4</v>
      </c>
      <c r="BL8" s="37">
        <f>developmentdata2019[[#This Row],[Organics (tons/day)]]*BL$1</f>
        <v>2.9279577600000007E-5</v>
      </c>
      <c r="BM8" s="37">
        <f>developmentdata2019[[#This Row],[E-Waste (tons/day)]]*BM$1</f>
        <v>3.8293892000000012E-7</v>
      </c>
      <c r="BN8" s="37">
        <f>developmentdata2019[[#This Row],[Textiles (tons/day)]]*BN$1</f>
        <v>7.2277179520000018E-8</v>
      </c>
      <c r="BO8" s="37">
        <f>developmentdata2019[[#This Row],[Trash (CY/day)]]*201.974</f>
        <v>96.722823925</v>
      </c>
      <c r="BP8" s="37">
        <f>developmentdata2019[[#This Row],[MGP (CY/day)]]*201.974</f>
        <v>15.732047722299999</v>
      </c>
      <c r="BQ8" s="37">
        <f>developmentdata2019[[#This Row],[Cardboard (CY/day)]]*201.974</f>
        <v>1.6298645889435002</v>
      </c>
      <c r="BR8" s="37">
        <f>developmentdata2019[[#This Row],[Paper  (CY/day)]]*201.974</f>
        <v>2.6479952245565007E-2</v>
      </c>
      <c r="BS8" s="37">
        <f>developmentdata2019[[#This Row],[Organics (CY/day)]]*201.974</f>
        <v>5.9137134061824012E-3</v>
      </c>
      <c r="BT8" s="37">
        <f>developmentdata2019[[#This Row],[E-Waste (CY/day)]]*201.974</f>
        <v>7.7343705428080026E-5</v>
      </c>
      <c r="BU8" s="37">
        <f>developmentdata2019[[#This Row],[Textiles (CY/day)]]*201.974</f>
        <v>1.4598111056372482E-5</v>
      </c>
    </row>
    <row r="9" spans="1:73" x14ac:dyDescent="0.2">
      <c r="A9" s="37" t="s">
        <v>622</v>
      </c>
      <c r="B9" s="115">
        <v>43466</v>
      </c>
      <c r="C9" s="37" t="s">
        <v>623</v>
      </c>
      <c r="D9">
        <v>156</v>
      </c>
      <c r="E9">
        <v>73</v>
      </c>
      <c r="F9">
        <v>267</v>
      </c>
      <c r="G9">
        <v>267</v>
      </c>
      <c r="H9" s="37" t="s">
        <v>624</v>
      </c>
      <c r="I9" s="37" t="s">
        <v>577</v>
      </c>
      <c r="J9" s="37" t="s">
        <v>578</v>
      </c>
      <c r="K9" s="37" t="s">
        <v>579</v>
      </c>
      <c r="M9">
        <v>234</v>
      </c>
      <c r="N9">
        <v>234</v>
      </c>
      <c r="O9">
        <v>1101</v>
      </c>
      <c r="P9">
        <v>4.71</v>
      </c>
      <c r="R9">
        <v>541</v>
      </c>
      <c r="S9">
        <v>541</v>
      </c>
      <c r="T9">
        <v>100</v>
      </c>
      <c r="U9">
        <v>0.43099999999999999</v>
      </c>
      <c r="V9">
        <v>1</v>
      </c>
      <c r="W9">
        <v>0</v>
      </c>
      <c r="X9">
        <v>1</v>
      </c>
      <c r="Y9">
        <v>24</v>
      </c>
      <c r="Z9">
        <v>110000</v>
      </c>
      <c r="AA9">
        <v>2.5299999999999998</v>
      </c>
      <c r="AB9">
        <v>110000</v>
      </c>
      <c r="AC9">
        <v>2.5299999999999998</v>
      </c>
      <c r="AD9">
        <v>11311</v>
      </c>
      <c r="AE9">
        <v>2207369</v>
      </c>
      <c r="AF9">
        <v>0.1028</v>
      </c>
      <c r="AG9">
        <v>214</v>
      </c>
      <c r="AH9">
        <v>4703702</v>
      </c>
      <c r="AI9">
        <v>4272</v>
      </c>
      <c r="AJ9">
        <v>511</v>
      </c>
      <c r="AK9" s="37" t="s">
        <v>625</v>
      </c>
      <c r="AL9" s="37" t="s">
        <v>626</v>
      </c>
      <c r="AM9" s="37" t="s">
        <v>627</v>
      </c>
      <c r="AN9" s="37"/>
      <c r="AO9" s="37" t="s">
        <v>593</v>
      </c>
      <c r="AP9">
        <v>3</v>
      </c>
      <c r="AQ9">
        <v>8</v>
      </c>
      <c r="AR9">
        <v>18</v>
      </c>
      <c r="AS9">
        <v>54</v>
      </c>
      <c r="AT9">
        <v>36</v>
      </c>
      <c r="AU9" s="115">
        <v>24623</v>
      </c>
      <c r="AV9" s="37"/>
      <c r="AW9" s="37"/>
      <c r="AX9" s="37"/>
      <c r="AY9" s="37"/>
      <c r="AZ9" s="37">
        <f>developmentdata2019[[#This Row],[NUMBER OF CURRENT APARTMENTS]]*5/2000</f>
        <v>0.58499999999999996</v>
      </c>
      <c r="BA9" s="37">
        <f>developmentdata2019[[#This Row],[Total]]*BA$1</f>
        <v>0.15209999999999999</v>
      </c>
      <c r="BB9" s="37">
        <f>developmentdata2019[[#This Row],[Trash (tons/day)]]*BB$1</f>
        <v>2.8898999999999998E-2</v>
      </c>
      <c r="BC9" s="37">
        <f>developmentdata2019[[#This Row],[MGP (tons/day)]]*BC$1</f>
        <v>2.02293E-3</v>
      </c>
      <c r="BD9" s="37">
        <f>developmentdata2019[[#This Row],[Cardboard (tons/day)]]*BD$1</f>
        <v>1.416051E-4</v>
      </c>
      <c r="BE9" s="37">
        <f>developmentdata2019[[#This Row],[Paper (tons/day)]]*BE$1</f>
        <v>4.5313632E-5</v>
      </c>
      <c r="BF9" s="37">
        <f>developmentdata2019[[#This Row],[Organics (tons/day)]]*BF$1</f>
        <v>4.5313631999999998E-7</v>
      </c>
      <c r="BG9" s="37">
        <f>developmentdata2019[[#This Row],[E-Waste (tons/day)]]*BG$1</f>
        <v>3.6250905600000001E-8</v>
      </c>
      <c r="BH9" s="37">
        <f>developmentdata2019[[#This Row],[Trash (tons/day)]]*BH$1</f>
        <v>3.2017049999999996</v>
      </c>
      <c r="BI9" s="37">
        <f>developmentdata2019[[#This Row],[MGP (tons/day)]]*BI$1</f>
        <v>0.5207599799999999</v>
      </c>
      <c r="BJ9" s="37">
        <f>developmentdata2019[[#This Row],[Cardboard (tons/day)]]*BJ$1</f>
        <v>5.3951543100000006E-2</v>
      </c>
      <c r="BK9" s="37">
        <f>developmentdata2019[[#This Row],[Paper (tons/day)]]*BK$1</f>
        <v>8.7653556900000012E-4</v>
      </c>
      <c r="BL9" s="37">
        <f>developmentdata2019[[#This Row],[Organics (tons/day)]]*BL$1</f>
        <v>1.9575489024000001E-4</v>
      </c>
      <c r="BM9" s="37">
        <f>developmentdata2019[[#This Row],[E-Waste (tons/day)]]*BM$1</f>
        <v>2.5602202080000001E-6</v>
      </c>
      <c r="BN9" s="37">
        <f>developmentdata2019[[#This Row],[Textiles (tons/day)]]*BN$1</f>
        <v>4.8322457164799997E-7</v>
      </c>
      <c r="BO9" s="37">
        <f>developmentdata2019[[#This Row],[Trash (CY/day)]]*201.974</f>
        <v>646.66116566999983</v>
      </c>
      <c r="BP9" s="37">
        <f>developmentdata2019[[#This Row],[MGP (CY/day)]]*201.974</f>
        <v>105.17997620051997</v>
      </c>
      <c r="BQ9" s="37">
        <f>developmentdata2019[[#This Row],[Cardboard (CY/day)]]*201.974</f>
        <v>10.896808966079401</v>
      </c>
      <c r="BR9" s="37">
        <f>developmentdata2019[[#This Row],[Paper  (CY/day)]]*201.974</f>
        <v>0.17703739501320601</v>
      </c>
      <c r="BS9" s="37">
        <f>developmentdata2019[[#This Row],[Organics (CY/day)]]*201.974</f>
        <v>3.9537398201333764E-2</v>
      </c>
      <c r="BT9" s="37">
        <f>developmentdata2019[[#This Row],[E-Waste (CY/day)]]*201.974</f>
        <v>5.1709791629059201E-4</v>
      </c>
      <c r="BU9" s="37">
        <f>developmentdata2019[[#This Row],[Textiles (CY/day)]]*201.974</f>
        <v>9.7598799634033138E-5</v>
      </c>
    </row>
    <row r="10" spans="1:73" x14ac:dyDescent="0.2">
      <c r="A10" s="37" t="s">
        <v>628</v>
      </c>
      <c r="B10" s="115">
        <v>43466</v>
      </c>
      <c r="C10" s="37" t="s">
        <v>629</v>
      </c>
      <c r="D10">
        <v>203</v>
      </c>
      <c r="E10">
        <v>64</v>
      </c>
      <c r="F10">
        <v>320</v>
      </c>
      <c r="G10">
        <v>219</v>
      </c>
      <c r="H10" s="37" t="s">
        <v>630</v>
      </c>
      <c r="I10" s="37" t="s">
        <v>577</v>
      </c>
      <c r="J10" s="37" t="s">
        <v>588</v>
      </c>
      <c r="K10" s="37" t="s">
        <v>579</v>
      </c>
      <c r="M10">
        <v>66</v>
      </c>
      <c r="N10">
        <v>66</v>
      </c>
      <c r="O10">
        <v>259</v>
      </c>
      <c r="P10">
        <v>3.92</v>
      </c>
      <c r="R10">
        <v>114</v>
      </c>
      <c r="S10">
        <v>114</v>
      </c>
      <c r="T10">
        <v>33</v>
      </c>
      <c r="U10">
        <v>0.5</v>
      </c>
      <c r="V10">
        <v>1</v>
      </c>
      <c r="W10">
        <v>0</v>
      </c>
      <c r="X10">
        <v>1</v>
      </c>
      <c r="Y10">
        <v>6</v>
      </c>
      <c r="Z10">
        <v>20205</v>
      </c>
      <c r="AA10">
        <v>0.46</v>
      </c>
      <c r="AB10">
        <v>20205</v>
      </c>
      <c r="AC10">
        <v>0.46</v>
      </c>
      <c r="AD10">
        <v>9143</v>
      </c>
      <c r="AE10">
        <v>530550</v>
      </c>
      <c r="AF10">
        <v>0.45250000000000001</v>
      </c>
      <c r="AG10">
        <v>248</v>
      </c>
      <c r="AH10">
        <v>1241825</v>
      </c>
      <c r="AI10">
        <v>4651</v>
      </c>
      <c r="AJ10">
        <v>482</v>
      </c>
      <c r="AK10" s="37" t="s">
        <v>631</v>
      </c>
      <c r="AL10" s="37" t="s">
        <v>632</v>
      </c>
      <c r="AM10" s="37" t="s">
        <v>633</v>
      </c>
      <c r="AN10" s="37" t="s">
        <v>634</v>
      </c>
      <c r="AO10" s="37" t="s">
        <v>608</v>
      </c>
      <c r="AP10">
        <v>11</v>
      </c>
      <c r="AQ10">
        <v>13</v>
      </c>
      <c r="AR10">
        <v>29</v>
      </c>
      <c r="AS10">
        <v>68</v>
      </c>
      <c r="AT10">
        <v>8</v>
      </c>
      <c r="AU10" s="115">
        <v>25384</v>
      </c>
      <c r="AV10" s="37"/>
      <c r="AW10" s="37"/>
      <c r="AX10" s="37"/>
      <c r="AY10" s="37"/>
      <c r="AZ10" s="37">
        <f>developmentdata2019[[#This Row],[NUMBER OF CURRENT APARTMENTS]]*5/2000</f>
        <v>0.16500000000000001</v>
      </c>
      <c r="BA10" s="37">
        <f>developmentdata2019[[#This Row],[Total]]*BA$1</f>
        <v>4.2900000000000001E-2</v>
      </c>
      <c r="BB10" s="37">
        <f>developmentdata2019[[#This Row],[Trash (tons/day)]]*BB$1</f>
        <v>8.1510000000000003E-3</v>
      </c>
      <c r="BC10" s="37">
        <f>developmentdata2019[[#This Row],[MGP (tons/day)]]*BC$1</f>
        <v>5.7057000000000006E-4</v>
      </c>
      <c r="BD10" s="37">
        <f>developmentdata2019[[#This Row],[Cardboard (tons/day)]]*BD$1</f>
        <v>3.9939900000000007E-5</v>
      </c>
      <c r="BE10" s="37">
        <f>developmentdata2019[[#This Row],[Paper (tons/day)]]*BE$1</f>
        <v>1.2780768000000002E-5</v>
      </c>
      <c r="BF10" s="37">
        <f>developmentdata2019[[#This Row],[Organics (tons/day)]]*BF$1</f>
        <v>1.2780768000000003E-7</v>
      </c>
      <c r="BG10" s="37">
        <f>developmentdata2019[[#This Row],[E-Waste (tons/day)]]*BG$1</f>
        <v>1.0224614400000003E-8</v>
      </c>
      <c r="BH10" s="37">
        <f>developmentdata2019[[#This Row],[Trash (tons/day)]]*BH$1</f>
        <v>0.9030450000000001</v>
      </c>
      <c r="BI10" s="37">
        <f>developmentdata2019[[#This Row],[MGP (tons/day)]]*BI$1</f>
        <v>0.14688102</v>
      </c>
      <c r="BJ10" s="37">
        <f>developmentdata2019[[#This Row],[Cardboard (tons/day)]]*BJ$1</f>
        <v>1.5217101900000002E-2</v>
      </c>
      <c r="BK10" s="37">
        <f>developmentdata2019[[#This Row],[Paper (tons/day)]]*BK$1</f>
        <v>2.4722798100000007E-4</v>
      </c>
      <c r="BL10" s="37">
        <f>developmentdata2019[[#This Row],[Organics (tons/day)]]*BL$1</f>
        <v>5.5212917760000015E-5</v>
      </c>
      <c r="BM10" s="37">
        <f>developmentdata2019[[#This Row],[E-Waste (tons/day)]]*BM$1</f>
        <v>7.2211339200000023E-7</v>
      </c>
      <c r="BN10" s="37">
        <f>developmentdata2019[[#This Row],[Textiles (tons/day)]]*BN$1</f>
        <v>1.3629410995200004E-7</v>
      </c>
      <c r="BO10" s="37">
        <f>developmentdata2019[[#This Row],[Trash (CY/day)]]*201.974</f>
        <v>182.39161083000002</v>
      </c>
      <c r="BP10" s="37">
        <f>developmentdata2019[[#This Row],[MGP (CY/day)]]*201.974</f>
        <v>29.666147133479999</v>
      </c>
      <c r="BQ10" s="37">
        <f>developmentdata2019[[#This Row],[Cardboard (CY/day)]]*201.974</f>
        <v>3.0734589391506004</v>
      </c>
      <c r="BR10" s="37">
        <f>developmentdata2019[[#This Row],[Paper  (CY/day)]]*201.974</f>
        <v>4.993362423449401E-2</v>
      </c>
      <c r="BS10" s="37">
        <f>developmentdata2019[[#This Row],[Organics (CY/day)]]*201.974</f>
        <v>1.1151573851658242E-2</v>
      </c>
      <c r="BT10" s="37">
        <f>developmentdata2019[[#This Row],[E-Waste (CY/day)]]*201.974</f>
        <v>1.4584813023580805E-4</v>
      </c>
      <c r="BU10" s="37">
        <f>developmentdata2019[[#This Row],[Textiles (CY/day)]]*201.974</f>
        <v>2.7527866563445254E-5</v>
      </c>
    </row>
    <row r="11" spans="1:73" x14ac:dyDescent="0.2">
      <c r="A11" s="37" t="s">
        <v>635</v>
      </c>
      <c r="B11" s="115">
        <v>43466</v>
      </c>
      <c r="C11" s="37" t="s">
        <v>636</v>
      </c>
      <c r="D11">
        <v>185</v>
      </c>
      <c r="E11">
        <v>153</v>
      </c>
      <c r="F11">
        <v>452</v>
      </c>
      <c r="G11">
        <v>452</v>
      </c>
      <c r="H11" s="37" t="s">
        <v>637</v>
      </c>
      <c r="I11" s="37" t="s">
        <v>638</v>
      </c>
      <c r="J11" s="37" t="s">
        <v>578</v>
      </c>
      <c r="K11" s="37" t="s">
        <v>579</v>
      </c>
      <c r="L11">
        <v>73</v>
      </c>
      <c r="M11">
        <v>225</v>
      </c>
      <c r="N11">
        <v>225</v>
      </c>
      <c r="O11">
        <v>985.5</v>
      </c>
      <c r="P11">
        <v>4.38</v>
      </c>
      <c r="Q11">
        <v>146</v>
      </c>
      <c r="R11">
        <v>281</v>
      </c>
      <c r="S11">
        <v>427</v>
      </c>
      <c r="T11">
        <v>111</v>
      </c>
      <c r="U11">
        <v>0.502</v>
      </c>
      <c r="V11">
        <v>1</v>
      </c>
      <c r="W11">
        <v>0</v>
      </c>
      <c r="X11">
        <v>1</v>
      </c>
      <c r="Y11">
        <v>26</v>
      </c>
      <c r="Z11">
        <v>44644</v>
      </c>
      <c r="AA11">
        <v>1.02</v>
      </c>
      <c r="AB11">
        <v>44644</v>
      </c>
      <c r="AC11">
        <v>1.02</v>
      </c>
      <c r="AD11">
        <v>7889</v>
      </c>
      <c r="AE11">
        <v>1946457</v>
      </c>
      <c r="AF11">
        <v>0.1767</v>
      </c>
      <c r="AG11">
        <v>419</v>
      </c>
      <c r="AH11">
        <v>4980000</v>
      </c>
      <c r="AI11">
        <v>5053</v>
      </c>
      <c r="AJ11">
        <v>516</v>
      </c>
      <c r="AK11" s="37" t="s">
        <v>639</v>
      </c>
      <c r="AL11" s="37" t="s">
        <v>640</v>
      </c>
      <c r="AM11" s="37" t="s">
        <v>641</v>
      </c>
      <c r="AN11" s="37" t="s">
        <v>633</v>
      </c>
      <c r="AO11" s="37" t="s">
        <v>608</v>
      </c>
      <c r="AP11">
        <v>6</v>
      </c>
      <c r="AQ11">
        <v>12</v>
      </c>
      <c r="AR11">
        <v>27</v>
      </c>
      <c r="AS11">
        <v>74</v>
      </c>
      <c r="AT11">
        <v>2</v>
      </c>
      <c r="AU11" s="115">
        <v>26023</v>
      </c>
      <c r="AV11" s="37"/>
      <c r="AW11" s="37"/>
      <c r="AX11" s="37"/>
      <c r="AY11" s="37"/>
      <c r="AZ11" s="37">
        <f>developmentdata2019[[#This Row],[NUMBER OF CURRENT APARTMENTS]]*5/2000</f>
        <v>0.5625</v>
      </c>
      <c r="BA11" s="37">
        <f>developmentdata2019[[#This Row],[Total]]*BA$1</f>
        <v>0.14624999999999999</v>
      </c>
      <c r="BB11" s="37">
        <f>developmentdata2019[[#This Row],[Trash (tons/day)]]*BB$1</f>
        <v>2.77875E-2</v>
      </c>
      <c r="BC11" s="37">
        <f>developmentdata2019[[#This Row],[MGP (tons/day)]]*BC$1</f>
        <v>1.9451250000000002E-3</v>
      </c>
      <c r="BD11" s="37">
        <f>developmentdata2019[[#This Row],[Cardboard (tons/day)]]*BD$1</f>
        <v>1.3615875000000003E-4</v>
      </c>
      <c r="BE11" s="37">
        <f>developmentdata2019[[#This Row],[Paper (tons/day)]]*BE$1</f>
        <v>4.3570800000000013E-5</v>
      </c>
      <c r="BF11" s="37">
        <f>developmentdata2019[[#This Row],[Organics (tons/day)]]*BF$1</f>
        <v>4.3570800000000013E-7</v>
      </c>
      <c r="BG11" s="37">
        <f>developmentdata2019[[#This Row],[E-Waste (tons/day)]]*BG$1</f>
        <v>3.485664000000001E-8</v>
      </c>
      <c r="BH11" s="37">
        <f>developmentdata2019[[#This Row],[Trash (tons/day)]]*BH$1</f>
        <v>3.0785624999999999</v>
      </c>
      <c r="BI11" s="37">
        <f>developmentdata2019[[#This Row],[MGP (tons/day)]]*BI$1</f>
        <v>0.50073075</v>
      </c>
      <c r="BJ11" s="37">
        <f>developmentdata2019[[#This Row],[Cardboard (tons/day)]]*BJ$1</f>
        <v>5.1876483750000008E-2</v>
      </c>
      <c r="BK11" s="37">
        <f>developmentdata2019[[#This Row],[Paper (tons/day)]]*BK$1</f>
        <v>8.428226625000003E-4</v>
      </c>
      <c r="BL11" s="37">
        <f>developmentdata2019[[#This Row],[Organics (tons/day)]]*BL$1</f>
        <v>1.8822585600000006E-4</v>
      </c>
      <c r="BM11" s="37">
        <f>developmentdata2019[[#This Row],[E-Waste (tons/day)]]*BM$1</f>
        <v>2.4617502000000009E-6</v>
      </c>
      <c r="BN11" s="37">
        <f>developmentdata2019[[#This Row],[Textiles (tons/day)]]*BN$1</f>
        <v>4.6463901120000012E-7</v>
      </c>
      <c r="BO11" s="37">
        <f>developmentdata2019[[#This Row],[Trash (CY/day)]]*201.974</f>
        <v>621.7895823749999</v>
      </c>
      <c r="BP11" s="37">
        <f>developmentdata2019[[#This Row],[MGP (CY/day)]]*201.974</f>
        <v>101.13459250049999</v>
      </c>
      <c r="BQ11" s="37">
        <f>developmentdata2019[[#This Row],[Cardboard (CY/day)]]*201.974</f>
        <v>10.4777009289225</v>
      </c>
      <c r="BR11" s="37">
        <f>developmentdata2019[[#This Row],[Paper  (CY/day)]]*201.974</f>
        <v>0.17022826443577505</v>
      </c>
      <c r="BS11" s="37">
        <f>developmentdata2019[[#This Row],[Organics (CY/day)]]*201.974</f>
        <v>3.8016729039744013E-2</v>
      </c>
      <c r="BT11" s="37">
        <f>developmentdata2019[[#This Row],[E-Waste (CY/day)]]*201.974</f>
        <v>4.9720953489480019E-4</v>
      </c>
      <c r="BU11" s="37">
        <f>developmentdata2019[[#This Row],[Textiles (CY/day)]]*201.974</f>
        <v>9.3844999648108816E-5</v>
      </c>
    </row>
    <row r="12" spans="1:73" x14ac:dyDescent="0.2">
      <c r="A12" s="37" t="s">
        <v>326</v>
      </c>
      <c r="B12" s="115">
        <v>43466</v>
      </c>
      <c r="C12" s="37" t="s">
        <v>642</v>
      </c>
      <c r="D12">
        <v>265</v>
      </c>
      <c r="E12">
        <v>100</v>
      </c>
      <c r="F12">
        <v>380</v>
      </c>
      <c r="G12">
        <v>312</v>
      </c>
      <c r="H12" s="37" t="s">
        <v>643</v>
      </c>
      <c r="I12" s="37" t="s">
        <v>577</v>
      </c>
      <c r="J12" s="37" t="s">
        <v>588</v>
      </c>
      <c r="K12" s="37" t="s">
        <v>579</v>
      </c>
      <c r="M12">
        <v>107</v>
      </c>
      <c r="N12">
        <v>107</v>
      </c>
      <c r="O12">
        <v>537.5</v>
      </c>
      <c r="P12">
        <v>5.0199999999999996</v>
      </c>
      <c r="R12">
        <v>237</v>
      </c>
      <c r="S12">
        <v>237</v>
      </c>
      <c r="T12">
        <v>46</v>
      </c>
      <c r="U12">
        <v>0.442</v>
      </c>
      <c r="V12">
        <v>1</v>
      </c>
      <c r="W12">
        <v>1</v>
      </c>
      <c r="X12">
        <v>2</v>
      </c>
      <c r="Y12">
        <v>14</v>
      </c>
      <c r="Z12">
        <v>39609</v>
      </c>
      <c r="AA12">
        <v>0.91</v>
      </c>
      <c r="AB12">
        <v>39609</v>
      </c>
      <c r="AC12">
        <v>0.91</v>
      </c>
      <c r="AD12">
        <v>8031</v>
      </c>
      <c r="AE12">
        <v>950162</v>
      </c>
      <c r="AF12">
        <v>0.20280000000000001</v>
      </c>
      <c r="AG12">
        <v>260</v>
      </c>
      <c r="AH12">
        <v>4290021</v>
      </c>
      <c r="AI12">
        <v>7981</v>
      </c>
      <c r="AJ12">
        <v>687</v>
      </c>
      <c r="AK12" s="37" t="s">
        <v>644</v>
      </c>
      <c r="AL12" s="37" t="s">
        <v>645</v>
      </c>
      <c r="AM12" s="37" t="s">
        <v>646</v>
      </c>
      <c r="AN12" s="37" t="s">
        <v>647</v>
      </c>
      <c r="AO12" s="37" t="s">
        <v>608</v>
      </c>
      <c r="AP12">
        <v>3</v>
      </c>
      <c r="AQ12">
        <v>7</v>
      </c>
      <c r="AR12">
        <v>26</v>
      </c>
      <c r="AS12">
        <v>65</v>
      </c>
      <c r="AT12">
        <v>1</v>
      </c>
      <c r="AU12" s="115">
        <v>27241</v>
      </c>
      <c r="AV12" s="37"/>
      <c r="AW12" s="37"/>
      <c r="AX12" s="37"/>
      <c r="AY12" s="37"/>
      <c r="AZ12" s="37">
        <f>developmentdata2019[[#This Row],[NUMBER OF CURRENT APARTMENTS]]*5/2000</f>
        <v>0.26750000000000002</v>
      </c>
      <c r="BA12" s="37">
        <f>developmentdata2019[[#This Row],[Total]]*BA$1</f>
        <v>6.9550000000000001E-2</v>
      </c>
      <c r="BB12" s="37">
        <f>developmentdata2019[[#This Row],[Trash (tons/day)]]*BB$1</f>
        <v>1.3214500000000001E-2</v>
      </c>
      <c r="BC12" s="37">
        <f>developmentdata2019[[#This Row],[MGP (tons/day)]]*BC$1</f>
        <v>9.2501500000000017E-4</v>
      </c>
      <c r="BD12" s="37">
        <f>developmentdata2019[[#This Row],[Cardboard (tons/day)]]*BD$1</f>
        <v>6.4751050000000021E-5</v>
      </c>
      <c r="BE12" s="37">
        <f>developmentdata2019[[#This Row],[Paper (tons/day)]]*BE$1</f>
        <v>2.0720336000000007E-5</v>
      </c>
      <c r="BF12" s="37">
        <f>developmentdata2019[[#This Row],[Organics (tons/day)]]*BF$1</f>
        <v>2.0720336000000007E-7</v>
      </c>
      <c r="BG12" s="37">
        <f>developmentdata2019[[#This Row],[E-Waste (tons/day)]]*BG$1</f>
        <v>1.6576268800000005E-8</v>
      </c>
      <c r="BH12" s="37">
        <f>developmentdata2019[[#This Row],[Trash (tons/day)]]*BH$1</f>
        <v>1.4640275</v>
      </c>
      <c r="BI12" s="37">
        <f>developmentdata2019[[#This Row],[MGP (tons/day)]]*BI$1</f>
        <v>0.23812529000000002</v>
      </c>
      <c r="BJ12" s="37">
        <f>developmentdata2019[[#This Row],[Cardboard (tons/day)]]*BJ$1</f>
        <v>2.4670150050000006E-2</v>
      </c>
      <c r="BK12" s="37">
        <f>developmentdata2019[[#This Row],[Paper (tons/day)]]*BK$1</f>
        <v>4.0080899950000018E-4</v>
      </c>
      <c r="BL12" s="37">
        <f>developmentdata2019[[#This Row],[Organics (tons/day)]]*BL$1</f>
        <v>8.9511851520000037E-5</v>
      </c>
      <c r="BM12" s="37">
        <f>developmentdata2019[[#This Row],[E-Waste (tons/day)]]*BM$1</f>
        <v>1.1706989840000004E-6</v>
      </c>
      <c r="BN12" s="37">
        <f>developmentdata2019[[#This Row],[Textiles (tons/day)]]*BN$1</f>
        <v>2.2096166310400007E-7</v>
      </c>
      <c r="BO12" s="37">
        <f>developmentdata2019[[#This Row],[Trash (CY/day)]]*201.974</f>
        <v>295.69549028500001</v>
      </c>
      <c r="BP12" s="37">
        <f>developmentdata2019[[#This Row],[MGP (CY/day)]]*201.974</f>
        <v>48.095117322459998</v>
      </c>
      <c r="BQ12" s="37">
        <f>developmentdata2019[[#This Row],[Cardboard (CY/day)]]*201.974</f>
        <v>4.9827288861987009</v>
      </c>
      <c r="BR12" s="37">
        <f>developmentdata2019[[#This Row],[Paper  (CY/day)]]*201.974</f>
        <v>8.0952996865013033E-2</v>
      </c>
      <c r="BS12" s="37">
        <f>developmentdata2019[[#This Row],[Organics (CY/day)]]*201.974</f>
        <v>1.8079066698900487E-2</v>
      </c>
      <c r="BT12" s="37">
        <f>developmentdata2019[[#This Row],[E-Waste (CY/day)]]*201.974</f>
        <v>2.3645075659441608E-4</v>
      </c>
      <c r="BU12" s="37">
        <f>developmentdata2019[[#This Row],[Textiles (CY/day)]]*201.974</f>
        <v>4.462851094376731E-5</v>
      </c>
    </row>
    <row r="13" spans="1:73" x14ac:dyDescent="0.2">
      <c r="A13" s="37" t="s">
        <v>648</v>
      </c>
      <c r="B13" s="115">
        <v>43466</v>
      </c>
      <c r="C13" s="37" t="s">
        <v>649</v>
      </c>
      <c r="D13">
        <v>196</v>
      </c>
      <c r="E13">
        <v>163</v>
      </c>
      <c r="F13">
        <v>307</v>
      </c>
      <c r="G13">
        <v>272</v>
      </c>
      <c r="H13" s="37" t="s">
        <v>650</v>
      </c>
      <c r="I13" s="37" t="s">
        <v>577</v>
      </c>
      <c r="J13" s="37" t="s">
        <v>588</v>
      </c>
      <c r="K13" s="37" t="s">
        <v>579</v>
      </c>
      <c r="M13">
        <v>200</v>
      </c>
      <c r="N13">
        <v>200</v>
      </c>
      <c r="O13">
        <v>815</v>
      </c>
      <c r="P13">
        <v>4.08</v>
      </c>
      <c r="R13">
        <v>375</v>
      </c>
      <c r="S13">
        <v>375</v>
      </c>
      <c r="T13">
        <v>84</v>
      </c>
      <c r="U13">
        <v>0.42</v>
      </c>
      <c r="V13">
        <v>1</v>
      </c>
      <c r="W13">
        <v>1</v>
      </c>
      <c r="X13">
        <v>2</v>
      </c>
      <c r="Y13">
        <v>6</v>
      </c>
      <c r="Z13">
        <v>81700</v>
      </c>
      <c r="AA13">
        <v>1.88</v>
      </c>
      <c r="AB13">
        <v>81700</v>
      </c>
      <c r="AC13">
        <v>1.88</v>
      </c>
      <c r="AD13">
        <v>28530</v>
      </c>
      <c r="AE13">
        <v>1726301</v>
      </c>
      <c r="AF13">
        <v>0.34920000000000001</v>
      </c>
      <c r="AG13">
        <v>199</v>
      </c>
      <c r="AH13">
        <v>5984598</v>
      </c>
      <c r="AI13">
        <v>7116</v>
      </c>
      <c r="AJ13">
        <v>536</v>
      </c>
      <c r="AK13" s="37" t="s">
        <v>651</v>
      </c>
      <c r="AL13" s="37" t="s">
        <v>652</v>
      </c>
      <c r="AM13" s="37" t="s">
        <v>600</v>
      </c>
      <c r="AN13" s="37" t="s">
        <v>653</v>
      </c>
      <c r="AO13" s="37" t="s">
        <v>593</v>
      </c>
      <c r="AP13">
        <v>6</v>
      </c>
      <c r="AQ13">
        <v>7</v>
      </c>
      <c r="AR13">
        <v>25</v>
      </c>
      <c r="AS13">
        <v>52</v>
      </c>
      <c r="AT13">
        <v>33</v>
      </c>
      <c r="AU13" s="115">
        <v>26542</v>
      </c>
      <c r="AV13" s="37"/>
      <c r="AW13" s="37"/>
      <c r="AX13" s="37"/>
      <c r="AY13" s="37"/>
      <c r="AZ13" s="37">
        <f>developmentdata2019[[#This Row],[NUMBER OF CURRENT APARTMENTS]]*5/2000</f>
        <v>0.5</v>
      </c>
      <c r="BA13" s="37">
        <f>developmentdata2019[[#This Row],[Total]]*BA$1</f>
        <v>0.13</v>
      </c>
      <c r="BB13" s="37">
        <f>developmentdata2019[[#This Row],[Trash (tons/day)]]*BB$1</f>
        <v>2.47E-2</v>
      </c>
      <c r="BC13" s="37">
        <f>developmentdata2019[[#This Row],[MGP (tons/day)]]*BC$1</f>
        <v>1.7290000000000001E-3</v>
      </c>
      <c r="BD13" s="37">
        <f>developmentdata2019[[#This Row],[Cardboard (tons/day)]]*BD$1</f>
        <v>1.2103000000000001E-4</v>
      </c>
      <c r="BE13" s="37">
        <f>developmentdata2019[[#This Row],[Paper (tons/day)]]*BE$1</f>
        <v>3.8729600000000003E-5</v>
      </c>
      <c r="BF13" s="37">
        <f>developmentdata2019[[#This Row],[Organics (tons/day)]]*BF$1</f>
        <v>3.8729600000000003E-7</v>
      </c>
      <c r="BG13" s="37">
        <f>developmentdata2019[[#This Row],[E-Waste (tons/day)]]*BG$1</f>
        <v>3.0983680000000005E-8</v>
      </c>
      <c r="BH13" s="37">
        <f>developmentdata2019[[#This Row],[Trash (tons/day)]]*BH$1</f>
        <v>2.7365000000000004</v>
      </c>
      <c r="BI13" s="37">
        <f>developmentdata2019[[#This Row],[MGP (tons/day)]]*BI$1</f>
        <v>0.44509399999999999</v>
      </c>
      <c r="BJ13" s="37">
        <f>developmentdata2019[[#This Row],[Cardboard (tons/day)]]*BJ$1</f>
        <v>4.6112430000000003E-2</v>
      </c>
      <c r="BK13" s="37">
        <f>developmentdata2019[[#This Row],[Paper (tons/day)]]*BK$1</f>
        <v>7.4917570000000017E-4</v>
      </c>
      <c r="BL13" s="37">
        <f>developmentdata2019[[#This Row],[Organics (tons/day)]]*BL$1</f>
        <v>1.6731187200000002E-4</v>
      </c>
      <c r="BM13" s="37">
        <f>developmentdata2019[[#This Row],[E-Waste (tons/day)]]*BM$1</f>
        <v>2.1882224000000004E-6</v>
      </c>
      <c r="BN13" s="37">
        <f>developmentdata2019[[#This Row],[Textiles (tons/day)]]*BN$1</f>
        <v>4.1301245440000006E-7</v>
      </c>
      <c r="BO13" s="37">
        <f>developmentdata2019[[#This Row],[Trash (CY/day)]]*201.974</f>
        <v>552.70185100000003</v>
      </c>
      <c r="BP13" s="37">
        <f>developmentdata2019[[#This Row],[MGP (CY/day)]]*201.974</f>
        <v>89.897415555999999</v>
      </c>
      <c r="BQ13" s="37">
        <f>developmentdata2019[[#This Row],[Cardboard (CY/day)]]*201.974</f>
        <v>9.3135119368199994</v>
      </c>
      <c r="BR13" s="37">
        <f>developmentdata2019[[#This Row],[Paper  (CY/day)]]*201.974</f>
        <v>0.15131401283180002</v>
      </c>
      <c r="BS13" s="37">
        <f>developmentdata2019[[#This Row],[Organics (CY/day)]]*201.974</f>
        <v>3.3792648035328006E-2</v>
      </c>
      <c r="BT13" s="37">
        <f>developmentdata2019[[#This Row],[E-Waste (CY/day)]]*201.974</f>
        <v>4.4196403101760004E-4</v>
      </c>
      <c r="BU13" s="37">
        <f>developmentdata2019[[#This Row],[Textiles (CY/day)]]*201.974</f>
        <v>8.3417777464985611E-5</v>
      </c>
    </row>
    <row r="14" spans="1:73" x14ac:dyDescent="0.2">
      <c r="A14" s="37" t="s">
        <v>654</v>
      </c>
      <c r="B14" s="115">
        <v>43466</v>
      </c>
      <c r="C14" s="37" t="s">
        <v>655</v>
      </c>
      <c r="D14">
        <v>150</v>
      </c>
      <c r="E14">
        <v>82</v>
      </c>
      <c r="F14">
        <v>258</v>
      </c>
      <c r="G14">
        <v>258</v>
      </c>
      <c r="H14" s="37" t="s">
        <v>656</v>
      </c>
      <c r="I14" s="37" t="s">
        <v>577</v>
      </c>
      <c r="J14" s="37" t="s">
        <v>578</v>
      </c>
      <c r="K14" s="37" t="s">
        <v>579</v>
      </c>
      <c r="M14">
        <v>158</v>
      </c>
      <c r="N14">
        <v>159</v>
      </c>
      <c r="O14">
        <v>724</v>
      </c>
      <c r="P14">
        <v>4.58</v>
      </c>
      <c r="R14">
        <v>351</v>
      </c>
      <c r="S14">
        <v>351</v>
      </c>
      <c r="T14">
        <v>63</v>
      </c>
      <c r="U14">
        <v>0.40400000000000003</v>
      </c>
      <c r="V14">
        <v>1</v>
      </c>
      <c r="W14">
        <v>0</v>
      </c>
      <c r="X14">
        <v>1</v>
      </c>
      <c r="Y14">
        <v>20</v>
      </c>
      <c r="Z14">
        <v>28690</v>
      </c>
      <c r="AA14">
        <v>0.66</v>
      </c>
      <c r="AB14">
        <v>28690</v>
      </c>
      <c r="AC14">
        <v>0.66</v>
      </c>
      <c r="AD14">
        <v>7750</v>
      </c>
      <c r="AE14">
        <v>1375740</v>
      </c>
      <c r="AF14">
        <v>0.27010000000000001</v>
      </c>
      <c r="AG14">
        <v>532</v>
      </c>
      <c r="AH14">
        <v>3631814</v>
      </c>
      <c r="AI14">
        <v>4992</v>
      </c>
      <c r="AJ14">
        <v>492</v>
      </c>
      <c r="AK14" s="37" t="s">
        <v>657</v>
      </c>
      <c r="AL14" s="37" t="s">
        <v>618</v>
      </c>
      <c r="AM14" s="37" t="s">
        <v>658</v>
      </c>
      <c r="AN14" s="37"/>
      <c r="AO14" s="37" t="s">
        <v>608</v>
      </c>
      <c r="AP14">
        <v>7</v>
      </c>
      <c r="AQ14">
        <v>10</v>
      </c>
      <c r="AR14">
        <v>30</v>
      </c>
      <c r="AS14">
        <v>69</v>
      </c>
      <c r="AT14">
        <v>7</v>
      </c>
      <c r="AU14" s="115">
        <v>23985</v>
      </c>
      <c r="AV14" s="37"/>
      <c r="AW14" s="37"/>
      <c r="AX14" s="37"/>
      <c r="AY14" s="37"/>
      <c r="AZ14" s="37">
        <f>developmentdata2019[[#This Row],[NUMBER OF CURRENT APARTMENTS]]*5/2000</f>
        <v>0.39500000000000002</v>
      </c>
      <c r="BA14" s="37">
        <f>developmentdata2019[[#This Row],[Total]]*BA$1</f>
        <v>0.10270000000000001</v>
      </c>
      <c r="BB14" s="37">
        <f>developmentdata2019[[#This Row],[Trash (tons/day)]]*BB$1</f>
        <v>1.9513000000000003E-2</v>
      </c>
      <c r="BC14" s="37">
        <f>developmentdata2019[[#This Row],[MGP (tons/day)]]*BC$1</f>
        <v>1.3659100000000003E-3</v>
      </c>
      <c r="BD14" s="37">
        <f>developmentdata2019[[#This Row],[Cardboard (tons/day)]]*BD$1</f>
        <v>9.561370000000003E-5</v>
      </c>
      <c r="BE14" s="37">
        <f>developmentdata2019[[#This Row],[Paper (tons/day)]]*BE$1</f>
        <v>3.0596384000000007E-5</v>
      </c>
      <c r="BF14" s="37">
        <f>developmentdata2019[[#This Row],[Organics (tons/day)]]*BF$1</f>
        <v>3.0596384000000008E-7</v>
      </c>
      <c r="BG14" s="37">
        <f>developmentdata2019[[#This Row],[E-Waste (tons/day)]]*BG$1</f>
        <v>2.4477107200000006E-8</v>
      </c>
      <c r="BH14" s="37">
        <f>developmentdata2019[[#This Row],[Trash (tons/day)]]*BH$1</f>
        <v>2.1618350000000004</v>
      </c>
      <c r="BI14" s="37">
        <f>developmentdata2019[[#This Row],[MGP (tons/day)]]*BI$1</f>
        <v>0.35162426000000002</v>
      </c>
      <c r="BJ14" s="37">
        <f>developmentdata2019[[#This Row],[Cardboard (tons/day)]]*BJ$1</f>
        <v>3.6428819700000011E-2</v>
      </c>
      <c r="BK14" s="37">
        <f>developmentdata2019[[#This Row],[Paper (tons/day)]]*BK$1</f>
        <v>5.9184880300000022E-4</v>
      </c>
      <c r="BL14" s="37">
        <f>developmentdata2019[[#This Row],[Organics (tons/day)]]*BL$1</f>
        <v>1.3217637888000004E-4</v>
      </c>
      <c r="BM14" s="37">
        <f>developmentdata2019[[#This Row],[E-Waste (tons/day)]]*BM$1</f>
        <v>1.7286956960000005E-6</v>
      </c>
      <c r="BN14" s="37">
        <f>developmentdata2019[[#This Row],[Textiles (tons/day)]]*BN$1</f>
        <v>3.2627983897600009E-7</v>
      </c>
      <c r="BO14" s="37">
        <f>developmentdata2019[[#This Row],[Trash (CY/day)]]*201.974</f>
        <v>436.63446229000004</v>
      </c>
      <c r="BP14" s="37">
        <f>developmentdata2019[[#This Row],[MGP (CY/day)]]*201.974</f>
        <v>71.018958289240004</v>
      </c>
      <c r="BQ14" s="37">
        <f>developmentdata2019[[#This Row],[Cardboard (CY/day)]]*201.974</f>
        <v>7.3576744300878021</v>
      </c>
      <c r="BR14" s="37">
        <f>developmentdata2019[[#This Row],[Paper  (CY/day)]]*201.974</f>
        <v>0.11953807013712203</v>
      </c>
      <c r="BS14" s="37">
        <f>developmentdata2019[[#This Row],[Organics (CY/day)]]*201.974</f>
        <v>2.6696191947909127E-2</v>
      </c>
      <c r="BT14" s="37">
        <f>developmentdata2019[[#This Row],[E-Waste (CY/day)]]*201.974</f>
        <v>3.4915158450390412E-4</v>
      </c>
      <c r="BU14" s="37">
        <f>developmentdata2019[[#This Row],[Textiles (CY/day)]]*201.974</f>
        <v>6.5900044197338636E-5</v>
      </c>
    </row>
    <row r="15" spans="1:73" x14ac:dyDescent="0.2">
      <c r="A15" s="37" t="s">
        <v>384</v>
      </c>
      <c r="B15" s="115">
        <v>43466</v>
      </c>
      <c r="C15" s="37" t="s">
        <v>659</v>
      </c>
      <c r="D15">
        <v>118</v>
      </c>
      <c r="E15">
        <v>118</v>
      </c>
      <c r="F15">
        <v>248</v>
      </c>
      <c r="G15">
        <v>248</v>
      </c>
      <c r="H15" s="37" t="s">
        <v>660</v>
      </c>
      <c r="I15" s="37" t="s">
        <v>577</v>
      </c>
      <c r="J15" s="37" t="s">
        <v>578</v>
      </c>
      <c r="K15" s="37" t="s">
        <v>579</v>
      </c>
      <c r="M15">
        <v>924</v>
      </c>
      <c r="N15">
        <v>925</v>
      </c>
      <c r="O15">
        <v>4306</v>
      </c>
      <c r="P15">
        <v>4.66</v>
      </c>
      <c r="R15">
        <v>2310</v>
      </c>
      <c r="S15">
        <v>2310</v>
      </c>
      <c r="T15">
        <v>335</v>
      </c>
      <c r="U15">
        <v>0.36399999999999999</v>
      </c>
      <c r="V15">
        <v>7</v>
      </c>
      <c r="W15">
        <v>0</v>
      </c>
      <c r="X15">
        <v>7</v>
      </c>
      <c r="Y15" t="s">
        <v>661</v>
      </c>
      <c r="Z15">
        <v>408888</v>
      </c>
      <c r="AA15">
        <v>9.39</v>
      </c>
      <c r="AB15">
        <v>383068</v>
      </c>
      <c r="AC15">
        <v>8.7899999999999991</v>
      </c>
      <c r="AD15">
        <v>56283</v>
      </c>
      <c r="AE15">
        <v>8181502</v>
      </c>
      <c r="AF15">
        <v>0.1376</v>
      </c>
      <c r="AG15">
        <v>246</v>
      </c>
      <c r="AH15">
        <v>17878818</v>
      </c>
      <c r="AI15">
        <v>4149</v>
      </c>
      <c r="AJ15">
        <v>497</v>
      </c>
      <c r="AK15" s="37" t="s">
        <v>662</v>
      </c>
      <c r="AL15" s="37" t="s">
        <v>663</v>
      </c>
      <c r="AM15" s="37" t="s">
        <v>664</v>
      </c>
      <c r="AN15" s="37"/>
      <c r="AO15" s="37" t="s">
        <v>584</v>
      </c>
      <c r="AP15">
        <v>1</v>
      </c>
      <c r="AQ15">
        <v>15</v>
      </c>
      <c r="AR15">
        <v>29</v>
      </c>
      <c r="AS15">
        <v>84</v>
      </c>
      <c r="AT15">
        <v>17</v>
      </c>
      <c r="AU15" s="115">
        <v>23620</v>
      </c>
      <c r="AV15" s="37"/>
      <c r="AW15" s="37"/>
      <c r="AX15" s="37"/>
      <c r="AY15" s="37"/>
      <c r="AZ15" s="37">
        <f>developmentdata2019[[#This Row],[NUMBER OF CURRENT APARTMENTS]]*5/2000</f>
        <v>2.31</v>
      </c>
      <c r="BA15" s="37">
        <f>developmentdata2019[[#This Row],[Total]]*BA$1</f>
        <v>0.60060000000000002</v>
      </c>
      <c r="BB15" s="37">
        <f>developmentdata2019[[#This Row],[Trash (tons/day)]]*BB$1</f>
        <v>0.11411400000000001</v>
      </c>
      <c r="BC15" s="37">
        <f>developmentdata2019[[#This Row],[MGP (tons/day)]]*BC$1</f>
        <v>7.9879800000000004E-3</v>
      </c>
      <c r="BD15" s="37">
        <f>developmentdata2019[[#This Row],[Cardboard (tons/day)]]*BD$1</f>
        <v>5.5915860000000013E-4</v>
      </c>
      <c r="BE15" s="37">
        <f>developmentdata2019[[#This Row],[Paper (tons/day)]]*BE$1</f>
        <v>1.7893075200000005E-4</v>
      </c>
      <c r="BF15" s="37">
        <f>developmentdata2019[[#This Row],[Organics (tons/day)]]*BF$1</f>
        <v>1.7893075200000006E-6</v>
      </c>
      <c r="BG15" s="37">
        <f>developmentdata2019[[#This Row],[E-Waste (tons/day)]]*BG$1</f>
        <v>1.4314460160000006E-7</v>
      </c>
      <c r="BH15" s="37">
        <f>developmentdata2019[[#This Row],[Trash (tons/day)]]*BH$1</f>
        <v>12.64263</v>
      </c>
      <c r="BI15" s="37">
        <f>developmentdata2019[[#This Row],[MGP (tons/day)]]*BI$1</f>
        <v>2.0563342800000002</v>
      </c>
      <c r="BJ15" s="37">
        <f>developmentdata2019[[#This Row],[Cardboard (tons/day)]]*BJ$1</f>
        <v>0.21303942660000003</v>
      </c>
      <c r="BK15" s="37">
        <f>developmentdata2019[[#This Row],[Paper (tons/day)]]*BK$1</f>
        <v>3.4611917340000012E-3</v>
      </c>
      <c r="BL15" s="37">
        <f>developmentdata2019[[#This Row],[Organics (tons/day)]]*BL$1</f>
        <v>7.7298084864000033E-4</v>
      </c>
      <c r="BM15" s="37">
        <f>developmentdata2019[[#This Row],[E-Waste (tons/day)]]*BM$1</f>
        <v>1.0109587488000004E-5</v>
      </c>
      <c r="BN15" s="37">
        <f>developmentdata2019[[#This Row],[Textiles (tons/day)]]*BN$1</f>
        <v>1.908117539328001E-6</v>
      </c>
      <c r="BO15" s="37">
        <f>developmentdata2019[[#This Row],[Trash (CY/day)]]*201.974</f>
        <v>2553.4825516199999</v>
      </c>
      <c r="BP15" s="37">
        <f>developmentdata2019[[#This Row],[MGP (CY/day)]]*201.974</f>
        <v>415.32605986871999</v>
      </c>
      <c r="BQ15" s="37">
        <f>developmentdata2019[[#This Row],[Cardboard (CY/day)]]*201.974</f>
        <v>43.028425148108404</v>
      </c>
      <c r="BR15" s="37">
        <f>developmentdata2019[[#This Row],[Paper  (CY/day)]]*201.974</f>
        <v>0.69907073928291619</v>
      </c>
      <c r="BS15" s="37">
        <f>developmentdata2019[[#This Row],[Organics (CY/day)]]*201.974</f>
        <v>0.15612203392321541</v>
      </c>
      <c r="BT15" s="37">
        <f>developmentdata2019[[#This Row],[E-Waste (CY/day)]]*201.974</f>
        <v>2.0418738233013126E-3</v>
      </c>
      <c r="BU15" s="37">
        <f>developmentdata2019[[#This Row],[Textiles (CY/day)]]*201.974</f>
        <v>3.8539013188823367E-4</v>
      </c>
    </row>
    <row r="16" spans="1:73" x14ac:dyDescent="0.2">
      <c r="A16" s="37" t="s">
        <v>455</v>
      </c>
      <c r="B16" s="115">
        <v>43466</v>
      </c>
      <c r="C16" s="37" t="s">
        <v>665</v>
      </c>
      <c r="D16">
        <v>31</v>
      </c>
      <c r="E16">
        <v>31</v>
      </c>
      <c r="F16">
        <v>524</v>
      </c>
      <c r="G16">
        <v>524</v>
      </c>
      <c r="H16" s="37" t="s">
        <v>666</v>
      </c>
      <c r="I16" s="37" t="s">
        <v>577</v>
      </c>
      <c r="J16" s="37" t="s">
        <v>578</v>
      </c>
      <c r="K16" s="37" t="s">
        <v>579</v>
      </c>
      <c r="M16">
        <v>823</v>
      </c>
      <c r="N16">
        <v>829</v>
      </c>
      <c r="O16">
        <v>3777.5</v>
      </c>
      <c r="P16">
        <v>4.59</v>
      </c>
      <c r="R16">
        <v>1886</v>
      </c>
      <c r="S16">
        <v>1886</v>
      </c>
      <c r="T16">
        <v>267</v>
      </c>
      <c r="U16">
        <v>0.32700000000000001</v>
      </c>
      <c r="V16">
        <v>6</v>
      </c>
      <c r="W16">
        <v>0</v>
      </c>
      <c r="X16">
        <v>6</v>
      </c>
      <c r="Y16">
        <v>14</v>
      </c>
      <c r="Z16">
        <v>388389</v>
      </c>
      <c r="AA16">
        <v>8.92</v>
      </c>
      <c r="AB16">
        <v>388389</v>
      </c>
      <c r="AC16">
        <v>8.92</v>
      </c>
      <c r="AD16">
        <v>58455</v>
      </c>
      <c r="AE16">
        <v>7082630</v>
      </c>
      <c r="AF16">
        <v>0.15049999999999999</v>
      </c>
      <c r="AG16">
        <v>211</v>
      </c>
      <c r="AH16">
        <v>8951000</v>
      </c>
      <c r="AI16">
        <v>2356</v>
      </c>
      <c r="AJ16">
        <v>565</v>
      </c>
      <c r="AK16" s="37" t="s">
        <v>667</v>
      </c>
      <c r="AL16" s="37" t="s">
        <v>668</v>
      </c>
      <c r="AM16" s="37" t="s">
        <v>669</v>
      </c>
      <c r="AN16" s="37" t="s">
        <v>670</v>
      </c>
      <c r="AO16" s="37" t="s">
        <v>593</v>
      </c>
      <c r="AP16">
        <v>8</v>
      </c>
      <c r="AQ16">
        <v>9</v>
      </c>
      <c r="AR16">
        <v>25</v>
      </c>
      <c r="AS16">
        <v>56</v>
      </c>
      <c r="AT16">
        <v>36</v>
      </c>
      <c r="AU16" s="115">
        <v>18550</v>
      </c>
      <c r="AV16" s="37" t="s">
        <v>671</v>
      </c>
      <c r="AW16" s="37"/>
      <c r="AX16" s="37"/>
      <c r="AY16" s="37"/>
      <c r="AZ16" s="37">
        <f>developmentdata2019[[#This Row],[NUMBER OF CURRENT APARTMENTS]]*5/2000</f>
        <v>2.0575000000000001</v>
      </c>
      <c r="BA16" s="37">
        <f>developmentdata2019[[#This Row],[Total]]*BA$1</f>
        <v>0.53495000000000004</v>
      </c>
      <c r="BB16" s="37">
        <f>developmentdata2019[[#This Row],[Trash (tons/day)]]*BB$1</f>
        <v>0.10164050000000001</v>
      </c>
      <c r="BC16" s="37">
        <f>developmentdata2019[[#This Row],[MGP (tons/day)]]*BC$1</f>
        <v>7.1148350000000016E-3</v>
      </c>
      <c r="BD16" s="37">
        <f>developmentdata2019[[#This Row],[Cardboard (tons/day)]]*BD$1</f>
        <v>4.9803845000000017E-4</v>
      </c>
      <c r="BE16" s="37">
        <f>developmentdata2019[[#This Row],[Paper (tons/day)]]*BE$1</f>
        <v>1.5937230400000005E-4</v>
      </c>
      <c r="BF16" s="37">
        <f>developmentdata2019[[#This Row],[Organics (tons/day)]]*BF$1</f>
        <v>1.5937230400000004E-6</v>
      </c>
      <c r="BG16" s="37">
        <f>developmentdata2019[[#This Row],[E-Waste (tons/day)]]*BG$1</f>
        <v>1.2749784320000005E-7</v>
      </c>
      <c r="BH16" s="37">
        <f>developmentdata2019[[#This Row],[Trash (tons/day)]]*BH$1</f>
        <v>11.260697500000001</v>
      </c>
      <c r="BI16" s="37">
        <f>developmentdata2019[[#This Row],[MGP (tons/day)]]*BI$1</f>
        <v>1.8315618100000002</v>
      </c>
      <c r="BJ16" s="37">
        <f>developmentdata2019[[#This Row],[Cardboard (tons/day)]]*BJ$1</f>
        <v>0.18975264945000006</v>
      </c>
      <c r="BK16" s="37">
        <f>developmentdata2019[[#This Row],[Paper (tons/day)]]*BK$1</f>
        <v>3.0828580055000014E-3</v>
      </c>
      <c r="BL16" s="37">
        <f>developmentdata2019[[#This Row],[Organics (tons/day)]]*BL$1</f>
        <v>6.8848835328000021E-4</v>
      </c>
      <c r="BM16" s="37">
        <f>developmentdata2019[[#This Row],[E-Waste (tons/day)]]*BM$1</f>
        <v>9.004535176000003E-6</v>
      </c>
      <c r="BN16" s="37">
        <f>developmentdata2019[[#This Row],[Textiles (tons/day)]]*BN$1</f>
        <v>1.6995462498560006E-6</v>
      </c>
      <c r="BO16" s="37">
        <f>developmentdata2019[[#This Row],[Trash (CY/day)]]*201.974</f>
        <v>2274.368116865</v>
      </c>
      <c r="BP16" s="37">
        <f>developmentdata2019[[#This Row],[MGP (CY/day)]]*201.974</f>
        <v>369.92786501294</v>
      </c>
      <c r="BQ16" s="37">
        <f>developmentdata2019[[#This Row],[Cardboard (CY/day)]]*201.974</f>
        <v>38.325101620014308</v>
      </c>
      <c r="BR16" s="37">
        <f>developmentdata2019[[#This Row],[Paper  (CY/day)]]*201.974</f>
        <v>0.62265716280285721</v>
      </c>
      <c r="BS16" s="37">
        <f>developmentdata2019[[#This Row],[Organics (CY/day)]]*201.974</f>
        <v>0.13905674666537476</v>
      </c>
      <c r="BT16" s="37">
        <f>developmentdata2019[[#This Row],[E-Waste (CY/day)]]*201.974</f>
        <v>1.8186819876374245E-3</v>
      </c>
      <c r="BU16" s="37">
        <f>developmentdata2019[[#This Row],[Textiles (CY/day)]]*201.974</f>
        <v>3.4326415426841583E-4</v>
      </c>
    </row>
    <row r="17" spans="1:73" x14ac:dyDescent="0.2">
      <c r="A17" s="37" t="s">
        <v>464</v>
      </c>
      <c r="B17" s="115">
        <v>43466</v>
      </c>
      <c r="C17" s="37" t="s">
        <v>665</v>
      </c>
      <c r="D17">
        <v>85</v>
      </c>
      <c r="E17">
        <v>31</v>
      </c>
      <c r="F17">
        <v>524</v>
      </c>
      <c r="G17">
        <v>524</v>
      </c>
      <c r="H17" s="37" t="s">
        <v>666</v>
      </c>
      <c r="I17" s="37" t="s">
        <v>577</v>
      </c>
      <c r="J17" s="37" t="s">
        <v>578</v>
      </c>
      <c r="K17" s="37" t="s">
        <v>579</v>
      </c>
      <c r="M17">
        <v>400</v>
      </c>
      <c r="N17">
        <v>400</v>
      </c>
      <c r="O17">
        <v>1848</v>
      </c>
      <c r="P17">
        <v>4.62</v>
      </c>
      <c r="R17">
        <v>985</v>
      </c>
      <c r="S17">
        <v>985</v>
      </c>
      <c r="T17">
        <v>130</v>
      </c>
      <c r="U17">
        <v>0.33100000000000002</v>
      </c>
      <c r="V17">
        <v>3</v>
      </c>
      <c r="W17">
        <v>0</v>
      </c>
      <c r="X17">
        <v>3</v>
      </c>
      <c r="Y17" t="s">
        <v>672</v>
      </c>
      <c r="Z17">
        <v>214594</v>
      </c>
      <c r="AA17">
        <v>4.93</v>
      </c>
      <c r="AB17">
        <v>214594</v>
      </c>
      <c r="AC17">
        <v>4.93</v>
      </c>
      <c r="AD17">
        <v>26053</v>
      </c>
      <c r="AE17">
        <v>3249689</v>
      </c>
      <c r="AF17">
        <v>0.12139999999999999</v>
      </c>
      <c r="AG17">
        <v>200</v>
      </c>
      <c r="AH17">
        <v>4666000</v>
      </c>
      <c r="AI17">
        <v>2540</v>
      </c>
      <c r="AJ17">
        <v>542</v>
      </c>
      <c r="AK17" s="37" t="s">
        <v>673</v>
      </c>
      <c r="AL17" s="37" t="s">
        <v>669</v>
      </c>
      <c r="AM17" s="37" t="s">
        <v>674</v>
      </c>
      <c r="AN17" s="37" t="s">
        <v>667</v>
      </c>
      <c r="AO17" s="37" t="s">
        <v>593</v>
      </c>
      <c r="AP17">
        <v>8</v>
      </c>
      <c r="AQ17">
        <v>9</v>
      </c>
      <c r="AR17">
        <v>25</v>
      </c>
      <c r="AS17">
        <v>56</v>
      </c>
      <c r="AT17">
        <v>36</v>
      </c>
      <c r="AU17" s="115">
        <v>20858</v>
      </c>
      <c r="AV17" s="37" t="s">
        <v>671</v>
      </c>
      <c r="AW17" s="37"/>
      <c r="AX17" s="37"/>
      <c r="AY17" s="37"/>
      <c r="AZ17" s="37">
        <f>developmentdata2019[[#This Row],[NUMBER OF CURRENT APARTMENTS]]*5/2000</f>
        <v>1</v>
      </c>
      <c r="BA17" s="37">
        <f>developmentdata2019[[#This Row],[Total]]*BA$1</f>
        <v>0.26</v>
      </c>
      <c r="BB17" s="37">
        <f>developmentdata2019[[#This Row],[Trash (tons/day)]]*BB$1</f>
        <v>4.9399999999999999E-2</v>
      </c>
      <c r="BC17" s="37">
        <f>developmentdata2019[[#This Row],[MGP (tons/day)]]*BC$1</f>
        <v>3.4580000000000001E-3</v>
      </c>
      <c r="BD17" s="37">
        <f>developmentdata2019[[#This Row],[Cardboard (tons/day)]]*BD$1</f>
        <v>2.4206000000000002E-4</v>
      </c>
      <c r="BE17" s="37">
        <f>developmentdata2019[[#This Row],[Paper (tons/day)]]*BE$1</f>
        <v>7.7459200000000005E-5</v>
      </c>
      <c r="BF17" s="37">
        <f>developmentdata2019[[#This Row],[Organics (tons/day)]]*BF$1</f>
        <v>7.7459200000000006E-7</v>
      </c>
      <c r="BG17" s="37">
        <f>developmentdata2019[[#This Row],[E-Waste (tons/day)]]*BG$1</f>
        <v>6.196736000000001E-8</v>
      </c>
      <c r="BH17" s="37">
        <f>developmentdata2019[[#This Row],[Trash (tons/day)]]*BH$1</f>
        <v>5.4730000000000008</v>
      </c>
      <c r="BI17" s="37">
        <f>developmentdata2019[[#This Row],[MGP (tons/day)]]*BI$1</f>
        <v>0.89018799999999998</v>
      </c>
      <c r="BJ17" s="37">
        <f>developmentdata2019[[#This Row],[Cardboard (tons/day)]]*BJ$1</f>
        <v>9.2224860000000006E-2</v>
      </c>
      <c r="BK17" s="37">
        <f>developmentdata2019[[#This Row],[Paper (tons/day)]]*BK$1</f>
        <v>1.4983514000000003E-3</v>
      </c>
      <c r="BL17" s="37">
        <f>developmentdata2019[[#This Row],[Organics (tons/day)]]*BL$1</f>
        <v>3.3462374400000005E-4</v>
      </c>
      <c r="BM17" s="37">
        <f>developmentdata2019[[#This Row],[E-Waste (tons/day)]]*BM$1</f>
        <v>4.3764448000000009E-6</v>
      </c>
      <c r="BN17" s="37">
        <f>developmentdata2019[[#This Row],[Textiles (tons/day)]]*BN$1</f>
        <v>8.2602490880000012E-7</v>
      </c>
      <c r="BO17" s="37">
        <f>developmentdata2019[[#This Row],[Trash (CY/day)]]*201.974</f>
        <v>1105.4037020000001</v>
      </c>
      <c r="BP17" s="37">
        <f>developmentdata2019[[#This Row],[MGP (CY/day)]]*201.974</f>
        <v>179.794831112</v>
      </c>
      <c r="BQ17" s="37">
        <f>developmentdata2019[[#This Row],[Cardboard (CY/day)]]*201.974</f>
        <v>18.627023873639999</v>
      </c>
      <c r="BR17" s="37">
        <f>developmentdata2019[[#This Row],[Paper  (CY/day)]]*201.974</f>
        <v>0.30262802566360003</v>
      </c>
      <c r="BS17" s="37">
        <f>developmentdata2019[[#This Row],[Organics (CY/day)]]*201.974</f>
        <v>6.7585296070656012E-2</v>
      </c>
      <c r="BT17" s="37">
        <f>developmentdata2019[[#This Row],[E-Waste (CY/day)]]*201.974</f>
        <v>8.8392806203520008E-4</v>
      </c>
      <c r="BU17" s="37">
        <f>developmentdata2019[[#This Row],[Textiles (CY/day)]]*201.974</f>
        <v>1.6683555492997122E-4</v>
      </c>
    </row>
    <row r="18" spans="1:73" x14ac:dyDescent="0.2">
      <c r="A18" s="37" t="s">
        <v>344</v>
      </c>
      <c r="B18" s="115">
        <v>43466</v>
      </c>
      <c r="C18" s="37" t="s">
        <v>675</v>
      </c>
      <c r="D18">
        <v>22</v>
      </c>
      <c r="E18">
        <v>22</v>
      </c>
      <c r="F18">
        <v>530</v>
      </c>
      <c r="G18">
        <v>530</v>
      </c>
      <c r="H18" s="37" t="s">
        <v>676</v>
      </c>
      <c r="I18" s="37" t="s">
        <v>577</v>
      </c>
      <c r="J18" s="37" t="s">
        <v>578</v>
      </c>
      <c r="K18" s="37" t="s">
        <v>579</v>
      </c>
      <c r="M18">
        <v>1084</v>
      </c>
      <c r="N18">
        <v>1084</v>
      </c>
      <c r="O18">
        <v>5129</v>
      </c>
      <c r="P18">
        <v>4.7300000000000004</v>
      </c>
      <c r="R18">
        <v>2270</v>
      </c>
      <c r="S18">
        <v>2270</v>
      </c>
      <c r="T18">
        <v>468</v>
      </c>
      <c r="U18">
        <v>0.435</v>
      </c>
      <c r="V18">
        <v>13</v>
      </c>
      <c r="W18">
        <v>0</v>
      </c>
      <c r="X18">
        <v>24</v>
      </c>
      <c r="Y18">
        <v>43629</v>
      </c>
      <c r="Z18">
        <v>446172</v>
      </c>
      <c r="AA18">
        <v>10.24</v>
      </c>
      <c r="AB18">
        <v>413534</v>
      </c>
      <c r="AC18">
        <v>9.49</v>
      </c>
      <c r="AD18">
        <v>100358</v>
      </c>
      <c r="AE18">
        <v>8233310</v>
      </c>
      <c r="AF18">
        <v>0.22489999999999999</v>
      </c>
      <c r="AG18">
        <v>222</v>
      </c>
      <c r="AH18">
        <v>12262000</v>
      </c>
      <c r="AI18">
        <v>2391</v>
      </c>
      <c r="AJ18">
        <v>544</v>
      </c>
      <c r="AK18" s="37" t="s">
        <v>677</v>
      </c>
      <c r="AL18" s="37" t="s">
        <v>678</v>
      </c>
      <c r="AM18" s="37" t="s">
        <v>679</v>
      </c>
      <c r="AN18" s="37" t="s">
        <v>618</v>
      </c>
      <c r="AO18" s="37" t="s">
        <v>608</v>
      </c>
      <c r="AP18">
        <v>7</v>
      </c>
      <c r="AQ18">
        <v>10</v>
      </c>
      <c r="AR18">
        <v>31</v>
      </c>
      <c r="AS18">
        <v>67</v>
      </c>
      <c r="AT18">
        <v>6</v>
      </c>
      <c r="AU18" s="115">
        <v>17884</v>
      </c>
      <c r="AV18" s="37" t="s">
        <v>680</v>
      </c>
      <c r="AW18" s="37"/>
      <c r="AX18" s="37"/>
      <c r="AY18" s="37"/>
      <c r="AZ18" s="37">
        <f>developmentdata2019[[#This Row],[NUMBER OF CURRENT APARTMENTS]]*5/2000</f>
        <v>2.71</v>
      </c>
      <c r="BA18" s="37">
        <f>developmentdata2019[[#This Row],[Total]]*BA$1</f>
        <v>0.7046</v>
      </c>
      <c r="BB18" s="37">
        <f>developmentdata2019[[#This Row],[Trash (tons/day)]]*BB$1</f>
        <v>0.13387399999999999</v>
      </c>
      <c r="BC18" s="37">
        <f>developmentdata2019[[#This Row],[MGP (tons/day)]]*BC$1</f>
        <v>9.3711799999999998E-3</v>
      </c>
      <c r="BD18" s="37">
        <f>developmentdata2019[[#This Row],[Cardboard (tons/day)]]*BD$1</f>
        <v>6.5598260000000004E-4</v>
      </c>
      <c r="BE18" s="37">
        <f>developmentdata2019[[#This Row],[Paper (tons/day)]]*BE$1</f>
        <v>2.0991443200000002E-4</v>
      </c>
      <c r="BF18" s="37">
        <f>developmentdata2019[[#This Row],[Organics (tons/day)]]*BF$1</f>
        <v>2.0991443200000002E-6</v>
      </c>
      <c r="BG18" s="37">
        <f>developmentdata2019[[#This Row],[E-Waste (tons/day)]]*BG$1</f>
        <v>1.6793154560000001E-7</v>
      </c>
      <c r="BH18" s="37">
        <f>developmentdata2019[[#This Row],[Trash (tons/day)]]*BH$1</f>
        <v>14.83183</v>
      </c>
      <c r="BI18" s="37">
        <f>developmentdata2019[[#This Row],[MGP (tons/day)]]*BI$1</f>
        <v>2.41240948</v>
      </c>
      <c r="BJ18" s="37">
        <f>developmentdata2019[[#This Row],[Cardboard (tons/day)]]*BJ$1</f>
        <v>0.24992937060000001</v>
      </c>
      <c r="BK18" s="37">
        <f>developmentdata2019[[#This Row],[Paper (tons/day)]]*BK$1</f>
        <v>4.0605322940000001E-3</v>
      </c>
      <c r="BL18" s="37">
        <f>developmentdata2019[[#This Row],[Organics (tons/day)]]*BL$1</f>
        <v>9.0683034624000017E-4</v>
      </c>
      <c r="BM18" s="37">
        <f>developmentdata2019[[#This Row],[E-Waste (tons/day)]]*BM$1</f>
        <v>1.1860165408000002E-5</v>
      </c>
      <c r="BN18" s="37">
        <f>developmentdata2019[[#This Row],[Textiles (tons/day)]]*BN$1</f>
        <v>2.2385275028480001E-6</v>
      </c>
      <c r="BO18" s="37">
        <f>developmentdata2019[[#This Row],[Trash (CY/day)]]*201.974</f>
        <v>2995.6440324199998</v>
      </c>
      <c r="BP18" s="37">
        <f>developmentdata2019[[#This Row],[MGP (CY/day)]]*201.974</f>
        <v>487.24399231351998</v>
      </c>
      <c r="BQ18" s="37">
        <f>developmentdata2019[[#This Row],[Cardboard (CY/day)]]*201.974</f>
        <v>50.479234697564401</v>
      </c>
      <c r="BR18" s="37">
        <f>developmentdata2019[[#This Row],[Paper  (CY/day)]]*201.974</f>
        <v>0.82012194954835593</v>
      </c>
      <c r="BS18" s="37">
        <f>developmentdata2019[[#This Row],[Organics (CY/day)]]*201.974</f>
        <v>0.18315615235147778</v>
      </c>
      <c r="BT18" s="37">
        <f>developmentdata2019[[#This Row],[E-Waste (CY/day)]]*201.974</f>
        <v>2.3954450481153923E-3</v>
      </c>
      <c r="BU18" s="37">
        <f>developmentdata2019[[#This Row],[Textiles (CY/day)]]*201.974</f>
        <v>4.5212435386022198E-4</v>
      </c>
    </row>
    <row r="19" spans="1:73" x14ac:dyDescent="0.2">
      <c r="A19" s="37" t="s">
        <v>345</v>
      </c>
      <c r="B19" s="115">
        <v>43466</v>
      </c>
      <c r="C19" s="37" t="s">
        <v>681</v>
      </c>
      <c r="D19">
        <v>187</v>
      </c>
      <c r="E19">
        <v>22</v>
      </c>
      <c r="F19">
        <v>453</v>
      </c>
      <c r="G19">
        <v>453</v>
      </c>
      <c r="H19" s="37" t="s">
        <v>682</v>
      </c>
      <c r="I19" s="37" t="s">
        <v>683</v>
      </c>
      <c r="J19" s="37" t="s">
        <v>578</v>
      </c>
      <c r="K19" s="37" t="s">
        <v>579</v>
      </c>
      <c r="L19">
        <v>26</v>
      </c>
      <c r="M19">
        <v>175</v>
      </c>
      <c r="N19">
        <v>175</v>
      </c>
      <c r="O19">
        <v>762.5</v>
      </c>
      <c r="P19">
        <v>4.3600000000000003</v>
      </c>
      <c r="Q19">
        <v>66</v>
      </c>
      <c r="R19">
        <v>287</v>
      </c>
      <c r="S19">
        <v>353</v>
      </c>
      <c r="T19">
        <v>97</v>
      </c>
      <c r="U19">
        <v>0.55700000000000005</v>
      </c>
      <c r="V19">
        <v>1</v>
      </c>
      <c r="W19">
        <v>0</v>
      </c>
      <c r="X19">
        <v>1</v>
      </c>
      <c r="Y19">
        <v>27</v>
      </c>
      <c r="Z19">
        <v>36154</v>
      </c>
      <c r="AA19">
        <v>0.83</v>
      </c>
      <c r="AB19">
        <v>36154</v>
      </c>
      <c r="AC19">
        <v>0.83</v>
      </c>
      <c r="AD19">
        <v>17562</v>
      </c>
      <c r="AE19">
        <v>1825587</v>
      </c>
      <c r="AF19">
        <v>0.48580000000000001</v>
      </c>
      <c r="AG19">
        <v>425</v>
      </c>
      <c r="AH19">
        <v>7053000</v>
      </c>
      <c r="AI19">
        <v>9250</v>
      </c>
      <c r="AJ19">
        <v>510</v>
      </c>
      <c r="AK19" s="37" t="s">
        <v>678</v>
      </c>
      <c r="AL19" s="37" t="s">
        <v>684</v>
      </c>
      <c r="AM19" s="37" t="s">
        <v>618</v>
      </c>
      <c r="AN19" s="37" t="s">
        <v>679</v>
      </c>
      <c r="AO19" s="37" t="s">
        <v>608</v>
      </c>
      <c r="AP19">
        <v>7</v>
      </c>
      <c r="AQ19">
        <v>10</v>
      </c>
      <c r="AR19">
        <v>31</v>
      </c>
      <c r="AS19">
        <v>67</v>
      </c>
      <c r="AT19">
        <v>6</v>
      </c>
      <c r="AU19" s="115">
        <v>27060</v>
      </c>
      <c r="AV19" s="37"/>
      <c r="AW19" s="37"/>
      <c r="AX19" s="37"/>
      <c r="AY19" s="37"/>
      <c r="AZ19" s="37">
        <f>developmentdata2019[[#This Row],[NUMBER OF CURRENT APARTMENTS]]*5/2000</f>
        <v>0.4375</v>
      </c>
      <c r="BA19" s="37">
        <f>developmentdata2019[[#This Row],[Total]]*BA$1</f>
        <v>0.11375</v>
      </c>
      <c r="BB19" s="37">
        <f>developmentdata2019[[#This Row],[Trash (tons/day)]]*BB$1</f>
        <v>2.16125E-2</v>
      </c>
      <c r="BC19" s="37">
        <f>developmentdata2019[[#This Row],[MGP (tons/day)]]*BC$1</f>
        <v>1.5128750000000001E-3</v>
      </c>
      <c r="BD19" s="37">
        <f>developmentdata2019[[#This Row],[Cardboard (tons/day)]]*BD$1</f>
        <v>1.0590125000000002E-4</v>
      </c>
      <c r="BE19" s="37">
        <f>developmentdata2019[[#This Row],[Paper (tons/day)]]*BE$1</f>
        <v>3.3888400000000006E-5</v>
      </c>
      <c r="BF19" s="37">
        <f>developmentdata2019[[#This Row],[Organics (tons/day)]]*BF$1</f>
        <v>3.3888400000000009E-7</v>
      </c>
      <c r="BG19" s="37">
        <f>developmentdata2019[[#This Row],[E-Waste (tons/day)]]*BG$1</f>
        <v>2.7110720000000007E-8</v>
      </c>
      <c r="BH19" s="37">
        <f>developmentdata2019[[#This Row],[Trash (tons/day)]]*BH$1</f>
        <v>2.3944375</v>
      </c>
      <c r="BI19" s="37">
        <f>developmentdata2019[[#This Row],[MGP (tons/day)]]*BI$1</f>
        <v>0.38945724999999998</v>
      </c>
      <c r="BJ19" s="37">
        <f>developmentdata2019[[#This Row],[Cardboard (tons/day)]]*BJ$1</f>
        <v>4.0348376250000005E-2</v>
      </c>
      <c r="BK19" s="37">
        <f>developmentdata2019[[#This Row],[Paper (tons/day)]]*BK$1</f>
        <v>6.5552873750000015E-4</v>
      </c>
      <c r="BL19" s="37">
        <f>developmentdata2019[[#This Row],[Organics (tons/day)]]*BL$1</f>
        <v>1.4639788800000004E-4</v>
      </c>
      <c r="BM19" s="37">
        <f>developmentdata2019[[#This Row],[E-Waste (tons/day)]]*BM$1</f>
        <v>1.9146946000000008E-6</v>
      </c>
      <c r="BN19" s="37">
        <f>developmentdata2019[[#This Row],[Textiles (tons/day)]]*BN$1</f>
        <v>3.613858976000001E-7</v>
      </c>
      <c r="BO19" s="37">
        <f>developmentdata2019[[#This Row],[Trash (CY/day)]]*201.974</f>
        <v>483.614119625</v>
      </c>
      <c r="BP19" s="37">
        <f>developmentdata2019[[#This Row],[MGP (CY/day)]]*201.974</f>
        <v>78.660238611499992</v>
      </c>
      <c r="BQ19" s="37">
        <f>developmentdata2019[[#This Row],[Cardboard (CY/day)]]*201.974</f>
        <v>8.1493229447175004</v>
      </c>
      <c r="BR19" s="37">
        <f>developmentdata2019[[#This Row],[Paper  (CY/day)]]*201.974</f>
        <v>0.13239976122782501</v>
      </c>
      <c r="BS19" s="37">
        <f>developmentdata2019[[#This Row],[Organics (CY/day)]]*201.974</f>
        <v>2.9568567030912006E-2</v>
      </c>
      <c r="BT19" s="37">
        <f>developmentdata2019[[#This Row],[E-Waste (CY/day)]]*201.974</f>
        <v>3.8671852714040016E-4</v>
      </c>
      <c r="BU19" s="37">
        <f>developmentdata2019[[#This Row],[Textiles (CY/day)]]*201.974</f>
        <v>7.299055528186242E-5</v>
      </c>
    </row>
    <row r="20" spans="1:73" x14ac:dyDescent="0.2">
      <c r="A20" s="37" t="s">
        <v>685</v>
      </c>
      <c r="B20" s="115">
        <v>43466</v>
      </c>
      <c r="C20" s="37" t="s">
        <v>686</v>
      </c>
      <c r="D20">
        <v>210</v>
      </c>
      <c r="E20">
        <v>210</v>
      </c>
      <c r="F20">
        <v>325</v>
      </c>
      <c r="G20">
        <v>325</v>
      </c>
      <c r="H20" s="37" t="s">
        <v>687</v>
      </c>
      <c r="I20" s="37" t="s">
        <v>577</v>
      </c>
      <c r="J20" s="37" t="s">
        <v>578</v>
      </c>
      <c r="K20" s="37" t="s">
        <v>579</v>
      </c>
      <c r="M20">
        <v>369</v>
      </c>
      <c r="N20">
        <v>371</v>
      </c>
      <c r="O20">
        <v>1763.5</v>
      </c>
      <c r="P20">
        <v>4.78</v>
      </c>
      <c r="R20">
        <v>977</v>
      </c>
      <c r="S20">
        <v>977</v>
      </c>
      <c r="T20">
        <v>143</v>
      </c>
      <c r="U20">
        <v>0.39</v>
      </c>
      <c r="V20">
        <v>11</v>
      </c>
      <c r="W20">
        <v>1</v>
      </c>
      <c r="X20">
        <v>58</v>
      </c>
      <c r="Y20">
        <v>38780</v>
      </c>
      <c r="Z20">
        <v>245481</v>
      </c>
      <c r="AA20">
        <v>5.64</v>
      </c>
      <c r="AB20">
        <v>245481</v>
      </c>
      <c r="AC20">
        <v>5.64</v>
      </c>
      <c r="AD20">
        <v>94311</v>
      </c>
      <c r="AE20">
        <v>4800020</v>
      </c>
      <c r="AF20">
        <v>0.38419999999999999</v>
      </c>
      <c r="AG20">
        <v>173</v>
      </c>
      <c r="AH20">
        <v>14648872</v>
      </c>
      <c r="AI20">
        <v>8129</v>
      </c>
      <c r="AJ20">
        <v>581</v>
      </c>
      <c r="AK20" s="37" t="s">
        <v>688</v>
      </c>
      <c r="AL20" s="37" t="s">
        <v>689</v>
      </c>
      <c r="AM20" s="37" t="s">
        <v>690</v>
      </c>
      <c r="AN20" s="37" t="s">
        <v>691</v>
      </c>
      <c r="AO20" s="37" t="s">
        <v>593</v>
      </c>
      <c r="AP20">
        <v>3</v>
      </c>
      <c r="AQ20">
        <v>8</v>
      </c>
      <c r="AR20">
        <v>25</v>
      </c>
      <c r="AS20" t="s">
        <v>692</v>
      </c>
      <c r="AT20">
        <v>36</v>
      </c>
      <c r="AU20" s="115">
        <v>26815</v>
      </c>
      <c r="AV20" s="37"/>
      <c r="AW20" s="37" t="s">
        <v>693</v>
      </c>
      <c r="AX20" s="37"/>
      <c r="AY20" s="37"/>
      <c r="AZ20" s="37">
        <f>developmentdata2019[[#This Row],[NUMBER OF CURRENT APARTMENTS]]*5/2000</f>
        <v>0.92249999999999999</v>
      </c>
      <c r="BA20" s="37">
        <f>developmentdata2019[[#This Row],[Total]]*BA$1</f>
        <v>0.23985000000000001</v>
      </c>
      <c r="BB20" s="37">
        <f>developmentdata2019[[#This Row],[Trash (tons/day)]]*BB$1</f>
        <v>4.5571500000000001E-2</v>
      </c>
      <c r="BC20" s="37">
        <f>developmentdata2019[[#This Row],[MGP (tons/day)]]*BC$1</f>
        <v>3.1900050000000005E-3</v>
      </c>
      <c r="BD20" s="37">
        <f>developmentdata2019[[#This Row],[Cardboard (tons/day)]]*BD$1</f>
        <v>2.2330035000000007E-4</v>
      </c>
      <c r="BE20" s="37">
        <f>developmentdata2019[[#This Row],[Paper (tons/day)]]*BE$1</f>
        <v>7.1456112000000028E-5</v>
      </c>
      <c r="BF20" s="37">
        <f>developmentdata2019[[#This Row],[Organics (tons/day)]]*BF$1</f>
        <v>7.1456112000000032E-7</v>
      </c>
      <c r="BG20" s="37">
        <f>developmentdata2019[[#This Row],[E-Waste (tons/day)]]*BG$1</f>
        <v>5.7164889600000027E-8</v>
      </c>
      <c r="BH20" s="37">
        <f>developmentdata2019[[#This Row],[Trash (tons/day)]]*BH$1</f>
        <v>5.0488425000000001</v>
      </c>
      <c r="BI20" s="37">
        <f>developmentdata2019[[#This Row],[MGP (tons/day)]]*BI$1</f>
        <v>0.82119843000000003</v>
      </c>
      <c r="BJ20" s="37">
        <f>developmentdata2019[[#This Row],[Cardboard (tons/day)]]*BJ$1</f>
        <v>8.5077433350000023E-2</v>
      </c>
      <c r="BK20" s="37">
        <f>developmentdata2019[[#This Row],[Paper (tons/day)]]*BK$1</f>
        <v>1.3822291665000004E-3</v>
      </c>
      <c r="BL20" s="37">
        <f>developmentdata2019[[#This Row],[Organics (tons/day)]]*BL$1</f>
        <v>3.0869040384000015E-4</v>
      </c>
      <c r="BM20" s="37">
        <f>developmentdata2019[[#This Row],[E-Waste (tons/day)]]*BM$1</f>
        <v>4.0372703280000019E-6</v>
      </c>
      <c r="BN20" s="37">
        <f>developmentdata2019[[#This Row],[Textiles (tons/day)]]*BN$1</f>
        <v>7.6200797836800035E-7</v>
      </c>
      <c r="BO20" s="37">
        <f>developmentdata2019[[#This Row],[Trash (CY/day)]]*201.974</f>
        <v>1019.734915095</v>
      </c>
      <c r="BP20" s="37">
        <f>developmentdata2019[[#This Row],[MGP (CY/day)]]*201.974</f>
        <v>165.86073170082</v>
      </c>
      <c r="BQ20" s="37">
        <f>developmentdata2019[[#This Row],[Cardboard (CY/day)]]*201.974</f>
        <v>17.183429523432903</v>
      </c>
      <c r="BR20" s="37">
        <f>developmentdata2019[[#This Row],[Paper  (CY/day)]]*201.974</f>
        <v>0.27917435367467108</v>
      </c>
      <c r="BS20" s="37">
        <f>developmentdata2019[[#This Row],[Organics (CY/day)]]*201.974</f>
        <v>6.2347435625180185E-2</v>
      </c>
      <c r="BT20" s="37">
        <f>developmentdata2019[[#This Row],[E-Waste (CY/day)]]*201.974</f>
        <v>8.154236372274723E-4</v>
      </c>
      <c r="BU20" s="37">
        <f>developmentdata2019[[#This Row],[Textiles (CY/day)]]*201.974</f>
        <v>1.5390579942289848E-4</v>
      </c>
    </row>
    <row r="21" spans="1:73" x14ac:dyDescent="0.2">
      <c r="A21" s="37" t="s">
        <v>694</v>
      </c>
      <c r="B21" s="115">
        <v>43466</v>
      </c>
      <c r="C21" s="37" t="s">
        <v>686</v>
      </c>
      <c r="D21">
        <v>228</v>
      </c>
      <c r="E21">
        <v>210</v>
      </c>
      <c r="F21">
        <v>355</v>
      </c>
      <c r="G21">
        <v>325</v>
      </c>
      <c r="H21" s="37" t="s">
        <v>695</v>
      </c>
      <c r="I21" s="37" t="s">
        <v>577</v>
      </c>
      <c r="J21" s="37" t="s">
        <v>588</v>
      </c>
      <c r="K21" s="37" t="s">
        <v>579</v>
      </c>
      <c r="M21">
        <v>248</v>
      </c>
      <c r="N21">
        <v>248</v>
      </c>
      <c r="O21">
        <v>1276</v>
      </c>
      <c r="P21">
        <v>5.15</v>
      </c>
      <c r="R21">
        <v>702</v>
      </c>
      <c r="S21">
        <v>702</v>
      </c>
      <c r="T21">
        <v>58</v>
      </c>
      <c r="U21">
        <v>0.23799999999999999</v>
      </c>
      <c r="V21">
        <v>5</v>
      </c>
      <c r="W21">
        <v>1</v>
      </c>
      <c r="X21">
        <v>17</v>
      </c>
      <c r="Y21">
        <v>4</v>
      </c>
      <c r="Z21">
        <v>162118</v>
      </c>
      <c r="AA21">
        <v>3.72</v>
      </c>
      <c r="AB21">
        <v>162118</v>
      </c>
      <c r="AC21">
        <v>3.72</v>
      </c>
      <c r="AD21">
        <v>67372</v>
      </c>
      <c r="AE21">
        <v>3123424</v>
      </c>
      <c r="AF21">
        <v>0.41560000000000002</v>
      </c>
      <c r="AG21">
        <v>189</v>
      </c>
      <c r="AH21">
        <v>7802067</v>
      </c>
      <c r="AI21">
        <v>6114</v>
      </c>
      <c r="AJ21">
        <v>600</v>
      </c>
      <c r="AK21" s="37" t="s">
        <v>696</v>
      </c>
      <c r="AL21" s="37" t="s">
        <v>690</v>
      </c>
      <c r="AM21" s="37" t="s">
        <v>697</v>
      </c>
      <c r="AN21" s="37" t="s">
        <v>689</v>
      </c>
      <c r="AO21" s="37" t="s">
        <v>593</v>
      </c>
      <c r="AP21">
        <v>3</v>
      </c>
      <c r="AQ21">
        <v>8</v>
      </c>
      <c r="AR21">
        <v>25</v>
      </c>
      <c r="AS21">
        <v>56</v>
      </c>
      <c r="AT21">
        <v>36</v>
      </c>
      <c r="AU21" s="115">
        <v>27333</v>
      </c>
      <c r="AV21" s="37"/>
      <c r="AW21" s="37"/>
      <c r="AX21" s="37"/>
      <c r="AY21" s="37"/>
      <c r="AZ21" s="37">
        <f>developmentdata2019[[#This Row],[NUMBER OF CURRENT APARTMENTS]]*5/2000</f>
        <v>0.62</v>
      </c>
      <c r="BA21" s="37">
        <f>developmentdata2019[[#This Row],[Total]]*BA$1</f>
        <v>0.16120000000000001</v>
      </c>
      <c r="BB21" s="37">
        <f>developmentdata2019[[#This Row],[Trash (tons/day)]]*BB$1</f>
        <v>3.0628000000000002E-2</v>
      </c>
      <c r="BC21" s="37">
        <f>developmentdata2019[[#This Row],[MGP (tons/day)]]*BC$1</f>
        <v>2.1439600000000003E-3</v>
      </c>
      <c r="BD21" s="37">
        <f>developmentdata2019[[#This Row],[Cardboard (tons/day)]]*BD$1</f>
        <v>1.5007720000000005E-4</v>
      </c>
      <c r="BE21" s="37">
        <f>developmentdata2019[[#This Row],[Paper (tons/day)]]*BE$1</f>
        <v>4.8024704000000019E-5</v>
      </c>
      <c r="BF21" s="37">
        <f>developmentdata2019[[#This Row],[Organics (tons/day)]]*BF$1</f>
        <v>4.8024704000000025E-7</v>
      </c>
      <c r="BG21" s="37">
        <f>developmentdata2019[[#This Row],[E-Waste (tons/day)]]*BG$1</f>
        <v>3.841976320000002E-8</v>
      </c>
      <c r="BH21" s="37">
        <f>developmentdata2019[[#This Row],[Trash (tons/day)]]*BH$1</f>
        <v>3.3932600000000002</v>
      </c>
      <c r="BI21" s="37">
        <f>developmentdata2019[[#This Row],[MGP (tons/day)]]*BI$1</f>
        <v>0.55191656</v>
      </c>
      <c r="BJ21" s="37">
        <f>developmentdata2019[[#This Row],[Cardboard (tons/day)]]*BJ$1</f>
        <v>5.7179413200000015E-2</v>
      </c>
      <c r="BK21" s="37">
        <f>developmentdata2019[[#This Row],[Paper (tons/day)]]*BK$1</f>
        <v>9.2897786800000032E-4</v>
      </c>
      <c r="BL21" s="37">
        <f>developmentdata2019[[#This Row],[Organics (tons/day)]]*BL$1</f>
        <v>2.0746672128000009E-4</v>
      </c>
      <c r="BM21" s="37">
        <f>developmentdata2019[[#This Row],[E-Waste (tons/day)]]*BM$1</f>
        <v>2.7133957760000018E-6</v>
      </c>
      <c r="BN21" s="37">
        <f>developmentdata2019[[#This Row],[Textiles (tons/day)]]*BN$1</f>
        <v>5.1213544345600026E-7</v>
      </c>
      <c r="BO21" s="37">
        <f>developmentdata2019[[#This Row],[Trash (CY/day)]]*201.974</f>
        <v>685.35029524000004</v>
      </c>
      <c r="BP21" s="37">
        <f>developmentdata2019[[#This Row],[MGP (CY/day)]]*201.974</f>
        <v>111.47279528944</v>
      </c>
      <c r="BQ21" s="37">
        <f>developmentdata2019[[#This Row],[Cardboard (CY/day)]]*201.974</f>
        <v>11.548754801656802</v>
      </c>
      <c r="BR21" s="37">
        <f>developmentdata2019[[#This Row],[Paper  (CY/day)]]*201.974</f>
        <v>0.18762937591143206</v>
      </c>
      <c r="BS21" s="37">
        <f>developmentdata2019[[#This Row],[Organics (CY/day)]]*201.974</f>
        <v>4.1902883563806739E-2</v>
      </c>
      <c r="BT21" s="37">
        <f>developmentdata2019[[#This Row],[E-Waste (CY/day)]]*201.974</f>
        <v>5.4803539846182429E-4</v>
      </c>
      <c r="BU21" s="37">
        <f>developmentdata2019[[#This Row],[Textiles (CY/day)]]*201.974</f>
        <v>1.0343804405658219E-4</v>
      </c>
    </row>
    <row r="22" spans="1:73" x14ac:dyDescent="0.2">
      <c r="A22" s="37" t="s">
        <v>496</v>
      </c>
      <c r="B22" s="115">
        <v>43466</v>
      </c>
      <c r="C22" s="37" t="s">
        <v>698</v>
      </c>
      <c r="D22">
        <v>26</v>
      </c>
      <c r="E22">
        <v>26</v>
      </c>
      <c r="F22">
        <v>517</v>
      </c>
      <c r="G22">
        <v>517</v>
      </c>
      <c r="H22" s="37" t="s">
        <v>699</v>
      </c>
      <c r="I22" s="37" t="s">
        <v>577</v>
      </c>
      <c r="J22" s="37" t="s">
        <v>578</v>
      </c>
      <c r="K22" s="37" t="s">
        <v>579</v>
      </c>
      <c r="M22">
        <v>1104</v>
      </c>
      <c r="N22">
        <v>1104</v>
      </c>
      <c r="O22">
        <v>5607</v>
      </c>
      <c r="P22">
        <v>5.08</v>
      </c>
      <c r="R22">
        <v>3032</v>
      </c>
      <c r="S22">
        <v>3032</v>
      </c>
      <c r="T22">
        <v>366</v>
      </c>
      <c r="U22">
        <v>0.33300000000000002</v>
      </c>
      <c r="V22">
        <v>22</v>
      </c>
      <c r="W22">
        <v>1</v>
      </c>
      <c r="X22">
        <v>22</v>
      </c>
      <c r="Y22">
        <v>43623</v>
      </c>
      <c r="Z22">
        <v>1406832</v>
      </c>
      <c r="AA22">
        <v>32.299999999999997</v>
      </c>
      <c r="AB22">
        <v>1151484</v>
      </c>
      <c r="AC22">
        <v>26.43</v>
      </c>
      <c r="AD22">
        <v>173434</v>
      </c>
      <c r="AE22">
        <v>10826559</v>
      </c>
      <c r="AF22">
        <v>0.12330000000000001</v>
      </c>
      <c r="AG22">
        <v>94</v>
      </c>
      <c r="AH22">
        <v>14122000</v>
      </c>
      <c r="AI22">
        <v>2519</v>
      </c>
      <c r="AJ22">
        <v>593</v>
      </c>
      <c r="AK22" s="37" t="s">
        <v>700</v>
      </c>
      <c r="AL22" s="37" t="s">
        <v>701</v>
      </c>
      <c r="AM22" s="37" t="s">
        <v>702</v>
      </c>
      <c r="AN22" s="37" t="s">
        <v>365</v>
      </c>
      <c r="AO22" s="37" t="s">
        <v>703</v>
      </c>
      <c r="AP22">
        <v>1</v>
      </c>
      <c r="AQ22">
        <v>12</v>
      </c>
      <c r="AR22">
        <v>12</v>
      </c>
      <c r="AS22">
        <v>37</v>
      </c>
      <c r="AT22">
        <v>22</v>
      </c>
      <c r="AU22" s="115">
        <v>18941</v>
      </c>
      <c r="AV22" s="37" t="s">
        <v>704</v>
      </c>
      <c r="AW22" s="37"/>
      <c r="AX22" s="37"/>
      <c r="AY22" s="37"/>
      <c r="AZ22" s="37">
        <f>developmentdata2019[[#This Row],[NUMBER OF CURRENT APARTMENTS]]*5/2000</f>
        <v>2.76</v>
      </c>
      <c r="BA22" s="37">
        <f>developmentdata2019[[#This Row],[Total]]*BA$1</f>
        <v>0.71760000000000002</v>
      </c>
      <c r="BB22" s="37">
        <f>developmentdata2019[[#This Row],[Trash (tons/day)]]*BB$1</f>
        <v>0.13634399999999999</v>
      </c>
      <c r="BC22" s="37">
        <f>developmentdata2019[[#This Row],[MGP (tons/day)]]*BC$1</f>
        <v>9.5440799999999999E-3</v>
      </c>
      <c r="BD22" s="37">
        <f>developmentdata2019[[#This Row],[Cardboard (tons/day)]]*BD$1</f>
        <v>6.6808560000000011E-4</v>
      </c>
      <c r="BE22" s="37">
        <f>developmentdata2019[[#This Row],[Paper (tons/day)]]*BE$1</f>
        <v>2.1378739200000004E-4</v>
      </c>
      <c r="BF22" s="37">
        <f>developmentdata2019[[#This Row],[Organics (tons/day)]]*BF$1</f>
        <v>2.1378739200000006E-6</v>
      </c>
      <c r="BG22" s="37">
        <f>developmentdata2019[[#This Row],[E-Waste (tons/day)]]*BG$1</f>
        <v>1.7102991360000004E-7</v>
      </c>
      <c r="BH22" s="37">
        <f>developmentdata2019[[#This Row],[Trash (tons/day)]]*BH$1</f>
        <v>15.10548</v>
      </c>
      <c r="BI22" s="37">
        <f>developmentdata2019[[#This Row],[MGP (tons/day)]]*BI$1</f>
        <v>2.4569188799999999</v>
      </c>
      <c r="BJ22" s="37">
        <f>developmentdata2019[[#This Row],[Cardboard (tons/day)]]*BJ$1</f>
        <v>0.25454061360000002</v>
      </c>
      <c r="BK22" s="37">
        <f>developmentdata2019[[#This Row],[Paper (tons/day)]]*BK$1</f>
        <v>4.1354498640000011E-3</v>
      </c>
      <c r="BL22" s="37">
        <f>developmentdata2019[[#This Row],[Organics (tons/day)]]*BL$1</f>
        <v>9.2356153344000022E-4</v>
      </c>
      <c r="BM22" s="37">
        <f>developmentdata2019[[#This Row],[E-Waste (tons/day)]]*BM$1</f>
        <v>1.2078987648000003E-5</v>
      </c>
      <c r="BN22" s="37">
        <f>developmentdata2019[[#This Row],[Textiles (tons/day)]]*BN$1</f>
        <v>2.2798287482880004E-6</v>
      </c>
      <c r="BO22" s="37">
        <f>developmentdata2019[[#This Row],[Trash (CY/day)]]*201.974</f>
        <v>3050.91421752</v>
      </c>
      <c r="BP22" s="37">
        <f>developmentdata2019[[#This Row],[MGP (CY/day)]]*201.974</f>
        <v>496.23373386911993</v>
      </c>
      <c r="BQ22" s="37">
        <f>developmentdata2019[[#This Row],[Cardboard (CY/day)]]*201.974</f>
        <v>51.410585891246399</v>
      </c>
      <c r="BR22" s="37">
        <f>developmentdata2019[[#This Row],[Paper  (CY/day)]]*201.974</f>
        <v>0.83525335083153618</v>
      </c>
      <c r="BS22" s="37">
        <f>developmentdata2019[[#This Row],[Organics (CY/day)]]*201.974</f>
        <v>0.1865354171550106</v>
      </c>
      <c r="BT22" s="37">
        <f>developmentdata2019[[#This Row],[E-Waste (CY/day)]]*201.974</f>
        <v>2.4396414512171524E-3</v>
      </c>
      <c r="BU22" s="37">
        <f>developmentdata2019[[#This Row],[Textiles (CY/day)]]*201.974</f>
        <v>4.6046613160672056E-4</v>
      </c>
    </row>
    <row r="23" spans="1:73" x14ac:dyDescent="0.2">
      <c r="A23" s="37" t="s">
        <v>705</v>
      </c>
      <c r="B23" s="115">
        <v>43466</v>
      </c>
      <c r="C23" s="37" t="s">
        <v>649</v>
      </c>
      <c r="D23">
        <v>256</v>
      </c>
      <c r="E23">
        <v>163</v>
      </c>
      <c r="F23">
        <v>384</v>
      </c>
      <c r="G23">
        <v>272</v>
      </c>
      <c r="H23" s="37" t="s">
        <v>706</v>
      </c>
      <c r="I23" s="37" t="s">
        <v>577</v>
      </c>
      <c r="J23" s="37" t="s">
        <v>588</v>
      </c>
      <c r="K23" s="37" t="s">
        <v>579</v>
      </c>
      <c r="M23">
        <v>299</v>
      </c>
      <c r="N23">
        <v>300</v>
      </c>
      <c r="O23">
        <v>1237.5</v>
      </c>
      <c r="P23">
        <v>4.1399999999999997</v>
      </c>
      <c r="R23">
        <v>582</v>
      </c>
      <c r="S23">
        <v>582</v>
      </c>
      <c r="T23">
        <v>121</v>
      </c>
      <c r="U23">
        <v>0.41</v>
      </c>
      <c r="V23">
        <v>1</v>
      </c>
      <c r="W23">
        <v>0</v>
      </c>
      <c r="X23">
        <v>1</v>
      </c>
      <c r="Y23">
        <v>31</v>
      </c>
      <c r="Z23">
        <v>88155</v>
      </c>
      <c r="AA23">
        <v>2.02</v>
      </c>
      <c r="AB23">
        <v>88155</v>
      </c>
      <c r="AC23">
        <v>2.02</v>
      </c>
      <c r="AD23">
        <v>15382</v>
      </c>
      <c r="AE23">
        <v>2464800</v>
      </c>
      <c r="AF23">
        <v>0.17449999999999999</v>
      </c>
      <c r="AG23">
        <v>288</v>
      </c>
      <c r="AH23">
        <v>10797972</v>
      </c>
      <c r="AI23">
        <v>8489</v>
      </c>
      <c r="AJ23">
        <v>562</v>
      </c>
      <c r="AK23" s="37" t="s">
        <v>707</v>
      </c>
      <c r="AL23" s="37" t="s">
        <v>708</v>
      </c>
      <c r="AM23" s="37" t="s">
        <v>709</v>
      </c>
      <c r="AN23" s="37" t="s">
        <v>710</v>
      </c>
      <c r="AO23" s="37" t="s">
        <v>593</v>
      </c>
      <c r="AP23">
        <v>2</v>
      </c>
      <c r="AQ23">
        <v>8</v>
      </c>
      <c r="AR23">
        <v>25</v>
      </c>
      <c r="AS23">
        <v>57</v>
      </c>
      <c r="AT23">
        <v>35</v>
      </c>
      <c r="AU23" s="115">
        <v>27880</v>
      </c>
      <c r="AV23" s="37"/>
      <c r="AW23" s="37"/>
      <c r="AX23" s="37"/>
      <c r="AY23" s="37"/>
      <c r="AZ23" s="37">
        <f>developmentdata2019[[#This Row],[NUMBER OF CURRENT APARTMENTS]]*5/2000</f>
        <v>0.74750000000000005</v>
      </c>
      <c r="BA23" s="37">
        <f>developmentdata2019[[#This Row],[Total]]*BA$1</f>
        <v>0.19435000000000002</v>
      </c>
      <c r="BB23" s="37">
        <f>developmentdata2019[[#This Row],[Trash (tons/day)]]*BB$1</f>
        <v>3.6926500000000008E-2</v>
      </c>
      <c r="BC23" s="37">
        <f>developmentdata2019[[#This Row],[MGP (tons/day)]]*BC$1</f>
        <v>2.5848550000000009E-3</v>
      </c>
      <c r="BD23" s="37">
        <f>developmentdata2019[[#This Row],[Cardboard (tons/day)]]*BD$1</f>
        <v>1.8093985000000007E-4</v>
      </c>
      <c r="BE23" s="37">
        <f>developmentdata2019[[#This Row],[Paper (tons/day)]]*BE$1</f>
        <v>5.7900752000000022E-5</v>
      </c>
      <c r="BF23" s="37">
        <f>developmentdata2019[[#This Row],[Organics (tons/day)]]*BF$1</f>
        <v>5.7900752000000026E-7</v>
      </c>
      <c r="BG23" s="37">
        <f>developmentdata2019[[#This Row],[E-Waste (tons/day)]]*BG$1</f>
        <v>4.632060160000002E-8</v>
      </c>
      <c r="BH23" s="37">
        <f>developmentdata2019[[#This Row],[Trash (tons/day)]]*BH$1</f>
        <v>4.0910675000000003</v>
      </c>
      <c r="BI23" s="37">
        <f>developmentdata2019[[#This Row],[MGP (tons/day)]]*BI$1</f>
        <v>0.66541553000000009</v>
      </c>
      <c r="BJ23" s="37">
        <f>developmentdata2019[[#This Row],[Cardboard (tons/day)]]*BJ$1</f>
        <v>6.8938082850000026E-2</v>
      </c>
      <c r="BK23" s="37">
        <f>developmentdata2019[[#This Row],[Paper (tons/day)]]*BK$1</f>
        <v>1.1200176715000004E-3</v>
      </c>
      <c r="BL23" s="37">
        <f>developmentdata2019[[#This Row],[Organics (tons/day)]]*BL$1</f>
        <v>2.5013124864000009E-4</v>
      </c>
      <c r="BM23" s="37">
        <f>developmentdata2019[[#This Row],[E-Waste (tons/day)]]*BM$1</f>
        <v>3.2713924880000017E-6</v>
      </c>
      <c r="BN23" s="37">
        <f>developmentdata2019[[#This Row],[Textiles (tons/day)]]*BN$1</f>
        <v>6.1745361932800029E-7</v>
      </c>
      <c r="BO23" s="37">
        <f>developmentdata2019[[#This Row],[Trash (CY/day)]]*201.974</f>
        <v>826.28926724500002</v>
      </c>
      <c r="BP23" s="37">
        <f>developmentdata2019[[#This Row],[MGP (CY/day)]]*201.974</f>
        <v>134.39663625622001</v>
      </c>
      <c r="BQ23" s="37">
        <f>developmentdata2019[[#This Row],[Cardboard (CY/day)]]*201.974</f>
        <v>13.923700345545905</v>
      </c>
      <c r="BR23" s="37">
        <f>developmentdata2019[[#This Row],[Paper  (CY/day)]]*201.974</f>
        <v>0.22621444918354108</v>
      </c>
      <c r="BS23" s="37">
        <f>developmentdata2019[[#This Row],[Organics (CY/day)]]*201.974</f>
        <v>5.0520008812815376E-2</v>
      </c>
      <c r="BT23" s="37">
        <f>developmentdata2019[[#This Row],[E-Waste (CY/day)]]*201.974</f>
        <v>6.607362263713123E-4</v>
      </c>
      <c r="BU23" s="37">
        <f>developmentdata2019[[#This Row],[Textiles (CY/day)]]*201.974</f>
        <v>1.2470957731015351E-4</v>
      </c>
    </row>
    <row r="24" spans="1:73" x14ac:dyDescent="0.2">
      <c r="A24" s="37" t="s">
        <v>348</v>
      </c>
      <c r="B24" s="115">
        <v>43466</v>
      </c>
      <c r="C24" s="37" t="s">
        <v>711</v>
      </c>
      <c r="D24">
        <v>125</v>
      </c>
      <c r="E24">
        <v>3</v>
      </c>
      <c r="F24">
        <v>444</v>
      </c>
      <c r="G24">
        <v>444</v>
      </c>
      <c r="H24" s="37" t="s">
        <v>712</v>
      </c>
      <c r="I24" s="37" t="s">
        <v>577</v>
      </c>
      <c r="J24" s="37" t="s">
        <v>578</v>
      </c>
      <c r="K24" s="37" t="s">
        <v>579</v>
      </c>
      <c r="M24">
        <v>167</v>
      </c>
      <c r="N24">
        <v>168</v>
      </c>
      <c r="O24">
        <v>826.5</v>
      </c>
      <c r="P24">
        <v>4.95</v>
      </c>
      <c r="R24">
        <v>446</v>
      </c>
      <c r="S24">
        <v>446</v>
      </c>
      <c r="T24">
        <v>64</v>
      </c>
      <c r="U24">
        <v>0.38800000000000001</v>
      </c>
      <c r="V24">
        <v>1</v>
      </c>
      <c r="W24">
        <v>0</v>
      </c>
      <c r="X24">
        <v>1</v>
      </c>
      <c r="Y24">
        <v>20</v>
      </c>
      <c r="Z24">
        <v>27477</v>
      </c>
      <c r="AA24">
        <v>0.63</v>
      </c>
      <c r="AB24">
        <v>27477</v>
      </c>
      <c r="AC24">
        <v>0.63</v>
      </c>
      <c r="AD24">
        <v>9043</v>
      </c>
      <c r="AE24">
        <v>1585892</v>
      </c>
      <c r="AF24">
        <v>0.3291</v>
      </c>
      <c r="AG24">
        <v>708</v>
      </c>
      <c r="AH24">
        <v>2817000</v>
      </c>
      <c r="AI24">
        <v>3382</v>
      </c>
      <c r="AJ24">
        <v>578</v>
      </c>
      <c r="AK24" s="37" t="s">
        <v>713</v>
      </c>
      <c r="AL24" s="37" t="s">
        <v>714</v>
      </c>
      <c r="AM24" s="37" t="s">
        <v>618</v>
      </c>
      <c r="AN24" s="37"/>
      <c r="AO24" s="37" t="s">
        <v>608</v>
      </c>
      <c r="AP24">
        <v>9</v>
      </c>
      <c r="AQ24">
        <v>13</v>
      </c>
      <c r="AR24">
        <v>30</v>
      </c>
      <c r="AS24">
        <v>71</v>
      </c>
      <c r="AT24">
        <v>7</v>
      </c>
      <c r="AU24" s="115">
        <v>22766</v>
      </c>
      <c r="AV24" s="37" t="s">
        <v>715</v>
      </c>
      <c r="AW24" s="37"/>
      <c r="AX24" s="37"/>
      <c r="AY24" s="37"/>
      <c r="AZ24" s="37">
        <f>developmentdata2019[[#This Row],[NUMBER OF CURRENT APARTMENTS]]*5/2000</f>
        <v>0.41749999999999998</v>
      </c>
      <c r="BA24" s="37">
        <f>developmentdata2019[[#This Row],[Total]]*BA$1</f>
        <v>0.10854999999999999</v>
      </c>
      <c r="BB24" s="37">
        <f>developmentdata2019[[#This Row],[Trash (tons/day)]]*BB$1</f>
        <v>2.06245E-2</v>
      </c>
      <c r="BC24" s="37">
        <f>developmentdata2019[[#This Row],[MGP (tons/day)]]*BC$1</f>
        <v>1.4437150000000001E-3</v>
      </c>
      <c r="BD24" s="37">
        <f>developmentdata2019[[#This Row],[Cardboard (tons/day)]]*BD$1</f>
        <v>1.0106005000000002E-4</v>
      </c>
      <c r="BE24" s="37">
        <f>developmentdata2019[[#This Row],[Paper (tons/day)]]*BE$1</f>
        <v>3.2339216000000008E-5</v>
      </c>
      <c r="BF24" s="37">
        <f>developmentdata2019[[#This Row],[Organics (tons/day)]]*BF$1</f>
        <v>3.2339216000000009E-7</v>
      </c>
      <c r="BG24" s="37">
        <f>developmentdata2019[[#This Row],[E-Waste (tons/day)]]*BG$1</f>
        <v>2.5871372800000007E-8</v>
      </c>
      <c r="BH24" s="37">
        <f>developmentdata2019[[#This Row],[Trash (tons/day)]]*BH$1</f>
        <v>2.2849775000000001</v>
      </c>
      <c r="BI24" s="37">
        <f>developmentdata2019[[#This Row],[MGP (tons/day)]]*BI$1</f>
        <v>0.37165348999999998</v>
      </c>
      <c r="BJ24" s="37">
        <f>developmentdata2019[[#This Row],[Cardboard (tons/day)]]*BJ$1</f>
        <v>3.8503879050000009E-2</v>
      </c>
      <c r="BK24" s="37">
        <f>developmentdata2019[[#This Row],[Paper (tons/day)]]*BK$1</f>
        <v>6.2556170950000016E-4</v>
      </c>
      <c r="BL24" s="37">
        <f>developmentdata2019[[#This Row],[Organics (tons/day)]]*BL$1</f>
        <v>1.3970541312000005E-4</v>
      </c>
      <c r="BM24" s="37">
        <f>developmentdata2019[[#This Row],[E-Waste (tons/day)]]*BM$1</f>
        <v>1.8271657040000006E-6</v>
      </c>
      <c r="BN24" s="37">
        <f>developmentdata2019[[#This Row],[Textiles (tons/day)]]*BN$1</f>
        <v>3.4486539942400011E-7</v>
      </c>
      <c r="BO24" s="37">
        <f>developmentdata2019[[#This Row],[Trash (CY/day)]]*201.974</f>
        <v>461.50604558499998</v>
      </c>
      <c r="BP24" s="37">
        <f>developmentdata2019[[#This Row],[MGP (CY/day)]]*201.974</f>
        <v>75.064341989259987</v>
      </c>
      <c r="BQ24" s="37">
        <f>developmentdata2019[[#This Row],[Cardboard (CY/day)]]*201.974</f>
        <v>7.7767824672447015</v>
      </c>
      <c r="BR24" s="37">
        <f>developmentdata2019[[#This Row],[Paper  (CY/day)]]*201.974</f>
        <v>0.12634720071455302</v>
      </c>
      <c r="BS24" s="37">
        <f>developmentdata2019[[#This Row],[Organics (CY/day)]]*201.974</f>
        <v>2.8216861109498888E-2</v>
      </c>
      <c r="BT24" s="37">
        <f>developmentdata2019[[#This Row],[E-Waste (CY/day)]]*201.974</f>
        <v>3.690399658996961E-4</v>
      </c>
      <c r="BU24" s="37">
        <f>developmentdata2019[[#This Row],[Textiles (CY/day)]]*201.974</f>
        <v>6.9653844183262999E-5</v>
      </c>
    </row>
    <row r="25" spans="1:73" x14ac:dyDescent="0.2">
      <c r="A25" s="37" t="s">
        <v>413</v>
      </c>
      <c r="B25" s="115">
        <v>43466</v>
      </c>
      <c r="C25" s="37" t="s">
        <v>716</v>
      </c>
      <c r="D25">
        <v>202</v>
      </c>
      <c r="E25">
        <v>197</v>
      </c>
      <c r="F25">
        <v>311</v>
      </c>
      <c r="G25">
        <v>311</v>
      </c>
      <c r="H25" s="37" t="s">
        <v>717</v>
      </c>
      <c r="I25" s="37" t="s">
        <v>577</v>
      </c>
      <c r="J25" s="37" t="s">
        <v>578</v>
      </c>
      <c r="K25" s="37" t="s">
        <v>579</v>
      </c>
      <c r="M25">
        <v>232</v>
      </c>
      <c r="N25">
        <v>233</v>
      </c>
      <c r="O25">
        <v>976</v>
      </c>
      <c r="P25">
        <v>4.21</v>
      </c>
      <c r="R25">
        <v>455</v>
      </c>
      <c r="S25">
        <v>455</v>
      </c>
      <c r="T25">
        <v>89</v>
      </c>
      <c r="U25">
        <v>0.38700000000000001</v>
      </c>
      <c r="V25">
        <v>1</v>
      </c>
      <c r="W25">
        <v>0</v>
      </c>
      <c r="X25">
        <v>1</v>
      </c>
      <c r="Y25">
        <v>20</v>
      </c>
      <c r="Z25">
        <v>99606</v>
      </c>
      <c r="AA25">
        <v>2.29</v>
      </c>
      <c r="AB25">
        <v>99606</v>
      </c>
      <c r="AC25">
        <v>2.29</v>
      </c>
      <c r="AD25">
        <v>13621</v>
      </c>
      <c r="AE25">
        <v>1877893</v>
      </c>
      <c r="AF25">
        <v>0.13669999999999999</v>
      </c>
      <c r="AG25">
        <v>199</v>
      </c>
      <c r="AH25">
        <v>8091156</v>
      </c>
      <c r="AI25">
        <v>8173</v>
      </c>
      <c r="AJ25">
        <v>493</v>
      </c>
      <c r="AK25" s="37" t="s">
        <v>718</v>
      </c>
      <c r="AL25" s="37" t="s">
        <v>719</v>
      </c>
      <c r="AM25" s="37" t="s">
        <v>720</v>
      </c>
      <c r="AN25" s="37"/>
      <c r="AO25" s="37" t="s">
        <v>584</v>
      </c>
      <c r="AP25">
        <v>7</v>
      </c>
      <c r="AQ25">
        <v>13</v>
      </c>
      <c r="AR25">
        <v>33</v>
      </c>
      <c r="AS25">
        <v>86</v>
      </c>
      <c r="AT25">
        <v>14</v>
      </c>
      <c r="AU25" s="115">
        <v>26815</v>
      </c>
      <c r="AV25" s="37"/>
      <c r="AW25" s="37"/>
      <c r="AX25" s="37"/>
      <c r="AY25" s="37"/>
      <c r="AZ25" s="37">
        <f>developmentdata2019[[#This Row],[NUMBER OF CURRENT APARTMENTS]]*5/2000</f>
        <v>0.57999999999999996</v>
      </c>
      <c r="BA25" s="37">
        <f>developmentdata2019[[#This Row],[Total]]*BA$1</f>
        <v>0.15079999999999999</v>
      </c>
      <c r="BB25" s="37">
        <f>developmentdata2019[[#This Row],[Trash (tons/day)]]*BB$1</f>
        <v>2.8651999999999997E-2</v>
      </c>
      <c r="BC25" s="37">
        <f>developmentdata2019[[#This Row],[MGP (tons/day)]]*BC$1</f>
        <v>2.0056399999999999E-3</v>
      </c>
      <c r="BD25" s="37">
        <f>developmentdata2019[[#This Row],[Cardboard (tons/day)]]*BD$1</f>
        <v>1.4039480000000001E-4</v>
      </c>
      <c r="BE25" s="37">
        <f>developmentdata2019[[#This Row],[Paper (tons/day)]]*BE$1</f>
        <v>4.4926336000000002E-5</v>
      </c>
      <c r="BF25" s="37">
        <f>developmentdata2019[[#This Row],[Organics (tons/day)]]*BF$1</f>
        <v>4.4926336000000005E-7</v>
      </c>
      <c r="BG25" s="37">
        <f>developmentdata2019[[#This Row],[E-Waste (tons/day)]]*BG$1</f>
        <v>3.5941068800000006E-8</v>
      </c>
      <c r="BH25" s="37">
        <f>developmentdata2019[[#This Row],[Trash (tons/day)]]*BH$1</f>
        <v>3.1743399999999999</v>
      </c>
      <c r="BI25" s="37">
        <f>developmentdata2019[[#This Row],[MGP (tons/day)]]*BI$1</f>
        <v>0.51630903999999989</v>
      </c>
      <c r="BJ25" s="37">
        <f>developmentdata2019[[#This Row],[Cardboard (tons/day)]]*BJ$1</f>
        <v>5.3490418800000002E-2</v>
      </c>
      <c r="BK25" s="37">
        <f>developmentdata2019[[#This Row],[Paper (tons/day)]]*BK$1</f>
        <v>8.6904381200000012E-4</v>
      </c>
      <c r="BL25" s="37">
        <f>developmentdata2019[[#This Row],[Organics (tons/day)]]*BL$1</f>
        <v>1.9408177152000001E-4</v>
      </c>
      <c r="BM25" s="37">
        <f>developmentdata2019[[#This Row],[E-Waste (tons/day)]]*BM$1</f>
        <v>2.5383379840000005E-6</v>
      </c>
      <c r="BN25" s="37">
        <f>developmentdata2019[[#This Row],[Textiles (tons/day)]]*BN$1</f>
        <v>4.7909444710400005E-7</v>
      </c>
      <c r="BO25" s="37">
        <f>developmentdata2019[[#This Row],[Trash (CY/day)]]*201.974</f>
        <v>641.13414716</v>
      </c>
      <c r="BP25" s="37">
        <f>developmentdata2019[[#This Row],[MGP (CY/day)]]*201.974</f>
        <v>104.28100204495998</v>
      </c>
      <c r="BQ25" s="37">
        <f>developmentdata2019[[#This Row],[Cardboard (CY/day)]]*201.974</f>
        <v>10.803673846711201</v>
      </c>
      <c r="BR25" s="37">
        <f>developmentdata2019[[#This Row],[Paper  (CY/day)]]*201.974</f>
        <v>0.17552425488488801</v>
      </c>
      <c r="BS25" s="37">
        <f>developmentdata2019[[#This Row],[Organics (CY/day)]]*201.974</f>
        <v>3.9199471720980483E-2</v>
      </c>
      <c r="BT25" s="37">
        <f>developmentdata2019[[#This Row],[E-Waste (CY/day)]]*201.974</f>
        <v>5.1267827598041606E-4</v>
      </c>
      <c r="BU25" s="37">
        <f>developmentdata2019[[#This Row],[Textiles (CY/day)]]*201.974</f>
        <v>9.6764621859383307E-5</v>
      </c>
    </row>
    <row r="26" spans="1:73" x14ac:dyDescent="0.2">
      <c r="A26" s="37" t="s">
        <v>506</v>
      </c>
      <c r="B26" s="115">
        <v>43466</v>
      </c>
      <c r="C26" s="37" t="s">
        <v>721</v>
      </c>
      <c r="D26">
        <v>91</v>
      </c>
      <c r="E26">
        <v>91</v>
      </c>
      <c r="F26">
        <v>240</v>
      </c>
      <c r="G26">
        <v>240</v>
      </c>
      <c r="H26" s="37" t="s">
        <v>722</v>
      </c>
      <c r="I26" s="37" t="s">
        <v>577</v>
      </c>
      <c r="J26" s="37" t="s">
        <v>578</v>
      </c>
      <c r="K26" s="37" t="s">
        <v>579</v>
      </c>
      <c r="M26">
        <v>381</v>
      </c>
      <c r="N26">
        <v>386</v>
      </c>
      <c r="O26">
        <v>1779.5</v>
      </c>
      <c r="P26">
        <v>4.67</v>
      </c>
      <c r="R26">
        <v>947</v>
      </c>
      <c r="S26">
        <v>947</v>
      </c>
      <c r="T26">
        <v>143</v>
      </c>
      <c r="U26">
        <v>0.377</v>
      </c>
      <c r="V26">
        <v>5</v>
      </c>
      <c r="W26">
        <v>1</v>
      </c>
      <c r="X26">
        <v>8</v>
      </c>
      <c r="Y26">
        <v>8</v>
      </c>
      <c r="Z26">
        <v>325713</v>
      </c>
      <c r="AA26">
        <v>7.48</v>
      </c>
      <c r="AB26">
        <v>325713</v>
      </c>
      <c r="AC26">
        <v>7.48</v>
      </c>
      <c r="AD26">
        <v>54504</v>
      </c>
      <c r="AE26">
        <v>3529560</v>
      </c>
      <c r="AF26">
        <v>0.1673</v>
      </c>
      <c r="AG26">
        <v>127</v>
      </c>
      <c r="AH26">
        <v>5856304</v>
      </c>
      <c r="AI26">
        <v>3246</v>
      </c>
      <c r="AJ26">
        <v>548</v>
      </c>
      <c r="AK26" s="37" t="s">
        <v>723</v>
      </c>
      <c r="AL26" s="37" t="s">
        <v>724</v>
      </c>
      <c r="AM26" s="37" t="s">
        <v>725</v>
      </c>
      <c r="AN26" s="37" t="s">
        <v>726</v>
      </c>
      <c r="AO26" s="37" t="s">
        <v>703</v>
      </c>
      <c r="AP26">
        <v>12</v>
      </c>
      <c r="AQ26">
        <v>5</v>
      </c>
      <c r="AR26" t="s">
        <v>727</v>
      </c>
      <c r="AS26">
        <v>32</v>
      </c>
      <c r="AT26">
        <v>28</v>
      </c>
      <c r="AU26" s="115">
        <v>22401</v>
      </c>
      <c r="AV26" s="37"/>
      <c r="AW26" s="37"/>
      <c r="AX26" s="37"/>
      <c r="AY26" s="37"/>
      <c r="AZ26" s="37">
        <f>developmentdata2019[[#This Row],[NUMBER OF CURRENT APARTMENTS]]*5/2000</f>
        <v>0.95250000000000001</v>
      </c>
      <c r="BA26" s="37">
        <f>developmentdata2019[[#This Row],[Total]]*BA$1</f>
        <v>0.24765000000000001</v>
      </c>
      <c r="BB26" s="37">
        <f>developmentdata2019[[#This Row],[Trash (tons/day)]]*BB$1</f>
        <v>4.7053500000000005E-2</v>
      </c>
      <c r="BC26" s="37">
        <f>developmentdata2019[[#This Row],[MGP (tons/day)]]*BC$1</f>
        <v>3.2937450000000007E-3</v>
      </c>
      <c r="BD26" s="37">
        <f>developmentdata2019[[#This Row],[Cardboard (tons/day)]]*BD$1</f>
        <v>2.3056215000000007E-4</v>
      </c>
      <c r="BE26" s="37">
        <f>developmentdata2019[[#This Row],[Paper (tons/day)]]*BE$1</f>
        <v>7.3779888000000029E-5</v>
      </c>
      <c r="BF26" s="37">
        <f>developmentdata2019[[#This Row],[Organics (tons/day)]]*BF$1</f>
        <v>7.3779888000000033E-7</v>
      </c>
      <c r="BG26" s="37">
        <f>developmentdata2019[[#This Row],[E-Waste (tons/day)]]*BG$1</f>
        <v>5.9023910400000031E-8</v>
      </c>
      <c r="BH26" s="37">
        <f>developmentdata2019[[#This Row],[Trash (tons/day)]]*BH$1</f>
        <v>5.2130325000000006</v>
      </c>
      <c r="BI26" s="37">
        <f>developmentdata2019[[#This Row],[MGP (tons/day)]]*BI$1</f>
        <v>0.84790407000000012</v>
      </c>
      <c r="BJ26" s="37">
        <f>developmentdata2019[[#This Row],[Cardboard (tons/day)]]*BJ$1</f>
        <v>8.7844179150000021E-2</v>
      </c>
      <c r="BK26" s="37">
        <f>developmentdata2019[[#This Row],[Paper (tons/day)]]*BK$1</f>
        <v>1.4271797085000006E-3</v>
      </c>
      <c r="BL26" s="37">
        <f>developmentdata2019[[#This Row],[Organics (tons/day)]]*BL$1</f>
        <v>3.1872911616000015E-4</v>
      </c>
      <c r="BM26" s="37">
        <f>developmentdata2019[[#This Row],[E-Waste (tons/day)]]*BM$1</f>
        <v>4.1685636720000023E-6</v>
      </c>
      <c r="BN26" s="37">
        <f>developmentdata2019[[#This Row],[Textiles (tons/day)]]*BN$1</f>
        <v>7.867887256320004E-7</v>
      </c>
      <c r="BO26" s="37">
        <f>developmentdata2019[[#This Row],[Trash (CY/day)]]*201.974</f>
        <v>1052.897026155</v>
      </c>
      <c r="BP26" s="37">
        <f>developmentdata2019[[#This Row],[MGP (CY/day)]]*201.974</f>
        <v>171.25457663418001</v>
      </c>
      <c r="BQ26" s="37">
        <f>developmentdata2019[[#This Row],[Cardboard (CY/day)]]*201.974</f>
        <v>17.742240239642104</v>
      </c>
      <c r="BR26" s="37">
        <f>developmentdata2019[[#This Row],[Paper  (CY/day)]]*201.974</f>
        <v>0.28825319444457909</v>
      </c>
      <c r="BS26" s="37">
        <f>developmentdata2019[[#This Row],[Organics (CY/day)]]*201.974</f>
        <v>6.437499450729986E-2</v>
      </c>
      <c r="BT26" s="37">
        <f>developmentdata2019[[#This Row],[E-Waste (CY/day)]]*201.974</f>
        <v>8.4194147908852842E-4</v>
      </c>
      <c r="BU26" s="37">
        <f>developmentdata2019[[#This Row],[Textiles (CY/day)]]*201.974</f>
        <v>1.5891086607079763E-4</v>
      </c>
    </row>
    <row r="27" spans="1:73" x14ac:dyDescent="0.2">
      <c r="A27" s="37" t="s">
        <v>319</v>
      </c>
      <c r="B27" s="115">
        <v>43466</v>
      </c>
      <c r="C27" s="37" t="s">
        <v>728</v>
      </c>
      <c r="D27">
        <v>60</v>
      </c>
      <c r="E27">
        <v>60</v>
      </c>
      <c r="F27">
        <v>215</v>
      </c>
      <c r="G27">
        <v>215</v>
      </c>
      <c r="H27" s="37" t="s">
        <v>729</v>
      </c>
      <c r="I27" s="37" t="s">
        <v>577</v>
      </c>
      <c r="J27" s="37" t="s">
        <v>578</v>
      </c>
      <c r="K27" s="37" t="s">
        <v>579</v>
      </c>
      <c r="M27">
        <v>2193</v>
      </c>
      <c r="N27">
        <v>2194</v>
      </c>
      <c r="O27">
        <v>10240.5</v>
      </c>
      <c r="P27">
        <v>4.67</v>
      </c>
      <c r="R27">
        <v>4872</v>
      </c>
      <c r="S27">
        <v>4872</v>
      </c>
      <c r="T27">
        <v>962</v>
      </c>
      <c r="U27">
        <v>0.44500000000000001</v>
      </c>
      <c r="V27">
        <v>17</v>
      </c>
      <c r="W27">
        <v>1</v>
      </c>
      <c r="X27">
        <v>35</v>
      </c>
      <c r="Y27">
        <v>41833</v>
      </c>
      <c r="Z27">
        <v>1196115</v>
      </c>
      <c r="AA27">
        <v>27.46</v>
      </c>
      <c r="AB27">
        <v>1101503</v>
      </c>
      <c r="AC27">
        <v>25.29</v>
      </c>
      <c r="AD27">
        <v>160098</v>
      </c>
      <c r="AE27">
        <v>17784205</v>
      </c>
      <c r="AF27">
        <v>0.1338</v>
      </c>
      <c r="AG27">
        <v>177</v>
      </c>
      <c r="AH27">
        <v>36411155</v>
      </c>
      <c r="AI27">
        <v>3553</v>
      </c>
      <c r="AJ27">
        <v>534</v>
      </c>
      <c r="AK27" s="37" t="s">
        <v>730</v>
      </c>
      <c r="AL27" s="37" t="s">
        <v>731</v>
      </c>
      <c r="AM27" s="37" t="s">
        <v>732</v>
      </c>
      <c r="AN27" s="37" t="s">
        <v>733</v>
      </c>
      <c r="AO27" s="37" t="s">
        <v>608</v>
      </c>
      <c r="AP27">
        <v>3</v>
      </c>
      <c r="AQ27">
        <v>7</v>
      </c>
      <c r="AR27">
        <v>26</v>
      </c>
      <c r="AS27">
        <v>74</v>
      </c>
      <c r="AT27">
        <v>2</v>
      </c>
      <c r="AU27" s="115">
        <v>21768</v>
      </c>
      <c r="AV27" s="37"/>
      <c r="AW27" s="37"/>
      <c r="AX27" s="37"/>
      <c r="AY27" s="37"/>
      <c r="AZ27" s="37">
        <f>developmentdata2019[[#This Row],[NUMBER OF CURRENT APARTMENTS]]*5/2000</f>
        <v>5.4824999999999999</v>
      </c>
      <c r="BA27" s="37">
        <f>developmentdata2019[[#This Row],[Total]]*BA$1</f>
        <v>1.4254500000000001</v>
      </c>
      <c r="BB27" s="37">
        <f>developmentdata2019[[#This Row],[Trash (tons/day)]]*BB$1</f>
        <v>0.27083550000000001</v>
      </c>
      <c r="BC27" s="37">
        <f>developmentdata2019[[#This Row],[MGP (tons/day)]]*BC$1</f>
        <v>1.8958485000000001E-2</v>
      </c>
      <c r="BD27" s="37">
        <f>developmentdata2019[[#This Row],[Cardboard (tons/day)]]*BD$1</f>
        <v>1.3270939500000002E-3</v>
      </c>
      <c r="BE27" s="37">
        <f>developmentdata2019[[#This Row],[Paper (tons/day)]]*BE$1</f>
        <v>4.2467006400000005E-4</v>
      </c>
      <c r="BF27" s="37">
        <f>developmentdata2019[[#This Row],[Organics (tons/day)]]*BF$1</f>
        <v>4.246700640000001E-6</v>
      </c>
      <c r="BG27" s="37">
        <f>developmentdata2019[[#This Row],[E-Waste (tons/day)]]*BG$1</f>
        <v>3.3973605120000006E-7</v>
      </c>
      <c r="BH27" s="37">
        <f>developmentdata2019[[#This Row],[Trash (tons/day)]]*BH$1</f>
        <v>30.005722500000005</v>
      </c>
      <c r="BI27" s="37">
        <f>developmentdata2019[[#This Row],[MGP (tons/day)]]*BI$1</f>
        <v>4.8804557099999997</v>
      </c>
      <c r="BJ27" s="37">
        <f>developmentdata2019[[#This Row],[Cardboard (tons/day)]]*BJ$1</f>
        <v>0.50562279495000007</v>
      </c>
      <c r="BK27" s="37">
        <f>developmentdata2019[[#This Row],[Paper (tons/day)]]*BK$1</f>
        <v>8.214711550500001E-3</v>
      </c>
      <c r="BL27" s="37">
        <f>developmentdata2019[[#This Row],[Organics (tons/day)]]*BL$1</f>
        <v>1.8345746764800003E-3</v>
      </c>
      <c r="BM27" s="37">
        <f>developmentdata2019[[#This Row],[E-Waste (tons/day)]]*BM$1</f>
        <v>2.3993858616000007E-5</v>
      </c>
      <c r="BN27" s="37">
        <f>developmentdata2019[[#This Row],[Textiles (tons/day)]]*BN$1</f>
        <v>4.5286815624960007E-6</v>
      </c>
      <c r="BO27" s="37">
        <f>developmentdata2019[[#This Row],[Trash (CY/day)]]*201.974</f>
        <v>6060.3757962150003</v>
      </c>
      <c r="BP27" s="37">
        <f>developmentdata2019[[#This Row],[MGP (CY/day)]]*201.974</f>
        <v>985.72516157153984</v>
      </c>
      <c r="BQ27" s="37">
        <f>developmentdata2019[[#This Row],[Cardboard (CY/day)]]*201.974</f>
        <v>102.12265838723131</v>
      </c>
      <c r="BR27" s="37">
        <f>developmentdata2019[[#This Row],[Paper  (CY/day)]]*201.974</f>
        <v>1.6591581507006872</v>
      </c>
      <c r="BS27" s="37">
        <f>developmentdata2019[[#This Row],[Organics (CY/day)]]*201.974</f>
        <v>0.37053638570737157</v>
      </c>
      <c r="BT27" s="37">
        <f>developmentdata2019[[#This Row],[E-Waste (CY/day)]]*201.974</f>
        <v>4.8461356001079856E-3</v>
      </c>
      <c r="BU27" s="37">
        <f>developmentdata2019[[#This Row],[Textiles (CY/day)]]*201.974</f>
        <v>9.1467592990356723E-4</v>
      </c>
    </row>
    <row r="28" spans="1:73" x14ac:dyDescent="0.2">
      <c r="A28" s="37" t="s">
        <v>322</v>
      </c>
      <c r="B28" s="115">
        <v>43466</v>
      </c>
      <c r="C28" s="37" t="s">
        <v>728</v>
      </c>
      <c r="D28">
        <v>198</v>
      </c>
      <c r="E28">
        <v>60</v>
      </c>
      <c r="F28">
        <v>383</v>
      </c>
      <c r="G28">
        <v>215</v>
      </c>
      <c r="H28" s="37" t="s">
        <v>734</v>
      </c>
      <c r="I28" s="37" t="s">
        <v>577</v>
      </c>
      <c r="J28" s="37" t="s">
        <v>578</v>
      </c>
      <c r="K28" s="37" t="s">
        <v>735</v>
      </c>
      <c r="M28">
        <v>197</v>
      </c>
      <c r="N28">
        <v>197</v>
      </c>
      <c r="O28">
        <v>646.5</v>
      </c>
      <c r="P28">
        <v>3.28</v>
      </c>
      <c r="R28">
        <v>242</v>
      </c>
      <c r="S28">
        <v>242</v>
      </c>
      <c r="T28">
        <v>179</v>
      </c>
      <c r="U28">
        <v>0.92300000000000004</v>
      </c>
      <c r="V28">
        <v>1</v>
      </c>
      <c r="W28">
        <v>0</v>
      </c>
      <c r="X28">
        <v>1</v>
      </c>
      <c r="Y28">
        <v>23</v>
      </c>
      <c r="Z28">
        <v>47204</v>
      </c>
      <c r="AA28">
        <v>1.08</v>
      </c>
      <c r="AB28">
        <v>47204</v>
      </c>
      <c r="AC28">
        <v>1.08</v>
      </c>
      <c r="AD28">
        <v>6149</v>
      </c>
      <c r="AE28">
        <v>1268931</v>
      </c>
      <c r="AF28">
        <v>0.1303</v>
      </c>
      <c r="AG28">
        <v>224</v>
      </c>
      <c r="AH28">
        <v>6622549</v>
      </c>
      <c r="AI28">
        <v>9907</v>
      </c>
      <c r="AJ28">
        <v>302</v>
      </c>
      <c r="AK28" s="37" t="s">
        <v>733</v>
      </c>
      <c r="AL28" s="37" t="s">
        <v>732</v>
      </c>
      <c r="AM28" s="37" t="s">
        <v>730</v>
      </c>
      <c r="AN28" s="37" t="s">
        <v>731</v>
      </c>
      <c r="AO28" s="37" t="s">
        <v>608</v>
      </c>
      <c r="AP28">
        <v>3</v>
      </c>
      <c r="AQ28">
        <v>7</v>
      </c>
      <c r="AR28">
        <v>26</v>
      </c>
      <c r="AS28">
        <v>74</v>
      </c>
      <c r="AT28">
        <v>2</v>
      </c>
      <c r="AU28" s="115">
        <v>28245</v>
      </c>
      <c r="AV28" s="37"/>
      <c r="AW28" s="37" t="s">
        <v>736</v>
      </c>
      <c r="AX28" s="37"/>
      <c r="AY28" s="37"/>
      <c r="AZ28" s="37">
        <f>developmentdata2019[[#This Row],[NUMBER OF CURRENT APARTMENTS]]*5/2000</f>
        <v>0.49249999999999999</v>
      </c>
      <c r="BA28" s="37">
        <f>developmentdata2019[[#This Row],[Total]]*BA$1</f>
        <v>0.12805</v>
      </c>
      <c r="BB28" s="37">
        <f>developmentdata2019[[#This Row],[Trash (tons/day)]]*BB$1</f>
        <v>2.43295E-2</v>
      </c>
      <c r="BC28" s="37">
        <f>developmentdata2019[[#This Row],[MGP (tons/day)]]*BC$1</f>
        <v>1.7030650000000001E-3</v>
      </c>
      <c r="BD28" s="37">
        <f>developmentdata2019[[#This Row],[Cardboard (tons/day)]]*BD$1</f>
        <v>1.1921455000000003E-4</v>
      </c>
      <c r="BE28" s="37">
        <f>developmentdata2019[[#This Row],[Paper (tons/day)]]*BE$1</f>
        <v>3.8148656000000009E-5</v>
      </c>
      <c r="BF28" s="37">
        <f>developmentdata2019[[#This Row],[Organics (tons/day)]]*BF$1</f>
        <v>3.8148656000000008E-7</v>
      </c>
      <c r="BG28" s="37">
        <f>developmentdata2019[[#This Row],[E-Waste (tons/day)]]*BG$1</f>
        <v>3.0518924800000006E-8</v>
      </c>
      <c r="BH28" s="37">
        <f>developmentdata2019[[#This Row],[Trash (tons/day)]]*BH$1</f>
        <v>2.6954525</v>
      </c>
      <c r="BI28" s="37">
        <f>developmentdata2019[[#This Row],[MGP (tons/day)]]*BI$1</f>
        <v>0.43841759000000002</v>
      </c>
      <c r="BJ28" s="37">
        <f>developmentdata2019[[#This Row],[Cardboard (tons/day)]]*BJ$1</f>
        <v>4.5420743550000003E-2</v>
      </c>
      <c r="BK28" s="37">
        <f>developmentdata2019[[#This Row],[Paper (tons/day)]]*BK$1</f>
        <v>7.3793806450000022E-4</v>
      </c>
      <c r="BL28" s="37">
        <f>developmentdata2019[[#This Row],[Organics (tons/day)]]*BL$1</f>
        <v>1.6480219392000004E-4</v>
      </c>
      <c r="BM28" s="37">
        <f>developmentdata2019[[#This Row],[E-Waste (tons/day)]]*BM$1</f>
        <v>2.1553990640000006E-6</v>
      </c>
      <c r="BN28" s="37">
        <f>developmentdata2019[[#This Row],[Textiles (tons/day)]]*BN$1</f>
        <v>4.0681726758400007E-7</v>
      </c>
      <c r="BO28" s="37">
        <f>developmentdata2019[[#This Row],[Trash (CY/day)]]*201.974</f>
        <v>544.41132323499994</v>
      </c>
      <c r="BP28" s="37">
        <f>developmentdata2019[[#This Row],[MGP (CY/day)]]*201.974</f>
        <v>88.548954322659995</v>
      </c>
      <c r="BQ28" s="37">
        <f>developmentdata2019[[#This Row],[Cardboard (CY/day)]]*201.974</f>
        <v>9.1738092577677008</v>
      </c>
      <c r="BR28" s="37">
        <f>developmentdata2019[[#This Row],[Paper  (CY/day)]]*201.974</f>
        <v>0.14904430263932303</v>
      </c>
      <c r="BS28" s="37">
        <f>developmentdata2019[[#This Row],[Organics (CY/day)]]*201.974</f>
        <v>3.3285758314798089E-2</v>
      </c>
      <c r="BT28" s="37">
        <f>developmentdata2019[[#This Row],[E-Waste (CY/day)]]*201.974</f>
        <v>4.3533457055233607E-4</v>
      </c>
      <c r="BU28" s="37">
        <f>developmentdata2019[[#This Row],[Textiles (CY/day)]]*201.974</f>
        <v>8.2166510803010823E-5</v>
      </c>
    </row>
    <row r="29" spans="1:73" x14ac:dyDescent="0.2">
      <c r="A29" s="37" t="s">
        <v>481</v>
      </c>
      <c r="B29" s="115">
        <v>43466</v>
      </c>
      <c r="C29" s="37" t="s">
        <v>737</v>
      </c>
      <c r="D29">
        <v>92</v>
      </c>
      <c r="E29">
        <v>92</v>
      </c>
      <c r="F29">
        <v>670</v>
      </c>
      <c r="G29">
        <v>670</v>
      </c>
      <c r="H29" s="37" t="s">
        <v>738</v>
      </c>
      <c r="I29" s="37" t="s">
        <v>683</v>
      </c>
      <c r="J29" s="37" t="s">
        <v>578</v>
      </c>
      <c r="K29" s="37" t="s">
        <v>579</v>
      </c>
      <c r="L29">
        <v>340</v>
      </c>
      <c r="M29">
        <v>1609</v>
      </c>
      <c r="N29">
        <v>1610</v>
      </c>
      <c r="O29">
        <v>7310.5</v>
      </c>
      <c r="P29">
        <v>4.54</v>
      </c>
      <c r="Q29">
        <v>871</v>
      </c>
      <c r="R29">
        <v>2635</v>
      </c>
      <c r="S29">
        <v>3506</v>
      </c>
      <c r="T29">
        <v>620</v>
      </c>
      <c r="U29">
        <v>0.38800000000000001</v>
      </c>
      <c r="V29">
        <v>23</v>
      </c>
      <c r="W29">
        <v>2</v>
      </c>
      <c r="X29">
        <v>26</v>
      </c>
      <c r="Y29">
        <v>8</v>
      </c>
      <c r="Z29">
        <v>1481844</v>
      </c>
      <c r="AA29">
        <v>34.020000000000003</v>
      </c>
      <c r="AB29">
        <v>1459244</v>
      </c>
      <c r="AC29">
        <v>33.5</v>
      </c>
      <c r="AD29">
        <v>228305</v>
      </c>
      <c r="AE29">
        <v>14262296</v>
      </c>
      <c r="AF29">
        <v>0.15409999999999999</v>
      </c>
      <c r="AG29">
        <v>103</v>
      </c>
      <c r="AH29">
        <v>19575470</v>
      </c>
      <c r="AI29">
        <v>2676</v>
      </c>
      <c r="AJ29">
        <v>529</v>
      </c>
      <c r="AK29" s="37" t="s">
        <v>739</v>
      </c>
      <c r="AL29" s="37" t="s">
        <v>740</v>
      </c>
      <c r="AM29" s="37" t="s">
        <v>741</v>
      </c>
      <c r="AN29" s="37" t="s">
        <v>742</v>
      </c>
      <c r="AO29" s="37" t="s">
        <v>593</v>
      </c>
      <c r="AP29">
        <v>18</v>
      </c>
      <c r="AQ29">
        <v>8</v>
      </c>
      <c r="AR29">
        <v>19</v>
      </c>
      <c r="AS29">
        <v>59</v>
      </c>
      <c r="AT29">
        <v>46</v>
      </c>
      <c r="AU29" s="115">
        <v>20613</v>
      </c>
      <c r="AV29" s="37"/>
      <c r="AW29" s="37"/>
      <c r="AX29" s="37"/>
      <c r="AY29" s="37"/>
      <c r="AZ29" s="37">
        <f>developmentdata2019[[#This Row],[NUMBER OF CURRENT APARTMENTS]]*5/2000</f>
        <v>4.0225</v>
      </c>
      <c r="BA29" s="37">
        <f>developmentdata2019[[#This Row],[Total]]*BA$1</f>
        <v>1.0458499999999999</v>
      </c>
      <c r="BB29" s="37">
        <f>developmentdata2019[[#This Row],[Trash (tons/day)]]*BB$1</f>
        <v>0.19871149999999999</v>
      </c>
      <c r="BC29" s="37">
        <f>developmentdata2019[[#This Row],[MGP (tons/day)]]*BC$1</f>
        <v>1.3909805000000001E-2</v>
      </c>
      <c r="BD29" s="37">
        <f>developmentdata2019[[#This Row],[Cardboard (tons/day)]]*BD$1</f>
        <v>9.7368635000000009E-4</v>
      </c>
      <c r="BE29" s="37">
        <f>developmentdata2019[[#This Row],[Paper (tons/day)]]*BE$1</f>
        <v>3.1157963200000006E-4</v>
      </c>
      <c r="BF29" s="37">
        <f>developmentdata2019[[#This Row],[Organics (tons/day)]]*BF$1</f>
        <v>3.1157963200000005E-6</v>
      </c>
      <c r="BG29" s="37">
        <f>developmentdata2019[[#This Row],[E-Waste (tons/day)]]*BG$1</f>
        <v>2.4926370560000007E-7</v>
      </c>
      <c r="BH29" s="37">
        <f>developmentdata2019[[#This Row],[Trash (tons/day)]]*BH$1</f>
        <v>22.0151425</v>
      </c>
      <c r="BI29" s="37">
        <f>developmentdata2019[[#This Row],[MGP (tons/day)]]*BI$1</f>
        <v>3.5807812299999995</v>
      </c>
      <c r="BJ29" s="37">
        <f>developmentdata2019[[#This Row],[Cardboard (tons/day)]]*BJ$1</f>
        <v>0.37097449935000004</v>
      </c>
      <c r="BK29" s="37">
        <f>developmentdata2019[[#This Row],[Paper (tons/day)]]*BK$1</f>
        <v>6.0271185065000014E-3</v>
      </c>
      <c r="BL29" s="37">
        <f>developmentdata2019[[#This Row],[Organics (tons/day)]]*BL$1</f>
        <v>1.3460240102400004E-3</v>
      </c>
      <c r="BM29" s="37">
        <f>developmentdata2019[[#This Row],[E-Waste (tons/day)]]*BM$1</f>
        <v>1.7604249208000003E-5</v>
      </c>
      <c r="BN29" s="37">
        <f>developmentdata2019[[#This Row],[Textiles (tons/day)]]*BN$1</f>
        <v>3.3226851956480007E-6</v>
      </c>
      <c r="BO29" s="37">
        <f>developmentdata2019[[#This Row],[Trash (CY/day)]]*201.974</f>
        <v>4446.4863912949995</v>
      </c>
      <c r="BP29" s="37">
        <f>developmentdata2019[[#This Row],[MGP (CY/day)]]*201.974</f>
        <v>723.22470814801989</v>
      </c>
      <c r="BQ29" s="37">
        <f>developmentdata2019[[#This Row],[Cardboard (CY/day)]]*201.974</f>
        <v>74.927203531716899</v>
      </c>
      <c r="BR29" s="37">
        <f>developmentdata2019[[#This Row],[Paper  (CY/day)]]*201.974</f>
        <v>1.2173212332318313</v>
      </c>
      <c r="BS29" s="37">
        <f>developmentdata2019[[#This Row],[Organics (CY/day)]]*201.974</f>
        <v>0.27186185344421382</v>
      </c>
      <c r="BT29" s="37">
        <f>developmentdata2019[[#This Row],[E-Waste (CY/day)]]*201.974</f>
        <v>3.5556006295365925E-3</v>
      </c>
      <c r="BU29" s="37">
        <f>developmentdata2019[[#This Row],[Textiles (CY/day)]]*201.974</f>
        <v>6.7109601970580929E-4</v>
      </c>
    </row>
    <row r="30" spans="1:73" x14ac:dyDescent="0.2">
      <c r="A30" s="37" t="s">
        <v>491</v>
      </c>
      <c r="B30" s="115">
        <v>43466</v>
      </c>
      <c r="C30" s="37" t="s">
        <v>743</v>
      </c>
      <c r="D30">
        <v>165</v>
      </c>
      <c r="E30">
        <v>165</v>
      </c>
      <c r="F30">
        <v>282</v>
      </c>
      <c r="G30">
        <v>282</v>
      </c>
      <c r="H30" s="37" t="s">
        <v>744</v>
      </c>
      <c r="I30" s="37" t="s">
        <v>577</v>
      </c>
      <c r="J30" s="37" t="s">
        <v>578</v>
      </c>
      <c r="K30" s="37" t="s">
        <v>579</v>
      </c>
      <c r="M30">
        <v>712</v>
      </c>
      <c r="N30">
        <v>712</v>
      </c>
      <c r="O30">
        <v>3106</v>
      </c>
      <c r="P30">
        <v>4.3600000000000003</v>
      </c>
      <c r="R30">
        <v>1622</v>
      </c>
      <c r="S30">
        <v>1622</v>
      </c>
      <c r="T30">
        <v>233</v>
      </c>
      <c r="U30">
        <v>0.33500000000000002</v>
      </c>
      <c r="V30">
        <v>4</v>
      </c>
      <c r="W30">
        <v>1</v>
      </c>
      <c r="X30">
        <v>7</v>
      </c>
      <c r="Y30">
        <v>13</v>
      </c>
      <c r="Z30">
        <v>580000</v>
      </c>
      <c r="AA30">
        <v>13.31</v>
      </c>
      <c r="AB30">
        <v>580000</v>
      </c>
      <c r="AC30">
        <v>13.31</v>
      </c>
      <c r="AD30">
        <v>66756</v>
      </c>
      <c r="AE30">
        <v>6385727</v>
      </c>
      <c r="AF30">
        <v>0.11509999999999999</v>
      </c>
      <c r="AG30">
        <v>122</v>
      </c>
      <c r="AH30">
        <v>24811000</v>
      </c>
      <c r="AI30">
        <v>7988</v>
      </c>
      <c r="AJ30">
        <v>470</v>
      </c>
      <c r="AK30" s="37" t="s">
        <v>745</v>
      </c>
      <c r="AL30" s="37" t="s">
        <v>746</v>
      </c>
      <c r="AM30" s="37" t="s">
        <v>747</v>
      </c>
      <c r="AN30" s="37" t="s">
        <v>748</v>
      </c>
      <c r="AO30" s="37" t="s">
        <v>703</v>
      </c>
      <c r="AP30">
        <v>14</v>
      </c>
      <c r="AQ30">
        <v>5</v>
      </c>
      <c r="AR30">
        <v>10</v>
      </c>
      <c r="AS30">
        <v>31</v>
      </c>
      <c r="AT30">
        <v>31</v>
      </c>
      <c r="AU30" s="115">
        <v>26998</v>
      </c>
      <c r="AV30" s="37"/>
      <c r="AW30" s="37"/>
      <c r="AX30" s="37"/>
      <c r="AY30" s="37"/>
      <c r="AZ30" s="37">
        <f>developmentdata2019[[#This Row],[NUMBER OF CURRENT APARTMENTS]]*5/2000</f>
        <v>1.78</v>
      </c>
      <c r="BA30" s="37">
        <f>developmentdata2019[[#This Row],[Total]]*BA$1</f>
        <v>0.46280000000000004</v>
      </c>
      <c r="BB30" s="37">
        <f>developmentdata2019[[#This Row],[Trash (tons/day)]]*BB$1</f>
        <v>8.793200000000001E-2</v>
      </c>
      <c r="BC30" s="37">
        <f>developmentdata2019[[#This Row],[MGP (tons/day)]]*BC$1</f>
        <v>6.1552400000000011E-3</v>
      </c>
      <c r="BD30" s="37">
        <f>developmentdata2019[[#This Row],[Cardboard (tons/day)]]*BD$1</f>
        <v>4.3086680000000013E-4</v>
      </c>
      <c r="BE30" s="37">
        <f>developmentdata2019[[#This Row],[Paper (tons/day)]]*BE$1</f>
        <v>1.3787737600000005E-4</v>
      </c>
      <c r="BF30" s="37">
        <f>developmentdata2019[[#This Row],[Organics (tons/day)]]*BF$1</f>
        <v>1.3787737600000006E-6</v>
      </c>
      <c r="BG30" s="37">
        <f>developmentdata2019[[#This Row],[E-Waste (tons/day)]]*BG$1</f>
        <v>1.1030190080000005E-7</v>
      </c>
      <c r="BH30" s="37">
        <f>developmentdata2019[[#This Row],[Trash (tons/day)]]*BH$1</f>
        <v>9.7419400000000014</v>
      </c>
      <c r="BI30" s="37">
        <f>developmentdata2019[[#This Row],[MGP (tons/day)]]*BI$1</f>
        <v>1.5845346400000002</v>
      </c>
      <c r="BJ30" s="37">
        <f>developmentdata2019[[#This Row],[Cardboard (tons/day)]]*BJ$1</f>
        <v>0.16416025080000005</v>
      </c>
      <c r="BK30" s="37">
        <f>developmentdata2019[[#This Row],[Paper (tons/day)]]*BK$1</f>
        <v>2.6670654920000008E-3</v>
      </c>
      <c r="BL30" s="37">
        <f>developmentdata2019[[#This Row],[Organics (tons/day)]]*BL$1</f>
        <v>5.9563026432000023E-4</v>
      </c>
      <c r="BM30" s="37">
        <f>developmentdata2019[[#This Row],[E-Waste (tons/day)]]*BM$1</f>
        <v>7.7900717440000044E-6</v>
      </c>
      <c r="BN30" s="37">
        <f>developmentdata2019[[#This Row],[Textiles (tons/day)]]*BN$1</f>
        <v>1.4703243376640008E-6</v>
      </c>
      <c r="BO30" s="37">
        <f>developmentdata2019[[#This Row],[Trash (CY/day)]]*201.974</f>
        <v>1967.6185895600001</v>
      </c>
      <c r="BP30" s="37">
        <f>developmentdata2019[[#This Row],[MGP (CY/day)]]*201.974</f>
        <v>320.03479937936004</v>
      </c>
      <c r="BQ30" s="37">
        <f>developmentdata2019[[#This Row],[Cardboard (CY/day)]]*201.974</f>
        <v>33.15610249507921</v>
      </c>
      <c r="BR30" s="37">
        <f>developmentdata2019[[#This Row],[Paper  (CY/day)]]*201.974</f>
        <v>0.53867788568120811</v>
      </c>
      <c r="BS30" s="37">
        <f>developmentdata2019[[#This Row],[Organics (CY/day)]]*201.974</f>
        <v>0.12030182700576772</v>
      </c>
      <c r="BT30" s="37">
        <f>developmentdata2019[[#This Row],[E-Waste (CY/day)]]*201.974</f>
        <v>1.5733919504226567E-3</v>
      </c>
      <c r="BU30" s="37">
        <f>developmentdata2019[[#This Row],[Textiles (CY/day)]]*201.974</f>
        <v>2.9696728777534888E-4</v>
      </c>
    </row>
    <row r="31" spans="1:73" x14ac:dyDescent="0.2">
      <c r="A31" s="37" t="s">
        <v>749</v>
      </c>
      <c r="B31" s="115">
        <v>43466</v>
      </c>
      <c r="C31" s="37" t="s">
        <v>623</v>
      </c>
      <c r="D31">
        <v>311</v>
      </c>
      <c r="E31">
        <v>73</v>
      </c>
      <c r="F31">
        <v>266</v>
      </c>
      <c r="G31">
        <v>538</v>
      </c>
      <c r="H31" s="37" t="s">
        <v>750</v>
      </c>
      <c r="I31" s="37" t="s">
        <v>577</v>
      </c>
      <c r="J31" s="37" t="s">
        <v>588</v>
      </c>
      <c r="K31" s="37" t="s">
        <v>597</v>
      </c>
      <c r="M31">
        <v>84</v>
      </c>
      <c r="N31">
        <v>85</v>
      </c>
      <c r="O31">
        <v>381</v>
      </c>
      <c r="P31">
        <v>4.54</v>
      </c>
      <c r="R31">
        <v>180</v>
      </c>
      <c r="S31">
        <v>180</v>
      </c>
      <c r="T31">
        <v>29</v>
      </c>
      <c r="U31">
        <v>0.34899999999999998</v>
      </c>
      <c r="V31">
        <v>3</v>
      </c>
      <c r="W31">
        <v>0</v>
      </c>
      <c r="X31">
        <v>5</v>
      </c>
      <c r="Y31">
        <v>43561</v>
      </c>
      <c r="Z31">
        <v>26000</v>
      </c>
      <c r="AA31">
        <v>0.6</v>
      </c>
      <c r="AB31">
        <v>26000</v>
      </c>
      <c r="AC31">
        <v>0.6</v>
      </c>
      <c r="AD31">
        <v>18283</v>
      </c>
      <c r="AE31">
        <v>856611</v>
      </c>
      <c r="AF31">
        <v>0.70320000000000005</v>
      </c>
      <c r="AG31">
        <v>300</v>
      </c>
      <c r="AH31">
        <v>5219763</v>
      </c>
      <c r="AI31">
        <v>13316</v>
      </c>
      <c r="AJ31">
        <v>579</v>
      </c>
      <c r="AK31" s="37" t="s">
        <v>751</v>
      </c>
      <c r="AL31" s="37" t="s">
        <v>625</v>
      </c>
      <c r="AM31" s="37" t="s">
        <v>626</v>
      </c>
      <c r="AN31" s="37" t="s">
        <v>752</v>
      </c>
      <c r="AO31" s="37" t="s">
        <v>593</v>
      </c>
      <c r="AP31">
        <v>3</v>
      </c>
      <c r="AQ31">
        <v>8</v>
      </c>
      <c r="AR31">
        <v>18</v>
      </c>
      <c r="AS31">
        <v>54</v>
      </c>
      <c r="AT31">
        <v>36</v>
      </c>
      <c r="AU31" s="115">
        <v>30467</v>
      </c>
      <c r="AV31" s="37"/>
      <c r="AW31" s="37"/>
      <c r="AX31" s="37" t="s">
        <v>621</v>
      </c>
      <c r="AY31" s="37"/>
      <c r="AZ31" s="37">
        <f>developmentdata2019[[#This Row],[NUMBER OF CURRENT APARTMENTS]]*5/2000</f>
        <v>0.21</v>
      </c>
      <c r="BA31" s="37">
        <f>developmentdata2019[[#This Row],[Total]]*BA$1</f>
        <v>5.4600000000000003E-2</v>
      </c>
      <c r="BB31" s="37">
        <f>developmentdata2019[[#This Row],[Trash (tons/day)]]*BB$1</f>
        <v>1.0374000000000001E-2</v>
      </c>
      <c r="BC31" s="37">
        <f>developmentdata2019[[#This Row],[MGP (tons/day)]]*BC$1</f>
        <v>7.2618000000000021E-4</v>
      </c>
      <c r="BD31" s="37">
        <f>developmentdata2019[[#This Row],[Cardboard (tons/day)]]*BD$1</f>
        <v>5.0832600000000019E-5</v>
      </c>
      <c r="BE31" s="37">
        <f>developmentdata2019[[#This Row],[Paper (tons/day)]]*BE$1</f>
        <v>1.6266432000000005E-5</v>
      </c>
      <c r="BF31" s="37">
        <f>developmentdata2019[[#This Row],[Organics (tons/day)]]*BF$1</f>
        <v>1.6266432000000006E-7</v>
      </c>
      <c r="BG31" s="37">
        <f>developmentdata2019[[#This Row],[E-Waste (tons/day)]]*BG$1</f>
        <v>1.3013145600000006E-8</v>
      </c>
      <c r="BH31" s="37">
        <f>developmentdata2019[[#This Row],[Trash (tons/day)]]*BH$1</f>
        <v>1.1493300000000002</v>
      </c>
      <c r="BI31" s="37">
        <f>developmentdata2019[[#This Row],[MGP (tons/day)]]*BI$1</f>
        <v>0.18693948000000002</v>
      </c>
      <c r="BJ31" s="37">
        <f>developmentdata2019[[#This Row],[Cardboard (tons/day)]]*BJ$1</f>
        <v>1.9367220600000006E-2</v>
      </c>
      <c r="BK31" s="37">
        <f>developmentdata2019[[#This Row],[Paper (tons/day)]]*BK$1</f>
        <v>3.1465379400000016E-4</v>
      </c>
      <c r="BL31" s="37">
        <f>developmentdata2019[[#This Row],[Organics (tons/day)]]*BL$1</f>
        <v>7.027098624000003E-5</v>
      </c>
      <c r="BM31" s="37">
        <f>developmentdata2019[[#This Row],[E-Waste (tons/day)]]*BM$1</f>
        <v>9.1905340800000041E-7</v>
      </c>
      <c r="BN31" s="37">
        <f>developmentdata2019[[#This Row],[Textiles (tons/day)]]*BN$1</f>
        <v>1.7346523084800009E-7</v>
      </c>
      <c r="BO31" s="37">
        <f>developmentdata2019[[#This Row],[Trash (CY/day)]]*201.974</f>
        <v>232.13477742000003</v>
      </c>
      <c r="BP31" s="37">
        <f>developmentdata2019[[#This Row],[MGP (CY/day)]]*201.974</f>
        <v>37.756914533520003</v>
      </c>
      <c r="BQ31" s="37">
        <f>developmentdata2019[[#This Row],[Cardboard (CY/day)]]*201.974</f>
        <v>3.9116750134644009</v>
      </c>
      <c r="BR31" s="37">
        <f>developmentdata2019[[#This Row],[Paper  (CY/day)]]*201.974</f>
        <v>6.3551885389356022E-2</v>
      </c>
      <c r="BS31" s="37">
        <f>developmentdata2019[[#This Row],[Organics (CY/day)]]*201.974</f>
        <v>1.4192912174837766E-2</v>
      </c>
      <c r="BT31" s="37">
        <f>developmentdata2019[[#This Row],[E-Waste (CY/day)]]*201.974</f>
        <v>1.8562489302739206E-4</v>
      </c>
      <c r="BU31" s="37">
        <f>developmentdata2019[[#This Row],[Textiles (CY/day)]]*201.974</f>
        <v>3.5035466535293971E-5</v>
      </c>
    </row>
    <row r="32" spans="1:73" x14ac:dyDescent="0.2">
      <c r="A32" s="37" t="s">
        <v>753</v>
      </c>
      <c r="B32" s="115">
        <v>43466</v>
      </c>
      <c r="C32" s="37" t="s">
        <v>754</v>
      </c>
      <c r="D32">
        <v>345</v>
      </c>
      <c r="E32">
        <v>46</v>
      </c>
      <c r="F32">
        <v>761</v>
      </c>
      <c r="G32">
        <v>761</v>
      </c>
      <c r="H32" s="37" t="s">
        <v>755</v>
      </c>
      <c r="I32" s="37" t="s">
        <v>577</v>
      </c>
      <c r="J32" s="37" t="s">
        <v>588</v>
      </c>
      <c r="K32" s="37" t="s">
        <v>579</v>
      </c>
      <c r="M32">
        <v>72</v>
      </c>
      <c r="N32">
        <v>72</v>
      </c>
      <c r="O32">
        <v>336</v>
      </c>
      <c r="P32">
        <v>4.67</v>
      </c>
      <c r="R32">
        <v>189</v>
      </c>
      <c r="S32">
        <v>189</v>
      </c>
      <c r="T32">
        <v>21</v>
      </c>
      <c r="U32">
        <v>0.29199999999999998</v>
      </c>
      <c r="V32">
        <v>3</v>
      </c>
      <c r="W32">
        <v>0</v>
      </c>
      <c r="X32">
        <v>8</v>
      </c>
      <c r="Y32">
        <v>3</v>
      </c>
      <c r="Z32">
        <v>80000</v>
      </c>
      <c r="AA32">
        <v>1.84</v>
      </c>
      <c r="AB32">
        <v>80000</v>
      </c>
      <c r="AC32">
        <v>1.84</v>
      </c>
      <c r="AD32">
        <v>24395</v>
      </c>
      <c r="AE32">
        <v>889912</v>
      </c>
      <c r="AF32">
        <v>0.3049</v>
      </c>
      <c r="AG32">
        <v>103</v>
      </c>
      <c r="AH32">
        <v>5373534</v>
      </c>
      <c r="AI32">
        <v>15993</v>
      </c>
      <c r="AJ32">
        <v>577</v>
      </c>
      <c r="AK32" s="37" t="s">
        <v>756</v>
      </c>
      <c r="AL32" s="37" t="s">
        <v>757</v>
      </c>
      <c r="AM32" s="37" t="s">
        <v>591</v>
      </c>
      <c r="AN32" s="37" t="s">
        <v>758</v>
      </c>
      <c r="AO32" s="37" t="s">
        <v>593</v>
      </c>
      <c r="AP32">
        <v>5</v>
      </c>
      <c r="AQ32">
        <v>8</v>
      </c>
      <c r="AR32">
        <v>19</v>
      </c>
      <c r="AS32">
        <v>60</v>
      </c>
      <c r="AT32">
        <v>42</v>
      </c>
      <c r="AU32" s="115">
        <v>31471</v>
      </c>
      <c r="AV32" s="37"/>
      <c r="AW32" s="37"/>
      <c r="AX32" s="37" t="s">
        <v>621</v>
      </c>
      <c r="AY32" s="37"/>
      <c r="AZ32" s="37">
        <f>developmentdata2019[[#This Row],[NUMBER OF CURRENT APARTMENTS]]*5/2000</f>
        <v>0.18</v>
      </c>
      <c r="BA32" s="37">
        <f>developmentdata2019[[#This Row],[Total]]*BA$1</f>
        <v>4.6800000000000001E-2</v>
      </c>
      <c r="BB32" s="37">
        <f>developmentdata2019[[#This Row],[Trash (tons/day)]]*BB$1</f>
        <v>8.8920000000000006E-3</v>
      </c>
      <c r="BC32" s="37">
        <f>developmentdata2019[[#This Row],[MGP (tons/day)]]*BC$1</f>
        <v>6.2244000000000015E-4</v>
      </c>
      <c r="BD32" s="37">
        <f>developmentdata2019[[#This Row],[Cardboard (tons/day)]]*BD$1</f>
        <v>4.3570800000000013E-5</v>
      </c>
      <c r="BE32" s="37">
        <f>developmentdata2019[[#This Row],[Paper (tons/day)]]*BE$1</f>
        <v>1.3942656000000004E-5</v>
      </c>
      <c r="BF32" s="37">
        <f>developmentdata2019[[#This Row],[Organics (tons/day)]]*BF$1</f>
        <v>1.3942656000000004E-7</v>
      </c>
      <c r="BG32" s="37">
        <f>developmentdata2019[[#This Row],[E-Waste (tons/day)]]*BG$1</f>
        <v>1.1154124800000004E-8</v>
      </c>
      <c r="BH32" s="37">
        <f>developmentdata2019[[#This Row],[Trash (tons/day)]]*BH$1</f>
        <v>0.98514000000000002</v>
      </c>
      <c r="BI32" s="37">
        <f>developmentdata2019[[#This Row],[MGP (tons/day)]]*BI$1</f>
        <v>0.16023384000000002</v>
      </c>
      <c r="BJ32" s="37">
        <f>developmentdata2019[[#This Row],[Cardboard (tons/day)]]*BJ$1</f>
        <v>1.6600474800000004E-2</v>
      </c>
      <c r="BK32" s="37">
        <f>developmentdata2019[[#This Row],[Paper (tons/day)]]*BK$1</f>
        <v>2.6970325200000012E-4</v>
      </c>
      <c r="BL32" s="37">
        <f>developmentdata2019[[#This Row],[Organics (tons/day)]]*BL$1</f>
        <v>6.023227392000002E-5</v>
      </c>
      <c r="BM32" s="37">
        <f>developmentdata2019[[#This Row],[E-Waste (tons/day)]]*BM$1</f>
        <v>7.8776006400000029E-7</v>
      </c>
      <c r="BN32" s="37">
        <f>developmentdata2019[[#This Row],[Textiles (tons/day)]]*BN$1</f>
        <v>1.4868448358400004E-7</v>
      </c>
      <c r="BO32" s="37">
        <f>developmentdata2019[[#This Row],[Trash (CY/day)]]*201.974</f>
        <v>198.97266636000001</v>
      </c>
      <c r="BP32" s="37">
        <f>developmentdata2019[[#This Row],[MGP (CY/day)]]*201.974</f>
        <v>32.363069600160003</v>
      </c>
      <c r="BQ32" s="37">
        <f>developmentdata2019[[#This Row],[Cardboard (CY/day)]]*201.974</f>
        <v>3.3528642972552007</v>
      </c>
      <c r="BR32" s="37">
        <f>developmentdata2019[[#This Row],[Paper  (CY/day)]]*201.974</f>
        <v>5.4473044619448019E-2</v>
      </c>
      <c r="BS32" s="37">
        <f>developmentdata2019[[#This Row],[Organics (CY/day)]]*201.974</f>
        <v>1.2165353292718083E-2</v>
      </c>
      <c r="BT32" s="37">
        <f>developmentdata2019[[#This Row],[E-Waste (CY/day)]]*201.974</f>
        <v>1.5910705116633605E-4</v>
      </c>
      <c r="BU32" s="37">
        <f>developmentdata2019[[#This Row],[Textiles (CY/day)]]*201.974</f>
        <v>3.0030399887394823E-5</v>
      </c>
    </row>
    <row r="33" spans="1:73" x14ac:dyDescent="0.2">
      <c r="A33" s="37" t="s">
        <v>520</v>
      </c>
      <c r="B33" s="115">
        <v>43466</v>
      </c>
      <c r="C33" s="37" t="s">
        <v>759</v>
      </c>
      <c r="D33">
        <v>52</v>
      </c>
      <c r="E33">
        <v>52</v>
      </c>
      <c r="F33">
        <v>587</v>
      </c>
      <c r="G33">
        <v>587</v>
      </c>
      <c r="H33" s="37" t="s">
        <v>760</v>
      </c>
      <c r="I33" s="37" t="s">
        <v>577</v>
      </c>
      <c r="J33" s="37" t="s">
        <v>578</v>
      </c>
      <c r="K33" s="37" t="s">
        <v>579</v>
      </c>
      <c r="M33">
        <v>506</v>
      </c>
      <c r="N33">
        <v>506</v>
      </c>
      <c r="O33">
        <v>2129</v>
      </c>
      <c r="P33">
        <v>4.21</v>
      </c>
      <c r="R33">
        <v>944</v>
      </c>
      <c r="S33">
        <v>944</v>
      </c>
      <c r="T33">
        <v>220</v>
      </c>
      <c r="U33">
        <v>0.439</v>
      </c>
      <c r="V33">
        <v>8</v>
      </c>
      <c r="W33">
        <v>1</v>
      </c>
      <c r="X33">
        <v>17</v>
      </c>
      <c r="Y33">
        <v>6</v>
      </c>
      <c r="Z33">
        <v>604913</v>
      </c>
      <c r="AA33">
        <v>13.89</v>
      </c>
      <c r="AB33">
        <v>511178</v>
      </c>
      <c r="AC33">
        <v>11.74</v>
      </c>
      <c r="AD33">
        <v>77152</v>
      </c>
      <c r="AE33">
        <v>4520277</v>
      </c>
      <c r="AF33">
        <v>0.1275</v>
      </c>
      <c r="AG33">
        <v>68</v>
      </c>
      <c r="AH33">
        <v>5929376</v>
      </c>
      <c r="AI33">
        <v>2785</v>
      </c>
      <c r="AJ33">
        <v>511</v>
      </c>
      <c r="AK33" s="37" t="s">
        <v>761</v>
      </c>
      <c r="AL33" s="37" t="s">
        <v>762</v>
      </c>
      <c r="AM33" s="37" t="s">
        <v>763</v>
      </c>
      <c r="AN33" s="37" t="s">
        <v>764</v>
      </c>
      <c r="AO33" s="37" t="s">
        <v>765</v>
      </c>
      <c r="AP33">
        <v>2</v>
      </c>
      <c r="AQ33">
        <v>11</v>
      </c>
      <c r="AR33">
        <v>24</v>
      </c>
      <c r="AS33">
        <v>63</v>
      </c>
      <c r="AT33">
        <v>50</v>
      </c>
      <c r="AU33" s="115">
        <v>18563</v>
      </c>
      <c r="AV33" s="37" t="s">
        <v>766</v>
      </c>
      <c r="AW33" s="37"/>
      <c r="AX33" s="37"/>
      <c r="AY33" s="37"/>
      <c r="AZ33" s="37">
        <f>developmentdata2019[[#This Row],[NUMBER OF CURRENT APARTMENTS]]*5/2000</f>
        <v>1.2649999999999999</v>
      </c>
      <c r="BA33" s="37">
        <f>developmentdata2019[[#This Row],[Total]]*BA$1</f>
        <v>0.32889999999999997</v>
      </c>
      <c r="BB33" s="37">
        <f>developmentdata2019[[#This Row],[Trash (tons/day)]]*BB$1</f>
        <v>6.2490999999999998E-2</v>
      </c>
      <c r="BC33" s="37">
        <f>developmentdata2019[[#This Row],[MGP (tons/day)]]*BC$1</f>
        <v>4.3743700000000007E-3</v>
      </c>
      <c r="BD33" s="37">
        <f>developmentdata2019[[#This Row],[Cardboard (tons/day)]]*BD$1</f>
        <v>3.0620590000000008E-4</v>
      </c>
      <c r="BE33" s="37">
        <f>developmentdata2019[[#This Row],[Paper (tons/day)]]*BE$1</f>
        <v>9.7985888000000021E-5</v>
      </c>
      <c r="BF33" s="37">
        <f>developmentdata2019[[#This Row],[Organics (tons/day)]]*BF$1</f>
        <v>9.7985888000000027E-7</v>
      </c>
      <c r="BG33" s="37">
        <f>developmentdata2019[[#This Row],[E-Waste (tons/day)]]*BG$1</f>
        <v>7.8388710400000028E-8</v>
      </c>
      <c r="BH33" s="37">
        <f>developmentdata2019[[#This Row],[Trash (tons/day)]]*BH$1</f>
        <v>6.9233449999999994</v>
      </c>
      <c r="BI33" s="37">
        <f>developmentdata2019[[#This Row],[MGP (tons/day)]]*BI$1</f>
        <v>1.12608782</v>
      </c>
      <c r="BJ33" s="37">
        <f>developmentdata2019[[#This Row],[Cardboard (tons/day)]]*BJ$1</f>
        <v>0.11666444790000002</v>
      </c>
      <c r="BK33" s="37">
        <f>developmentdata2019[[#This Row],[Paper (tons/day)]]*BK$1</f>
        <v>1.8954145210000005E-3</v>
      </c>
      <c r="BL33" s="37">
        <f>developmentdata2019[[#This Row],[Organics (tons/day)]]*BL$1</f>
        <v>4.232990361600001E-4</v>
      </c>
      <c r="BM33" s="37">
        <f>developmentdata2019[[#This Row],[E-Waste (tons/day)]]*BM$1</f>
        <v>5.5362026720000017E-6</v>
      </c>
      <c r="BN33" s="37">
        <f>developmentdata2019[[#This Row],[Textiles (tons/day)]]*BN$1</f>
        <v>1.0449215096320004E-6</v>
      </c>
      <c r="BO33" s="37">
        <f>developmentdata2019[[#This Row],[Trash (CY/day)]]*201.974</f>
        <v>1398.3356830299997</v>
      </c>
      <c r="BP33" s="37">
        <f>developmentdata2019[[#This Row],[MGP (CY/day)]]*201.974</f>
        <v>227.44046135667998</v>
      </c>
      <c r="BQ33" s="37">
        <f>developmentdata2019[[#This Row],[Cardboard (CY/day)]]*201.974</f>
        <v>23.563185200154603</v>
      </c>
      <c r="BR33" s="37">
        <f>developmentdata2019[[#This Row],[Paper  (CY/day)]]*201.974</f>
        <v>0.38282445246445407</v>
      </c>
      <c r="BS33" s="37">
        <f>developmentdata2019[[#This Row],[Organics (CY/day)]]*201.974</f>
        <v>8.5495399529379859E-2</v>
      </c>
      <c r="BT33" s="37">
        <f>developmentdata2019[[#This Row],[E-Waste (CY/day)]]*201.974</f>
        <v>1.1181689984745282E-3</v>
      </c>
      <c r="BU33" s="37">
        <f>developmentdata2019[[#This Row],[Textiles (CY/day)]]*201.974</f>
        <v>2.1104697698641364E-4</v>
      </c>
    </row>
    <row r="34" spans="1:73" x14ac:dyDescent="0.2">
      <c r="A34" s="37" t="s">
        <v>434</v>
      </c>
      <c r="B34" s="115">
        <v>43466</v>
      </c>
      <c r="C34" s="37" t="s">
        <v>767</v>
      </c>
      <c r="D34">
        <v>357</v>
      </c>
      <c r="E34">
        <v>131</v>
      </c>
      <c r="F34">
        <v>777</v>
      </c>
      <c r="G34">
        <v>777</v>
      </c>
      <c r="H34" s="37" t="s">
        <v>768</v>
      </c>
      <c r="I34" s="37" t="s">
        <v>577</v>
      </c>
      <c r="J34" s="37" t="s">
        <v>588</v>
      </c>
      <c r="K34" s="37" t="s">
        <v>579</v>
      </c>
      <c r="M34">
        <v>150</v>
      </c>
      <c r="N34">
        <v>150</v>
      </c>
      <c r="O34">
        <v>711</v>
      </c>
      <c r="P34">
        <v>4.74</v>
      </c>
      <c r="R34">
        <v>370</v>
      </c>
      <c r="S34">
        <v>370</v>
      </c>
      <c r="T34">
        <v>44</v>
      </c>
      <c r="U34">
        <v>0.29899999999999999</v>
      </c>
      <c r="V34">
        <v>4</v>
      </c>
      <c r="W34">
        <v>0</v>
      </c>
      <c r="X34">
        <v>15</v>
      </c>
      <c r="Y34">
        <v>43530</v>
      </c>
      <c r="Z34">
        <v>129228</v>
      </c>
      <c r="AA34">
        <v>2.97</v>
      </c>
      <c r="AB34">
        <v>129228</v>
      </c>
      <c r="AC34">
        <v>2.97</v>
      </c>
      <c r="AD34">
        <v>39559</v>
      </c>
      <c r="AE34">
        <v>1341343</v>
      </c>
      <c r="AF34">
        <v>0.30609999999999998</v>
      </c>
      <c r="AG34">
        <v>125</v>
      </c>
      <c r="AH34">
        <v>17062418</v>
      </c>
      <c r="AI34">
        <v>23999</v>
      </c>
      <c r="AJ34">
        <v>627</v>
      </c>
      <c r="AK34" s="37" t="s">
        <v>769</v>
      </c>
      <c r="AL34" s="37" t="s">
        <v>770</v>
      </c>
      <c r="AM34" s="37" t="s">
        <v>771</v>
      </c>
      <c r="AN34" s="37" t="s">
        <v>772</v>
      </c>
      <c r="AO34" s="37" t="s">
        <v>593</v>
      </c>
      <c r="AP34">
        <v>1</v>
      </c>
      <c r="AQ34">
        <v>7</v>
      </c>
      <c r="AR34">
        <v>18</v>
      </c>
      <c r="AS34">
        <v>50</v>
      </c>
      <c r="AT34">
        <v>33</v>
      </c>
      <c r="AU34" s="115">
        <v>34972</v>
      </c>
      <c r="AV34" s="37"/>
      <c r="AW34" s="37"/>
      <c r="AX34" s="37" t="s">
        <v>621</v>
      </c>
      <c r="AY34" s="37"/>
      <c r="AZ34" s="37">
        <f>developmentdata2019[[#This Row],[NUMBER OF CURRENT APARTMENTS]]*5/2000</f>
        <v>0.375</v>
      </c>
      <c r="BA34" s="37">
        <f>developmentdata2019[[#This Row],[Total]]*BA$1</f>
        <v>9.7500000000000003E-2</v>
      </c>
      <c r="BB34" s="37">
        <f>developmentdata2019[[#This Row],[Trash (tons/day)]]*BB$1</f>
        <v>1.8525E-2</v>
      </c>
      <c r="BC34" s="37">
        <f>developmentdata2019[[#This Row],[MGP (tons/day)]]*BC$1</f>
        <v>1.2967500000000002E-3</v>
      </c>
      <c r="BD34" s="37">
        <f>developmentdata2019[[#This Row],[Cardboard (tons/day)]]*BD$1</f>
        <v>9.0772500000000026E-5</v>
      </c>
      <c r="BE34" s="37">
        <f>developmentdata2019[[#This Row],[Paper (tons/day)]]*BE$1</f>
        <v>2.9047200000000009E-5</v>
      </c>
      <c r="BF34" s="37">
        <f>developmentdata2019[[#This Row],[Organics (tons/day)]]*BF$1</f>
        <v>2.9047200000000009E-7</v>
      </c>
      <c r="BG34" s="37">
        <f>developmentdata2019[[#This Row],[E-Waste (tons/day)]]*BG$1</f>
        <v>2.3237760000000009E-8</v>
      </c>
      <c r="BH34" s="37">
        <f>developmentdata2019[[#This Row],[Trash (tons/day)]]*BH$1</f>
        <v>2.0523750000000001</v>
      </c>
      <c r="BI34" s="37">
        <f>developmentdata2019[[#This Row],[MGP (tons/day)]]*BI$1</f>
        <v>0.33382049999999996</v>
      </c>
      <c r="BJ34" s="37">
        <f>developmentdata2019[[#This Row],[Cardboard (tons/day)]]*BJ$1</f>
        <v>3.4584322500000007E-2</v>
      </c>
      <c r="BK34" s="37">
        <f>developmentdata2019[[#This Row],[Paper (tons/day)]]*BK$1</f>
        <v>5.6188177500000023E-4</v>
      </c>
      <c r="BL34" s="37">
        <f>developmentdata2019[[#This Row],[Organics (tons/day)]]*BL$1</f>
        <v>1.2548390400000004E-4</v>
      </c>
      <c r="BM34" s="37">
        <f>developmentdata2019[[#This Row],[E-Waste (tons/day)]]*BM$1</f>
        <v>1.6411668000000005E-6</v>
      </c>
      <c r="BN34" s="37">
        <f>developmentdata2019[[#This Row],[Textiles (tons/day)]]*BN$1</f>
        <v>3.097593408000001E-7</v>
      </c>
      <c r="BO34" s="37">
        <f>developmentdata2019[[#This Row],[Trash (CY/day)]]*201.974</f>
        <v>414.52638824999997</v>
      </c>
      <c r="BP34" s="37">
        <f>developmentdata2019[[#This Row],[MGP (CY/day)]]*201.974</f>
        <v>67.423061666999985</v>
      </c>
      <c r="BQ34" s="37">
        <f>developmentdata2019[[#This Row],[Cardboard (CY/day)]]*201.974</f>
        <v>6.9851339526150014</v>
      </c>
      <c r="BR34" s="37">
        <f>developmentdata2019[[#This Row],[Paper  (CY/day)]]*201.974</f>
        <v>0.11348550962385004</v>
      </c>
      <c r="BS34" s="37">
        <f>developmentdata2019[[#This Row],[Organics (CY/day)]]*201.974</f>
        <v>2.5344486026496006E-2</v>
      </c>
      <c r="BT34" s="37">
        <f>developmentdata2019[[#This Row],[E-Waste (CY/day)]]*201.974</f>
        <v>3.3147302326320011E-4</v>
      </c>
      <c r="BU34" s="37">
        <f>developmentdata2019[[#This Row],[Textiles (CY/day)]]*201.974</f>
        <v>6.2563333098739215E-5</v>
      </c>
    </row>
    <row r="35" spans="1:73" x14ac:dyDescent="0.2">
      <c r="A35" s="37" t="s">
        <v>377</v>
      </c>
      <c r="B35" s="115">
        <v>43466</v>
      </c>
      <c r="C35" s="37" t="s">
        <v>711</v>
      </c>
      <c r="D35">
        <v>160</v>
      </c>
      <c r="E35">
        <v>3</v>
      </c>
      <c r="F35">
        <v>271</v>
      </c>
      <c r="G35">
        <v>271</v>
      </c>
      <c r="H35" s="37" t="s">
        <v>773</v>
      </c>
      <c r="I35" s="37" t="s">
        <v>577</v>
      </c>
      <c r="J35" s="37" t="s">
        <v>578</v>
      </c>
      <c r="K35" s="37" t="s">
        <v>735</v>
      </c>
      <c r="M35">
        <v>210</v>
      </c>
      <c r="N35">
        <v>210</v>
      </c>
      <c r="O35">
        <v>735</v>
      </c>
      <c r="P35">
        <v>3.5</v>
      </c>
      <c r="R35">
        <v>260</v>
      </c>
      <c r="S35">
        <v>260</v>
      </c>
      <c r="T35">
        <v>185</v>
      </c>
      <c r="U35">
        <v>0.88500000000000001</v>
      </c>
      <c r="V35">
        <v>1</v>
      </c>
      <c r="W35">
        <v>0</v>
      </c>
      <c r="X35">
        <v>1</v>
      </c>
      <c r="Y35">
        <v>22</v>
      </c>
      <c r="Z35">
        <v>63546</v>
      </c>
      <c r="AA35">
        <v>1.46</v>
      </c>
      <c r="AB35">
        <v>63546</v>
      </c>
      <c r="AC35">
        <v>1.46</v>
      </c>
      <c r="AD35">
        <v>7751</v>
      </c>
      <c r="AE35">
        <v>1393115</v>
      </c>
      <c r="AF35">
        <v>0.122</v>
      </c>
      <c r="AG35">
        <v>178</v>
      </c>
      <c r="AH35">
        <v>3785397</v>
      </c>
      <c r="AI35">
        <v>5007</v>
      </c>
      <c r="AJ35">
        <v>337</v>
      </c>
      <c r="AK35" s="37" t="s">
        <v>774</v>
      </c>
      <c r="AL35" s="37" t="s">
        <v>605</v>
      </c>
      <c r="AM35" s="37" t="s">
        <v>618</v>
      </c>
      <c r="AN35" s="37"/>
      <c r="AO35" s="37" t="s">
        <v>608</v>
      </c>
      <c r="AP35">
        <v>12</v>
      </c>
      <c r="AQ35">
        <v>13</v>
      </c>
      <c r="AR35">
        <v>30</v>
      </c>
      <c r="AS35">
        <v>71</v>
      </c>
      <c r="AT35">
        <v>7</v>
      </c>
      <c r="AU35" s="115">
        <v>24562</v>
      </c>
      <c r="AV35" s="37"/>
      <c r="AW35" s="37" t="s">
        <v>736</v>
      </c>
      <c r="AX35" s="37"/>
      <c r="AY35" s="37"/>
      <c r="AZ35" s="37">
        <f>developmentdata2019[[#This Row],[NUMBER OF CURRENT APARTMENTS]]*5/2000</f>
        <v>0.52500000000000002</v>
      </c>
      <c r="BA35" s="37">
        <f>developmentdata2019[[#This Row],[Total]]*BA$1</f>
        <v>0.13650000000000001</v>
      </c>
      <c r="BB35" s="37">
        <f>developmentdata2019[[#This Row],[Trash (tons/day)]]*BB$1</f>
        <v>2.5935000000000003E-2</v>
      </c>
      <c r="BC35" s="37">
        <f>developmentdata2019[[#This Row],[MGP (tons/day)]]*BC$1</f>
        <v>1.8154500000000004E-3</v>
      </c>
      <c r="BD35" s="37">
        <f>developmentdata2019[[#This Row],[Cardboard (tons/day)]]*BD$1</f>
        <v>1.2708150000000003E-4</v>
      </c>
      <c r="BE35" s="37">
        <f>developmentdata2019[[#This Row],[Paper (tons/day)]]*BE$1</f>
        <v>4.0666080000000012E-5</v>
      </c>
      <c r="BF35" s="37">
        <f>developmentdata2019[[#This Row],[Organics (tons/day)]]*BF$1</f>
        <v>4.0666080000000011E-7</v>
      </c>
      <c r="BG35" s="37">
        <f>developmentdata2019[[#This Row],[E-Waste (tons/day)]]*BG$1</f>
        <v>3.2532864000000007E-8</v>
      </c>
      <c r="BH35" s="37">
        <f>developmentdata2019[[#This Row],[Trash (tons/day)]]*BH$1</f>
        <v>2.8733250000000004</v>
      </c>
      <c r="BI35" s="37">
        <f>developmentdata2019[[#This Row],[MGP (tons/day)]]*BI$1</f>
        <v>0.46734870000000006</v>
      </c>
      <c r="BJ35" s="37">
        <f>developmentdata2019[[#This Row],[Cardboard (tons/day)]]*BJ$1</f>
        <v>4.841805150000001E-2</v>
      </c>
      <c r="BK35" s="37">
        <f>developmentdata2019[[#This Row],[Paper (tons/day)]]*BK$1</f>
        <v>7.8663448500000026E-4</v>
      </c>
      <c r="BL35" s="37">
        <f>developmentdata2019[[#This Row],[Organics (tons/day)]]*BL$1</f>
        <v>1.7567746560000007E-4</v>
      </c>
      <c r="BM35" s="37">
        <f>developmentdata2019[[#This Row],[E-Waste (tons/day)]]*BM$1</f>
        <v>2.2976335200000007E-6</v>
      </c>
      <c r="BN35" s="37">
        <f>developmentdata2019[[#This Row],[Textiles (tons/day)]]*BN$1</f>
        <v>4.3366307712000008E-7</v>
      </c>
      <c r="BO35" s="37">
        <f>developmentdata2019[[#This Row],[Trash (CY/day)]]*201.974</f>
        <v>580.33694355</v>
      </c>
      <c r="BP35" s="37">
        <f>developmentdata2019[[#This Row],[MGP (CY/day)]]*201.974</f>
        <v>94.392286333800001</v>
      </c>
      <c r="BQ35" s="37">
        <f>developmentdata2019[[#This Row],[Cardboard (CY/day)]]*201.974</f>
        <v>9.7791875336610019</v>
      </c>
      <c r="BR35" s="37">
        <f>developmentdata2019[[#This Row],[Paper  (CY/day)]]*201.974</f>
        <v>0.15887971347339006</v>
      </c>
      <c r="BS35" s="37">
        <f>developmentdata2019[[#This Row],[Organics (CY/day)]]*201.974</f>
        <v>3.5482280437094414E-2</v>
      </c>
      <c r="BT35" s="37">
        <f>developmentdata2019[[#This Row],[E-Waste (CY/day)]]*201.974</f>
        <v>4.640622325684801E-4</v>
      </c>
      <c r="BU35" s="37">
        <f>developmentdata2019[[#This Row],[Textiles (CY/day)]]*201.974</f>
        <v>8.758866633823489E-5</v>
      </c>
    </row>
    <row r="36" spans="1:73" x14ac:dyDescent="0.2">
      <c r="A36" s="37" t="s">
        <v>775</v>
      </c>
      <c r="B36" s="115">
        <v>43466</v>
      </c>
      <c r="C36" s="37" t="s">
        <v>776</v>
      </c>
      <c r="D36">
        <v>54</v>
      </c>
      <c r="E36">
        <v>186</v>
      </c>
      <c r="F36">
        <v>519</v>
      </c>
      <c r="G36">
        <v>519</v>
      </c>
      <c r="H36" s="37" t="s">
        <v>777</v>
      </c>
      <c r="I36" s="37" t="s">
        <v>577</v>
      </c>
      <c r="J36" s="37" t="s">
        <v>578</v>
      </c>
      <c r="K36" s="37" t="s">
        <v>579</v>
      </c>
      <c r="M36">
        <v>399</v>
      </c>
      <c r="N36">
        <v>400</v>
      </c>
      <c r="O36">
        <v>1850.5</v>
      </c>
      <c r="P36">
        <v>4.6399999999999997</v>
      </c>
      <c r="R36">
        <v>863</v>
      </c>
      <c r="S36">
        <v>863</v>
      </c>
      <c r="T36">
        <v>167</v>
      </c>
      <c r="U36">
        <v>0.42299999999999999</v>
      </c>
      <c r="V36">
        <v>5</v>
      </c>
      <c r="W36">
        <v>0</v>
      </c>
      <c r="X36">
        <v>5</v>
      </c>
      <c r="Y36">
        <v>10</v>
      </c>
      <c r="Z36">
        <v>269800</v>
      </c>
      <c r="AA36">
        <v>6.19</v>
      </c>
      <c r="AB36">
        <v>245785</v>
      </c>
      <c r="AC36">
        <v>5.64</v>
      </c>
      <c r="AD36">
        <v>43237</v>
      </c>
      <c r="AE36">
        <v>3668503</v>
      </c>
      <c r="AF36">
        <v>0.1603</v>
      </c>
      <c r="AG36">
        <v>139</v>
      </c>
      <c r="AH36">
        <v>5925000</v>
      </c>
      <c r="AI36">
        <v>3205</v>
      </c>
      <c r="AJ36">
        <v>585</v>
      </c>
      <c r="AK36" s="37" t="s">
        <v>778</v>
      </c>
      <c r="AL36" s="37" t="s">
        <v>779</v>
      </c>
      <c r="AM36" s="37" t="s">
        <v>780</v>
      </c>
      <c r="AN36" s="37" t="s">
        <v>723</v>
      </c>
      <c r="AO36" s="37" t="s">
        <v>703</v>
      </c>
      <c r="AP36">
        <v>7</v>
      </c>
      <c r="AQ36">
        <v>6</v>
      </c>
      <c r="AR36">
        <v>11</v>
      </c>
      <c r="AS36">
        <v>40</v>
      </c>
      <c r="AT36">
        <v>20</v>
      </c>
      <c r="AU36" s="115">
        <v>19122</v>
      </c>
      <c r="AV36" s="37" t="s">
        <v>704</v>
      </c>
      <c r="AW36" s="37"/>
      <c r="AX36" s="37"/>
      <c r="AY36" s="37"/>
      <c r="AZ36" s="37">
        <f>developmentdata2019[[#This Row],[NUMBER OF CURRENT APARTMENTS]]*5/2000</f>
        <v>0.99750000000000005</v>
      </c>
      <c r="BA36" s="37">
        <f>developmentdata2019[[#This Row],[Total]]*BA$1</f>
        <v>0.25935000000000002</v>
      </c>
      <c r="BB36" s="37">
        <f>developmentdata2019[[#This Row],[Trash (tons/day)]]*BB$1</f>
        <v>4.9276500000000008E-2</v>
      </c>
      <c r="BC36" s="37">
        <f>developmentdata2019[[#This Row],[MGP (tons/day)]]*BC$1</f>
        <v>3.4493550000000007E-3</v>
      </c>
      <c r="BD36" s="37">
        <f>developmentdata2019[[#This Row],[Cardboard (tons/day)]]*BD$1</f>
        <v>2.4145485000000007E-4</v>
      </c>
      <c r="BE36" s="37">
        <f>developmentdata2019[[#This Row],[Paper (tons/day)]]*BE$1</f>
        <v>7.726555200000003E-5</v>
      </c>
      <c r="BF36" s="37">
        <f>developmentdata2019[[#This Row],[Organics (tons/day)]]*BF$1</f>
        <v>7.7265552000000036E-7</v>
      </c>
      <c r="BG36" s="37">
        <f>developmentdata2019[[#This Row],[E-Waste (tons/day)]]*BG$1</f>
        <v>6.1812441600000033E-8</v>
      </c>
      <c r="BH36" s="37">
        <f>developmentdata2019[[#This Row],[Trash (tons/day)]]*BH$1</f>
        <v>5.4593175000000009</v>
      </c>
      <c r="BI36" s="37">
        <f>developmentdata2019[[#This Row],[MGP (tons/day)]]*BI$1</f>
        <v>0.88796253000000014</v>
      </c>
      <c r="BJ36" s="37">
        <f>developmentdata2019[[#This Row],[Cardboard (tons/day)]]*BJ$1</f>
        <v>9.1994297850000031E-2</v>
      </c>
      <c r="BK36" s="37">
        <f>developmentdata2019[[#This Row],[Paper (tons/day)]]*BK$1</f>
        <v>1.4946055215000005E-3</v>
      </c>
      <c r="BL36" s="37">
        <f>developmentdata2019[[#This Row],[Organics (tons/day)]]*BL$1</f>
        <v>3.3378718464000017E-4</v>
      </c>
      <c r="BM36" s="37">
        <f>developmentdata2019[[#This Row],[E-Waste (tons/day)]]*BM$1</f>
        <v>4.3655036880000023E-6</v>
      </c>
      <c r="BN36" s="37">
        <f>developmentdata2019[[#This Row],[Textiles (tons/day)]]*BN$1</f>
        <v>8.2395984652800042E-7</v>
      </c>
      <c r="BO36" s="37">
        <f>developmentdata2019[[#This Row],[Trash (CY/day)]]*201.974</f>
        <v>1102.6401927450001</v>
      </c>
      <c r="BP36" s="37">
        <f>developmentdata2019[[#This Row],[MGP (CY/day)]]*201.974</f>
        <v>179.34534403422001</v>
      </c>
      <c r="BQ36" s="37">
        <f>developmentdata2019[[#This Row],[Cardboard (CY/day)]]*201.974</f>
        <v>18.580456313955906</v>
      </c>
      <c r="BR36" s="37">
        <f>developmentdata2019[[#This Row],[Paper  (CY/day)]]*201.974</f>
        <v>0.30187145559944106</v>
      </c>
      <c r="BS36" s="37">
        <f>developmentdata2019[[#This Row],[Organics (CY/day)]]*201.974</f>
        <v>6.7416332830479389E-2</v>
      </c>
      <c r="BT36" s="37">
        <f>developmentdata2019[[#This Row],[E-Waste (CY/day)]]*201.974</f>
        <v>8.8171824188011238E-4</v>
      </c>
      <c r="BU36" s="37">
        <f>developmentdata2019[[#This Row],[Textiles (CY/day)]]*201.974</f>
        <v>1.6641846604264636E-4</v>
      </c>
    </row>
    <row r="37" spans="1:73" x14ac:dyDescent="0.2">
      <c r="A37" s="37" t="s">
        <v>781</v>
      </c>
      <c r="B37" s="115">
        <v>43466</v>
      </c>
      <c r="C37" s="37" t="s">
        <v>782</v>
      </c>
      <c r="D37">
        <v>243</v>
      </c>
      <c r="E37">
        <v>243</v>
      </c>
      <c r="F37">
        <v>353</v>
      </c>
      <c r="G37">
        <v>353</v>
      </c>
      <c r="H37" s="37" t="s">
        <v>783</v>
      </c>
      <c r="I37" s="37" t="s">
        <v>577</v>
      </c>
      <c r="J37" s="37" t="s">
        <v>588</v>
      </c>
      <c r="K37" s="37" t="s">
        <v>579</v>
      </c>
      <c r="M37">
        <v>509</v>
      </c>
      <c r="N37">
        <v>509</v>
      </c>
      <c r="O37">
        <v>2359.5</v>
      </c>
      <c r="P37">
        <v>4.6399999999999997</v>
      </c>
      <c r="R37">
        <v>1123</v>
      </c>
      <c r="S37">
        <v>1123</v>
      </c>
      <c r="T37">
        <v>270</v>
      </c>
      <c r="U37">
        <v>0.53900000000000003</v>
      </c>
      <c r="V37">
        <v>8</v>
      </c>
      <c r="W37">
        <v>2</v>
      </c>
      <c r="X37">
        <v>10</v>
      </c>
      <c r="Y37">
        <v>7</v>
      </c>
      <c r="Z37">
        <v>250875</v>
      </c>
      <c r="AA37">
        <v>5.76</v>
      </c>
      <c r="AB37">
        <v>250875</v>
      </c>
      <c r="AC37">
        <v>5.76</v>
      </c>
      <c r="AD37">
        <v>96902</v>
      </c>
      <c r="AE37">
        <v>4544080</v>
      </c>
      <c r="AF37">
        <v>0.38629999999999998</v>
      </c>
      <c r="AG37">
        <v>195</v>
      </c>
      <c r="AH37">
        <v>15625047</v>
      </c>
      <c r="AI37">
        <v>6556</v>
      </c>
      <c r="AJ37">
        <v>539</v>
      </c>
      <c r="AK37" s="37" t="s">
        <v>784</v>
      </c>
      <c r="AL37" s="37" t="s">
        <v>785</v>
      </c>
      <c r="AM37" s="37" t="s">
        <v>786</v>
      </c>
      <c r="AN37" s="37" t="s">
        <v>787</v>
      </c>
      <c r="AO37" s="37" t="s">
        <v>593</v>
      </c>
      <c r="AP37">
        <v>1</v>
      </c>
      <c r="AQ37">
        <v>7</v>
      </c>
      <c r="AR37">
        <v>18</v>
      </c>
      <c r="AS37">
        <v>53</v>
      </c>
      <c r="AT37">
        <v>34</v>
      </c>
      <c r="AU37" s="115">
        <v>27453</v>
      </c>
      <c r="AV37" s="37"/>
      <c r="AW37" s="37" t="s">
        <v>693</v>
      </c>
      <c r="AX37" s="37"/>
      <c r="AY37" s="37"/>
      <c r="AZ37" s="37">
        <f>developmentdata2019[[#This Row],[NUMBER OF CURRENT APARTMENTS]]*5/2000</f>
        <v>1.2725</v>
      </c>
      <c r="BA37" s="37">
        <f>developmentdata2019[[#This Row],[Total]]*BA$1</f>
        <v>0.33084999999999998</v>
      </c>
      <c r="BB37" s="37">
        <f>developmentdata2019[[#This Row],[Trash (tons/day)]]*BB$1</f>
        <v>6.2861500000000001E-2</v>
      </c>
      <c r="BC37" s="37">
        <f>developmentdata2019[[#This Row],[MGP (tons/day)]]*BC$1</f>
        <v>4.4003050000000002E-3</v>
      </c>
      <c r="BD37" s="37">
        <f>developmentdata2019[[#This Row],[Cardboard (tons/day)]]*BD$1</f>
        <v>3.0802135000000002E-4</v>
      </c>
      <c r="BE37" s="37">
        <f>developmentdata2019[[#This Row],[Paper (tons/day)]]*BE$1</f>
        <v>9.8566832000000014E-5</v>
      </c>
      <c r="BF37" s="37">
        <f>developmentdata2019[[#This Row],[Organics (tons/day)]]*BF$1</f>
        <v>9.8566832000000022E-7</v>
      </c>
      <c r="BG37" s="37">
        <f>developmentdata2019[[#This Row],[E-Waste (tons/day)]]*BG$1</f>
        <v>7.8853465600000014E-8</v>
      </c>
      <c r="BH37" s="37">
        <f>developmentdata2019[[#This Row],[Trash (tons/day)]]*BH$1</f>
        <v>6.9643924999999998</v>
      </c>
      <c r="BI37" s="37">
        <f>developmentdata2019[[#This Row],[MGP (tons/day)]]*BI$1</f>
        <v>1.13276423</v>
      </c>
      <c r="BJ37" s="37">
        <f>developmentdata2019[[#This Row],[Cardboard (tons/day)]]*BJ$1</f>
        <v>0.11735613435000002</v>
      </c>
      <c r="BK37" s="37">
        <f>developmentdata2019[[#This Row],[Paper (tons/day)]]*BK$1</f>
        <v>1.9066521565000002E-3</v>
      </c>
      <c r="BL37" s="37">
        <f>developmentdata2019[[#This Row],[Organics (tons/day)]]*BL$1</f>
        <v>4.2580871424000011E-4</v>
      </c>
      <c r="BM37" s="37">
        <f>developmentdata2019[[#This Row],[E-Waste (tons/day)]]*BM$1</f>
        <v>5.5690260080000016E-6</v>
      </c>
      <c r="BN37" s="37">
        <f>developmentdata2019[[#This Row],[Textiles (tons/day)]]*BN$1</f>
        <v>1.0511166964480002E-6</v>
      </c>
      <c r="BO37" s="37">
        <f>developmentdata2019[[#This Row],[Trash (CY/day)]]*201.974</f>
        <v>1406.6262107949999</v>
      </c>
      <c r="BP37" s="37">
        <f>developmentdata2019[[#This Row],[MGP (CY/day)]]*201.974</f>
        <v>228.78892259002001</v>
      </c>
      <c r="BQ37" s="37">
        <f>developmentdata2019[[#This Row],[Cardboard (CY/day)]]*201.974</f>
        <v>23.702887879206902</v>
      </c>
      <c r="BR37" s="37">
        <f>developmentdata2019[[#This Row],[Paper  (CY/day)]]*201.974</f>
        <v>0.38509416265693103</v>
      </c>
      <c r="BS37" s="37">
        <f>developmentdata2019[[#This Row],[Organics (CY/day)]]*201.974</f>
        <v>8.6002289249909783E-2</v>
      </c>
      <c r="BT37" s="37">
        <f>developmentdata2019[[#This Row],[E-Waste (CY/day)]]*201.974</f>
        <v>1.1247984589397922E-3</v>
      </c>
      <c r="BU37" s="37">
        <f>developmentdata2019[[#This Row],[Textiles (CY/day)]]*201.974</f>
        <v>2.1229824364838836E-4</v>
      </c>
    </row>
    <row r="38" spans="1:73" x14ac:dyDescent="0.2">
      <c r="A38" s="37" t="s">
        <v>788</v>
      </c>
      <c r="B38" s="115">
        <v>43466</v>
      </c>
      <c r="C38" s="37" t="s">
        <v>782</v>
      </c>
      <c r="D38">
        <v>271</v>
      </c>
      <c r="E38">
        <v>243</v>
      </c>
      <c r="F38">
        <v>390</v>
      </c>
      <c r="G38">
        <v>353</v>
      </c>
      <c r="H38" s="37" t="s">
        <v>789</v>
      </c>
      <c r="I38" s="37" t="s">
        <v>577</v>
      </c>
      <c r="J38" s="37" t="s">
        <v>588</v>
      </c>
      <c r="K38" s="37" t="s">
        <v>579</v>
      </c>
      <c r="M38">
        <v>425</v>
      </c>
      <c r="N38">
        <v>425</v>
      </c>
      <c r="O38">
        <v>2265.5</v>
      </c>
      <c r="P38">
        <v>5.33</v>
      </c>
      <c r="R38">
        <v>1123</v>
      </c>
      <c r="S38">
        <v>1123</v>
      </c>
      <c r="T38">
        <v>149</v>
      </c>
      <c r="U38">
        <v>0.35099999999999998</v>
      </c>
      <c r="V38">
        <v>7</v>
      </c>
      <c r="W38">
        <v>0</v>
      </c>
      <c r="X38">
        <v>7</v>
      </c>
      <c r="Y38">
        <v>7</v>
      </c>
      <c r="Z38">
        <v>184000</v>
      </c>
      <c r="AA38">
        <v>4.22</v>
      </c>
      <c r="AB38">
        <v>184000</v>
      </c>
      <c r="AC38">
        <v>4.22</v>
      </c>
      <c r="AD38">
        <v>61115</v>
      </c>
      <c r="AE38">
        <v>4223000</v>
      </c>
      <c r="AF38">
        <v>0.33210000000000001</v>
      </c>
      <c r="AG38">
        <v>266</v>
      </c>
      <c r="AH38">
        <v>16411918</v>
      </c>
      <c r="AI38">
        <v>7244</v>
      </c>
      <c r="AJ38">
        <v>612</v>
      </c>
      <c r="AK38" s="37" t="s">
        <v>785</v>
      </c>
      <c r="AL38" s="37" t="s">
        <v>790</v>
      </c>
      <c r="AM38" s="37" t="s">
        <v>791</v>
      </c>
      <c r="AN38" s="37" t="s">
        <v>786</v>
      </c>
      <c r="AO38" s="37" t="s">
        <v>593</v>
      </c>
      <c r="AP38">
        <v>1</v>
      </c>
      <c r="AQ38">
        <v>7</v>
      </c>
      <c r="AR38">
        <v>18</v>
      </c>
      <c r="AS38">
        <v>53</v>
      </c>
      <c r="AT38">
        <v>34</v>
      </c>
      <c r="AU38" s="115">
        <v>27759</v>
      </c>
      <c r="AV38" s="37"/>
      <c r="AW38" s="37"/>
      <c r="AX38" s="37"/>
      <c r="AY38" s="37"/>
      <c r="AZ38" s="37">
        <f>developmentdata2019[[#This Row],[NUMBER OF CURRENT APARTMENTS]]*5/2000</f>
        <v>1.0625</v>
      </c>
      <c r="BA38" s="37">
        <f>developmentdata2019[[#This Row],[Total]]*BA$1</f>
        <v>0.27625</v>
      </c>
      <c r="BB38" s="37">
        <f>developmentdata2019[[#This Row],[Trash (tons/day)]]*BB$1</f>
        <v>5.2487499999999999E-2</v>
      </c>
      <c r="BC38" s="37">
        <f>developmentdata2019[[#This Row],[MGP (tons/day)]]*BC$1</f>
        <v>3.6741250000000003E-3</v>
      </c>
      <c r="BD38" s="37">
        <f>developmentdata2019[[#This Row],[Cardboard (tons/day)]]*BD$1</f>
        <v>2.5718875000000003E-4</v>
      </c>
      <c r="BE38" s="37">
        <f>developmentdata2019[[#This Row],[Paper (tons/day)]]*BE$1</f>
        <v>8.2300400000000009E-5</v>
      </c>
      <c r="BF38" s="37">
        <f>developmentdata2019[[#This Row],[Organics (tons/day)]]*BF$1</f>
        <v>8.2300400000000011E-7</v>
      </c>
      <c r="BG38" s="37">
        <f>developmentdata2019[[#This Row],[E-Waste (tons/day)]]*BG$1</f>
        <v>6.5840320000000009E-8</v>
      </c>
      <c r="BH38" s="37">
        <f>developmentdata2019[[#This Row],[Trash (tons/day)]]*BH$1</f>
        <v>5.8150624999999998</v>
      </c>
      <c r="BI38" s="37">
        <f>developmentdata2019[[#This Row],[MGP (tons/day)]]*BI$1</f>
        <v>0.94582474999999999</v>
      </c>
      <c r="BJ38" s="37">
        <f>developmentdata2019[[#This Row],[Cardboard (tons/day)]]*BJ$1</f>
        <v>9.7988913750000017E-2</v>
      </c>
      <c r="BK38" s="37">
        <f>developmentdata2019[[#This Row],[Paper (tons/day)]]*BK$1</f>
        <v>1.5919983625000004E-3</v>
      </c>
      <c r="BL38" s="37">
        <f>developmentdata2019[[#This Row],[Organics (tons/day)]]*BL$1</f>
        <v>3.5553772800000008E-4</v>
      </c>
      <c r="BM38" s="37">
        <f>developmentdata2019[[#This Row],[E-Waste (tons/day)]]*BM$1</f>
        <v>4.6499726000000009E-6</v>
      </c>
      <c r="BN38" s="37">
        <f>developmentdata2019[[#This Row],[Textiles (tons/day)]]*BN$1</f>
        <v>8.7765146560000012E-7</v>
      </c>
      <c r="BO38" s="37">
        <f>developmentdata2019[[#This Row],[Trash (CY/day)]]*201.974</f>
        <v>1174.4914333749998</v>
      </c>
      <c r="BP38" s="37">
        <f>developmentdata2019[[#This Row],[MGP (CY/day)]]*201.974</f>
        <v>191.03200805649999</v>
      </c>
      <c r="BQ38" s="37">
        <f>developmentdata2019[[#This Row],[Cardboard (CY/day)]]*201.974</f>
        <v>19.791212865742501</v>
      </c>
      <c r="BR38" s="37">
        <f>developmentdata2019[[#This Row],[Paper  (CY/day)]]*201.974</f>
        <v>0.32154227726757506</v>
      </c>
      <c r="BS38" s="37">
        <f>developmentdata2019[[#This Row],[Organics (CY/day)]]*201.974</f>
        <v>7.1809377075072012E-2</v>
      </c>
      <c r="BT38" s="37">
        <f>developmentdata2019[[#This Row],[E-Waste (CY/day)]]*201.974</f>
        <v>9.3917356591240013E-4</v>
      </c>
      <c r="BU38" s="37">
        <f>developmentdata2019[[#This Row],[Textiles (CY/day)]]*201.974</f>
        <v>1.7726277711309441E-4</v>
      </c>
    </row>
    <row r="39" spans="1:73" x14ac:dyDescent="0.2">
      <c r="A39" s="37" t="s">
        <v>792</v>
      </c>
      <c r="B39" s="115">
        <v>43466</v>
      </c>
      <c r="C39" s="37" t="s">
        <v>793</v>
      </c>
      <c r="D39">
        <v>189</v>
      </c>
      <c r="E39">
        <v>39</v>
      </c>
      <c r="F39">
        <v>304</v>
      </c>
      <c r="G39">
        <v>304</v>
      </c>
      <c r="H39" s="37" t="s">
        <v>794</v>
      </c>
      <c r="I39" s="37" t="s">
        <v>577</v>
      </c>
      <c r="J39" s="37" t="s">
        <v>578</v>
      </c>
      <c r="K39" s="37" t="s">
        <v>735</v>
      </c>
      <c r="M39">
        <v>232</v>
      </c>
      <c r="N39">
        <v>235</v>
      </c>
      <c r="O39">
        <v>814</v>
      </c>
      <c r="P39">
        <v>3.51</v>
      </c>
      <c r="R39">
        <v>276</v>
      </c>
      <c r="S39">
        <v>276</v>
      </c>
      <c r="T39">
        <v>207</v>
      </c>
      <c r="U39">
        <v>0.89200000000000002</v>
      </c>
      <c r="V39">
        <v>1</v>
      </c>
      <c r="W39">
        <v>1</v>
      </c>
      <c r="X39">
        <v>2</v>
      </c>
      <c r="Y39">
        <v>20</v>
      </c>
      <c r="Z39">
        <v>84416</v>
      </c>
      <c r="AA39">
        <v>1.94</v>
      </c>
      <c r="AB39">
        <v>84416</v>
      </c>
      <c r="AC39">
        <v>1.94</v>
      </c>
      <c r="AD39">
        <v>15045</v>
      </c>
      <c r="AE39">
        <v>1589318</v>
      </c>
      <c r="AF39">
        <v>0.1782</v>
      </c>
      <c r="AG39">
        <v>142</v>
      </c>
      <c r="AH39">
        <v>7125145</v>
      </c>
      <c r="AI39">
        <v>8452</v>
      </c>
      <c r="AJ39">
        <v>368</v>
      </c>
      <c r="AK39" s="37" t="s">
        <v>795</v>
      </c>
      <c r="AL39" s="37" t="s">
        <v>796</v>
      </c>
      <c r="AM39" s="37" t="s">
        <v>797</v>
      </c>
      <c r="AN39" s="37" t="s">
        <v>583</v>
      </c>
      <c r="AO39" s="37" t="s">
        <v>584</v>
      </c>
      <c r="AP39">
        <v>11</v>
      </c>
      <c r="AQ39">
        <v>14</v>
      </c>
      <c r="AR39">
        <v>34</v>
      </c>
      <c r="AS39">
        <v>80</v>
      </c>
      <c r="AT39">
        <v>13</v>
      </c>
      <c r="AU39" s="115">
        <v>26542</v>
      </c>
      <c r="AV39" s="37"/>
      <c r="AW39" s="37" t="s">
        <v>736</v>
      </c>
      <c r="AX39" s="37"/>
      <c r="AY39" s="37"/>
      <c r="AZ39" s="37">
        <f>developmentdata2019[[#This Row],[NUMBER OF CURRENT APARTMENTS]]*5/2000</f>
        <v>0.57999999999999996</v>
      </c>
      <c r="BA39" s="37">
        <f>developmentdata2019[[#This Row],[Total]]*BA$1</f>
        <v>0.15079999999999999</v>
      </c>
      <c r="BB39" s="37">
        <f>developmentdata2019[[#This Row],[Trash (tons/day)]]*BB$1</f>
        <v>2.8651999999999997E-2</v>
      </c>
      <c r="BC39" s="37">
        <f>developmentdata2019[[#This Row],[MGP (tons/day)]]*BC$1</f>
        <v>2.0056399999999999E-3</v>
      </c>
      <c r="BD39" s="37">
        <f>developmentdata2019[[#This Row],[Cardboard (tons/day)]]*BD$1</f>
        <v>1.4039480000000001E-4</v>
      </c>
      <c r="BE39" s="37">
        <f>developmentdata2019[[#This Row],[Paper (tons/day)]]*BE$1</f>
        <v>4.4926336000000002E-5</v>
      </c>
      <c r="BF39" s="37">
        <f>developmentdata2019[[#This Row],[Organics (tons/day)]]*BF$1</f>
        <v>4.4926336000000005E-7</v>
      </c>
      <c r="BG39" s="37">
        <f>developmentdata2019[[#This Row],[E-Waste (tons/day)]]*BG$1</f>
        <v>3.5941068800000006E-8</v>
      </c>
      <c r="BH39" s="37">
        <f>developmentdata2019[[#This Row],[Trash (tons/day)]]*BH$1</f>
        <v>3.1743399999999999</v>
      </c>
      <c r="BI39" s="37">
        <f>developmentdata2019[[#This Row],[MGP (tons/day)]]*BI$1</f>
        <v>0.51630903999999989</v>
      </c>
      <c r="BJ39" s="37">
        <f>developmentdata2019[[#This Row],[Cardboard (tons/day)]]*BJ$1</f>
        <v>5.3490418800000002E-2</v>
      </c>
      <c r="BK39" s="37">
        <f>developmentdata2019[[#This Row],[Paper (tons/day)]]*BK$1</f>
        <v>8.6904381200000012E-4</v>
      </c>
      <c r="BL39" s="37">
        <f>developmentdata2019[[#This Row],[Organics (tons/day)]]*BL$1</f>
        <v>1.9408177152000001E-4</v>
      </c>
      <c r="BM39" s="37">
        <f>developmentdata2019[[#This Row],[E-Waste (tons/day)]]*BM$1</f>
        <v>2.5383379840000005E-6</v>
      </c>
      <c r="BN39" s="37">
        <f>developmentdata2019[[#This Row],[Textiles (tons/day)]]*BN$1</f>
        <v>4.7909444710400005E-7</v>
      </c>
      <c r="BO39" s="37">
        <f>developmentdata2019[[#This Row],[Trash (CY/day)]]*201.974</f>
        <v>641.13414716</v>
      </c>
      <c r="BP39" s="37">
        <f>developmentdata2019[[#This Row],[MGP (CY/day)]]*201.974</f>
        <v>104.28100204495998</v>
      </c>
      <c r="BQ39" s="37">
        <f>developmentdata2019[[#This Row],[Cardboard (CY/day)]]*201.974</f>
        <v>10.803673846711201</v>
      </c>
      <c r="BR39" s="37">
        <f>developmentdata2019[[#This Row],[Paper  (CY/day)]]*201.974</f>
        <v>0.17552425488488801</v>
      </c>
      <c r="BS39" s="37">
        <f>developmentdata2019[[#This Row],[Organics (CY/day)]]*201.974</f>
        <v>3.9199471720980483E-2</v>
      </c>
      <c r="BT39" s="37">
        <f>developmentdata2019[[#This Row],[E-Waste (CY/day)]]*201.974</f>
        <v>5.1267827598041606E-4</v>
      </c>
      <c r="BU39" s="37">
        <f>developmentdata2019[[#This Row],[Textiles (CY/day)]]*201.974</f>
        <v>9.6764621859383307E-5</v>
      </c>
    </row>
    <row r="40" spans="1:73" x14ac:dyDescent="0.2">
      <c r="A40" s="37" t="s">
        <v>431</v>
      </c>
      <c r="B40" s="115">
        <v>43466</v>
      </c>
      <c r="C40" s="37" t="s">
        <v>798</v>
      </c>
      <c r="D40">
        <v>138</v>
      </c>
      <c r="E40">
        <v>138</v>
      </c>
      <c r="F40">
        <v>254</v>
      </c>
      <c r="G40">
        <v>254</v>
      </c>
      <c r="H40" s="37" t="s">
        <v>799</v>
      </c>
      <c r="I40" s="37" t="s">
        <v>577</v>
      </c>
      <c r="J40" s="37" t="s">
        <v>578</v>
      </c>
      <c r="K40" s="37" t="s">
        <v>579</v>
      </c>
      <c r="M40">
        <v>538</v>
      </c>
      <c r="N40">
        <v>538</v>
      </c>
      <c r="O40">
        <v>2487</v>
      </c>
      <c r="P40">
        <v>4.62</v>
      </c>
      <c r="R40">
        <v>1322</v>
      </c>
      <c r="S40">
        <v>1322</v>
      </c>
      <c r="T40">
        <v>184</v>
      </c>
      <c r="U40">
        <v>0.34599999999999997</v>
      </c>
      <c r="V40">
        <v>4</v>
      </c>
      <c r="W40">
        <v>2</v>
      </c>
      <c r="X40">
        <v>5</v>
      </c>
      <c r="Y40" t="s">
        <v>800</v>
      </c>
      <c r="Z40">
        <v>612889</v>
      </c>
      <c r="AA40">
        <v>14.07</v>
      </c>
      <c r="AB40">
        <v>612889</v>
      </c>
      <c r="AC40">
        <v>14.07</v>
      </c>
      <c r="AD40">
        <v>36181</v>
      </c>
      <c r="AE40">
        <v>4849474</v>
      </c>
      <c r="AF40">
        <v>5.8999999999999997E-2</v>
      </c>
      <c r="AG40">
        <v>94</v>
      </c>
      <c r="AH40">
        <v>11894964</v>
      </c>
      <c r="AI40">
        <v>4778</v>
      </c>
      <c r="AJ40">
        <v>566</v>
      </c>
      <c r="AK40" s="37" t="s">
        <v>801</v>
      </c>
      <c r="AL40" s="37" t="s">
        <v>583</v>
      </c>
      <c r="AM40" s="37" t="s">
        <v>802</v>
      </c>
      <c r="AN40" s="37"/>
      <c r="AO40" s="37" t="s">
        <v>584</v>
      </c>
      <c r="AP40">
        <v>12</v>
      </c>
      <c r="AQ40">
        <v>16</v>
      </c>
      <c r="AR40">
        <v>36</v>
      </c>
      <c r="AS40">
        <v>83</v>
      </c>
      <c r="AT40">
        <v>12</v>
      </c>
      <c r="AU40" s="115">
        <v>25323</v>
      </c>
      <c r="AV40" s="37"/>
      <c r="AW40" s="37"/>
      <c r="AX40" s="37"/>
      <c r="AY40" s="37"/>
      <c r="AZ40" s="37">
        <f>developmentdata2019[[#This Row],[NUMBER OF CURRENT APARTMENTS]]*5/2000</f>
        <v>1.345</v>
      </c>
      <c r="BA40" s="37">
        <f>developmentdata2019[[#This Row],[Total]]*BA$1</f>
        <v>0.34970000000000001</v>
      </c>
      <c r="BB40" s="37">
        <f>developmentdata2019[[#This Row],[Trash (tons/day)]]*BB$1</f>
        <v>6.6443000000000002E-2</v>
      </c>
      <c r="BC40" s="37">
        <f>developmentdata2019[[#This Row],[MGP (tons/day)]]*BC$1</f>
        <v>4.6510100000000006E-3</v>
      </c>
      <c r="BD40" s="37">
        <f>developmentdata2019[[#This Row],[Cardboard (tons/day)]]*BD$1</f>
        <v>3.2557070000000009E-4</v>
      </c>
      <c r="BE40" s="37">
        <f>developmentdata2019[[#This Row],[Paper (tons/day)]]*BE$1</f>
        <v>1.0418262400000003E-4</v>
      </c>
      <c r="BF40" s="37">
        <f>developmentdata2019[[#This Row],[Organics (tons/day)]]*BF$1</f>
        <v>1.0418262400000002E-6</v>
      </c>
      <c r="BG40" s="37">
        <f>developmentdata2019[[#This Row],[E-Waste (tons/day)]]*BG$1</f>
        <v>8.3346099200000016E-8</v>
      </c>
      <c r="BH40" s="37">
        <f>developmentdata2019[[#This Row],[Trash (tons/day)]]*BH$1</f>
        <v>7.3611850000000008</v>
      </c>
      <c r="BI40" s="37">
        <f>developmentdata2019[[#This Row],[MGP (tons/day)]]*BI$1</f>
        <v>1.19730286</v>
      </c>
      <c r="BJ40" s="37">
        <f>developmentdata2019[[#This Row],[Cardboard (tons/day)]]*BJ$1</f>
        <v>0.12404243670000002</v>
      </c>
      <c r="BK40" s="37">
        <f>developmentdata2019[[#This Row],[Paper (tons/day)]]*BK$1</f>
        <v>2.0152826330000007E-3</v>
      </c>
      <c r="BL40" s="37">
        <f>developmentdata2019[[#This Row],[Organics (tons/day)]]*BL$1</f>
        <v>4.5006893568000014E-4</v>
      </c>
      <c r="BM40" s="37">
        <f>developmentdata2019[[#This Row],[E-Waste (tons/day)]]*BM$1</f>
        <v>5.8863182560000017E-6</v>
      </c>
      <c r="BN40" s="37">
        <f>developmentdata2019[[#This Row],[Textiles (tons/day)]]*BN$1</f>
        <v>1.1110035023360002E-6</v>
      </c>
      <c r="BO40" s="37">
        <f>developmentdata2019[[#This Row],[Trash (CY/day)]]*201.974</f>
        <v>1486.76797919</v>
      </c>
      <c r="BP40" s="37">
        <f>developmentdata2019[[#This Row],[MGP (CY/day)]]*201.974</f>
        <v>241.82404784563997</v>
      </c>
      <c r="BQ40" s="37">
        <f>developmentdata2019[[#This Row],[Cardboard (CY/day)]]*201.974</f>
        <v>25.053347110045802</v>
      </c>
      <c r="BR40" s="37">
        <f>developmentdata2019[[#This Row],[Paper  (CY/day)]]*201.974</f>
        <v>0.40703469451754209</v>
      </c>
      <c r="BS40" s="37">
        <f>developmentdata2019[[#This Row],[Organics (CY/day)]]*201.974</f>
        <v>9.0902223215032343E-2</v>
      </c>
      <c r="BT40" s="37">
        <f>developmentdata2019[[#This Row],[E-Waste (CY/day)]]*201.974</f>
        <v>1.1888832434373442E-3</v>
      </c>
      <c r="BU40" s="37">
        <f>developmentdata2019[[#This Row],[Textiles (CY/day)]]*201.974</f>
        <v>2.243938213808113E-4</v>
      </c>
    </row>
    <row r="41" spans="1:73" x14ac:dyDescent="0.2">
      <c r="A41" s="37" t="s">
        <v>803</v>
      </c>
      <c r="B41" s="115">
        <v>43466</v>
      </c>
      <c r="C41" s="37" t="s">
        <v>804</v>
      </c>
      <c r="D41">
        <v>46</v>
      </c>
      <c r="E41">
        <v>46</v>
      </c>
      <c r="F41">
        <v>637</v>
      </c>
      <c r="G41">
        <v>637</v>
      </c>
      <c r="H41" s="37" t="s">
        <v>805</v>
      </c>
      <c r="I41" s="37" t="s">
        <v>638</v>
      </c>
      <c r="J41" s="37" t="s">
        <v>578</v>
      </c>
      <c r="K41" s="37" t="s">
        <v>579</v>
      </c>
      <c r="L41">
        <v>438</v>
      </c>
      <c r="M41">
        <v>1424</v>
      </c>
      <c r="N41">
        <v>1441</v>
      </c>
      <c r="O41">
        <v>5992</v>
      </c>
      <c r="P41">
        <v>4.21</v>
      </c>
      <c r="Q41">
        <v>846</v>
      </c>
      <c r="R41">
        <v>1850</v>
      </c>
      <c r="S41">
        <v>2696</v>
      </c>
      <c r="T41">
        <v>581</v>
      </c>
      <c r="U41">
        <v>0.41599999999999998</v>
      </c>
      <c r="V41">
        <v>18</v>
      </c>
      <c r="W41">
        <v>0</v>
      </c>
      <c r="X41">
        <v>30</v>
      </c>
      <c r="Y41">
        <v>43630</v>
      </c>
      <c r="Z41">
        <v>1127650</v>
      </c>
      <c r="AA41">
        <v>25.89</v>
      </c>
      <c r="AB41">
        <v>1127650</v>
      </c>
      <c r="AC41">
        <v>25.89</v>
      </c>
      <c r="AD41">
        <v>170051</v>
      </c>
      <c r="AE41">
        <v>12141094</v>
      </c>
      <c r="AF41">
        <v>0.15079999999999999</v>
      </c>
      <c r="AG41">
        <v>104</v>
      </c>
      <c r="AH41">
        <v>13645438</v>
      </c>
      <c r="AI41">
        <v>2247</v>
      </c>
      <c r="AJ41">
        <v>518</v>
      </c>
      <c r="AK41" s="37" t="s">
        <v>806</v>
      </c>
      <c r="AL41" s="37" t="s">
        <v>807</v>
      </c>
      <c r="AM41" s="37" t="s">
        <v>808</v>
      </c>
      <c r="AN41" s="37" t="s">
        <v>809</v>
      </c>
      <c r="AO41" s="37" t="s">
        <v>593</v>
      </c>
      <c r="AP41">
        <v>5</v>
      </c>
      <c r="AQ41">
        <v>8</v>
      </c>
      <c r="AR41">
        <v>19</v>
      </c>
      <c r="AS41">
        <v>60</v>
      </c>
      <c r="AT41">
        <v>42</v>
      </c>
      <c r="AU41" s="115">
        <v>18709</v>
      </c>
      <c r="AV41" s="37"/>
      <c r="AW41" s="37"/>
      <c r="AX41" s="37"/>
      <c r="AY41" s="37"/>
      <c r="AZ41" s="37">
        <f>developmentdata2019[[#This Row],[NUMBER OF CURRENT APARTMENTS]]*5/2000</f>
        <v>3.56</v>
      </c>
      <c r="BA41" s="37">
        <f>developmentdata2019[[#This Row],[Total]]*BA$1</f>
        <v>0.92560000000000009</v>
      </c>
      <c r="BB41" s="37">
        <f>developmentdata2019[[#This Row],[Trash (tons/day)]]*BB$1</f>
        <v>0.17586400000000002</v>
      </c>
      <c r="BC41" s="37">
        <f>developmentdata2019[[#This Row],[MGP (tons/day)]]*BC$1</f>
        <v>1.2310480000000002E-2</v>
      </c>
      <c r="BD41" s="37">
        <f>developmentdata2019[[#This Row],[Cardboard (tons/day)]]*BD$1</f>
        <v>8.6173360000000026E-4</v>
      </c>
      <c r="BE41" s="37">
        <f>developmentdata2019[[#This Row],[Paper (tons/day)]]*BE$1</f>
        <v>2.757547520000001E-4</v>
      </c>
      <c r="BF41" s="37">
        <f>developmentdata2019[[#This Row],[Organics (tons/day)]]*BF$1</f>
        <v>2.7575475200000011E-6</v>
      </c>
      <c r="BG41" s="37">
        <f>developmentdata2019[[#This Row],[E-Waste (tons/day)]]*BG$1</f>
        <v>2.206038016000001E-7</v>
      </c>
      <c r="BH41" s="37">
        <f>developmentdata2019[[#This Row],[Trash (tons/day)]]*BH$1</f>
        <v>19.483880000000003</v>
      </c>
      <c r="BI41" s="37">
        <f>developmentdata2019[[#This Row],[MGP (tons/day)]]*BI$1</f>
        <v>3.1690692800000004</v>
      </c>
      <c r="BJ41" s="37">
        <f>developmentdata2019[[#This Row],[Cardboard (tons/day)]]*BJ$1</f>
        <v>0.32832050160000009</v>
      </c>
      <c r="BK41" s="37">
        <f>developmentdata2019[[#This Row],[Paper (tons/day)]]*BK$1</f>
        <v>5.3341309840000016E-3</v>
      </c>
      <c r="BL41" s="37">
        <f>developmentdata2019[[#This Row],[Organics (tons/day)]]*BL$1</f>
        <v>1.1912605286400005E-3</v>
      </c>
      <c r="BM41" s="37">
        <f>developmentdata2019[[#This Row],[E-Waste (tons/day)]]*BM$1</f>
        <v>1.5580143488000009E-5</v>
      </c>
      <c r="BN41" s="37">
        <f>developmentdata2019[[#This Row],[Textiles (tons/day)]]*BN$1</f>
        <v>2.9406486753280016E-6</v>
      </c>
      <c r="BO41" s="37">
        <f>developmentdata2019[[#This Row],[Trash (CY/day)]]*201.974</f>
        <v>3935.2371791200003</v>
      </c>
      <c r="BP41" s="37">
        <f>developmentdata2019[[#This Row],[MGP (CY/day)]]*201.974</f>
        <v>640.06959875872008</v>
      </c>
      <c r="BQ41" s="37">
        <f>developmentdata2019[[#This Row],[Cardboard (CY/day)]]*201.974</f>
        <v>66.312204990158421</v>
      </c>
      <c r="BR41" s="37">
        <f>developmentdata2019[[#This Row],[Paper  (CY/day)]]*201.974</f>
        <v>1.0773557713624162</v>
      </c>
      <c r="BS41" s="37">
        <f>developmentdata2019[[#This Row],[Organics (CY/day)]]*201.974</f>
        <v>0.24060365401153544</v>
      </c>
      <c r="BT41" s="37">
        <f>developmentdata2019[[#This Row],[E-Waste (CY/day)]]*201.974</f>
        <v>3.1467839008453135E-3</v>
      </c>
      <c r="BU41" s="37">
        <f>developmentdata2019[[#This Row],[Textiles (CY/day)]]*201.974</f>
        <v>5.9393457555069777E-4</v>
      </c>
    </row>
    <row r="42" spans="1:73" x14ac:dyDescent="0.2">
      <c r="A42" s="37" t="s">
        <v>810</v>
      </c>
      <c r="B42" s="115">
        <v>43466</v>
      </c>
      <c r="C42" s="37" t="s">
        <v>811</v>
      </c>
      <c r="D42">
        <v>346</v>
      </c>
      <c r="E42">
        <v>32</v>
      </c>
      <c r="F42">
        <v>767</v>
      </c>
      <c r="G42">
        <v>533</v>
      </c>
      <c r="H42" s="37" t="s">
        <v>812</v>
      </c>
      <c r="I42" s="37" t="s">
        <v>577</v>
      </c>
      <c r="J42" s="37" t="s">
        <v>588</v>
      </c>
      <c r="K42" s="37" t="s">
        <v>597</v>
      </c>
      <c r="M42">
        <v>82</v>
      </c>
      <c r="N42">
        <v>82</v>
      </c>
      <c r="O42">
        <v>367</v>
      </c>
      <c r="P42">
        <v>4.4800000000000004</v>
      </c>
      <c r="R42">
        <v>182</v>
      </c>
      <c r="S42">
        <v>182</v>
      </c>
      <c r="T42">
        <v>29</v>
      </c>
      <c r="U42">
        <v>0.35799999999999998</v>
      </c>
      <c r="V42">
        <v>3</v>
      </c>
      <c r="W42">
        <v>0</v>
      </c>
      <c r="X42">
        <v>3</v>
      </c>
      <c r="Y42">
        <v>43561</v>
      </c>
      <c r="Z42">
        <v>30000</v>
      </c>
      <c r="AA42">
        <v>0.69</v>
      </c>
      <c r="AB42">
        <v>30000</v>
      </c>
      <c r="AC42">
        <v>0.69</v>
      </c>
      <c r="AD42">
        <v>16455</v>
      </c>
      <c r="AE42">
        <v>999600</v>
      </c>
      <c r="AF42">
        <v>0.54849999999999999</v>
      </c>
      <c r="AG42">
        <v>264</v>
      </c>
      <c r="AH42">
        <v>4943129</v>
      </c>
      <c r="AI42">
        <v>13396</v>
      </c>
      <c r="AJ42">
        <v>476</v>
      </c>
      <c r="AK42" s="37" t="s">
        <v>612</v>
      </c>
      <c r="AL42" s="37" t="s">
        <v>813</v>
      </c>
      <c r="AM42" s="37" t="s">
        <v>814</v>
      </c>
      <c r="AN42" s="37" t="s">
        <v>815</v>
      </c>
      <c r="AO42" s="37" t="s">
        <v>584</v>
      </c>
      <c r="AP42">
        <v>9</v>
      </c>
      <c r="AQ42">
        <v>15</v>
      </c>
      <c r="AR42">
        <v>32</v>
      </c>
      <c r="AS42">
        <v>85</v>
      </c>
      <c r="AT42">
        <v>18</v>
      </c>
      <c r="AU42" s="115">
        <v>31281</v>
      </c>
      <c r="AV42" s="37"/>
      <c r="AW42" s="37"/>
      <c r="AX42" s="37" t="s">
        <v>621</v>
      </c>
      <c r="AY42" s="37"/>
      <c r="AZ42" s="37">
        <f>developmentdata2019[[#This Row],[NUMBER OF CURRENT APARTMENTS]]*5/2000</f>
        <v>0.20499999999999999</v>
      </c>
      <c r="BA42" s="37">
        <f>developmentdata2019[[#This Row],[Total]]*BA$1</f>
        <v>5.33E-2</v>
      </c>
      <c r="BB42" s="37">
        <f>developmentdata2019[[#This Row],[Trash (tons/day)]]*BB$1</f>
        <v>1.0127000000000001E-2</v>
      </c>
      <c r="BC42" s="37">
        <f>developmentdata2019[[#This Row],[MGP (tons/day)]]*BC$1</f>
        <v>7.0889000000000011E-4</v>
      </c>
      <c r="BD42" s="37">
        <f>developmentdata2019[[#This Row],[Cardboard (tons/day)]]*BD$1</f>
        <v>4.9622300000000014E-5</v>
      </c>
      <c r="BE42" s="37">
        <f>developmentdata2019[[#This Row],[Paper (tons/day)]]*BE$1</f>
        <v>1.5879136000000004E-5</v>
      </c>
      <c r="BF42" s="37">
        <f>developmentdata2019[[#This Row],[Organics (tons/day)]]*BF$1</f>
        <v>1.5879136000000004E-7</v>
      </c>
      <c r="BG42" s="37">
        <f>developmentdata2019[[#This Row],[E-Waste (tons/day)]]*BG$1</f>
        <v>1.2703308800000004E-8</v>
      </c>
      <c r="BH42" s="37">
        <f>developmentdata2019[[#This Row],[Trash (tons/day)]]*BH$1</f>
        <v>1.1219650000000001</v>
      </c>
      <c r="BI42" s="37">
        <f>developmentdata2019[[#This Row],[MGP (tons/day)]]*BI$1</f>
        <v>0.18248854</v>
      </c>
      <c r="BJ42" s="37">
        <f>developmentdata2019[[#This Row],[Cardboard (tons/day)]]*BJ$1</f>
        <v>1.8906096300000005E-2</v>
      </c>
      <c r="BK42" s="37">
        <f>developmentdata2019[[#This Row],[Paper (tons/day)]]*BK$1</f>
        <v>3.0716203700000011E-4</v>
      </c>
      <c r="BL42" s="37">
        <f>developmentdata2019[[#This Row],[Organics (tons/day)]]*BL$1</f>
        <v>6.8597867520000017E-5</v>
      </c>
      <c r="BM42" s="37">
        <f>developmentdata2019[[#This Row],[E-Waste (tons/day)]]*BM$1</f>
        <v>8.9717118400000036E-7</v>
      </c>
      <c r="BN42" s="37">
        <f>developmentdata2019[[#This Row],[Textiles (tons/day)]]*BN$1</f>
        <v>1.6933510630400006E-7</v>
      </c>
      <c r="BO42" s="37">
        <f>developmentdata2019[[#This Row],[Trash (CY/day)]]*201.974</f>
        <v>226.60775891</v>
      </c>
      <c r="BP42" s="37">
        <f>developmentdata2019[[#This Row],[MGP (CY/day)]]*201.974</f>
        <v>36.857940377959999</v>
      </c>
      <c r="BQ42" s="37">
        <f>developmentdata2019[[#This Row],[Cardboard (CY/day)]]*201.974</f>
        <v>3.8185398940962005</v>
      </c>
      <c r="BR42" s="37">
        <f>developmentdata2019[[#This Row],[Paper  (CY/day)]]*201.974</f>
        <v>6.2038745261038017E-2</v>
      </c>
      <c r="BS42" s="37">
        <f>developmentdata2019[[#This Row],[Organics (CY/day)]]*201.974</f>
        <v>1.3854985694484482E-2</v>
      </c>
      <c r="BT42" s="37">
        <f>developmentdata2019[[#This Row],[E-Waste (CY/day)]]*201.974</f>
        <v>1.8120525271721606E-4</v>
      </c>
      <c r="BU42" s="37">
        <f>developmentdata2019[[#This Row],[Textiles (CY/day)]]*201.974</f>
        <v>3.4201288760644106E-5</v>
      </c>
    </row>
    <row r="43" spans="1:73" x14ac:dyDescent="0.2">
      <c r="A43" s="37" t="s">
        <v>816</v>
      </c>
      <c r="B43" s="115">
        <v>43466</v>
      </c>
      <c r="C43" s="37" t="s">
        <v>817</v>
      </c>
      <c r="D43">
        <v>264</v>
      </c>
      <c r="E43">
        <v>337</v>
      </c>
      <c r="F43">
        <v>379</v>
      </c>
      <c r="G43">
        <v>370</v>
      </c>
      <c r="H43" s="37" t="s">
        <v>818</v>
      </c>
      <c r="I43" s="37" t="s">
        <v>577</v>
      </c>
      <c r="J43" s="37" t="s">
        <v>588</v>
      </c>
      <c r="K43" s="37" t="s">
        <v>579</v>
      </c>
      <c r="M43">
        <v>108</v>
      </c>
      <c r="N43">
        <v>108</v>
      </c>
      <c r="O43">
        <v>538</v>
      </c>
      <c r="P43">
        <v>4.9800000000000004</v>
      </c>
      <c r="R43">
        <v>257</v>
      </c>
      <c r="S43">
        <v>257</v>
      </c>
      <c r="T43">
        <v>47</v>
      </c>
      <c r="U43">
        <v>0.439</v>
      </c>
      <c r="V43">
        <v>1</v>
      </c>
      <c r="W43">
        <v>0</v>
      </c>
      <c r="X43">
        <v>2</v>
      </c>
      <c r="Y43">
        <v>7</v>
      </c>
      <c r="Z43">
        <v>44353</v>
      </c>
      <c r="AA43">
        <v>1.02</v>
      </c>
      <c r="AB43">
        <v>44353</v>
      </c>
      <c r="AC43">
        <v>1.02</v>
      </c>
      <c r="AD43">
        <v>18790</v>
      </c>
      <c r="AE43">
        <v>1216072</v>
      </c>
      <c r="AF43">
        <v>0.42359999999999998</v>
      </c>
      <c r="AG43">
        <v>252</v>
      </c>
      <c r="AH43">
        <v>4364419</v>
      </c>
      <c r="AI43">
        <v>8008</v>
      </c>
      <c r="AJ43">
        <v>596</v>
      </c>
      <c r="AK43" s="37" t="s">
        <v>819</v>
      </c>
      <c r="AL43" s="37" t="s">
        <v>820</v>
      </c>
      <c r="AM43" s="37" t="s">
        <v>821</v>
      </c>
      <c r="AN43" s="37" t="s">
        <v>822</v>
      </c>
      <c r="AO43" s="37" t="s">
        <v>608</v>
      </c>
      <c r="AP43">
        <v>3</v>
      </c>
      <c r="AQ43">
        <v>12</v>
      </c>
      <c r="AR43">
        <v>26</v>
      </c>
      <c r="AS43">
        <v>74</v>
      </c>
      <c r="AT43">
        <v>2</v>
      </c>
      <c r="AU43" s="115">
        <v>27180</v>
      </c>
      <c r="AV43" s="37"/>
      <c r="AW43" s="37"/>
      <c r="AX43" s="37"/>
      <c r="AY43" s="37"/>
      <c r="AZ43" s="37">
        <f>developmentdata2019[[#This Row],[NUMBER OF CURRENT APARTMENTS]]*5/2000</f>
        <v>0.27</v>
      </c>
      <c r="BA43" s="37">
        <f>developmentdata2019[[#This Row],[Total]]*BA$1</f>
        <v>7.0200000000000012E-2</v>
      </c>
      <c r="BB43" s="37">
        <f>developmentdata2019[[#This Row],[Trash (tons/day)]]*BB$1</f>
        <v>1.3338000000000003E-2</v>
      </c>
      <c r="BC43" s="37">
        <f>developmentdata2019[[#This Row],[MGP (tons/day)]]*BC$1</f>
        <v>9.3366000000000022E-4</v>
      </c>
      <c r="BD43" s="37">
        <f>developmentdata2019[[#This Row],[Cardboard (tons/day)]]*BD$1</f>
        <v>6.5356200000000016E-5</v>
      </c>
      <c r="BE43" s="37">
        <f>developmentdata2019[[#This Row],[Paper (tons/day)]]*BE$1</f>
        <v>2.0913984000000006E-5</v>
      </c>
      <c r="BF43" s="37">
        <f>developmentdata2019[[#This Row],[Organics (tons/day)]]*BF$1</f>
        <v>2.0913984000000006E-7</v>
      </c>
      <c r="BG43" s="37">
        <f>developmentdata2019[[#This Row],[E-Waste (tons/day)]]*BG$1</f>
        <v>1.6731187200000006E-8</v>
      </c>
      <c r="BH43" s="37">
        <f>developmentdata2019[[#This Row],[Trash (tons/day)]]*BH$1</f>
        <v>1.4777100000000003</v>
      </c>
      <c r="BI43" s="37">
        <f>developmentdata2019[[#This Row],[MGP (tons/day)]]*BI$1</f>
        <v>0.24035076000000005</v>
      </c>
      <c r="BJ43" s="37">
        <f>developmentdata2019[[#This Row],[Cardboard (tons/day)]]*BJ$1</f>
        <v>2.4900712200000008E-2</v>
      </c>
      <c r="BK43" s="37">
        <f>developmentdata2019[[#This Row],[Paper (tons/day)]]*BK$1</f>
        <v>4.0455487800000013E-4</v>
      </c>
      <c r="BL43" s="37">
        <f>developmentdata2019[[#This Row],[Organics (tons/day)]]*BL$1</f>
        <v>9.0348410880000037E-5</v>
      </c>
      <c r="BM43" s="37">
        <f>developmentdata2019[[#This Row],[E-Waste (tons/day)]]*BM$1</f>
        <v>1.1816400960000004E-6</v>
      </c>
      <c r="BN43" s="37">
        <f>developmentdata2019[[#This Row],[Textiles (tons/day)]]*BN$1</f>
        <v>2.2302672537600008E-7</v>
      </c>
      <c r="BO43" s="37">
        <f>developmentdata2019[[#This Row],[Trash (CY/day)]]*201.974</f>
        <v>298.45899954000004</v>
      </c>
      <c r="BP43" s="37">
        <f>developmentdata2019[[#This Row],[MGP (CY/day)]]*201.974</f>
        <v>48.544604400240011</v>
      </c>
      <c r="BQ43" s="37">
        <f>developmentdata2019[[#This Row],[Cardboard (CY/day)]]*201.974</f>
        <v>5.0292964458828013</v>
      </c>
      <c r="BR43" s="37">
        <f>developmentdata2019[[#This Row],[Paper  (CY/day)]]*201.974</f>
        <v>8.1709566929172014E-2</v>
      </c>
      <c r="BS43" s="37">
        <f>developmentdata2019[[#This Row],[Organics (CY/day)]]*201.974</f>
        <v>1.8248029939077128E-2</v>
      </c>
      <c r="BT43" s="37">
        <f>developmentdata2019[[#This Row],[E-Waste (CY/day)]]*201.974</f>
        <v>2.3866057674950408E-4</v>
      </c>
      <c r="BU43" s="37">
        <f>developmentdata2019[[#This Row],[Textiles (CY/day)]]*201.974</f>
        <v>4.504559983109224E-5</v>
      </c>
    </row>
    <row r="44" spans="1:73" x14ac:dyDescent="0.2">
      <c r="A44" s="37" t="s">
        <v>483</v>
      </c>
      <c r="B44" s="115">
        <v>43466</v>
      </c>
      <c r="C44" s="37" t="s">
        <v>823</v>
      </c>
      <c r="D44">
        <v>56</v>
      </c>
      <c r="E44">
        <v>56</v>
      </c>
      <c r="F44">
        <v>212</v>
      </c>
      <c r="G44">
        <v>212</v>
      </c>
      <c r="H44" s="37" t="s">
        <v>824</v>
      </c>
      <c r="I44" s="37" t="s">
        <v>577</v>
      </c>
      <c r="J44" s="37" t="s">
        <v>578</v>
      </c>
      <c r="K44" s="37" t="s">
        <v>579</v>
      </c>
      <c r="M44">
        <v>1592</v>
      </c>
      <c r="N44">
        <v>1595</v>
      </c>
      <c r="O44">
        <v>7460</v>
      </c>
      <c r="P44">
        <v>4.6900000000000004</v>
      </c>
      <c r="R44">
        <v>3476</v>
      </c>
      <c r="S44">
        <v>3476</v>
      </c>
      <c r="T44">
        <v>539</v>
      </c>
      <c r="U44">
        <v>0.34300000000000003</v>
      </c>
      <c r="V44">
        <v>30</v>
      </c>
      <c r="W44">
        <v>2</v>
      </c>
      <c r="X44">
        <v>97</v>
      </c>
      <c r="Y44">
        <v>43531</v>
      </c>
      <c r="Z44">
        <v>2830416</v>
      </c>
      <c r="AA44">
        <v>64.98</v>
      </c>
      <c r="AB44">
        <v>2141741</v>
      </c>
      <c r="AC44">
        <v>49.17</v>
      </c>
      <c r="AD44">
        <v>360423</v>
      </c>
      <c r="AE44">
        <v>14297000</v>
      </c>
      <c r="AF44">
        <v>0.1273</v>
      </c>
      <c r="AG44">
        <v>53</v>
      </c>
      <c r="AH44">
        <v>18410273</v>
      </c>
      <c r="AI44">
        <v>2464</v>
      </c>
      <c r="AJ44">
        <v>544</v>
      </c>
      <c r="AK44" s="37" t="s">
        <v>825</v>
      </c>
      <c r="AL44" s="37" t="s">
        <v>826</v>
      </c>
      <c r="AM44" s="37" t="s">
        <v>827</v>
      </c>
      <c r="AN44" s="37" t="s">
        <v>828</v>
      </c>
      <c r="AO44" s="37" t="s">
        <v>593</v>
      </c>
      <c r="AP44">
        <v>18</v>
      </c>
      <c r="AQ44">
        <v>8</v>
      </c>
      <c r="AR44">
        <v>19</v>
      </c>
      <c r="AS44" t="s">
        <v>829</v>
      </c>
      <c r="AT44">
        <v>42</v>
      </c>
      <c r="AU44" s="115">
        <v>19304</v>
      </c>
      <c r="AV44" s="37"/>
      <c r="AW44" s="37"/>
      <c r="AX44" s="37"/>
      <c r="AY44" s="37"/>
      <c r="AZ44" s="37">
        <f>developmentdata2019[[#This Row],[NUMBER OF CURRENT APARTMENTS]]*5/2000</f>
        <v>3.98</v>
      </c>
      <c r="BA44" s="37">
        <f>developmentdata2019[[#This Row],[Total]]*BA$1</f>
        <v>1.0347999999999999</v>
      </c>
      <c r="BB44" s="37">
        <f>developmentdata2019[[#This Row],[Trash (tons/day)]]*BB$1</f>
        <v>0.19661199999999998</v>
      </c>
      <c r="BC44" s="37">
        <f>developmentdata2019[[#This Row],[MGP (tons/day)]]*BC$1</f>
        <v>1.376284E-2</v>
      </c>
      <c r="BD44" s="37">
        <f>developmentdata2019[[#This Row],[Cardboard (tons/day)]]*BD$1</f>
        <v>9.6339880000000013E-4</v>
      </c>
      <c r="BE44" s="37">
        <f>developmentdata2019[[#This Row],[Paper (tons/day)]]*BE$1</f>
        <v>3.0828761600000006E-4</v>
      </c>
      <c r="BF44" s="37">
        <f>developmentdata2019[[#This Row],[Organics (tons/day)]]*BF$1</f>
        <v>3.0828761600000005E-6</v>
      </c>
      <c r="BG44" s="37">
        <f>developmentdata2019[[#This Row],[E-Waste (tons/day)]]*BG$1</f>
        <v>2.4663009280000006E-7</v>
      </c>
      <c r="BH44" s="37">
        <f>developmentdata2019[[#This Row],[Trash (tons/day)]]*BH$1</f>
        <v>21.782540000000001</v>
      </c>
      <c r="BI44" s="37">
        <f>developmentdata2019[[#This Row],[MGP (tons/day)]]*BI$1</f>
        <v>3.5429482399999994</v>
      </c>
      <c r="BJ44" s="37">
        <f>developmentdata2019[[#This Row],[Cardboard (tons/day)]]*BJ$1</f>
        <v>0.36705494280000001</v>
      </c>
      <c r="BK44" s="37">
        <f>developmentdata2019[[#This Row],[Paper (tons/day)]]*BK$1</f>
        <v>5.9634385720000009E-3</v>
      </c>
      <c r="BL44" s="37">
        <f>developmentdata2019[[#This Row],[Organics (tons/day)]]*BL$1</f>
        <v>1.3318025011200003E-3</v>
      </c>
      <c r="BM44" s="37">
        <f>developmentdata2019[[#This Row],[E-Waste (tons/day)]]*BM$1</f>
        <v>1.7418250304000005E-5</v>
      </c>
      <c r="BN44" s="37">
        <f>developmentdata2019[[#This Row],[Textiles (tons/day)]]*BN$1</f>
        <v>3.2875791370240008E-6</v>
      </c>
      <c r="BO44" s="37">
        <f>developmentdata2019[[#This Row],[Trash (CY/day)]]*201.974</f>
        <v>4399.50673396</v>
      </c>
      <c r="BP44" s="37">
        <f>developmentdata2019[[#This Row],[MGP (CY/day)]]*201.974</f>
        <v>715.58342782575983</v>
      </c>
      <c r="BQ44" s="37">
        <f>developmentdata2019[[#This Row],[Cardboard (CY/day)]]*201.974</f>
        <v>74.135555017087199</v>
      </c>
      <c r="BR44" s="37">
        <f>developmentdata2019[[#This Row],[Paper  (CY/day)]]*201.974</f>
        <v>1.2044595421411282</v>
      </c>
      <c r="BS44" s="37">
        <f>developmentdata2019[[#This Row],[Organics (CY/day)]]*201.974</f>
        <v>0.26898947836121095</v>
      </c>
      <c r="BT44" s="37">
        <f>developmentdata2019[[#This Row],[E-Waste (CY/day)]]*201.974</f>
        <v>3.518033686900097E-3</v>
      </c>
      <c r="BU44" s="37">
        <f>developmentdata2019[[#This Row],[Textiles (CY/day)]]*201.974</f>
        <v>6.6400550862128545E-4</v>
      </c>
    </row>
    <row r="45" spans="1:73" x14ac:dyDescent="0.2">
      <c r="A45" s="37" t="s">
        <v>443</v>
      </c>
      <c r="B45" s="115">
        <v>43466</v>
      </c>
      <c r="C45" s="37" t="s">
        <v>830</v>
      </c>
      <c r="D45">
        <v>65</v>
      </c>
      <c r="E45">
        <v>65</v>
      </c>
      <c r="F45">
        <v>213</v>
      </c>
      <c r="G45">
        <v>213</v>
      </c>
      <c r="H45" s="37" t="s">
        <v>831</v>
      </c>
      <c r="I45" s="37" t="s">
        <v>577</v>
      </c>
      <c r="J45" s="37" t="s">
        <v>578</v>
      </c>
      <c r="K45" s="37" t="s">
        <v>579</v>
      </c>
      <c r="M45">
        <v>894</v>
      </c>
      <c r="N45">
        <v>896</v>
      </c>
      <c r="O45">
        <v>4187</v>
      </c>
      <c r="P45">
        <v>4.68</v>
      </c>
      <c r="R45">
        <v>1918</v>
      </c>
      <c r="S45">
        <v>1918</v>
      </c>
      <c r="T45">
        <v>330</v>
      </c>
      <c r="U45">
        <v>0.371</v>
      </c>
      <c r="V45">
        <v>13</v>
      </c>
      <c r="W45">
        <v>1</v>
      </c>
      <c r="X45">
        <v>27</v>
      </c>
      <c r="Y45">
        <v>7</v>
      </c>
      <c r="Z45">
        <v>751896</v>
      </c>
      <c r="AA45">
        <v>17.260000000000002</v>
      </c>
      <c r="AB45">
        <v>687188</v>
      </c>
      <c r="AC45">
        <v>15.78</v>
      </c>
      <c r="AD45">
        <v>121363</v>
      </c>
      <c r="AE45">
        <v>7735916</v>
      </c>
      <c r="AF45">
        <v>0.16139999999999999</v>
      </c>
      <c r="AG45">
        <v>111</v>
      </c>
      <c r="AH45">
        <v>11831887</v>
      </c>
      <c r="AI45">
        <v>2849</v>
      </c>
      <c r="AJ45">
        <v>571</v>
      </c>
      <c r="AK45" s="37" t="s">
        <v>832</v>
      </c>
      <c r="AL45" s="37" t="s">
        <v>833</v>
      </c>
      <c r="AM45" s="37" t="s">
        <v>710</v>
      </c>
      <c r="AN45" s="37" t="s">
        <v>834</v>
      </c>
      <c r="AO45" s="37" t="s">
        <v>593</v>
      </c>
      <c r="AP45">
        <v>3</v>
      </c>
      <c r="AQ45">
        <v>8</v>
      </c>
      <c r="AR45">
        <v>25</v>
      </c>
      <c r="AS45">
        <v>55</v>
      </c>
      <c r="AT45">
        <v>41</v>
      </c>
      <c r="AU45" s="115">
        <v>20311</v>
      </c>
      <c r="AV45" s="37"/>
      <c r="AW45" s="37"/>
      <c r="AX45" s="37"/>
      <c r="AY45" s="37"/>
      <c r="AZ45" s="37">
        <f>developmentdata2019[[#This Row],[NUMBER OF CURRENT APARTMENTS]]*5/2000</f>
        <v>2.2349999999999999</v>
      </c>
      <c r="BA45" s="37">
        <f>developmentdata2019[[#This Row],[Total]]*BA$1</f>
        <v>0.58109999999999995</v>
      </c>
      <c r="BB45" s="37">
        <f>developmentdata2019[[#This Row],[Trash (tons/day)]]*BB$1</f>
        <v>0.11040899999999999</v>
      </c>
      <c r="BC45" s="37">
        <f>developmentdata2019[[#This Row],[MGP (tons/day)]]*BC$1</f>
        <v>7.7286300000000002E-3</v>
      </c>
      <c r="BD45" s="37">
        <f>developmentdata2019[[#This Row],[Cardboard (tons/day)]]*BD$1</f>
        <v>5.4100410000000002E-4</v>
      </c>
      <c r="BE45" s="37">
        <f>developmentdata2019[[#This Row],[Paper (tons/day)]]*BE$1</f>
        <v>1.7312131200000001E-4</v>
      </c>
      <c r="BF45" s="37">
        <f>developmentdata2019[[#This Row],[Organics (tons/day)]]*BF$1</f>
        <v>1.7312131200000002E-6</v>
      </c>
      <c r="BG45" s="37">
        <f>developmentdata2019[[#This Row],[E-Waste (tons/day)]]*BG$1</f>
        <v>1.3849704960000002E-7</v>
      </c>
      <c r="BH45" s="37">
        <f>developmentdata2019[[#This Row],[Trash (tons/day)]]*BH$1</f>
        <v>12.232154999999999</v>
      </c>
      <c r="BI45" s="37">
        <f>developmentdata2019[[#This Row],[MGP (tons/day)]]*BI$1</f>
        <v>1.9895701799999999</v>
      </c>
      <c r="BJ45" s="37">
        <f>developmentdata2019[[#This Row],[Cardboard (tons/day)]]*BJ$1</f>
        <v>0.20612256210000002</v>
      </c>
      <c r="BK45" s="37">
        <f>developmentdata2019[[#This Row],[Paper (tons/day)]]*BK$1</f>
        <v>3.3488153790000004E-3</v>
      </c>
      <c r="BL45" s="37">
        <f>developmentdata2019[[#This Row],[Organics (tons/day)]]*BL$1</f>
        <v>7.4788406784000009E-4</v>
      </c>
      <c r="BM45" s="37">
        <f>developmentdata2019[[#This Row],[E-Waste (tons/day)]]*BM$1</f>
        <v>9.7813541280000022E-6</v>
      </c>
      <c r="BN45" s="37">
        <f>developmentdata2019[[#This Row],[Textiles (tons/day)]]*BN$1</f>
        <v>1.8461656711680002E-6</v>
      </c>
      <c r="BO45" s="37">
        <f>developmentdata2019[[#This Row],[Trash (CY/day)]]*201.974</f>
        <v>2470.5772739699996</v>
      </c>
      <c r="BP45" s="37">
        <f>developmentdata2019[[#This Row],[MGP (CY/day)]]*201.974</f>
        <v>401.84144753531996</v>
      </c>
      <c r="BQ45" s="37">
        <f>developmentdata2019[[#This Row],[Cardboard (CY/day)]]*201.974</f>
        <v>41.631398357585404</v>
      </c>
      <c r="BR45" s="37">
        <f>developmentdata2019[[#This Row],[Paper  (CY/day)]]*201.974</f>
        <v>0.67637363735814604</v>
      </c>
      <c r="BS45" s="37">
        <f>developmentdata2019[[#This Row],[Organics (CY/day)]]*201.974</f>
        <v>0.15105313671791618</v>
      </c>
      <c r="BT45" s="37">
        <f>developmentdata2019[[#This Row],[E-Waste (CY/day)]]*201.974</f>
        <v>1.9755792186486724E-3</v>
      </c>
      <c r="BU45" s="37">
        <f>developmentdata2019[[#This Row],[Textiles (CY/day)]]*201.974</f>
        <v>3.7287746526848566E-4</v>
      </c>
    </row>
    <row r="46" spans="1:73" x14ac:dyDescent="0.2">
      <c r="A46" s="37" t="s">
        <v>418</v>
      </c>
      <c r="B46" s="115">
        <v>43466</v>
      </c>
      <c r="C46" s="37" t="s">
        <v>811</v>
      </c>
      <c r="D46">
        <v>32</v>
      </c>
      <c r="E46">
        <v>32</v>
      </c>
      <c r="F46">
        <v>533</v>
      </c>
      <c r="G46">
        <v>533</v>
      </c>
      <c r="H46" s="37" t="s">
        <v>835</v>
      </c>
      <c r="I46" s="37" t="s">
        <v>577</v>
      </c>
      <c r="J46" s="37" t="s">
        <v>578</v>
      </c>
      <c r="K46" s="37" t="s">
        <v>579</v>
      </c>
      <c r="M46">
        <v>1245</v>
      </c>
      <c r="N46">
        <v>1246</v>
      </c>
      <c r="O46">
        <v>5942.5</v>
      </c>
      <c r="P46">
        <v>4.7699999999999996</v>
      </c>
      <c r="R46">
        <v>2998</v>
      </c>
      <c r="S46">
        <v>2998</v>
      </c>
      <c r="T46">
        <v>464</v>
      </c>
      <c r="U46">
        <v>0.375</v>
      </c>
      <c r="V46">
        <v>9</v>
      </c>
      <c r="W46">
        <v>1</v>
      </c>
      <c r="X46">
        <v>10</v>
      </c>
      <c r="Y46">
        <v>14</v>
      </c>
      <c r="Z46">
        <v>607297</v>
      </c>
      <c r="AA46">
        <v>13.94</v>
      </c>
      <c r="AB46">
        <v>563737</v>
      </c>
      <c r="AC46">
        <v>12.94</v>
      </c>
      <c r="AD46">
        <v>84235</v>
      </c>
      <c r="AE46">
        <v>10772413</v>
      </c>
      <c r="AF46">
        <v>0.13869999999999999</v>
      </c>
      <c r="AG46">
        <v>215</v>
      </c>
      <c r="AH46">
        <v>12719000</v>
      </c>
      <c r="AI46">
        <v>2131</v>
      </c>
      <c r="AJ46">
        <v>512</v>
      </c>
      <c r="AK46" s="37" t="s">
        <v>836</v>
      </c>
      <c r="AL46" s="37" t="s">
        <v>837</v>
      </c>
      <c r="AM46" s="37" t="s">
        <v>838</v>
      </c>
      <c r="AN46" s="37"/>
      <c r="AO46" s="37" t="s">
        <v>584</v>
      </c>
      <c r="AP46">
        <v>9</v>
      </c>
      <c r="AQ46">
        <v>15</v>
      </c>
      <c r="AR46">
        <v>32</v>
      </c>
      <c r="AS46">
        <v>85</v>
      </c>
      <c r="AT46">
        <v>18</v>
      </c>
      <c r="AU46" s="115">
        <v>18687</v>
      </c>
      <c r="AV46" s="37" t="s">
        <v>680</v>
      </c>
      <c r="AW46" s="37"/>
      <c r="AX46" s="37"/>
      <c r="AY46" s="37"/>
      <c r="AZ46" s="37">
        <f>developmentdata2019[[#This Row],[NUMBER OF CURRENT APARTMENTS]]*5/2000</f>
        <v>3.1124999999999998</v>
      </c>
      <c r="BA46" s="37">
        <f>developmentdata2019[[#This Row],[Total]]*BA$1</f>
        <v>0.80925000000000002</v>
      </c>
      <c r="BB46" s="37">
        <f>developmentdata2019[[#This Row],[Trash (tons/day)]]*BB$1</f>
        <v>0.15375750000000002</v>
      </c>
      <c r="BC46" s="37">
        <f>developmentdata2019[[#This Row],[MGP (tons/day)]]*BC$1</f>
        <v>1.0763025000000002E-2</v>
      </c>
      <c r="BD46" s="37">
        <f>developmentdata2019[[#This Row],[Cardboard (tons/day)]]*BD$1</f>
        <v>7.534117500000002E-4</v>
      </c>
      <c r="BE46" s="37">
        <f>developmentdata2019[[#This Row],[Paper (tons/day)]]*BE$1</f>
        <v>2.4109176000000008E-4</v>
      </c>
      <c r="BF46" s="37">
        <f>developmentdata2019[[#This Row],[Organics (tons/day)]]*BF$1</f>
        <v>2.4109176000000008E-6</v>
      </c>
      <c r="BG46" s="37">
        <f>developmentdata2019[[#This Row],[E-Waste (tons/day)]]*BG$1</f>
        <v>1.9287340800000006E-7</v>
      </c>
      <c r="BH46" s="37">
        <f>developmentdata2019[[#This Row],[Trash (tons/day)]]*BH$1</f>
        <v>17.034712500000001</v>
      </c>
      <c r="BI46" s="37">
        <f>developmentdata2019[[#This Row],[MGP (tons/day)]]*BI$1</f>
        <v>2.7707101500000002</v>
      </c>
      <c r="BJ46" s="37">
        <f>developmentdata2019[[#This Row],[Cardboard (tons/day)]]*BJ$1</f>
        <v>0.2870498767500001</v>
      </c>
      <c r="BK46" s="37">
        <f>developmentdata2019[[#This Row],[Paper (tons/day)]]*BK$1</f>
        <v>4.6636187325000012E-3</v>
      </c>
      <c r="BL46" s="37">
        <f>developmentdata2019[[#This Row],[Organics (tons/day)]]*BL$1</f>
        <v>1.0415164032000004E-3</v>
      </c>
      <c r="BM46" s="37">
        <f>developmentdata2019[[#This Row],[E-Waste (tons/day)]]*BM$1</f>
        <v>1.3621684440000006E-5</v>
      </c>
      <c r="BN46" s="37">
        <f>developmentdata2019[[#This Row],[Textiles (tons/day)]]*BN$1</f>
        <v>2.5710025286400006E-6</v>
      </c>
      <c r="BO46" s="37">
        <f>developmentdata2019[[#This Row],[Trash (CY/day)]]*201.974</f>
        <v>3440.5690224750001</v>
      </c>
      <c r="BP46" s="37">
        <f>developmentdata2019[[#This Row],[MGP (CY/day)]]*201.974</f>
        <v>559.61141183610005</v>
      </c>
      <c r="BQ46" s="37">
        <f>developmentdata2019[[#This Row],[Cardboard (CY/day)]]*201.974</f>
        <v>57.976611806704518</v>
      </c>
      <c r="BR46" s="37">
        <f>developmentdata2019[[#This Row],[Paper  (CY/day)]]*201.974</f>
        <v>0.9419297298779552</v>
      </c>
      <c r="BS46" s="37">
        <f>developmentdata2019[[#This Row],[Organics (CY/day)]]*201.974</f>
        <v>0.21035923401991688</v>
      </c>
      <c r="BT46" s="37">
        <f>developmentdata2019[[#This Row],[E-Waste (CY/day)]]*201.974</f>
        <v>2.7512260930845612E-3</v>
      </c>
      <c r="BU46" s="37">
        <f>developmentdata2019[[#This Row],[Textiles (CY/day)]]*201.974</f>
        <v>5.1927566471953541E-4</v>
      </c>
    </row>
    <row r="47" spans="1:73" x14ac:dyDescent="0.2">
      <c r="A47" s="37" t="s">
        <v>839</v>
      </c>
      <c r="B47" s="115">
        <v>43466</v>
      </c>
      <c r="C47" s="37" t="s">
        <v>811</v>
      </c>
      <c r="D47">
        <v>157</v>
      </c>
      <c r="E47">
        <v>32</v>
      </c>
      <c r="F47">
        <v>533</v>
      </c>
      <c r="G47">
        <v>533</v>
      </c>
      <c r="H47" s="37" t="s">
        <v>835</v>
      </c>
      <c r="I47" s="37" t="s">
        <v>577</v>
      </c>
      <c r="J47" s="37" t="s">
        <v>578</v>
      </c>
      <c r="K47" s="37" t="s">
        <v>735</v>
      </c>
      <c r="M47">
        <v>226</v>
      </c>
      <c r="N47">
        <v>226</v>
      </c>
      <c r="O47">
        <v>640</v>
      </c>
      <c r="P47">
        <v>2.83</v>
      </c>
      <c r="R47">
        <v>241</v>
      </c>
      <c r="S47">
        <v>241</v>
      </c>
      <c r="T47">
        <v>206</v>
      </c>
      <c r="U47">
        <v>0.92800000000000005</v>
      </c>
      <c r="V47">
        <v>2</v>
      </c>
      <c r="W47">
        <v>0</v>
      </c>
      <c r="X47">
        <v>2</v>
      </c>
      <c r="Y47">
        <v>43630</v>
      </c>
      <c r="Z47">
        <v>62500</v>
      </c>
      <c r="AA47">
        <v>1.43</v>
      </c>
      <c r="AB47">
        <v>62500</v>
      </c>
      <c r="AC47">
        <v>1.43</v>
      </c>
      <c r="AD47">
        <v>12286</v>
      </c>
      <c r="AE47">
        <v>1529115</v>
      </c>
      <c r="AF47">
        <v>0.1966</v>
      </c>
      <c r="AG47">
        <v>169</v>
      </c>
      <c r="AH47">
        <v>3928000</v>
      </c>
      <c r="AI47">
        <v>6128</v>
      </c>
      <c r="AJ47">
        <v>290</v>
      </c>
      <c r="AK47" s="37" t="s">
        <v>840</v>
      </c>
      <c r="AL47" s="37" t="s">
        <v>838</v>
      </c>
      <c r="AM47" s="37" t="s">
        <v>841</v>
      </c>
      <c r="AN47" s="37" t="s">
        <v>837</v>
      </c>
      <c r="AO47" s="37" t="s">
        <v>584</v>
      </c>
      <c r="AP47">
        <v>9</v>
      </c>
      <c r="AQ47">
        <v>15</v>
      </c>
      <c r="AR47">
        <v>32</v>
      </c>
      <c r="AS47">
        <v>85</v>
      </c>
      <c r="AT47">
        <v>18</v>
      </c>
      <c r="AU47" s="115">
        <v>24166</v>
      </c>
      <c r="AV47" s="37" t="s">
        <v>680</v>
      </c>
      <c r="AW47" s="37" t="s">
        <v>736</v>
      </c>
      <c r="AX47" s="37"/>
      <c r="AY47" s="37"/>
      <c r="AZ47" s="37">
        <f>developmentdata2019[[#This Row],[NUMBER OF CURRENT APARTMENTS]]*5/2000</f>
        <v>0.56499999999999995</v>
      </c>
      <c r="BA47" s="37">
        <f>developmentdata2019[[#This Row],[Total]]*BA$1</f>
        <v>0.1469</v>
      </c>
      <c r="BB47" s="37">
        <f>developmentdata2019[[#This Row],[Trash (tons/day)]]*BB$1</f>
        <v>2.7911000000000002E-2</v>
      </c>
      <c r="BC47" s="37">
        <f>developmentdata2019[[#This Row],[MGP (tons/day)]]*BC$1</f>
        <v>1.9537700000000005E-3</v>
      </c>
      <c r="BD47" s="37">
        <f>developmentdata2019[[#This Row],[Cardboard (tons/day)]]*BD$1</f>
        <v>1.3676390000000004E-4</v>
      </c>
      <c r="BE47" s="37">
        <f>developmentdata2019[[#This Row],[Paper (tons/day)]]*BE$1</f>
        <v>4.3764448000000016E-5</v>
      </c>
      <c r="BF47" s="37">
        <f>developmentdata2019[[#This Row],[Organics (tons/day)]]*BF$1</f>
        <v>4.3764448000000015E-7</v>
      </c>
      <c r="BG47" s="37">
        <f>developmentdata2019[[#This Row],[E-Waste (tons/day)]]*BG$1</f>
        <v>3.5011558400000014E-8</v>
      </c>
      <c r="BH47" s="37">
        <f>developmentdata2019[[#This Row],[Trash (tons/day)]]*BH$1</f>
        <v>3.0922450000000001</v>
      </c>
      <c r="BI47" s="37">
        <f>developmentdata2019[[#This Row],[MGP (tons/day)]]*BI$1</f>
        <v>0.50295622000000006</v>
      </c>
      <c r="BJ47" s="37">
        <f>developmentdata2019[[#This Row],[Cardboard (tons/day)]]*BJ$1</f>
        <v>5.2107045900000017E-2</v>
      </c>
      <c r="BK47" s="37">
        <f>developmentdata2019[[#This Row],[Paper (tons/day)]]*BK$1</f>
        <v>8.4656854100000035E-4</v>
      </c>
      <c r="BL47" s="37">
        <f>developmentdata2019[[#This Row],[Organics (tons/day)]]*BL$1</f>
        <v>1.8906241536000007E-4</v>
      </c>
      <c r="BM47" s="37">
        <f>developmentdata2019[[#This Row],[E-Waste (tons/day)]]*BM$1</f>
        <v>2.4726913120000012E-6</v>
      </c>
      <c r="BN47" s="37">
        <f>developmentdata2019[[#This Row],[Textiles (tons/day)]]*BN$1</f>
        <v>4.6670407347200018E-7</v>
      </c>
      <c r="BO47" s="37">
        <f>developmentdata2019[[#This Row],[Trash (CY/day)]]*201.974</f>
        <v>624.55309163000004</v>
      </c>
      <c r="BP47" s="37">
        <f>developmentdata2019[[#This Row],[MGP (CY/day)]]*201.974</f>
        <v>101.58407957828001</v>
      </c>
      <c r="BQ47" s="37">
        <f>developmentdata2019[[#This Row],[Cardboard (CY/day)]]*201.974</f>
        <v>10.524268488606603</v>
      </c>
      <c r="BR47" s="37">
        <f>developmentdata2019[[#This Row],[Paper  (CY/day)]]*201.974</f>
        <v>0.17098483449993407</v>
      </c>
      <c r="BS47" s="37">
        <f>developmentdata2019[[#This Row],[Organics (CY/day)]]*201.974</f>
        <v>3.8185692279920649E-2</v>
      </c>
      <c r="BT47" s="37">
        <f>developmentdata2019[[#This Row],[E-Waste (CY/day)]]*201.974</f>
        <v>4.9941935504988822E-4</v>
      </c>
      <c r="BU47" s="37">
        <f>developmentdata2019[[#This Row],[Textiles (CY/day)]]*201.974</f>
        <v>9.4262088535433758E-5</v>
      </c>
    </row>
    <row r="48" spans="1:73" x14ac:dyDescent="0.2">
      <c r="A48" s="37" t="s">
        <v>842</v>
      </c>
      <c r="B48" s="115">
        <v>43466</v>
      </c>
      <c r="C48" s="37" t="s">
        <v>843</v>
      </c>
      <c r="D48">
        <v>325</v>
      </c>
      <c r="E48">
        <v>252</v>
      </c>
      <c r="F48">
        <v>336</v>
      </c>
      <c r="G48">
        <v>336</v>
      </c>
      <c r="H48" s="37" t="s">
        <v>844</v>
      </c>
      <c r="I48" s="37" t="s">
        <v>577</v>
      </c>
      <c r="J48" s="37" t="s">
        <v>588</v>
      </c>
      <c r="K48" s="37" t="s">
        <v>735</v>
      </c>
      <c r="M48">
        <v>200</v>
      </c>
      <c r="N48">
        <v>200</v>
      </c>
      <c r="O48">
        <v>700</v>
      </c>
      <c r="P48">
        <v>3.5</v>
      </c>
      <c r="R48">
        <v>220</v>
      </c>
      <c r="S48">
        <v>220</v>
      </c>
      <c r="T48">
        <v>179</v>
      </c>
      <c r="U48">
        <v>0.90400000000000003</v>
      </c>
      <c r="V48">
        <v>2</v>
      </c>
      <c r="W48">
        <v>0</v>
      </c>
      <c r="X48">
        <v>2</v>
      </c>
      <c r="Y48">
        <v>6</v>
      </c>
      <c r="Z48">
        <v>99460</v>
      </c>
      <c r="AA48">
        <v>2.2799999999999998</v>
      </c>
      <c r="AB48">
        <v>99460</v>
      </c>
      <c r="AC48">
        <v>2.2799999999999998</v>
      </c>
      <c r="AD48">
        <v>29354</v>
      </c>
      <c r="AE48">
        <v>1493904</v>
      </c>
      <c r="AF48">
        <v>0.29509999999999997</v>
      </c>
      <c r="AG48">
        <v>96</v>
      </c>
      <c r="AH48">
        <v>13425060</v>
      </c>
      <c r="AI48">
        <v>19179</v>
      </c>
      <c r="AJ48">
        <v>368</v>
      </c>
      <c r="AK48" s="37" t="s">
        <v>845</v>
      </c>
      <c r="AL48" s="37" t="s">
        <v>846</v>
      </c>
      <c r="AM48" s="37" t="s">
        <v>847</v>
      </c>
      <c r="AN48" s="37" t="s">
        <v>668</v>
      </c>
      <c r="AO48" s="37" t="s">
        <v>593</v>
      </c>
      <c r="AP48">
        <v>16</v>
      </c>
      <c r="AQ48">
        <v>8</v>
      </c>
      <c r="AR48">
        <v>20</v>
      </c>
      <c r="AS48">
        <v>55</v>
      </c>
      <c r="AT48">
        <v>41</v>
      </c>
      <c r="AU48" s="115">
        <v>31251</v>
      </c>
      <c r="AV48" s="37"/>
      <c r="AW48" s="37" t="s">
        <v>736</v>
      </c>
      <c r="AX48" s="37" t="s">
        <v>621</v>
      </c>
      <c r="AY48" s="37"/>
      <c r="AZ48" s="37">
        <f>developmentdata2019[[#This Row],[NUMBER OF CURRENT APARTMENTS]]*5/2000</f>
        <v>0.5</v>
      </c>
      <c r="BA48" s="37">
        <f>developmentdata2019[[#This Row],[Total]]*BA$1</f>
        <v>0.13</v>
      </c>
      <c r="BB48" s="37">
        <f>developmentdata2019[[#This Row],[Trash (tons/day)]]*BB$1</f>
        <v>2.47E-2</v>
      </c>
      <c r="BC48" s="37">
        <f>developmentdata2019[[#This Row],[MGP (tons/day)]]*BC$1</f>
        <v>1.7290000000000001E-3</v>
      </c>
      <c r="BD48" s="37">
        <f>developmentdata2019[[#This Row],[Cardboard (tons/day)]]*BD$1</f>
        <v>1.2103000000000001E-4</v>
      </c>
      <c r="BE48" s="37">
        <f>developmentdata2019[[#This Row],[Paper (tons/day)]]*BE$1</f>
        <v>3.8729600000000003E-5</v>
      </c>
      <c r="BF48" s="37">
        <f>developmentdata2019[[#This Row],[Organics (tons/day)]]*BF$1</f>
        <v>3.8729600000000003E-7</v>
      </c>
      <c r="BG48" s="37">
        <f>developmentdata2019[[#This Row],[E-Waste (tons/day)]]*BG$1</f>
        <v>3.0983680000000005E-8</v>
      </c>
      <c r="BH48" s="37">
        <f>developmentdata2019[[#This Row],[Trash (tons/day)]]*BH$1</f>
        <v>2.7365000000000004</v>
      </c>
      <c r="BI48" s="37">
        <f>developmentdata2019[[#This Row],[MGP (tons/day)]]*BI$1</f>
        <v>0.44509399999999999</v>
      </c>
      <c r="BJ48" s="37">
        <f>developmentdata2019[[#This Row],[Cardboard (tons/day)]]*BJ$1</f>
        <v>4.6112430000000003E-2</v>
      </c>
      <c r="BK48" s="37">
        <f>developmentdata2019[[#This Row],[Paper (tons/day)]]*BK$1</f>
        <v>7.4917570000000017E-4</v>
      </c>
      <c r="BL48" s="37">
        <f>developmentdata2019[[#This Row],[Organics (tons/day)]]*BL$1</f>
        <v>1.6731187200000002E-4</v>
      </c>
      <c r="BM48" s="37">
        <f>developmentdata2019[[#This Row],[E-Waste (tons/day)]]*BM$1</f>
        <v>2.1882224000000004E-6</v>
      </c>
      <c r="BN48" s="37">
        <f>developmentdata2019[[#This Row],[Textiles (tons/day)]]*BN$1</f>
        <v>4.1301245440000006E-7</v>
      </c>
      <c r="BO48" s="37">
        <f>developmentdata2019[[#This Row],[Trash (CY/day)]]*201.974</f>
        <v>552.70185100000003</v>
      </c>
      <c r="BP48" s="37">
        <f>developmentdata2019[[#This Row],[MGP (CY/day)]]*201.974</f>
        <v>89.897415555999999</v>
      </c>
      <c r="BQ48" s="37">
        <f>developmentdata2019[[#This Row],[Cardboard (CY/day)]]*201.974</f>
        <v>9.3135119368199994</v>
      </c>
      <c r="BR48" s="37">
        <f>developmentdata2019[[#This Row],[Paper  (CY/day)]]*201.974</f>
        <v>0.15131401283180002</v>
      </c>
      <c r="BS48" s="37">
        <f>developmentdata2019[[#This Row],[Organics (CY/day)]]*201.974</f>
        <v>3.3792648035328006E-2</v>
      </c>
      <c r="BT48" s="37">
        <f>developmentdata2019[[#This Row],[E-Waste (CY/day)]]*201.974</f>
        <v>4.4196403101760004E-4</v>
      </c>
      <c r="BU48" s="37">
        <f>developmentdata2019[[#This Row],[Textiles (CY/day)]]*201.974</f>
        <v>8.3417777464985611E-5</v>
      </c>
    </row>
    <row r="49" spans="1:73" x14ac:dyDescent="0.2">
      <c r="A49" s="37" t="s">
        <v>485</v>
      </c>
      <c r="B49" s="115">
        <v>43466</v>
      </c>
      <c r="C49" s="37" t="s">
        <v>848</v>
      </c>
      <c r="D49">
        <v>16</v>
      </c>
      <c r="E49">
        <v>16</v>
      </c>
      <c r="F49">
        <v>512</v>
      </c>
      <c r="G49">
        <v>512</v>
      </c>
      <c r="H49" s="37" t="s">
        <v>849</v>
      </c>
      <c r="I49" s="37" t="s">
        <v>577</v>
      </c>
      <c r="J49" s="37" t="s">
        <v>578</v>
      </c>
      <c r="K49" s="37" t="s">
        <v>579</v>
      </c>
      <c r="M49">
        <v>1336</v>
      </c>
      <c r="N49">
        <v>1338</v>
      </c>
      <c r="O49">
        <v>6279</v>
      </c>
      <c r="P49">
        <v>4.7</v>
      </c>
      <c r="R49">
        <v>3166</v>
      </c>
      <c r="S49">
        <v>3166</v>
      </c>
      <c r="T49">
        <v>416</v>
      </c>
      <c r="U49">
        <v>0.316</v>
      </c>
      <c r="V49">
        <v>27</v>
      </c>
      <c r="W49">
        <v>0</v>
      </c>
      <c r="X49">
        <v>46</v>
      </c>
      <c r="Y49">
        <v>43623</v>
      </c>
      <c r="Z49">
        <v>819997</v>
      </c>
      <c r="AA49">
        <v>18.82</v>
      </c>
      <c r="AB49">
        <v>732841</v>
      </c>
      <c r="AC49">
        <v>16.82</v>
      </c>
      <c r="AD49">
        <v>188564</v>
      </c>
      <c r="AE49">
        <v>10371638</v>
      </c>
      <c r="AF49">
        <v>0.23</v>
      </c>
      <c r="AG49">
        <v>168</v>
      </c>
      <c r="AH49">
        <v>12898000</v>
      </c>
      <c r="AI49">
        <v>2054</v>
      </c>
      <c r="AJ49">
        <v>520</v>
      </c>
      <c r="AK49" s="37" t="s">
        <v>591</v>
      </c>
      <c r="AL49" s="37" t="s">
        <v>850</v>
      </c>
      <c r="AM49" s="37" t="s">
        <v>851</v>
      </c>
      <c r="AN49" s="37" t="s">
        <v>852</v>
      </c>
      <c r="AO49" s="37" t="s">
        <v>593</v>
      </c>
      <c r="AP49">
        <v>16</v>
      </c>
      <c r="AQ49">
        <v>9</v>
      </c>
      <c r="AR49">
        <v>20</v>
      </c>
      <c r="AS49">
        <v>55</v>
      </c>
      <c r="AT49">
        <v>41</v>
      </c>
      <c r="AU49" s="115">
        <v>17639</v>
      </c>
      <c r="AV49" s="37" t="s">
        <v>704</v>
      </c>
      <c r="AW49" s="37"/>
      <c r="AX49" s="37"/>
      <c r="AY49" s="37"/>
      <c r="AZ49" s="37">
        <f>developmentdata2019[[#This Row],[NUMBER OF CURRENT APARTMENTS]]*5/2000</f>
        <v>3.34</v>
      </c>
      <c r="BA49" s="37">
        <f>developmentdata2019[[#This Row],[Total]]*BA$1</f>
        <v>0.86839999999999995</v>
      </c>
      <c r="BB49" s="37">
        <f>developmentdata2019[[#This Row],[Trash (tons/day)]]*BB$1</f>
        <v>0.164996</v>
      </c>
      <c r="BC49" s="37">
        <f>developmentdata2019[[#This Row],[MGP (tons/day)]]*BC$1</f>
        <v>1.1549720000000001E-2</v>
      </c>
      <c r="BD49" s="37">
        <f>developmentdata2019[[#This Row],[Cardboard (tons/day)]]*BD$1</f>
        <v>8.0848040000000012E-4</v>
      </c>
      <c r="BE49" s="37">
        <f>developmentdata2019[[#This Row],[Paper (tons/day)]]*BE$1</f>
        <v>2.5871372800000006E-4</v>
      </c>
      <c r="BF49" s="37">
        <f>developmentdata2019[[#This Row],[Organics (tons/day)]]*BF$1</f>
        <v>2.5871372800000007E-6</v>
      </c>
      <c r="BG49" s="37">
        <f>developmentdata2019[[#This Row],[E-Waste (tons/day)]]*BG$1</f>
        <v>2.0697098240000005E-7</v>
      </c>
      <c r="BH49" s="37">
        <f>developmentdata2019[[#This Row],[Trash (tons/day)]]*BH$1</f>
        <v>18.279820000000001</v>
      </c>
      <c r="BI49" s="37">
        <f>developmentdata2019[[#This Row],[MGP (tons/day)]]*BI$1</f>
        <v>2.9732279199999998</v>
      </c>
      <c r="BJ49" s="37">
        <f>developmentdata2019[[#This Row],[Cardboard (tons/day)]]*BJ$1</f>
        <v>0.30803103240000007</v>
      </c>
      <c r="BK49" s="37">
        <f>developmentdata2019[[#This Row],[Paper (tons/day)]]*BK$1</f>
        <v>5.0044936760000013E-3</v>
      </c>
      <c r="BL49" s="37">
        <f>developmentdata2019[[#This Row],[Organics (tons/day)]]*BL$1</f>
        <v>1.1176433049600004E-3</v>
      </c>
      <c r="BM49" s="37">
        <f>developmentdata2019[[#This Row],[E-Waste (tons/day)]]*BM$1</f>
        <v>1.4617325632000005E-5</v>
      </c>
      <c r="BN49" s="37">
        <f>developmentdata2019[[#This Row],[Textiles (tons/day)]]*BN$1</f>
        <v>2.7589231953920008E-6</v>
      </c>
      <c r="BO49" s="37">
        <f>developmentdata2019[[#This Row],[Trash (CY/day)]]*201.974</f>
        <v>3692.0483646799998</v>
      </c>
      <c r="BP49" s="37">
        <f>developmentdata2019[[#This Row],[MGP (CY/day)]]*201.974</f>
        <v>600.51473591407989</v>
      </c>
      <c r="BQ49" s="37">
        <f>developmentdata2019[[#This Row],[Cardboard (CY/day)]]*201.974</f>
        <v>62.214259737957612</v>
      </c>
      <c r="BR49" s="37">
        <f>developmentdata2019[[#This Row],[Paper  (CY/day)]]*201.974</f>
        <v>1.0107776057164242</v>
      </c>
      <c r="BS49" s="37">
        <f>developmentdata2019[[#This Row],[Organics (CY/day)]]*201.974</f>
        <v>0.22573488887599111</v>
      </c>
      <c r="BT49" s="37">
        <f>developmentdata2019[[#This Row],[E-Waste (CY/day)]]*201.974</f>
        <v>2.9523197271975688E-3</v>
      </c>
      <c r="BU49" s="37">
        <f>developmentdata2019[[#This Row],[Textiles (CY/day)]]*201.974</f>
        <v>5.5723075346610399E-4</v>
      </c>
    </row>
    <row r="50" spans="1:73" x14ac:dyDescent="0.2">
      <c r="A50" s="37" t="s">
        <v>853</v>
      </c>
      <c r="B50" s="115">
        <v>43466</v>
      </c>
      <c r="C50" s="37" t="s">
        <v>854</v>
      </c>
      <c r="D50">
        <v>235</v>
      </c>
      <c r="E50">
        <v>530</v>
      </c>
      <c r="F50">
        <v>352</v>
      </c>
      <c r="G50">
        <v>748</v>
      </c>
      <c r="H50" s="37" t="s">
        <v>855</v>
      </c>
      <c r="I50" s="37" t="s">
        <v>577</v>
      </c>
      <c r="J50" s="37" t="s">
        <v>588</v>
      </c>
      <c r="K50" s="37" t="s">
        <v>579</v>
      </c>
      <c r="M50">
        <v>72</v>
      </c>
      <c r="N50">
        <v>72</v>
      </c>
      <c r="O50">
        <v>284</v>
      </c>
      <c r="P50">
        <v>3.94</v>
      </c>
      <c r="R50">
        <v>135</v>
      </c>
      <c r="S50">
        <v>135</v>
      </c>
      <c r="T50">
        <v>33</v>
      </c>
      <c r="U50">
        <v>0.46500000000000002</v>
      </c>
      <c r="V50">
        <v>1</v>
      </c>
      <c r="W50">
        <v>0</v>
      </c>
      <c r="X50">
        <v>1</v>
      </c>
      <c r="Y50">
        <v>6</v>
      </c>
      <c r="Z50">
        <v>22500</v>
      </c>
      <c r="AA50">
        <v>0.52</v>
      </c>
      <c r="AB50">
        <v>22500</v>
      </c>
      <c r="AC50">
        <v>0.52</v>
      </c>
      <c r="AD50">
        <v>9879</v>
      </c>
      <c r="AE50">
        <v>672864</v>
      </c>
      <c r="AF50">
        <v>0.43909999999999999</v>
      </c>
      <c r="AG50">
        <v>260</v>
      </c>
      <c r="AH50">
        <v>2132334</v>
      </c>
      <c r="AI50">
        <v>7315</v>
      </c>
      <c r="AJ50">
        <v>519</v>
      </c>
      <c r="AK50" s="37" t="s">
        <v>838</v>
      </c>
      <c r="AL50" s="37" t="s">
        <v>581</v>
      </c>
      <c r="AM50" s="37" t="s">
        <v>856</v>
      </c>
      <c r="AN50" s="37" t="s">
        <v>857</v>
      </c>
      <c r="AO50" s="37" t="s">
        <v>584</v>
      </c>
      <c r="AP50">
        <v>3</v>
      </c>
      <c r="AQ50">
        <v>15</v>
      </c>
      <c r="AR50">
        <v>32</v>
      </c>
      <c r="AS50">
        <v>79</v>
      </c>
      <c r="AT50">
        <v>17</v>
      </c>
      <c r="AU50" s="115">
        <v>26542</v>
      </c>
      <c r="AV50" s="37"/>
      <c r="AW50" s="37"/>
      <c r="AX50" s="37"/>
      <c r="AY50" s="37" t="s">
        <v>621</v>
      </c>
      <c r="AZ50" s="37">
        <f>developmentdata2019[[#This Row],[NUMBER OF CURRENT APARTMENTS]]*5/2000</f>
        <v>0.18</v>
      </c>
      <c r="BA50" s="37">
        <f>developmentdata2019[[#This Row],[Total]]*BA$1</f>
        <v>4.6800000000000001E-2</v>
      </c>
      <c r="BB50" s="37">
        <f>developmentdata2019[[#This Row],[Trash (tons/day)]]*BB$1</f>
        <v>8.8920000000000006E-3</v>
      </c>
      <c r="BC50" s="37">
        <f>developmentdata2019[[#This Row],[MGP (tons/day)]]*BC$1</f>
        <v>6.2244000000000015E-4</v>
      </c>
      <c r="BD50" s="37">
        <f>developmentdata2019[[#This Row],[Cardboard (tons/day)]]*BD$1</f>
        <v>4.3570800000000013E-5</v>
      </c>
      <c r="BE50" s="37">
        <f>developmentdata2019[[#This Row],[Paper (tons/day)]]*BE$1</f>
        <v>1.3942656000000004E-5</v>
      </c>
      <c r="BF50" s="37">
        <f>developmentdata2019[[#This Row],[Organics (tons/day)]]*BF$1</f>
        <v>1.3942656000000004E-7</v>
      </c>
      <c r="BG50" s="37">
        <f>developmentdata2019[[#This Row],[E-Waste (tons/day)]]*BG$1</f>
        <v>1.1154124800000004E-8</v>
      </c>
      <c r="BH50" s="37">
        <f>developmentdata2019[[#This Row],[Trash (tons/day)]]*BH$1</f>
        <v>0.98514000000000002</v>
      </c>
      <c r="BI50" s="37">
        <f>developmentdata2019[[#This Row],[MGP (tons/day)]]*BI$1</f>
        <v>0.16023384000000002</v>
      </c>
      <c r="BJ50" s="37">
        <f>developmentdata2019[[#This Row],[Cardboard (tons/day)]]*BJ$1</f>
        <v>1.6600474800000004E-2</v>
      </c>
      <c r="BK50" s="37">
        <f>developmentdata2019[[#This Row],[Paper (tons/day)]]*BK$1</f>
        <v>2.6970325200000012E-4</v>
      </c>
      <c r="BL50" s="37">
        <f>developmentdata2019[[#This Row],[Organics (tons/day)]]*BL$1</f>
        <v>6.023227392000002E-5</v>
      </c>
      <c r="BM50" s="37">
        <f>developmentdata2019[[#This Row],[E-Waste (tons/day)]]*BM$1</f>
        <v>7.8776006400000029E-7</v>
      </c>
      <c r="BN50" s="37">
        <f>developmentdata2019[[#This Row],[Textiles (tons/day)]]*BN$1</f>
        <v>1.4868448358400004E-7</v>
      </c>
      <c r="BO50" s="37">
        <f>developmentdata2019[[#This Row],[Trash (CY/day)]]*201.974</f>
        <v>198.97266636000001</v>
      </c>
      <c r="BP50" s="37">
        <f>developmentdata2019[[#This Row],[MGP (CY/day)]]*201.974</f>
        <v>32.363069600160003</v>
      </c>
      <c r="BQ50" s="37">
        <f>developmentdata2019[[#This Row],[Cardboard (CY/day)]]*201.974</f>
        <v>3.3528642972552007</v>
      </c>
      <c r="BR50" s="37">
        <f>developmentdata2019[[#This Row],[Paper  (CY/day)]]*201.974</f>
        <v>5.4473044619448019E-2</v>
      </c>
      <c r="BS50" s="37">
        <f>developmentdata2019[[#This Row],[Organics (CY/day)]]*201.974</f>
        <v>1.2165353292718083E-2</v>
      </c>
      <c r="BT50" s="37">
        <f>developmentdata2019[[#This Row],[E-Waste (CY/day)]]*201.974</f>
        <v>1.5910705116633605E-4</v>
      </c>
      <c r="BU50" s="37">
        <f>developmentdata2019[[#This Row],[Textiles (CY/day)]]*201.974</f>
        <v>3.0030399887394823E-5</v>
      </c>
    </row>
    <row r="51" spans="1:73" x14ac:dyDescent="0.2">
      <c r="A51" s="37" t="s">
        <v>858</v>
      </c>
      <c r="B51" s="115">
        <v>43466</v>
      </c>
      <c r="C51" s="37" t="s">
        <v>859</v>
      </c>
      <c r="D51">
        <v>86</v>
      </c>
      <c r="E51">
        <v>86</v>
      </c>
      <c r="F51">
        <v>430</v>
      </c>
      <c r="G51">
        <v>430</v>
      </c>
      <c r="H51" s="37" t="s">
        <v>860</v>
      </c>
      <c r="I51" s="37" t="s">
        <v>683</v>
      </c>
      <c r="J51" s="37" t="s">
        <v>578</v>
      </c>
      <c r="K51" s="37" t="s">
        <v>579</v>
      </c>
      <c r="L51">
        <v>209</v>
      </c>
      <c r="M51">
        <v>1219</v>
      </c>
      <c r="N51">
        <v>1220</v>
      </c>
      <c r="O51">
        <v>5669.5</v>
      </c>
      <c r="P51">
        <v>4.6500000000000004</v>
      </c>
      <c r="Q51">
        <v>555</v>
      </c>
      <c r="R51">
        <v>2288</v>
      </c>
      <c r="S51">
        <v>2843</v>
      </c>
      <c r="T51">
        <v>499</v>
      </c>
      <c r="U51">
        <v>0.41299999999999998</v>
      </c>
      <c r="V51">
        <v>8</v>
      </c>
      <c r="W51">
        <v>0</v>
      </c>
      <c r="X51">
        <v>8</v>
      </c>
      <c r="Y51" t="s">
        <v>861</v>
      </c>
      <c r="Z51">
        <v>697736</v>
      </c>
      <c r="AA51">
        <v>16.02</v>
      </c>
      <c r="AB51">
        <v>639260</v>
      </c>
      <c r="AC51">
        <v>14.68</v>
      </c>
      <c r="AD51">
        <v>78768</v>
      </c>
      <c r="AE51">
        <v>11288105</v>
      </c>
      <c r="AF51">
        <v>0.1129</v>
      </c>
      <c r="AG51">
        <v>177</v>
      </c>
      <c r="AH51">
        <v>20346000</v>
      </c>
      <c r="AI51">
        <v>3599</v>
      </c>
      <c r="AJ51">
        <v>541</v>
      </c>
      <c r="AK51" s="37" t="s">
        <v>790</v>
      </c>
      <c r="AL51" s="37" t="s">
        <v>862</v>
      </c>
      <c r="AM51" s="37" t="s">
        <v>786</v>
      </c>
      <c r="AN51" s="37" t="s">
        <v>863</v>
      </c>
      <c r="AO51" s="37" t="s">
        <v>593</v>
      </c>
      <c r="AP51">
        <v>1</v>
      </c>
      <c r="AQ51">
        <v>7</v>
      </c>
      <c r="AR51">
        <v>18</v>
      </c>
      <c r="AS51">
        <v>53</v>
      </c>
      <c r="AT51">
        <v>34</v>
      </c>
      <c r="AU51" s="115">
        <v>22007</v>
      </c>
      <c r="AV51" s="37"/>
      <c r="AW51" s="37"/>
      <c r="AX51" s="37"/>
      <c r="AY51" s="37"/>
      <c r="AZ51" s="37">
        <f>developmentdata2019[[#This Row],[NUMBER OF CURRENT APARTMENTS]]*5/2000</f>
        <v>3.0474999999999999</v>
      </c>
      <c r="BA51" s="37">
        <f>developmentdata2019[[#This Row],[Total]]*BA$1</f>
        <v>0.79235</v>
      </c>
      <c r="BB51" s="37">
        <f>developmentdata2019[[#This Row],[Trash (tons/day)]]*BB$1</f>
        <v>0.1505465</v>
      </c>
      <c r="BC51" s="37">
        <f>developmentdata2019[[#This Row],[MGP (tons/day)]]*BC$1</f>
        <v>1.0538255000000002E-2</v>
      </c>
      <c r="BD51" s="37">
        <f>developmentdata2019[[#This Row],[Cardboard (tons/day)]]*BD$1</f>
        <v>7.3767785000000013E-4</v>
      </c>
      <c r="BE51" s="37">
        <f>developmentdata2019[[#This Row],[Paper (tons/day)]]*BE$1</f>
        <v>2.3605691200000005E-4</v>
      </c>
      <c r="BF51" s="37">
        <f>developmentdata2019[[#This Row],[Organics (tons/day)]]*BF$1</f>
        <v>2.3605691200000005E-6</v>
      </c>
      <c r="BG51" s="37">
        <f>developmentdata2019[[#This Row],[E-Waste (tons/day)]]*BG$1</f>
        <v>1.8884552960000006E-7</v>
      </c>
      <c r="BH51" s="37">
        <f>developmentdata2019[[#This Row],[Trash (tons/day)]]*BH$1</f>
        <v>16.678967499999999</v>
      </c>
      <c r="BI51" s="37">
        <f>developmentdata2019[[#This Row],[MGP (tons/day)]]*BI$1</f>
        <v>2.7128479300000001</v>
      </c>
      <c r="BJ51" s="37">
        <f>developmentdata2019[[#This Row],[Cardboard (tons/day)]]*BJ$1</f>
        <v>0.28105526085000004</v>
      </c>
      <c r="BK51" s="37">
        <f>developmentdata2019[[#This Row],[Paper (tons/day)]]*BK$1</f>
        <v>4.5662258915000007E-3</v>
      </c>
      <c r="BL51" s="37">
        <f>developmentdata2019[[#This Row],[Organics (tons/day)]]*BL$1</f>
        <v>1.0197658598400004E-3</v>
      </c>
      <c r="BM51" s="37">
        <f>developmentdata2019[[#This Row],[E-Waste (tons/day)]]*BM$1</f>
        <v>1.3337215528000005E-5</v>
      </c>
      <c r="BN51" s="37">
        <f>developmentdata2019[[#This Row],[Textiles (tons/day)]]*BN$1</f>
        <v>2.5173109095680009E-6</v>
      </c>
      <c r="BO51" s="37">
        <f>developmentdata2019[[#This Row],[Trash (CY/day)]]*201.974</f>
        <v>3368.7177818449995</v>
      </c>
      <c r="BP51" s="37">
        <f>developmentdata2019[[#This Row],[MGP (CY/day)]]*201.974</f>
        <v>547.92474781381998</v>
      </c>
      <c r="BQ51" s="37">
        <f>developmentdata2019[[#This Row],[Cardboard (CY/day)]]*201.974</f>
        <v>56.765855254917909</v>
      </c>
      <c r="BR51" s="37">
        <f>developmentdata2019[[#This Row],[Paper  (CY/day)]]*201.974</f>
        <v>0.92225890820982115</v>
      </c>
      <c r="BS51" s="37">
        <f>developmentdata2019[[#This Row],[Organics (CY/day)]]*201.974</f>
        <v>0.20596618977532422</v>
      </c>
      <c r="BT51" s="37">
        <f>developmentdata2019[[#This Row],[E-Waste (CY/day)]]*201.974</f>
        <v>2.6937707690522727E-3</v>
      </c>
      <c r="BU51" s="37">
        <f>developmentdata2019[[#This Row],[Textiles (CY/day)]]*201.974</f>
        <v>5.0843135364908739E-4</v>
      </c>
    </row>
    <row r="52" spans="1:73" x14ac:dyDescent="0.2">
      <c r="A52" s="37" t="s">
        <v>864</v>
      </c>
      <c r="B52" s="115">
        <v>43466</v>
      </c>
      <c r="C52" s="37" t="s">
        <v>865</v>
      </c>
      <c r="D52">
        <v>302</v>
      </c>
      <c r="E52">
        <v>247</v>
      </c>
      <c r="F52">
        <v>565</v>
      </c>
      <c r="G52">
        <v>546</v>
      </c>
      <c r="H52" s="37" t="s">
        <v>866</v>
      </c>
      <c r="I52" s="37" t="s">
        <v>577</v>
      </c>
      <c r="J52" s="37" t="s">
        <v>588</v>
      </c>
      <c r="K52" s="37" t="s">
        <v>579</v>
      </c>
      <c r="M52">
        <v>299</v>
      </c>
      <c r="N52">
        <v>300</v>
      </c>
      <c r="O52">
        <v>1446.5</v>
      </c>
      <c r="P52">
        <v>4.84</v>
      </c>
      <c r="R52">
        <v>716</v>
      </c>
      <c r="S52">
        <v>716</v>
      </c>
      <c r="T52">
        <v>125</v>
      </c>
      <c r="U52">
        <v>0.41799999999999998</v>
      </c>
      <c r="V52">
        <v>25</v>
      </c>
      <c r="W52">
        <v>0</v>
      </c>
      <c r="X52">
        <v>25</v>
      </c>
      <c r="Y52">
        <v>3</v>
      </c>
      <c r="Z52">
        <v>402930</v>
      </c>
      <c r="AA52">
        <v>9.25</v>
      </c>
      <c r="AB52">
        <v>402930</v>
      </c>
      <c r="AC52">
        <v>9.25</v>
      </c>
      <c r="AD52">
        <v>102600</v>
      </c>
      <c r="AE52">
        <v>3200584</v>
      </c>
      <c r="AF52">
        <v>0.25459999999999999</v>
      </c>
      <c r="AG52">
        <v>77</v>
      </c>
      <c r="AH52">
        <v>20840392</v>
      </c>
      <c r="AI52">
        <v>14235</v>
      </c>
      <c r="AJ52">
        <v>607</v>
      </c>
      <c r="AK52" s="37" t="s">
        <v>867</v>
      </c>
      <c r="AL52" s="37" t="s">
        <v>868</v>
      </c>
      <c r="AM52" s="37" t="s">
        <v>869</v>
      </c>
      <c r="AN52" s="37" t="s">
        <v>870</v>
      </c>
      <c r="AO52" s="37" t="s">
        <v>593</v>
      </c>
      <c r="AP52">
        <v>4</v>
      </c>
      <c r="AQ52" t="s">
        <v>871</v>
      </c>
      <c r="AR52">
        <v>18</v>
      </c>
      <c r="AS52" t="s">
        <v>872</v>
      </c>
      <c r="AT52" t="s">
        <v>873</v>
      </c>
      <c r="AU52" s="115">
        <v>30882</v>
      </c>
      <c r="AV52" s="37"/>
      <c r="AW52" s="37"/>
      <c r="AX52" s="37" t="s">
        <v>621</v>
      </c>
      <c r="AY52" s="37"/>
      <c r="AZ52" s="37">
        <f>developmentdata2019[[#This Row],[NUMBER OF CURRENT APARTMENTS]]*5/2000</f>
        <v>0.74750000000000005</v>
      </c>
      <c r="BA52" s="37">
        <f>developmentdata2019[[#This Row],[Total]]*BA$1</f>
        <v>0.19435000000000002</v>
      </c>
      <c r="BB52" s="37">
        <f>developmentdata2019[[#This Row],[Trash (tons/day)]]*BB$1</f>
        <v>3.6926500000000008E-2</v>
      </c>
      <c r="BC52" s="37">
        <f>developmentdata2019[[#This Row],[MGP (tons/day)]]*BC$1</f>
        <v>2.5848550000000009E-3</v>
      </c>
      <c r="BD52" s="37">
        <f>developmentdata2019[[#This Row],[Cardboard (tons/day)]]*BD$1</f>
        <v>1.8093985000000007E-4</v>
      </c>
      <c r="BE52" s="37">
        <f>developmentdata2019[[#This Row],[Paper (tons/day)]]*BE$1</f>
        <v>5.7900752000000022E-5</v>
      </c>
      <c r="BF52" s="37">
        <f>developmentdata2019[[#This Row],[Organics (tons/day)]]*BF$1</f>
        <v>5.7900752000000026E-7</v>
      </c>
      <c r="BG52" s="37">
        <f>developmentdata2019[[#This Row],[E-Waste (tons/day)]]*BG$1</f>
        <v>4.632060160000002E-8</v>
      </c>
      <c r="BH52" s="37">
        <f>developmentdata2019[[#This Row],[Trash (tons/day)]]*BH$1</f>
        <v>4.0910675000000003</v>
      </c>
      <c r="BI52" s="37">
        <f>developmentdata2019[[#This Row],[MGP (tons/day)]]*BI$1</f>
        <v>0.66541553000000009</v>
      </c>
      <c r="BJ52" s="37">
        <f>developmentdata2019[[#This Row],[Cardboard (tons/day)]]*BJ$1</f>
        <v>6.8938082850000026E-2</v>
      </c>
      <c r="BK52" s="37">
        <f>developmentdata2019[[#This Row],[Paper (tons/day)]]*BK$1</f>
        <v>1.1200176715000004E-3</v>
      </c>
      <c r="BL52" s="37">
        <f>developmentdata2019[[#This Row],[Organics (tons/day)]]*BL$1</f>
        <v>2.5013124864000009E-4</v>
      </c>
      <c r="BM52" s="37">
        <f>developmentdata2019[[#This Row],[E-Waste (tons/day)]]*BM$1</f>
        <v>3.2713924880000017E-6</v>
      </c>
      <c r="BN52" s="37">
        <f>developmentdata2019[[#This Row],[Textiles (tons/day)]]*BN$1</f>
        <v>6.1745361932800029E-7</v>
      </c>
      <c r="BO52" s="37">
        <f>developmentdata2019[[#This Row],[Trash (CY/day)]]*201.974</f>
        <v>826.28926724500002</v>
      </c>
      <c r="BP52" s="37">
        <f>developmentdata2019[[#This Row],[MGP (CY/day)]]*201.974</f>
        <v>134.39663625622001</v>
      </c>
      <c r="BQ52" s="37">
        <f>developmentdata2019[[#This Row],[Cardboard (CY/day)]]*201.974</f>
        <v>13.923700345545905</v>
      </c>
      <c r="BR52" s="37">
        <f>developmentdata2019[[#This Row],[Paper  (CY/day)]]*201.974</f>
        <v>0.22621444918354108</v>
      </c>
      <c r="BS52" s="37">
        <f>developmentdata2019[[#This Row],[Organics (CY/day)]]*201.974</f>
        <v>5.0520008812815376E-2</v>
      </c>
      <c r="BT52" s="37">
        <f>developmentdata2019[[#This Row],[E-Waste (CY/day)]]*201.974</f>
        <v>6.607362263713123E-4</v>
      </c>
      <c r="BU52" s="37">
        <f>developmentdata2019[[#This Row],[Textiles (CY/day)]]*201.974</f>
        <v>1.2470957731015351E-4</v>
      </c>
    </row>
    <row r="53" spans="1:73" x14ac:dyDescent="0.2">
      <c r="A53" s="37" t="s">
        <v>874</v>
      </c>
      <c r="B53" s="115">
        <v>43466</v>
      </c>
      <c r="C53" s="37" t="s">
        <v>865</v>
      </c>
      <c r="D53">
        <v>303</v>
      </c>
      <c r="E53">
        <v>247</v>
      </c>
      <c r="F53">
        <v>566</v>
      </c>
      <c r="G53">
        <v>546</v>
      </c>
      <c r="H53" s="37" t="s">
        <v>875</v>
      </c>
      <c r="I53" s="37" t="s">
        <v>577</v>
      </c>
      <c r="J53" s="37" t="s">
        <v>588</v>
      </c>
      <c r="K53" s="37" t="s">
        <v>579</v>
      </c>
      <c r="M53">
        <v>300</v>
      </c>
      <c r="N53">
        <v>300</v>
      </c>
      <c r="O53">
        <v>1450</v>
      </c>
      <c r="P53">
        <v>4.83</v>
      </c>
      <c r="R53">
        <v>702</v>
      </c>
      <c r="S53">
        <v>702</v>
      </c>
      <c r="T53">
        <v>121</v>
      </c>
      <c r="U53">
        <v>0.40500000000000003</v>
      </c>
      <c r="V53">
        <v>25</v>
      </c>
      <c r="W53">
        <v>1</v>
      </c>
      <c r="X53">
        <v>27</v>
      </c>
      <c r="Y53">
        <v>3</v>
      </c>
      <c r="Z53">
        <v>440392</v>
      </c>
      <c r="AA53">
        <v>10.11</v>
      </c>
      <c r="AB53">
        <v>440392</v>
      </c>
      <c r="AC53">
        <v>10.11</v>
      </c>
      <c r="AD53">
        <v>102600</v>
      </c>
      <c r="AE53">
        <v>3200584</v>
      </c>
      <c r="AF53">
        <v>0.23300000000000001</v>
      </c>
      <c r="AG53">
        <v>69</v>
      </c>
      <c r="AH53">
        <v>19608177</v>
      </c>
      <c r="AI53">
        <v>13339</v>
      </c>
      <c r="AJ53">
        <v>584</v>
      </c>
      <c r="AK53" s="37" t="s">
        <v>690</v>
      </c>
      <c r="AL53" s="37" t="s">
        <v>876</v>
      </c>
      <c r="AM53" s="37" t="s">
        <v>877</v>
      </c>
      <c r="AN53" s="37" t="s">
        <v>614</v>
      </c>
      <c r="AO53" s="37" t="s">
        <v>593</v>
      </c>
      <c r="AP53">
        <v>4</v>
      </c>
      <c r="AQ53">
        <v>7</v>
      </c>
      <c r="AR53">
        <v>18</v>
      </c>
      <c r="AS53" t="s">
        <v>872</v>
      </c>
      <c r="AT53" t="s">
        <v>873</v>
      </c>
      <c r="AU53" s="115">
        <v>30868</v>
      </c>
      <c r="AV53" s="37"/>
      <c r="AW53" s="37"/>
      <c r="AX53" s="37" t="s">
        <v>621</v>
      </c>
      <c r="AY53" s="37"/>
      <c r="AZ53" s="37">
        <f>developmentdata2019[[#This Row],[NUMBER OF CURRENT APARTMENTS]]*5/2000</f>
        <v>0.75</v>
      </c>
      <c r="BA53" s="37">
        <f>developmentdata2019[[#This Row],[Total]]*BA$1</f>
        <v>0.19500000000000001</v>
      </c>
      <c r="BB53" s="37">
        <f>developmentdata2019[[#This Row],[Trash (tons/day)]]*BB$1</f>
        <v>3.705E-2</v>
      </c>
      <c r="BC53" s="37">
        <f>developmentdata2019[[#This Row],[MGP (tons/day)]]*BC$1</f>
        <v>2.5935000000000003E-3</v>
      </c>
      <c r="BD53" s="37">
        <f>developmentdata2019[[#This Row],[Cardboard (tons/day)]]*BD$1</f>
        <v>1.8154500000000005E-4</v>
      </c>
      <c r="BE53" s="37">
        <f>developmentdata2019[[#This Row],[Paper (tons/day)]]*BE$1</f>
        <v>5.8094400000000018E-5</v>
      </c>
      <c r="BF53" s="37">
        <f>developmentdata2019[[#This Row],[Organics (tons/day)]]*BF$1</f>
        <v>5.8094400000000018E-7</v>
      </c>
      <c r="BG53" s="37">
        <f>developmentdata2019[[#This Row],[E-Waste (tons/day)]]*BG$1</f>
        <v>4.6475520000000018E-8</v>
      </c>
      <c r="BH53" s="37">
        <f>developmentdata2019[[#This Row],[Trash (tons/day)]]*BH$1</f>
        <v>4.1047500000000001</v>
      </c>
      <c r="BI53" s="37">
        <f>developmentdata2019[[#This Row],[MGP (tons/day)]]*BI$1</f>
        <v>0.66764099999999993</v>
      </c>
      <c r="BJ53" s="37">
        <f>developmentdata2019[[#This Row],[Cardboard (tons/day)]]*BJ$1</f>
        <v>6.9168645000000015E-2</v>
      </c>
      <c r="BK53" s="37">
        <f>developmentdata2019[[#This Row],[Paper (tons/day)]]*BK$1</f>
        <v>1.1237635500000005E-3</v>
      </c>
      <c r="BL53" s="37">
        <f>developmentdata2019[[#This Row],[Organics (tons/day)]]*BL$1</f>
        <v>2.5096780800000008E-4</v>
      </c>
      <c r="BM53" s="37">
        <f>developmentdata2019[[#This Row],[E-Waste (tons/day)]]*BM$1</f>
        <v>3.2823336000000011E-6</v>
      </c>
      <c r="BN53" s="37">
        <f>developmentdata2019[[#This Row],[Textiles (tons/day)]]*BN$1</f>
        <v>6.1951868160000019E-7</v>
      </c>
      <c r="BO53" s="37">
        <f>developmentdata2019[[#This Row],[Trash (CY/day)]]*201.974</f>
        <v>829.05277649999994</v>
      </c>
      <c r="BP53" s="37">
        <f>developmentdata2019[[#This Row],[MGP (CY/day)]]*201.974</f>
        <v>134.84612333399997</v>
      </c>
      <c r="BQ53" s="37">
        <f>developmentdata2019[[#This Row],[Cardboard (CY/day)]]*201.974</f>
        <v>13.970267905230003</v>
      </c>
      <c r="BR53" s="37">
        <f>developmentdata2019[[#This Row],[Paper  (CY/day)]]*201.974</f>
        <v>0.22697101924770008</v>
      </c>
      <c r="BS53" s="37">
        <f>developmentdata2019[[#This Row],[Organics (CY/day)]]*201.974</f>
        <v>5.0688972052992012E-2</v>
      </c>
      <c r="BT53" s="37">
        <f>developmentdata2019[[#This Row],[E-Waste (CY/day)]]*201.974</f>
        <v>6.6294604652640022E-4</v>
      </c>
      <c r="BU53" s="37">
        <f>developmentdata2019[[#This Row],[Textiles (CY/day)]]*201.974</f>
        <v>1.2512666619747843E-4</v>
      </c>
    </row>
    <row r="54" spans="1:73" x14ac:dyDescent="0.2">
      <c r="A54" s="37" t="s">
        <v>878</v>
      </c>
      <c r="B54" s="115">
        <v>43466</v>
      </c>
      <c r="C54" s="37" t="s">
        <v>865</v>
      </c>
      <c r="D54">
        <v>324</v>
      </c>
      <c r="E54">
        <v>247</v>
      </c>
      <c r="F54">
        <v>758</v>
      </c>
      <c r="G54">
        <v>546</v>
      </c>
      <c r="H54" s="37" t="s">
        <v>879</v>
      </c>
      <c r="I54" s="37" t="s">
        <v>577</v>
      </c>
      <c r="J54" s="37" t="s">
        <v>588</v>
      </c>
      <c r="K54" s="37" t="s">
        <v>579</v>
      </c>
      <c r="M54">
        <v>276</v>
      </c>
      <c r="N54">
        <v>276</v>
      </c>
      <c r="O54">
        <v>1212</v>
      </c>
      <c r="P54">
        <v>4.3899999999999997</v>
      </c>
      <c r="R54">
        <v>555</v>
      </c>
      <c r="S54">
        <v>555</v>
      </c>
      <c r="T54">
        <v>153</v>
      </c>
      <c r="U54">
        <v>0.55800000000000005</v>
      </c>
      <c r="V54">
        <v>5</v>
      </c>
      <c r="W54">
        <v>0</v>
      </c>
      <c r="X54">
        <v>37</v>
      </c>
      <c r="Y54">
        <v>3</v>
      </c>
      <c r="Z54">
        <v>300000</v>
      </c>
      <c r="AA54">
        <v>6.89</v>
      </c>
      <c r="AB54">
        <v>300000</v>
      </c>
      <c r="AC54">
        <v>6.89</v>
      </c>
      <c r="AD54">
        <v>84230</v>
      </c>
      <c r="AE54">
        <v>2198403</v>
      </c>
      <c r="AF54">
        <v>0.28079999999999999</v>
      </c>
      <c r="AG54">
        <v>81</v>
      </c>
      <c r="AH54">
        <v>20078888</v>
      </c>
      <c r="AI54">
        <v>16539</v>
      </c>
      <c r="AJ54">
        <v>543</v>
      </c>
      <c r="AK54" s="37" t="s">
        <v>880</v>
      </c>
      <c r="AL54" s="37" t="s">
        <v>876</v>
      </c>
      <c r="AM54" s="37" t="s">
        <v>690</v>
      </c>
      <c r="AN54" s="37" t="s">
        <v>881</v>
      </c>
      <c r="AO54" s="37" t="s">
        <v>593</v>
      </c>
      <c r="AP54">
        <v>4</v>
      </c>
      <c r="AQ54">
        <v>7</v>
      </c>
      <c r="AR54">
        <v>18</v>
      </c>
      <c r="AS54">
        <v>53</v>
      </c>
      <c r="AT54">
        <v>37</v>
      </c>
      <c r="AU54" s="115">
        <v>31756</v>
      </c>
      <c r="AV54" s="37"/>
      <c r="AW54" s="37"/>
      <c r="AX54" s="37" t="s">
        <v>621</v>
      </c>
      <c r="AY54" s="37"/>
      <c r="AZ54" s="37">
        <f>developmentdata2019[[#This Row],[NUMBER OF CURRENT APARTMENTS]]*5/2000</f>
        <v>0.69</v>
      </c>
      <c r="BA54" s="37">
        <f>developmentdata2019[[#This Row],[Total]]*BA$1</f>
        <v>0.1794</v>
      </c>
      <c r="BB54" s="37">
        <f>developmentdata2019[[#This Row],[Trash (tons/day)]]*BB$1</f>
        <v>3.4085999999999998E-2</v>
      </c>
      <c r="BC54" s="37">
        <f>developmentdata2019[[#This Row],[MGP (tons/day)]]*BC$1</f>
        <v>2.38602E-3</v>
      </c>
      <c r="BD54" s="37">
        <f>developmentdata2019[[#This Row],[Cardboard (tons/day)]]*BD$1</f>
        <v>1.6702140000000003E-4</v>
      </c>
      <c r="BE54" s="37">
        <f>developmentdata2019[[#This Row],[Paper (tons/day)]]*BE$1</f>
        <v>5.3446848000000009E-5</v>
      </c>
      <c r="BF54" s="37">
        <f>developmentdata2019[[#This Row],[Organics (tons/day)]]*BF$1</f>
        <v>5.3446848000000014E-7</v>
      </c>
      <c r="BG54" s="37">
        <f>developmentdata2019[[#This Row],[E-Waste (tons/day)]]*BG$1</f>
        <v>4.2757478400000011E-8</v>
      </c>
      <c r="BH54" s="37">
        <f>developmentdata2019[[#This Row],[Trash (tons/day)]]*BH$1</f>
        <v>3.77637</v>
      </c>
      <c r="BI54" s="37">
        <f>developmentdata2019[[#This Row],[MGP (tons/day)]]*BI$1</f>
        <v>0.61422971999999998</v>
      </c>
      <c r="BJ54" s="37">
        <f>developmentdata2019[[#This Row],[Cardboard (tons/day)]]*BJ$1</f>
        <v>6.3635153400000005E-2</v>
      </c>
      <c r="BK54" s="37">
        <f>developmentdata2019[[#This Row],[Paper (tons/day)]]*BK$1</f>
        <v>1.0338624660000003E-3</v>
      </c>
      <c r="BL54" s="37">
        <f>developmentdata2019[[#This Row],[Organics (tons/day)]]*BL$1</f>
        <v>2.3089038336000006E-4</v>
      </c>
      <c r="BM54" s="37">
        <f>developmentdata2019[[#This Row],[E-Waste (tons/day)]]*BM$1</f>
        <v>3.0197469120000008E-6</v>
      </c>
      <c r="BN54" s="37">
        <f>developmentdata2019[[#This Row],[Textiles (tons/day)]]*BN$1</f>
        <v>5.6995718707200009E-7</v>
      </c>
      <c r="BO54" s="37">
        <f>developmentdata2019[[#This Row],[Trash (CY/day)]]*201.974</f>
        <v>762.72855437999999</v>
      </c>
      <c r="BP54" s="37">
        <f>developmentdata2019[[#This Row],[MGP (CY/day)]]*201.974</f>
        <v>124.05843346727998</v>
      </c>
      <c r="BQ54" s="37">
        <f>developmentdata2019[[#This Row],[Cardboard (CY/day)]]*201.974</f>
        <v>12.8526464728116</v>
      </c>
      <c r="BR54" s="37">
        <f>developmentdata2019[[#This Row],[Paper  (CY/day)]]*201.974</f>
        <v>0.20881333770788404</v>
      </c>
      <c r="BS54" s="37">
        <f>developmentdata2019[[#This Row],[Organics (CY/day)]]*201.974</f>
        <v>4.6633854288752649E-2</v>
      </c>
      <c r="BT54" s="37">
        <f>developmentdata2019[[#This Row],[E-Waste (CY/day)]]*201.974</f>
        <v>6.099103628042881E-4</v>
      </c>
      <c r="BU54" s="37">
        <f>developmentdata2019[[#This Row],[Textiles (CY/day)]]*201.974</f>
        <v>1.1511653290168014E-4</v>
      </c>
    </row>
    <row r="55" spans="1:73" x14ac:dyDescent="0.2">
      <c r="A55" s="37" t="s">
        <v>400</v>
      </c>
      <c r="B55" s="115">
        <v>43466</v>
      </c>
      <c r="C55" s="37" t="s">
        <v>882</v>
      </c>
      <c r="D55">
        <v>113</v>
      </c>
      <c r="E55">
        <v>113</v>
      </c>
      <c r="F55">
        <v>435</v>
      </c>
      <c r="G55">
        <v>435</v>
      </c>
      <c r="H55" s="37" t="s">
        <v>883</v>
      </c>
      <c r="I55" s="37" t="s">
        <v>577</v>
      </c>
      <c r="J55" s="37" t="s">
        <v>578</v>
      </c>
      <c r="K55" s="37" t="s">
        <v>579</v>
      </c>
      <c r="M55">
        <v>1476</v>
      </c>
      <c r="N55">
        <v>1492</v>
      </c>
      <c r="O55">
        <v>7217</v>
      </c>
      <c r="P55">
        <v>4.8899999999999997</v>
      </c>
      <c r="R55">
        <v>4297</v>
      </c>
      <c r="S55">
        <v>4297</v>
      </c>
      <c r="T55">
        <v>446</v>
      </c>
      <c r="U55">
        <v>0.30399999999999999</v>
      </c>
      <c r="V55">
        <v>6</v>
      </c>
      <c r="W55">
        <v>1</v>
      </c>
      <c r="X55">
        <v>7</v>
      </c>
      <c r="Y55">
        <v>21</v>
      </c>
      <c r="Z55">
        <v>558096</v>
      </c>
      <c r="AA55">
        <v>12.81</v>
      </c>
      <c r="AB55">
        <v>558096</v>
      </c>
      <c r="AC55">
        <v>12.81</v>
      </c>
      <c r="AD55">
        <v>88255</v>
      </c>
      <c r="AE55">
        <v>13527100</v>
      </c>
      <c r="AF55">
        <v>0.15809999999999999</v>
      </c>
      <c r="AG55">
        <v>335</v>
      </c>
      <c r="AH55">
        <v>29633000</v>
      </c>
      <c r="AI55">
        <v>4068</v>
      </c>
      <c r="AJ55">
        <v>507</v>
      </c>
      <c r="AK55" s="37" t="s">
        <v>884</v>
      </c>
      <c r="AL55" s="37" t="s">
        <v>885</v>
      </c>
      <c r="AM55" s="37" t="s">
        <v>886</v>
      </c>
      <c r="AN55" s="37" t="s">
        <v>887</v>
      </c>
      <c r="AO55" s="37" t="s">
        <v>584</v>
      </c>
      <c r="AP55">
        <v>3</v>
      </c>
      <c r="AQ55">
        <v>15</v>
      </c>
      <c r="AR55">
        <v>33</v>
      </c>
      <c r="AS55">
        <v>79</v>
      </c>
      <c r="AT55">
        <v>16</v>
      </c>
      <c r="AU55" s="115">
        <v>23742</v>
      </c>
      <c r="AV55" s="37" t="s">
        <v>715</v>
      </c>
      <c r="AW55" s="37"/>
      <c r="AX55" s="37"/>
      <c r="AY55" s="37"/>
      <c r="AZ55" s="37">
        <f>developmentdata2019[[#This Row],[NUMBER OF CURRENT APARTMENTS]]*5/2000</f>
        <v>3.69</v>
      </c>
      <c r="BA55" s="37">
        <f>developmentdata2019[[#This Row],[Total]]*BA$1</f>
        <v>0.95940000000000003</v>
      </c>
      <c r="BB55" s="37">
        <f>developmentdata2019[[#This Row],[Trash (tons/day)]]*BB$1</f>
        <v>0.182286</v>
      </c>
      <c r="BC55" s="37">
        <f>developmentdata2019[[#This Row],[MGP (tons/day)]]*BC$1</f>
        <v>1.2760020000000002E-2</v>
      </c>
      <c r="BD55" s="37">
        <f>developmentdata2019[[#This Row],[Cardboard (tons/day)]]*BD$1</f>
        <v>8.9320140000000029E-4</v>
      </c>
      <c r="BE55" s="37">
        <f>developmentdata2019[[#This Row],[Paper (tons/day)]]*BE$1</f>
        <v>2.8582444800000011E-4</v>
      </c>
      <c r="BF55" s="37">
        <f>developmentdata2019[[#This Row],[Organics (tons/day)]]*BF$1</f>
        <v>2.8582444800000013E-6</v>
      </c>
      <c r="BG55" s="37">
        <f>developmentdata2019[[#This Row],[E-Waste (tons/day)]]*BG$1</f>
        <v>2.2865955840000011E-7</v>
      </c>
      <c r="BH55" s="37">
        <f>developmentdata2019[[#This Row],[Trash (tons/day)]]*BH$1</f>
        <v>20.19537</v>
      </c>
      <c r="BI55" s="37">
        <f>developmentdata2019[[#This Row],[MGP (tons/day)]]*BI$1</f>
        <v>3.2847937200000001</v>
      </c>
      <c r="BJ55" s="37">
        <f>developmentdata2019[[#This Row],[Cardboard (tons/day)]]*BJ$1</f>
        <v>0.34030973340000009</v>
      </c>
      <c r="BK55" s="37">
        <f>developmentdata2019[[#This Row],[Paper (tons/day)]]*BK$1</f>
        <v>5.5289166660000017E-3</v>
      </c>
      <c r="BL55" s="37">
        <f>developmentdata2019[[#This Row],[Organics (tons/day)]]*BL$1</f>
        <v>1.2347616153600006E-3</v>
      </c>
      <c r="BM55" s="37">
        <f>developmentdata2019[[#This Row],[E-Waste (tons/day)]]*BM$1</f>
        <v>1.6149081312000008E-5</v>
      </c>
      <c r="BN55" s="37">
        <f>developmentdata2019[[#This Row],[Textiles (tons/day)]]*BN$1</f>
        <v>3.0480319134720014E-6</v>
      </c>
      <c r="BO55" s="37">
        <f>developmentdata2019[[#This Row],[Trash (CY/day)]]*201.974</f>
        <v>4078.9396603800001</v>
      </c>
      <c r="BP55" s="37">
        <f>developmentdata2019[[#This Row],[MGP (CY/day)]]*201.974</f>
        <v>663.44292680327999</v>
      </c>
      <c r="BQ55" s="37">
        <f>developmentdata2019[[#This Row],[Cardboard (CY/day)]]*201.974</f>
        <v>68.733718093731611</v>
      </c>
      <c r="BR55" s="37">
        <f>developmentdata2019[[#This Row],[Paper  (CY/day)]]*201.974</f>
        <v>1.1166974146986843</v>
      </c>
      <c r="BS55" s="37">
        <f>developmentdata2019[[#This Row],[Organics (CY/day)]]*201.974</f>
        <v>0.24938974250072074</v>
      </c>
      <c r="BT55" s="37">
        <f>developmentdata2019[[#This Row],[E-Waste (CY/day)]]*201.974</f>
        <v>3.2616945489098892E-3</v>
      </c>
      <c r="BU55" s="37">
        <f>developmentdata2019[[#This Row],[Textiles (CY/day)]]*201.974</f>
        <v>6.1562319769159393E-4</v>
      </c>
    </row>
    <row r="56" spans="1:73" x14ac:dyDescent="0.2">
      <c r="A56" s="37" t="s">
        <v>324</v>
      </c>
      <c r="B56" s="115">
        <v>43466</v>
      </c>
      <c r="C56" s="37" t="s">
        <v>888</v>
      </c>
      <c r="D56">
        <v>286</v>
      </c>
      <c r="E56">
        <v>337</v>
      </c>
      <c r="F56">
        <v>593</v>
      </c>
      <c r="G56">
        <v>593</v>
      </c>
      <c r="H56" s="37" t="s">
        <v>889</v>
      </c>
      <c r="I56" s="37" t="s">
        <v>577</v>
      </c>
      <c r="J56" s="37" t="s">
        <v>578</v>
      </c>
      <c r="K56" s="37" t="s">
        <v>579</v>
      </c>
      <c r="M56">
        <v>224</v>
      </c>
      <c r="N56">
        <v>224</v>
      </c>
      <c r="O56">
        <v>1088</v>
      </c>
      <c r="P56">
        <v>4.8600000000000003</v>
      </c>
      <c r="R56">
        <v>508</v>
      </c>
      <c r="S56">
        <v>508</v>
      </c>
      <c r="T56">
        <v>105</v>
      </c>
      <c r="U56">
        <v>0.46899999999999997</v>
      </c>
      <c r="V56">
        <v>2</v>
      </c>
      <c r="W56">
        <v>0</v>
      </c>
      <c r="X56">
        <v>3</v>
      </c>
      <c r="Y56">
        <v>43725</v>
      </c>
      <c r="Z56">
        <v>93155</v>
      </c>
      <c r="AA56">
        <v>2.14</v>
      </c>
      <c r="AB56">
        <v>93155</v>
      </c>
      <c r="AC56">
        <v>2.14</v>
      </c>
      <c r="AD56">
        <v>29149</v>
      </c>
      <c r="AE56">
        <v>2470285</v>
      </c>
      <c r="AF56">
        <v>0.31290000000000001</v>
      </c>
      <c r="AG56">
        <v>237</v>
      </c>
      <c r="AH56">
        <v>17601547</v>
      </c>
      <c r="AI56">
        <v>16193</v>
      </c>
      <c r="AJ56">
        <v>627</v>
      </c>
      <c r="AK56" s="37" t="s">
        <v>822</v>
      </c>
      <c r="AL56" s="37" t="s">
        <v>890</v>
      </c>
      <c r="AM56" s="37" t="s">
        <v>820</v>
      </c>
      <c r="AN56" s="37" t="s">
        <v>891</v>
      </c>
      <c r="AO56" s="37" t="s">
        <v>608</v>
      </c>
      <c r="AP56">
        <v>3</v>
      </c>
      <c r="AQ56">
        <v>12</v>
      </c>
      <c r="AR56">
        <v>27</v>
      </c>
      <c r="AS56">
        <v>74</v>
      </c>
      <c r="AT56">
        <v>2</v>
      </c>
      <c r="AU56" s="115">
        <v>30436</v>
      </c>
      <c r="AV56" s="37"/>
      <c r="AW56" s="37"/>
      <c r="AX56" s="37" t="s">
        <v>621</v>
      </c>
      <c r="AY56" s="37"/>
      <c r="AZ56" s="37">
        <f>developmentdata2019[[#This Row],[NUMBER OF CURRENT APARTMENTS]]*5/2000</f>
        <v>0.56000000000000005</v>
      </c>
      <c r="BA56" s="37">
        <f>developmentdata2019[[#This Row],[Total]]*BA$1</f>
        <v>0.14560000000000001</v>
      </c>
      <c r="BB56" s="37">
        <f>developmentdata2019[[#This Row],[Trash (tons/day)]]*BB$1</f>
        <v>2.7664000000000001E-2</v>
      </c>
      <c r="BC56" s="37">
        <f>developmentdata2019[[#This Row],[MGP (tons/day)]]*BC$1</f>
        <v>1.9364800000000002E-3</v>
      </c>
      <c r="BD56" s="37">
        <f>developmentdata2019[[#This Row],[Cardboard (tons/day)]]*BD$1</f>
        <v>1.3555360000000002E-4</v>
      </c>
      <c r="BE56" s="37">
        <f>developmentdata2019[[#This Row],[Paper (tons/day)]]*BE$1</f>
        <v>4.3377152000000011E-5</v>
      </c>
      <c r="BF56" s="37">
        <f>developmentdata2019[[#This Row],[Organics (tons/day)]]*BF$1</f>
        <v>4.3377152000000011E-7</v>
      </c>
      <c r="BG56" s="37">
        <f>developmentdata2019[[#This Row],[E-Waste (tons/day)]]*BG$1</f>
        <v>3.4701721600000012E-8</v>
      </c>
      <c r="BH56" s="37">
        <f>developmentdata2019[[#This Row],[Trash (tons/day)]]*BH$1</f>
        <v>3.06488</v>
      </c>
      <c r="BI56" s="37">
        <f>developmentdata2019[[#This Row],[MGP (tons/day)]]*BI$1</f>
        <v>0.49850528</v>
      </c>
      <c r="BJ56" s="37">
        <f>developmentdata2019[[#This Row],[Cardboard (tons/day)]]*BJ$1</f>
        <v>5.1645921600000005E-2</v>
      </c>
      <c r="BK56" s="37">
        <f>developmentdata2019[[#This Row],[Paper (tons/day)]]*BK$1</f>
        <v>8.3907678400000024E-4</v>
      </c>
      <c r="BL56" s="37">
        <f>developmentdata2019[[#This Row],[Organics (tons/day)]]*BL$1</f>
        <v>1.8738929664000007E-4</v>
      </c>
      <c r="BM56" s="37">
        <f>developmentdata2019[[#This Row],[E-Waste (tons/day)]]*BM$1</f>
        <v>2.4508090880000007E-6</v>
      </c>
      <c r="BN56" s="37">
        <f>developmentdata2019[[#This Row],[Textiles (tons/day)]]*BN$1</f>
        <v>4.6257394892800016E-7</v>
      </c>
      <c r="BO56" s="37">
        <f>developmentdata2019[[#This Row],[Trash (CY/day)]]*201.974</f>
        <v>619.02607311999998</v>
      </c>
      <c r="BP56" s="37">
        <f>developmentdata2019[[#This Row],[MGP (CY/day)]]*201.974</f>
        <v>100.68510542272</v>
      </c>
      <c r="BQ56" s="37">
        <f>developmentdata2019[[#This Row],[Cardboard (CY/day)]]*201.974</f>
        <v>10.431133369238401</v>
      </c>
      <c r="BR56" s="37">
        <f>developmentdata2019[[#This Row],[Paper  (CY/day)]]*201.974</f>
        <v>0.16947169437161605</v>
      </c>
      <c r="BS56" s="37">
        <f>developmentdata2019[[#This Row],[Organics (CY/day)]]*201.974</f>
        <v>3.7847765799567369E-2</v>
      </c>
      <c r="BT56" s="37">
        <f>developmentdata2019[[#This Row],[E-Waste (CY/day)]]*201.974</f>
        <v>4.9499971473971206E-4</v>
      </c>
      <c r="BU56" s="37">
        <f>developmentdata2019[[#This Row],[Textiles (CY/day)]]*201.974</f>
        <v>9.34279107607839E-5</v>
      </c>
    </row>
    <row r="57" spans="1:73" x14ac:dyDescent="0.2">
      <c r="A57" s="37" t="s">
        <v>474</v>
      </c>
      <c r="B57" s="115">
        <v>43466</v>
      </c>
      <c r="C57" s="37" t="s">
        <v>892</v>
      </c>
      <c r="D57">
        <v>166</v>
      </c>
      <c r="E57">
        <v>166</v>
      </c>
      <c r="F57">
        <v>288</v>
      </c>
      <c r="G57">
        <v>288</v>
      </c>
      <c r="H57" s="37" t="s">
        <v>893</v>
      </c>
      <c r="I57" s="37" t="s">
        <v>577</v>
      </c>
      <c r="J57" s="37" t="s">
        <v>578</v>
      </c>
      <c r="K57" s="37" t="s">
        <v>579</v>
      </c>
      <c r="M57">
        <v>682</v>
      </c>
      <c r="N57">
        <v>683</v>
      </c>
      <c r="O57">
        <v>3095</v>
      </c>
      <c r="P57">
        <v>4.54</v>
      </c>
      <c r="R57">
        <v>1632</v>
      </c>
      <c r="S57">
        <v>1632</v>
      </c>
      <c r="T57">
        <v>284</v>
      </c>
      <c r="U57">
        <v>0.41899999999999998</v>
      </c>
      <c r="V57">
        <v>3</v>
      </c>
      <c r="W57">
        <v>2</v>
      </c>
      <c r="X57">
        <v>5</v>
      </c>
      <c r="Y57" t="s">
        <v>894</v>
      </c>
      <c r="Z57">
        <v>364406</v>
      </c>
      <c r="AA57">
        <v>8.3699999999999992</v>
      </c>
      <c r="AB57">
        <v>364406</v>
      </c>
      <c r="AC57">
        <v>8.3699999999999992</v>
      </c>
      <c r="AD57">
        <v>58078</v>
      </c>
      <c r="AE57">
        <v>6234149</v>
      </c>
      <c r="AF57">
        <v>0.15939999999999999</v>
      </c>
      <c r="AG57">
        <v>195</v>
      </c>
      <c r="AH57">
        <v>16996504</v>
      </c>
      <c r="AI57">
        <v>5476</v>
      </c>
      <c r="AJ57">
        <v>486</v>
      </c>
      <c r="AK57" s="37" t="s">
        <v>895</v>
      </c>
      <c r="AL57" s="37" t="s">
        <v>896</v>
      </c>
      <c r="AM57" s="37" t="s">
        <v>897</v>
      </c>
      <c r="AN57" s="37" t="s">
        <v>898</v>
      </c>
      <c r="AO57" s="37" t="s">
        <v>593</v>
      </c>
      <c r="AP57">
        <v>13</v>
      </c>
      <c r="AQ57">
        <v>8</v>
      </c>
      <c r="AR57">
        <v>23</v>
      </c>
      <c r="AS57">
        <v>46</v>
      </c>
      <c r="AT57">
        <v>47</v>
      </c>
      <c r="AU57" s="115">
        <v>25902</v>
      </c>
      <c r="AV57" s="37"/>
      <c r="AW57" s="37"/>
      <c r="AX57" s="37"/>
      <c r="AY57" s="37"/>
      <c r="AZ57" s="37">
        <f>developmentdata2019[[#This Row],[NUMBER OF CURRENT APARTMENTS]]*5/2000</f>
        <v>1.7050000000000001</v>
      </c>
      <c r="BA57" s="37">
        <f>developmentdata2019[[#This Row],[Total]]*BA$1</f>
        <v>0.44330000000000003</v>
      </c>
      <c r="BB57" s="37">
        <f>developmentdata2019[[#This Row],[Trash (tons/day)]]*BB$1</f>
        <v>8.422700000000001E-2</v>
      </c>
      <c r="BC57" s="37">
        <f>developmentdata2019[[#This Row],[MGP (tons/day)]]*BC$1</f>
        <v>5.8958900000000009E-3</v>
      </c>
      <c r="BD57" s="37">
        <f>developmentdata2019[[#This Row],[Cardboard (tons/day)]]*BD$1</f>
        <v>4.1271230000000008E-4</v>
      </c>
      <c r="BE57" s="37">
        <f>developmentdata2019[[#This Row],[Paper (tons/day)]]*BE$1</f>
        <v>1.3206793600000004E-4</v>
      </c>
      <c r="BF57" s="37">
        <f>developmentdata2019[[#This Row],[Organics (tons/day)]]*BF$1</f>
        <v>1.3206793600000004E-6</v>
      </c>
      <c r="BG57" s="37">
        <f>developmentdata2019[[#This Row],[E-Waste (tons/day)]]*BG$1</f>
        <v>1.0565434880000003E-7</v>
      </c>
      <c r="BH57" s="37">
        <f>developmentdata2019[[#This Row],[Trash (tons/day)]]*BH$1</f>
        <v>9.3314650000000015</v>
      </c>
      <c r="BI57" s="37">
        <f>developmentdata2019[[#This Row],[MGP (tons/day)]]*BI$1</f>
        <v>1.5177705400000001</v>
      </c>
      <c r="BJ57" s="37">
        <f>developmentdata2019[[#This Row],[Cardboard (tons/day)]]*BJ$1</f>
        <v>0.15724338630000004</v>
      </c>
      <c r="BK57" s="37">
        <f>developmentdata2019[[#This Row],[Paper (tons/day)]]*BK$1</f>
        <v>2.5546891370000005E-3</v>
      </c>
      <c r="BL57" s="37">
        <f>developmentdata2019[[#This Row],[Organics (tons/day)]]*BL$1</f>
        <v>5.7053348352000021E-4</v>
      </c>
      <c r="BM57" s="37">
        <f>developmentdata2019[[#This Row],[E-Waste (tons/day)]]*BM$1</f>
        <v>7.4618383840000032E-6</v>
      </c>
      <c r="BN57" s="37">
        <f>developmentdata2019[[#This Row],[Textiles (tons/day)]]*BN$1</f>
        <v>1.4083724695040004E-6</v>
      </c>
      <c r="BO57" s="37">
        <f>developmentdata2019[[#This Row],[Trash (CY/day)]]*201.974</f>
        <v>1884.7133119100001</v>
      </c>
      <c r="BP57" s="37">
        <f>developmentdata2019[[#This Row],[MGP (CY/day)]]*201.974</f>
        <v>306.55018704596</v>
      </c>
      <c r="BQ57" s="37">
        <f>developmentdata2019[[#This Row],[Cardboard (CY/day)]]*201.974</f>
        <v>31.759075704556206</v>
      </c>
      <c r="BR57" s="37">
        <f>developmentdata2019[[#This Row],[Paper  (CY/day)]]*201.974</f>
        <v>0.51598078375643808</v>
      </c>
      <c r="BS57" s="37">
        <f>developmentdata2019[[#This Row],[Organics (CY/day)]]*201.974</f>
        <v>0.11523292980046852</v>
      </c>
      <c r="BT57" s="37">
        <f>developmentdata2019[[#This Row],[E-Waste (CY/day)]]*201.974</f>
        <v>1.5070973457700166E-3</v>
      </c>
      <c r="BU57" s="37">
        <f>developmentdata2019[[#This Row],[Textiles (CY/day)]]*201.974</f>
        <v>2.8445462115560098E-4</v>
      </c>
    </row>
    <row r="58" spans="1:73" x14ac:dyDescent="0.2">
      <c r="A58" s="37" t="s">
        <v>493</v>
      </c>
      <c r="B58" s="115">
        <v>43466</v>
      </c>
      <c r="C58" s="37" t="s">
        <v>899</v>
      </c>
      <c r="D58">
        <v>164</v>
      </c>
      <c r="E58">
        <v>75</v>
      </c>
      <c r="F58">
        <v>270</v>
      </c>
      <c r="G58">
        <v>226</v>
      </c>
      <c r="H58" s="37" t="s">
        <v>900</v>
      </c>
      <c r="I58" s="37" t="s">
        <v>577</v>
      </c>
      <c r="J58" s="37" t="s">
        <v>578</v>
      </c>
      <c r="K58" s="37" t="s">
        <v>579</v>
      </c>
      <c r="M58">
        <v>169</v>
      </c>
      <c r="N58">
        <v>174</v>
      </c>
      <c r="O58">
        <v>728.5</v>
      </c>
      <c r="P58">
        <v>4.3099999999999996</v>
      </c>
      <c r="R58">
        <v>357</v>
      </c>
      <c r="S58">
        <v>357</v>
      </c>
      <c r="T58">
        <v>53</v>
      </c>
      <c r="U58">
        <v>0.315</v>
      </c>
      <c r="V58">
        <v>1</v>
      </c>
      <c r="W58">
        <v>0</v>
      </c>
      <c r="X58">
        <v>1</v>
      </c>
      <c r="Y58">
        <v>11</v>
      </c>
      <c r="Z58">
        <v>145011</v>
      </c>
      <c r="AA58">
        <v>3.33</v>
      </c>
      <c r="AB58">
        <v>145011</v>
      </c>
      <c r="AC58">
        <v>3.33</v>
      </c>
      <c r="AD58">
        <v>14051</v>
      </c>
      <c r="AE58">
        <v>1386194</v>
      </c>
      <c r="AF58">
        <v>9.69E-2</v>
      </c>
      <c r="AG58">
        <v>107</v>
      </c>
      <c r="AH58">
        <v>3373126</v>
      </c>
      <c r="AI58">
        <v>4498</v>
      </c>
      <c r="AJ58">
        <v>506</v>
      </c>
      <c r="AK58" s="37" t="s">
        <v>901</v>
      </c>
      <c r="AL58" s="37" t="s">
        <v>902</v>
      </c>
      <c r="AM58" s="37"/>
      <c r="AN58" s="37"/>
      <c r="AO58" s="37" t="s">
        <v>703</v>
      </c>
      <c r="AP58">
        <v>14</v>
      </c>
      <c r="AQ58">
        <v>5</v>
      </c>
      <c r="AR58">
        <v>10</v>
      </c>
      <c r="AS58">
        <v>31</v>
      </c>
      <c r="AT58">
        <v>31</v>
      </c>
      <c r="AU58" s="115">
        <v>24562</v>
      </c>
      <c r="AV58" s="37"/>
      <c r="AW58" s="37"/>
      <c r="AX58" s="37"/>
      <c r="AY58" s="37"/>
      <c r="AZ58" s="37">
        <f>developmentdata2019[[#This Row],[NUMBER OF CURRENT APARTMENTS]]*5/2000</f>
        <v>0.42249999999999999</v>
      </c>
      <c r="BA58" s="37">
        <f>developmentdata2019[[#This Row],[Total]]*BA$1</f>
        <v>0.10985</v>
      </c>
      <c r="BB58" s="37">
        <f>developmentdata2019[[#This Row],[Trash (tons/day)]]*BB$1</f>
        <v>2.0871500000000001E-2</v>
      </c>
      <c r="BC58" s="37">
        <f>developmentdata2019[[#This Row],[MGP (tons/day)]]*BC$1</f>
        <v>1.4610050000000002E-3</v>
      </c>
      <c r="BD58" s="37">
        <f>developmentdata2019[[#This Row],[Cardboard (tons/day)]]*BD$1</f>
        <v>1.0227035000000003E-4</v>
      </c>
      <c r="BE58" s="37">
        <f>developmentdata2019[[#This Row],[Paper (tons/day)]]*BE$1</f>
        <v>3.2726512000000012E-5</v>
      </c>
      <c r="BF58" s="37">
        <f>developmentdata2019[[#This Row],[Organics (tons/day)]]*BF$1</f>
        <v>3.2726512000000013E-7</v>
      </c>
      <c r="BG58" s="37">
        <f>developmentdata2019[[#This Row],[E-Waste (tons/day)]]*BG$1</f>
        <v>2.6181209600000012E-8</v>
      </c>
      <c r="BH58" s="37">
        <f>developmentdata2019[[#This Row],[Trash (tons/day)]]*BH$1</f>
        <v>2.3123425000000002</v>
      </c>
      <c r="BI58" s="37">
        <f>developmentdata2019[[#This Row],[MGP (tons/day)]]*BI$1</f>
        <v>0.37610442999999999</v>
      </c>
      <c r="BJ58" s="37">
        <f>developmentdata2019[[#This Row],[Cardboard (tons/day)]]*BJ$1</f>
        <v>3.8965003350000006E-2</v>
      </c>
      <c r="BK58" s="37">
        <f>developmentdata2019[[#This Row],[Paper (tons/day)]]*BK$1</f>
        <v>6.3305346650000026E-4</v>
      </c>
      <c r="BL58" s="37">
        <f>developmentdata2019[[#This Row],[Organics (tons/day)]]*BL$1</f>
        <v>1.4137853184000007E-4</v>
      </c>
      <c r="BM58" s="37">
        <f>developmentdata2019[[#This Row],[E-Waste (tons/day)]]*BM$1</f>
        <v>1.8490479280000009E-6</v>
      </c>
      <c r="BN58" s="37">
        <f>developmentdata2019[[#This Row],[Textiles (tons/day)]]*BN$1</f>
        <v>3.4899552396800018E-7</v>
      </c>
      <c r="BO58" s="37">
        <f>developmentdata2019[[#This Row],[Trash (CY/day)]]*201.974</f>
        <v>467.03306409499999</v>
      </c>
      <c r="BP58" s="37">
        <f>developmentdata2019[[#This Row],[MGP (CY/day)]]*201.974</f>
        <v>75.963316144819998</v>
      </c>
      <c r="BQ58" s="37">
        <f>developmentdata2019[[#This Row],[Cardboard (CY/day)]]*201.974</f>
        <v>7.8699175866129005</v>
      </c>
      <c r="BR58" s="37">
        <f>developmentdata2019[[#This Row],[Paper  (CY/day)]]*201.974</f>
        <v>0.12786034084287104</v>
      </c>
      <c r="BS58" s="37">
        <f>developmentdata2019[[#This Row],[Organics (CY/day)]]*201.974</f>
        <v>2.8554787589852172E-2</v>
      </c>
      <c r="BT58" s="37">
        <f>developmentdata2019[[#This Row],[E-Waste (CY/day)]]*201.974</f>
        <v>3.7345960620987215E-4</v>
      </c>
      <c r="BU58" s="37">
        <f>developmentdata2019[[#This Row],[Textiles (CY/day)]]*201.974</f>
        <v>7.0488021957912871E-5</v>
      </c>
    </row>
    <row r="59" spans="1:73" x14ac:dyDescent="0.2">
      <c r="A59" s="37" t="s">
        <v>362</v>
      </c>
      <c r="B59" s="115">
        <v>43466</v>
      </c>
      <c r="C59" s="37" t="s">
        <v>903</v>
      </c>
      <c r="D59">
        <v>58</v>
      </c>
      <c r="E59">
        <v>58</v>
      </c>
      <c r="F59">
        <v>534</v>
      </c>
      <c r="G59">
        <v>534</v>
      </c>
      <c r="H59" s="37" t="s">
        <v>904</v>
      </c>
      <c r="I59" s="37" t="s">
        <v>577</v>
      </c>
      <c r="J59" s="37" t="s">
        <v>578</v>
      </c>
      <c r="K59" s="37" t="s">
        <v>579</v>
      </c>
      <c r="M59">
        <v>1244</v>
      </c>
      <c r="N59">
        <v>1246</v>
      </c>
      <c r="O59">
        <v>5761</v>
      </c>
      <c r="P59">
        <v>4.63</v>
      </c>
      <c r="R59">
        <v>2586</v>
      </c>
      <c r="S59">
        <v>2586</v>
      </c>
      <c r="T59">
        <v>502</v>
      </c>
      <c r="U59">
        <v>0.41</v>
      </c>
      <c r="V59">
        <v>13</v>
      </c>
      <c r="W59">
        <v>0</v>
      </c>
      <c r="X59">
        <v>13</v>
      </c>
      <c r="Y59">
        <v>43631</v>
      </c>
      <c r="Z59">
        <v>637132</v>
      </c>
      <c r="AA59">
        <v>14.63</v>
      </c>
      <c r="AB59">
        <v>594887</v>
      </c>
      <c r="AC59">
        <v>13.66</v>
      </c>
      <c r="AD59">
        <v>97568</v>
      </c>
      <c r="AE59">
        <v>10275141</v>
      </c>
      <c r="AF59">
        <v>0.15310000000000001</v>
      </c>
      <c r="AG59">
        <v>177</v>
      </c>
      <c r="AH59">
        <v>24155000</v>
      </c>
      <c r="AI59">
        <v>4145</v>
      </c>
      <c r="AJ59">
        <v>590</v>
      </c>
      <c r="AK59" s="37" t="s">
        <v>905</v>
      </c>
      <c r="AL59" s="37" t="s">
        <v>887</v>
      </c>
      <c r="AM59" s="37" t="s">
        <v>877</v>
      </c>
      <c r="AN59" s="37" t="s">
        <v>906</v>
      </c>
      <c r="AO59" s="37" t="s">
        <v>608</v>
      </c>
      <c r="AP59">
        <v>11</v>
      </c>
      <c r="AQ59">
        <v>13</v>
      </c>
      <c r="AR59">
        <v>30</v>
      </c>
      <c r="AS59">
        <v>68</v>
      </c>
      <c r="AT59">
        <v>8</v>
      </c>
      <c r="AU59" s="115">
        <v>21230</v>
      </c>
      <c r="AV59" s="37" t="s">
        <v>680</v>
      </c>
      <c r="AW59" s="37"/>
      <c r="AX59" s="37"/>
      <c r="AY59" s="37"/>
      <c r="AZ59" s="37">
        <f>developmentdata2019[[#This Row],[NUMBER OF CURRENT APARTMENTS]]*5/2000</f>
        <v>3.11</v>
      </c>
      <c r="BA59" s="37">
        <f>developmentdata2019[[#This Row],[Total]]*BA$1</f>
        <v>0.80859999999999999</v>
      </c>
      <c r="BB59" s="37">
        <f>developmentdata2019[[#This Row],[Trash (tons/day)]]*BB$1</f>
        <v>0.15363399999999999</v>
      </c>
      <c r="BC59" s="37">
        <f>developmentdata2019[[#This Row],[MGP (tons/day)]]*BC$1</f>
        <v>1.0754380000000001E-2</v>
      </c>
      <c r="BD59" s="37">
        <f>developmentdata2019[[#This Row],[Cardboard (tons/day)]]*BD$1</f>
        <v>7.5280660000000017E-4</v>
      </c>
      <c r="BE59" s="37">
        <f>developmentdata2019[[#This Row],[Paper (tons/day)]]*BE$1</f>
        <v>2.4089811200000006E-4</v>
      </c>
      <c r="BF59" s="37">
        <f>developmentdata2019[[#This Row],[Organics (tons/day)]]*BF$1</f>
        <v>2.4089811200000007E-6</v>
      </c>
      <c r="BG59" s="37">
        <f>developmentdata2019[[#This Row],[E-Waste (tons/day)]]*BG$1</f>
        <v>1.9271848960000007E-7</v>
      </c>
      <c r="BH59" s="37">
        <f>developmentdata2019[[#This Row],[Trash (tons/day)]]*BH$1</f>
        <v>17.02103</v>
      </c>
      <c r="BI59" s="37">
        <f>developmentdata2019[[#This Row],[MGP (tons/day)]]*BI$1</f>
        <v>2.7684846799999998</v>
      </c>
      <c r="BJ59" s="37">
        <f>developmentdata2019[[#This Row],[Cardboard (tons/day)]]*BJ$1</f>
        <v>0.28681931460000004</v>
      </c>
      <c r="BK59" s="37">
        <f>developmentdata2019[[#This Row],[Paper (tons/day)]]*BK$1</f>
        <v>4.6598728540000016E-3</v>
      </c>
      <c r="BL59" s="37">
        <f>developmentdata2019[[#This Row],[Organics (tons/day)]]*BL$1</f>
        <v>1.0406798438400003E-3</v>
      </c>
      <c r="BM59" s="37">
        <f>developmentdata2019[[#This Row],[E-Waste (tons/day)]]*BM$1</f>
        <v>1.3610743328000005E-5</v>
      </c>
      <c r="BN59" s="37">
        <f>developmentdata2019[[#This Row],[Textiles (tons/day)]]*BN$1</f>
        <v>2.5689374663680009E-6</v>
      </c>
      <c r="BO59" s="37">
        <f>developmentdata2019[[#This Row],[Trash (CY/day)]]*201.974</f>
        <v>3437.8055132199997</v>
      </c>
      <c r="BP59" s="37">
        <f>developmentdata2019[[#This Row],[MGP (CY/day)]]*201.974</f>
        <v>559.16192475831997</v>
      </c>
      <c r="BQ59" s="37">
        <f>developmentdata2019[[#This Row],[Cardboard (CY/day)]]*201.974</f>
        <v>57.930044247020405</v>
      </c>
      <c r="BR59" s="37">
        <f>developmentdata2019[[#This Row],[Paper  (CY/day)]]*201.974</f>
        <v>0.94117315981379623</v>
      </c>
      <c r="BS59" s="37">
        <f>developmentdata2019[[#This Row],[Organics (CY/day)]]*201.974</f>
        <v>0.21019027077974023</v>
      </c>
      <c r="BT59" s="37">
        <f>developmentdata2019[[#This Row],[E-Waste (CY/day)]]*201.974</f>
        <v>2.7490162729294728E-3</v>
      </c>
      <c r="BU59" s="37">
        <f>developmentdata2019[[#This Row],[Textiles (CY/day)]]*201.974</f>
        <v>5.1885857583221055E-4</v>
      </c>
    </row>
    <row r="60" spans="1:73" x14ac:dyDescent="0.2">
      <c r="A60" s="37" t="s">
        <v>512</v>
      </c>
      <c r="B60" s="115">
        <v>43466</v>
      </c>
      <c r="C60" s="37" t="s">
        <v>907</v>
      </c>
      <c r="D60">
        <v>206</v>
      </c>
      <c r="E60">
        <v>117</v>
      </c>
      <c r="F60">
        <v>319</v>
      </c>
      <c r="G60">
        <v>241</v>
      </c>
      <c r="H60" s="37" t="s">
        <v>908</v>
      </c>
      <c r="I60" s="37" t="s">
        <v>577</v>
      </c>
      <c r="J60" s="37" t="s">
        <v>588</v>
      </c>
      <c r="K60" s="37" t="s">
        <v>735</v>
      </c>
      <c r="M60">
        <v>378</v>
      </c>
      <c r="N60">
        <v>380</v>
      </c>
      <c r="O60">
        <v>1248</v>
      </c>
      <c r="P60">
        <v>3.3</v>
      </c>
      <c r="R60">
        <v>439</v>
      </c>
      <c r="S60">
        <v>439</v>
      </c>
      <c r="T60">
        <v>323</v>
      </c>
      <c r="U60">
        <v>0.878</v>
      </c>
      <c r="V60">
        <v>4</v>
      </c>
      <c r="W60">
        <v>1</v>
      </c>
      <c r="X60">
        <v>5</v>
      </c>
      <c r="Y60">
        <v>6</v>
      </c>
      <c r="Z60">
        <v>224294</v>
      </c>
      <c r="AA60">
        <v>5.15</v>
      </c>
      <c r="AB60">
        <v>224294</v>
      </c>
      <c r="AC60">
        <v>5.15</v>
      </c>
      <c r="AD60">
        <v>54589</v>
      </c>
      <c r="AE60">
        <v>2858593</v>
      </c>
      <c r="AF60">
        <v>0.24340000000000001</v>
      </c>
      <c r="AG60">
        <v>85</v>
      </c>
      <c r="AH60">
        <v>6866904</v>
      </c>
      <c r="AI60">
        <v>5315</v>
      </c>
      <c r="AJ60">
        <v>323</v>
      </c>
      <c r="AK60" s="37" t="s">
        <v>909</v>
      </c>
      <c r="AL60" s="37" t="s">
        <v>910</v>
      </c>
      <c r="AM60" s="37" t="s">
        <v>911</v>
      </c>
      <c r="AN60" s="37" t="s">
        <v>912</v>
      </c>
      <c r="AO60" s="37" t="s">
        <v>765</v>
      </c>
      <c r="AP60">
        <v>1</v>
      </c>
      <c r="AQ60">
        <v>11</v>
      </c>
      <c r="AR60">
        <v>23</v>
      </c>
      <c r="AS60">
        <v>61</v>
      </c>
      <c r="AT60">
        <v>49</v>
      </c>
      <c r="AU60" s="115">
        <v>26206</v>
      </c>
      <c r="AV60" s="37"/>
      <c r="AW60" s="37" t="s">
        <v>736</v>
      </c>
      <c r="AX60" s="37"/>
      <c r="AY60" s="37"/>
      <c r="AZ60" s="37">
        <f>developmentdata2019[[#This Row],[NUMBER OF CURRENT APARTMENTS]]*5/2000</f>
        <v>0.94499999999999995</v>
      </c>
      <c r="BA60" s="37">
        <f>developmentdata2019[[#This Row],[Total]]*BA$1</f>
        <v>0.2457</v>
      </c>
      <c r="BB60" s="37">
        <f>developmentdata2019[[#This Row],[Trash (tons/day)]]*BB$1</f>
        <v>4.6683000000000002E-2</v>
      </c>
      <c r="BC60" s="37">
        <f>developmentdata2019[[#This Row],[MGP (tons/day)]]*BC$1</f>
        <v>3.2678100000000003E-3</v>
      </c>
      <c r="BD60" s="37">
        <f>developmentdata2019[[#This Row],[Cardboard (tons/day)]]*BD$1</f>
        <v>2.2874670000000004E-4</v>
      </c>
      <c r="BE60" s="37">
        <f>developmentdata2019[[#This Row],[Paper (tons/day)]]*BE$1</f>
        <v>7.3198944000000022E-5</v>
      </c>
      <c r="BF60" s="37">
        <f>developmentdata2019[[#This Row],[Organics (tons/day)]]*BF$1</f>
        <v>7.3198944000000028E-7</v>
      </c>
      <c r="BG60" s="37">
        <f>developmentdata2019[[#This Row],[E-Waste (tons/day)]]*BG$1</f>
        <v>5.8559155200000025E-8</v>
      </c>
      <c r="BH60" s="37">
        <f>developmentdata2019[[#This Row],[Trash (tons/day)]]*BH$1</f>
        <v>5.1719850000000003</v>
      </c>
      <c r="BI60" s="37">
        <f>developmentdata2019[[#This Row],[MGP (tons/day)]]*BI$1</f>
        <v>0.84122766000000004</v>
      </c>
      <c r="BJ60" s="37">
        <f>developmentdata2019[[#This Row],[Cardboard (tons/day)]]*BJ$1</f>
        <v>8.7152492700000014E-2</v>
      </c>
      <c r="BK60" s="37">
        <f>developmentdata2019[[#This Row],[Paper (tons/day)]]*BK$1</f>
        <v>1.4159420730000003E-3</v>
      </c>
      <c r="BL60" s="37">
        <f>developmentdata2019[[#This Row],[Organics (tons/day)]]*BL$1</f>
        <v>3.1621943808000013E-4</v>
      </c>
      <c r="BM60" s="37">
        <f>developmentdata2019[[#This Row],[E-Waste (tons/day)]]*BM$1</f>
        <v>4.1357403360000015E-6</v>
      </c>
      <c r="BN60" s="37">
        <f>developmentdata2019[[#This Row],[Textiles (tons/day)]]*BN$1</f>
        <v>7.8059353881600036E-7</v>
      </c>
      <c r="BO60" s="37">
        <f>developmentdata2019[[#This Row],[Trash (CY/day)]]*201.974</f>
        <v>1044.6064983900001</v>
      </c>
      <c r="BP60" s="37">
        <f>developmentdata2019[[#This Row],[MGP (CY/day)]]*201.974</f>
        <v>169.90611540084001</v>
      </c>
      <c r="BQ60" s="37">
        <f>developmentdata2019[[#This Row],[Cardboard (CY/day)]]*201.974</f>
        <v>17.602537560589802</v>
      </c>
      <c r="BR60" s="37">
        <f>developmentdata2019[[#This Row],[Paper  (CY/day)]]*201.974</f>
        <v>0.28598348425210202</v>
      </c>
      <c r="BS60" s="37">
        <f>developmentdata2019[[#This Row],[Organics (CY/day)]]*201.974</f>
        <v>6.386810478676995E-2</v>
      </c>
      <c r="BT60" s="37">
        <f>developmentdata2019[[#This Row],[E-Waste (CY/day)]]*201.974</f>
        <v>8.3531201862326423E-4</v>
      </c>
      <c r="BU60" s="37">
        <f>developmentdata2019[[#This Row],[Textiles (CY/day)]]*201.974</f>
        <v>1.5765959940882286E-4</v>
      </c>
    </row>
    <row r="61" spans="1:73" x14ac:dyDescent="0.2">
      <c r="A61" s="37" t="s">
        <v>421</v>
      </c>
      <c r="B61" s="115">
        <v>43466</v>
      </c>
      <c r="C61" s="37" t="s">
        <v>913</v>
      </c>
      <c r="D61">
        <v>80</v>
      </c>
      <c r="E61">
        <v>80</v>
      </c>
      <c r="F61">
        <v>431</v>
      </c>
      <c r="G61">
        <v>431</v>
      </c>
      <c r="H61" s="37" t="s">
        <v>914</v>
      </c>
      <c r="I61" s="37" t="s">
        <v>683</v>
      </c>
      <c r="J61" s="37" t="s">
        <v>578</v>
      </c>
      <c r="K61" s="37" t="s">
        <v>579</v>
      </c>
      <c r="L61">
        <v>406</v>
      </c>
      <c r="M61">
        <v>2022</v>
      </c>
      <c r="N61">
        <v>2025</v>
      </c>
      <c r="O61">
        <v>9759</v>
      </c>
      <c r="P61">
        <v>4.83</v>
      </c>
      <c r="Q61">
        <v>1151</v>
      </c>
      <c r="R61">
        <v>3729</v>
      </c>
      <c r="S61">
        <v>4880</v>
      </c>
      <c r="T61">
        <v>796</v>
      </c>
      <c r="U61">
        <v>0.40100000000000002</v>
      </c>
      <c r="V61">
        <v>14</v>
      </c>
      <c r="W61">
        <v>0</v>
      </c>
      <c r="X61">
        <v>14</v>
      </c>
      <c r="Y61">
        <v>43819</v>
      </c>
      <c r="Z61">
        <v>1801346</v>
      </c>
      <c r="AA61">
        <v>41.35</v>
      </c>
      <c r="AB61">
        <v>1757585</v>
      </c>
      <c r="AC61">
        <v>40.35</v>
      </c>
      <c r="AD61">
        <v>176917</v>
      </c>
      <c r="AE61">
        <v>19247987</v>
      </c>
      <c r="AF61">
        <v>9.8199999999999996E-2</v>
      </c>
      <c r="AG61">
        <v>118</v>
      </c>
      <c r="AH61">
        <v>28454000</v>
      </c>
      <c r="AI61">
        <v>2915</v>
      </c>
      <c r="AJ61">
        <v>485</v>
      </c>
      <c r="AK61" s="37" t="s">
        <v>915</v>
      </c>
      <c r="AL61" s="37" t="s">
        <v>916</v>
      </c>
      <c r="AM61" s="37" t="s">
        <v>917</v>
      </c>
      <c r="AN61" s="37" t="s">
        <v>918</v>
      </c>
      <c r="AO61" s="37" t="s">
        <v>584</v>
      </c>
      <c r="AP61">
        <v>9</v>
      </c>
      <c r="AQ61">
        <v>15</v>
      </c>
      <c r="AR61">
        <v>32</v>
      </c>
      <c r="AS61">
        <v>87</v>
      </c>
      <c r="AT61">
        <v>18</v>
      </c>
      <c r="AU61" s="115">
        <v>22265</v>
      </c>
      <c r="AV61" s="37"/>
      <c r="AW61" s="37"/>
      <c r="AX61" s="37"/>
      <c r="AY61" s="37"/>
      <c r="AZ61" s="37">
        <f>developmentdata2019[[#This Row],[NUMBER OF CURRENT APARTMENTS]]*5/2000</f>
        <v>5.0549999999999997</v>
      </c>
      <c r="BA61" s="37">
        <f>developmentdata2019[[#This Row],[Total]]*BA$1</f>
        <v>1.3143</v>
      </c>
      <c r="BB61" s="37">
        <f>developmentdata2019[[#This Row],[Trash (tons/day)]]*BB$1</f>
        <v>0.24971699999999999</v>
      </c>
      <c r="BC61" s="37">
        <f>developmentdata2019[[#This Row],[MGP (tons/day)]]*BC$1</f>
        <v>1.748019E-2</v>
      </c>
      <c r="BD61" s="37">
        <f>developmentdata2019[[#This Row],[Cardboard (tons/day)]]*BD$1</f>
        <v>1.2236133E-3</v>
      </c>
      <c r="BE61" s="37">
        <f>developmentdata2019[[#This Row],[Paper (tons/day)]]*BE$1</f>
        <v>3.91556256E-4</v>
      </c>
      <c r="BF61" s="37">
        <f>developmentdata2019[[#This Row],[Organics (tons/day)]]*BF$1</f>
        <v>3.91556256E-6</v>
      </c>
      <c r="BG61" s="37">
        <f>developmentdata2019[[#This Row],[E-Waste (tons/day)]]*BG$1</f>
        <v>3.1324500480000002E-7</v>
      </c>
      <c r="BH61" s="37">
        <f>developmentdata2019[[#This Row],[Trash (tons/day)]]*BH$1</f>
        <v>27.666015000000002</v>
      </c>
      <c r="BI61" s="37">
        <f>developmentdata2019[[#This Row],[MGP (tons/day)]]*BI$1</f>
        <v>4.4999003399999999</v>
      </c>
      <c r="BJ61" s="37">
        <f>developmentdata2019[[#This Row],[Cardboard (tons/day)]]*BJ$1</f>
        <v>0.46619666730000003</v>
      </c>
      <c r="BK61" s="37">
        <f>developmentdata2019[[#This Row],[Paper (tons/day)]]*BK$1</f>
        <v>7.5741663270000002E-3</v>
      </c>
      <c r="BL61" s="37">
        <f>developmentdata2019[[#This Row],[Organics (tons/day)]]*BL$1</f>
        <v>1.6915230259200002E-3</v>
      </c>
      <c r="BM61" s="37">
        <f>developmentdata2019[[#This Row],[E-Waste (tons/day)]]*BM$1</f>
        <v>2.2122928464000001E-5</v>
      </c>
      <c r="BN61" s="37">
        <f>developmentdata2019[[#This Row],[Textiles (tons/day)]]*BN$1</f>
        <v>4.1755559139840007E-6</v>
      </c>
      <c r="BO61" s="37">
        <f>developmentdata2019[[#This Row],[Trash (CY/day)]]*201.974</f>
        <v>5587.8157136099999</v>
      </c>
      <c r="BP61" s="37">
        <f>developmentdata2019[[#This Row],[MGP (CY/day)]]*201.974</f>
        <v>908.86287127115997</v>
      </c>
      <c r="BQ61" s="37">
        <f>developmentdata2019[[#This Row],[Cardboard (CY/day)]]*201.974</f>
        <v>94.159605681250198</v>
      </c>
      <c r="BR61" s="37">
        <f>developmentdata2019[[#This Row],[Paper  (CY/day)]]*201.974</f>
        <v>1.5297846697294979</v>
      </c>
      <c r="BS61" s="37">
        <f>developmentdata2019[[#This Row],[Organics (CY/day)]]*201.974</f>
        <v>0.34164367163716608</v>
      </c>
      <c r="BT61" s="37">
        <f>developmentdata2019[[#This Row],[E-Waste (CY/day)]]*201.974</f>
        <v>4.4682563535879362E-3</v>
      </c>
      <c r="BU61" s="37">
        <f>developmentdata2019[[#This Row],[Textiles (CY/day)]]*201.974</f>
        <v>8.4335373017100452E-4</v>
      </c>
    </row>
    <row r="62" spans="1:73" x14ac:dyDescent="0.2">
      <c r="A62" s="37" t="s">
        <v>335</v>
      </c>
      <c r="B62" s="115">
        <v>43466</v>
      </c>
      <c r="C62" s="37" t="s">
        <v>919</v>
      </c>
      <c r="D62">
        <v>134</v>
      </c>
      <c r="E62">
        <v>134</v>
      </c>
      <c r="F62">
        <v>446</v>
      </c>
      <c r="G62">
        <v>446</v>
      </c>
      <c r="H62" s="37" t="s">
        <v>920</v>
      </c>
      <c r="I62" s="37" t="s">
        <v>683</v>
      </c>
      <c r="J62" s="37" t="s">
        <v>578</v>
      </c>
      <c r="K62" s="37" t="s">
        <v>579</v>
      </c>
      <c r="L62">
        <v>68</v>
      </c>
      <c r="M62">
        <v>425</v>
      </c>
      <c r="N62">
        <v>425</v>
      </c>
      <c r="O62">
        <v>1914.5</v>
      </c>
      <c r="P62">
        <v>4.5</v>
      </c>
      <c r="Q62">
        <v>177</v>
      </c>
      <c r="R62">
        <v>733</v>
      </c>
      <c r="S62">
        <v>910</v>
      </c>
      <c r="T62">
        <v>181</v>
      </c>
      <c r="U62">
        <v>0.43</v>
      </c>
      <c r="V62">
        <v>2</v>
      </c>
      <c r="W62">
        <v>0</v>
      </c>
      <c r="X62">
        <v>4</v>
      </c>
      <c r="Y62">
        <v>21</v>
      </c>
      <c r="Z62">
        <v>74488</v>
      </c>
      <c r="AA62">
        <v>1.71</v>
      </c>
      <c r="AB62">
        <v>74488</v>
      </c>
      <c r="AC62">
        <v>1.71</v>
      </c>
      <c r="AD62">
        <v>18557</v>
      </c>
      <c r="AE62">
        <v>3689065</v>
      </c>
      <c r="AF62">
        <v>0.24909999999999999</v>
      </c>
      <c r="AG62">
        <v>532</v>
      </c>
      <c r="AH62">
        <v>8776000</v>
      </c>
      <c r="AI62">
        <v>4584</v>
      </c>
      <c r="AJ62">
        <v>583</v>
      </c>
      <c r="AK62" s="37" t="s">
        <v>921</v>
      </c>
      <c r="AL62" s="37" t="s">
        <v>922</v>
      </c>
      <c r="AM62" s="37" t="s">
        <v>923</v>
      </c>
      <c r="AN62" s="37"/>
      <c r="AO62" s="37" t="s">
        <v>608</v>
      </c>
      <c r="AP62">
        <v>4</v>
      </c>
      <c r="AQ62">
        <v>10</v>
      </c>
      <c r="AR62">
        <v>27</v>
      </c>
      <c r="AS62">
        <v>75</v>
      </c>
      <c r="AT62">
        <v>3</v>
      </c>
      <c r="AU62" s="115">
        <v>23528</v>
      </c>
      <c r="AV62" s="37"/>
      <c r="AW62" s="37"/>
      <c r="AX62" s="37"/>
      <c r="AY62" s="37"/>
      <c r="AZ62" s="37">
        <f>developmentdata2019[[#This Row],[NUMBER OF CURRENT APARTMENTS]]*5/2000</f>
        <v>1.0625</v>
      </c>
      <c r="BA62" s="37">
        <f>developmentdata2019[[#This Row],[Total]]*BA$1</f>
        <v>0.27625</v>
      </c>
      <c r="BB62" s="37">
        <f>developmentdata2019[[#This Row],[Trash (tons/day)]]*BB$1</f>
        <v>5.2487499999999999E-2</v>
      </c>
      <c r="BC62" s="37">
        <f>developmentdata2019[[#This Row],[MGP (tons/day)]]*BC$1</f>
        <v>3.6741250000000003E-3</v>
      </c>
      <c r="BD62" s="37">
        <f>developmentdata2019[[#This Row],[Cardboard (tons/day)]]*BD$1</f>
        <v>2.5718875000000003E-4</v>
      </c>
      <c r="BE62" s="37">
        <f>developmentdata2019[[#This Row],[Paper (tons/day)]]*BE$1</f>
        <v>8.2300400000000009E-5</v>
      </c>
      <c r="BF62" s="37">
        <f>developmentdata2019[[#This Row],[Organics (tons/day)]]*BF$1</f>
        <v>8.2300400000000011E-7</v>
      </c>
      <c r="BG62" s="37">
        <f>developmentdata2019[[#This Row],[E-Waste (tons/day)]]*BG$1</f>
        <v>6.5840320000000009E-8</v>
      </c>
      <c r="BH62" s="37">
        <f>developmentdata2019[[#This Row],[Trash (tons/day)]]*BH$1</f>
        <v>5.8150624999999998</v>
      </c>
      <c r="BI62" s="37">
        <f>developmentdata2019[[#This Row],[MGP (tons/day)]]*BI$1</f>
        <v>0.94582474999999999</v>
      </c>
      <c r="BJ62" s="37">
        <f>developmentdata2019[[#This Row],[Cardboard (tons/day)]]*BJ$1</f>
        <v>9.7988913750000017E-2</v>
      </c>
      <c r="BK62" s="37">
        <f>developmentdata2019[[#This Row],[Paper (tons/day)]]*BK$1</f>
        <v>1.5919983625000004E-3</v>
      </c>
      <c r="BL62" s="37">
        <f>developmentdata2019[[#This Row],[Organics (tons/day)]]*BL$1</f>
        <v>3.5553772800000008E-4</v>
      </c>
      <c r="BM62" s="37">
        <f>developmentdata2019[[#This Row],[E-Waste (tons/day)]]*BM$1</f>
        <v>4.6499726000000009E-6</v>
      </c>
      <c r="BN62" s="37">
        <f>developmentdata2019[[#This Row],[Textiles (tons/day)]]*BN$1</f>
        <v>8.7765146560000012E-7</v>
      </c>
      <c r="BO62" s="37">
        <f>developmentdata2019[[#This Row],[Trash (CY/day)]]*201.974</f>
        <v>1174.4914333749998</v>
      </c>
      <c r="BP62" s="37">
        <f>developmentdata2019[[#This Row],[MGP (CY/day)]]*201.974</f>
        <v>191.03200805649999</v>
      </c>
      <c r="BQ62" s="37">
        <f>developmentdata2019[[#This Row],[Cardboard (CY/day)]]*201.974</f>
        <v>19.791212865742501</v>
      </c>
      <c r="BR62" s="37">
        <f>developmentdata2019[[#This Row],[Paper  (CY/day)]]*201.974</f>
        <v>0.32154227726757506</v>
      </c>
      <c r="BS62" s="37">
        <f>developmentdata2019[[#This Row],[Organics (CY/day)]]*201.974</f>
        <v>7.1809377075072012E-2</v>
      </c>
      <c r="BT62" s="37">
        <f>developmentdata2019[[#This Row],[E-Waste (CY/day)]]*201.974</f>
        <v>9.3917356591240013E-4</v>
      </c>
      <c r="BU62" s="37">
        <f>developmentdata2019[[#This Row],[Textiles (CY/day)]]*201.974</f>
        <v>1.7726277711309441E-4</v>
      </c>
    </row>
    <row r="63" spans="1:73" x14ac:dyDescent="0.2">
      <c r="A63" s="37" t="s">
        <v>337</v>
      </c>
      <c r="B63" s="115">
        <v>43466</v>
      </c>
      <c r="C63" s="37" t="s">
        <v>924</v>
      </c>
      <c r="D63">
        <v>176</v>
      </c>
      <c r="E63">
        <v>134</v>
      </c>
      <c r="F63">
        <v>451</v>
      </c>
      <c r="G63">
        <v>451</v>
      </c>
      <c r="H63" s="37" t="s">
        <v>925</v>
      </c>
      <c r="I63" s="37" t="s">
        <v>577</v>
      </c>
      <c r="J63" s="37" t="s">
        <v>578</v>
      </c>
      <c r="K63" s="37" t="s">
        <v>735</v>
      </c>
      <c r="M63">
        <v>96</v>
      </c>
      <c r="N63">
        <v>96</v>
      </c>
      <c r="O63">
        <v>336</v>
      </c>
      <c r="P63">
        <v>3.5</v>
      </c>
      <c r="R63">
        <v>114</v>
      </c>
      <c r="S63">
        <v>114</v>
      </c>
      <c r="T63">
        <v>88</v>
      </c>
      <c r="U63">
        <v>0.92600000000000005</v>
      </c>
      <c r="V63">
        <v>1</v>
      </c>
      <c r="W63">
        <v>0</v>
      </c>
      <c r="X63">
        <v>1</v>
      </c>
      <c r="Y63">
        <v>14</v>
      </c>
      <c r="Z63">
        <v>44921</v>
      </c>
      <c r="AA63">
        <v>1.03</v>
      </c>
      <c r="AB63">
        <v>44921</v>
      </c>
      <c r="AC63">
        <v>1.03</v>
      </c>
      <c r="AD63">
        <v>14475</v>
      </c>
      <c r="AE63">
        <v>1021739</v>
      </c>
      <c r="AF63">
        <v>0.32219999999999999</v>
      </c>
      <c r="AG63">
        <v>111</v>
      </c>
      <c r="AH63">
        <v>2402000</v>
      </c>
      <c r="AI63">
        <v>7149</v>
      </c>
      <c r="AJ63">
        <v>337</v>
      </c>
      <c r="AK63" s="37" t="s">
        <v>926</v>
      </c>
      <c r="AL63" s="37" t="s">
        <v>922</v>
      </c>
      <c r="AM63" s="37" t="s">
        <v>927</v>
      </c>
      <c r="AN63" s="37"/>
      <c r="AO63" s="37" t="s">
        <v>608</v>
      </c>
      <c r="AP63">
        <v>4</v>
      </c>
      <c r="AQ63">
        <v>10</v>
      </c>
      <c r="AR63">
        <v>31</v>
      </c>
      <c r="AS63">
        <v>75</v>
      </c>
      <c r="AT63">
        <v>3</v>
      </c>
      <c r="AU63" s="115">
        <v>24958</v>
      </c>
      <c r="AV63" s="37" t="s">
        <v>715</v>
      </c>
      <c r="AW63" s="37" t="s">
        <v>736</v>
      </c>
      <c r="AX63" s="37"/>
      <c r="AY63" s="37"/>
      <c r="AZ63" s="37">
        <f>developmentdata2019[[#This Row],[NUMBER OF CURRENT APARTMENTS]]*5/2000</f>
        <v>0.24</v>
      </c>
      <c r="BA63" s="37">
        <f>developmentdata2019[[#This Row],[Total]]*BA$1</f>
        <v>6.2399999999999997E-2</v>
      </c>
      <c r="BB63" s="37">
        <f>developmentdata2019[[#This Row],[Trash (tons/day)]]*BB$1</f>
        <v>1.1856E-2</v>
      </c>
      <c r="BC63" s="37">
        <f>developmentdata2019[[#This Row],[MGP (tons/day)]]*BC$1</f>
        <v>8.2992000000000005E-4</v>
      </c>
      <c r="BD63" s="37">
        <f>developmentdata2019[[#This Row],[Cardboard (tons/day)]]*BD$1</f>
        <v>5.8094400000000011E-5</v>
      </c>
      <c r="BE63" s="37">
        <f>developmentdata2019[[#This Row],[Paper (tons/day)]]*BE$1</f>
        <v>1.8590208000000002E-5</v>
      </c>
      <c r="BF63" s="37">
        <f>developmentdata2019[[#This Row],[Organics (tons/day)]]*BF$1</f>
        <v>1.8590208000000002E-7</v>
      </c>
      <c r="BG63" s="37">
        <f>developmentdata2019[[#This Row],[E-Waste (tons/day)]]*BG$1</f>
        <v>1.4872166400000003E-8</v>
      </c>
      <c r="BH63" s="37">
        <f>developmentdata2019[[#This Row],[Trash (tons/day)]]*BH$1</f>
        <v>1.31352</v>
      </c>
      <c r="BI63" s="37">
        <f>developmentdata2019[[#This Row],[MGP (tons/day)]]*BI$1</f>
        <v>0.21364511999999999</v>
      </c>
      <c r="BJ63" s="37">
        <f>developmentdata2019[[#This Row],[Cardboard (tons/day)]]*BJ$1</f>
        <v>2.2133966400000003E-2</v>
      </c>
      <c r="BK63" s="37">
        <f>developmentdata2019[[#This Row],[Paper (tons/day)]]*BK$1</f>
        <v>3.5960433600000009E-4</v>
      </c>
      <c r="BL63" s="37">
        <f>developmentdata2019[[#This Row],[Organics (tons/day)]]*BL$1</f>
        <v>8.0309698560000013E-5</v>
      </c>
      <c r="BM63" s="37">
        <f>developmentdata2019[[#This Row],[E-Waste (tons/day)]]*BM$1</f>
        <v>1.0503467520000001E-6</v>
      </c>
      <c r="BN63" s="37">
        <f>developmentdata2019[[#This Row],[Textiles (tons/day)]]*BN$1</f>
        <v>1.9824597811200003E-7</v>
      </c>
      <c r="BO63" s="37">
        <f>developmentdata2019[[#This Row],[Trash (CY/day)]]*201.974</f>
        <v>265.29688848000001</v>
      </c>
      <c r="BP63" s="37">
        <f>developmentdata2019[[#This Row],[MGP (CY/day)]]*201.974</f>
        <v>43.150759466879997</v>
      </c>
      <c r="BQ63" s="37">
        <f>developmentdata2019[[#This Row],[Cardboard (CY/day)]]*201.974</f>
        <v>4.4704857296736007</v>
      </c>
      <c r="BR63" s="37">
        <f>developmentdata2019[[#This Row],[Paper  (CY/day)]]*201.974</f>
        <v>7.2630726159264011E-2</v>
      </c>
      <c r="BS63" s="37">
        <f>developmentdata2019[[#This Row],[Organics (CY/day)]]*201.974</f>
        <v>1.6220471056957442E-2</v>
      </c>
      <c r="BT63" s="37">
        <f>developmentdata2019[[#This Row],[E-Waste (CY/day)]]*201.974</f>
        <v>2.1214273488844802E-4</v>
      </c>
      <c r="BU63" s="37">
        <f>developmentdata2019[[#This Row],[Textiles (CY/day)]]*201.974</f>
        <v>4.0040533183193095E-5</v>
      </c>
    </row>
    <row r="64" spans="1:73" x14ac:dyDescent="0.2">
      <c r="A64" s="37" t="s">
        <v>928</v>
      </c>
      <c r="B64" s="115">
        <v>43466</v>
      </c>
      <c r="C64" s="37" t="s">
        <v>929</v>
      </c>
      <c r="D64">
        <v>334</v>
      </c>
      <c r="E64">
        <v>342</v>
      </c>
      <c r="F64">
        <v>779</v>
      </c>
      <c r="G64">
        <v>753</v>
      </c>
      <c r="H64" s="37" t="s">
        <v>930</v>
      </c>
      <c r="I64" s="37" t="s">
        <v>577</v>
      </c>
      <c r="J64" s="37" t="s">
        <v>588</v>
      </c>
      <c r="K64" s="37" t="s">
        <v>579</v>
      </c>
      <c r="M64">
        <v>187</v>
      </c>
      <c r="N64">
        <v>188</v>
      </c>
      <c r="O64">
        <v>729.5</v>
      </c>
      <c r="P64">
        <v>3.9</v>
      </c>
      <c r="R64">
        <v>279</v>
      </c>
      <c r="S64">
        <v>279</v>
      </c>
      <c r="T64">
        <v>130</v>
      </c>
      <c r="U64">
        <v>0.70699999999999996</v>
      </c>
      <c r="V64">
        <v>3</v>
      </c>
      <c r="W64">
        <v>0</v>
      </c>
      <c r="X64">
        <v>13</v>
      </c>
      <c r="Y64">
        <v>43531</v>
      </c>
      <c r="Z64">
        <v>134390</v>
      </c>
      <c r="AA64">
        <v>3.09</v>
      </c>
      <c r="AB64">
        <v>134390</v>
      </c>
      <c r="AC64">
        <v>3.09</v>
      </c>
      <c r="AD64">
        <v>35258</v>
      </c>
      <c r="AE64">
        <v>1584850</v>
      </c>
      <c r="AF64">
        <v>0.26240000000000002</v>
      </c>
      <c r="AG64">
        <v>90</v>
      </c>
      <c r="AH64">
        <v>12645913</v>
      </c>
      <c r="AI64">
        <v>17252</v>
      </c>
      <c r="AJ64">
        <v>403</v>
      </c>
      <c r="AK64" s="37" t="s">
        <v>931</v>
      </c>
      <c r="AL64" s="37" t="s">
        <v>932</v>
      </c>
      <c r="AM64" s="37" t="s">
        <v>885</v>
      </c>
      <c r="AN64" s="37" t="s">
        <v>600</v>
      </c>
      <c r="AO64" s="37" t="s">
        <v>584</v>
      </c>
      <c r="AP64">
        <v>3</v>
      </c>
      <c r="AQ64">
        <v>15</v>
      </c>
      <c r="AR64">
        <v>33</v>
      </c>
      <c r="AS64">
        <v>79</v>
      </c>
      <c r="AT64">
        <v>16</v>
      </c>
      <c r="AU64" s="115">
        <v>31762</v>
      </c>
      <c r="AV64" s="37"/>
      <c r="AW64" s="37" t="s">
        <v>693</v>
      </c>
      <c r="AX64" s="37" t="s">
        <v>621</v>
      </c>
      <c r="AY64" s="37"/>
      <c r="AZ64" s="37">
        <f>developmentdata2019[[#This Row],[NUMBER OF CURRENT APARTMENTS]]*5/2000</f>
        <v>0.46750000000000003</v>
      </c>
      <c r="BA64" s="37">
        <f>developmentdata2019[[#This Row],[Total]]*BA$1</f>
        <v>0.12155000000000001</v>
      </c>
      <c r="BB64" s="37">
        <f>developmentdata2019[[#This Row],[Trash (tons/day)]]*BB$1</f>
        <v>2.30945E-2</v>
      </c>
      <c r="BC64" s="37">
        <f>developmentdata2019[[#This Row],[MGP (tons/day)]]*BC$1</f>
        <v>1.6166150000000003E-3</v>
      </c>
      <c r="BD64" s="37">
        <f>developmentdata2019[[#This Row],[Cardboard (tons/day)]]*BD$1</f>
        <v>1.1316305000000003E-4</v>
      </c>
      <c r="BE64" s="37">
        <f>developmentdata2019[[#This Row],[Paper (tons/day)]]*BE$1</f>
        <v>3.6212176000000013E-5</v>
      </c>
      <c r="BF64" s="37">
        <f>developmentdata2019[[#This Row],[Organics (tons/day)]]*BF$1</f>
        <v>3.6212176000000015E-7</v>
      </c>
      <c r="BG64" s="37">
        <f>developmentdata2019[[#This Row],[E-Waste (tons/day)]]*BG$1</f>
        <v>2.8969740800000014E-8</v>
      </c>
      <c r="BH64" s="37">
        <f>developmentdata2019[[#This Row],[Trash (tons/day)]]*BH$1</f>
        <v>2.5586275000000001</v>
      </c>
      <c r="BI64" s="37">
        <f>developmentdata2019[[#This Row],[MGP (tons/day)]]*BI$1</f>
        <v>0.41616289000000001</v>
      </c>
      <c r="BJ64" s="37">
        <f>developmentdata2019[[#This Row],[Cardboard (tons/day)]]*BJ$1</f>
        <v>4.311512205000001E-2</v>
      </c>
      <c r="BK64" s="37">
        <f>developmentdata2019[[#This Row],[Paper (tons/day)]]*BK$1</f>
        <v>7.0047927950000024E-4</v>
      </c>
      <c r="BL64" s="37">
        <f>developmentdata2019[[#This Row],[Organics (tons/day)]]*BL$1</f>
        <v>1.5643660032000007E-4</v>
      </c>
      <c r="BM64" s="37">
        <f>developmentdata2019[[#This Row],[E-Waste (tons/day)]]*BM$1</f>
        <v>2.0459879440000011E-6</v>
      </c>
      <c r="BN64" s="37">
        <f>developmentdata2019[[#This Row],[Textiles (tons/day)]]*BN$1</f>
        <v>3.8616664486400021E-7</v>
      </c>
      <c r="BO64" s="37">
        <f>developmentdata2019[[#This Row],[Trash (CY/day)]]*201.974</f>
        <v>516.77623068499997</v>
      </c>
      <c r="BP64" s="37">
        <f>developmentdata2019[[#This Row],[MGP (CY/day)]]*201.974</f>
        <v>84.054083544859992</v>
      </c>
      <c r="BQ64" s="37">
        <f>developmentdata2019[[#This Row],[Cardboard (CY/day)]]*201.974</f>
        <v>8.7081336609267019</v>
      </c>
      <c r="BR64" s="37">
        <f>developmentdata2019[[#This Row],[Paper  (CY/day)]]*201.974</f>
        <v>0.14147860199773304</v>
      </c>
      <c r="BS64" s="37">
        <f>developmentdata2019[[#This Row],[Organics (CY/day)]]*201.974</f>
        <v>3.1596125913031695E-2</v>
      </c>
      <c r="BT64" s="37">
        <f>developmentdata2019[[#This Row],[E-Waste (CY/day)]]*201.974</f>
        <v>4.1323636900145622E-4</v>
      </c>
      <c r="BU64" s="37">
        <f>developmentdata2019[[#This Row],[Textiles (CY/day)]]*201.974</f>
        <v>7.7995621929761571E-5</v>
      </c>
    </row>
    <row r="65" spans="1:73" x14ac:dyDescent="0.2">
      <c r="A65" s="37" t="s">
        <v>933</v>
      </c>
      <c r="B65" s="115">
        <v>43466</v>
      </c>
      <c r="C65" s="37" t="s">
        <v>595</v>
      </c>
      <c r="D65">
        <v>307</v>
      </c>
      <c r="E65">
        <v>308</v>
      </c>
      <c r="F65">
        <v>330</v>
      </c>
      <c r="G65">
        <v>750</v>
      </c>
      <c r="H65" s="37" t="s">
        <v>934</v>
      </c>
      <c r="I65" s="37" t="s">
        <v>577</v>
      </c>
      <c r="J65" s="37" t="s">
        <v>588</v>
      </c>
      <c r="K65" s="37" t="s">
        <v>597</v>
      </c>
      <c r="M65">
        <v>106</v>
      </c>
      <c r="N65">
        <v>107</v>
      </c>
      <c r="O65">
        <v>455</v>
      </c>
      <c r="P65">
        <v>4.29</v>
      </c>
      <c r="R65">
        <v>251</v>
      </c>
      <c r="S65">
        <v>251</v>
      </c>
      <c r="T65">
        <v>35</v>
      </c>
      <c r="U65">
        <v>0.33700000000000002</v>
      </c>
      <c r="V65">
        <v>6</v>
      </c>
      <c r="W65">
        <v>0</v>
      </c>
      <c r="X65">
        <v>6</v>
      </c>
      <c r="Y65">
        <v>43591</v>
      </c>
      <c r="Z65">
        <v>31874</v>
      </c>
      <c r="AA65">
        <v>0.73</v>
      </c>
      <c r="AB65">
        <v>31874</v>
      </c>
      <c r="AC65">
        <v>0.73</v>
      </c>
      <c r="AD65">
        <v>21948</v>
      </c>
      <c r="AE65">
        <v>3488634</v>
      </c>
      <c r="AF65">
        <v>0.68859999999999999</v>
      </c>
      <c r="AG65">
        <v>344</v>
      </c>
      <c r="AH65">
        <v>11430362</v>
      </c>
      <c r="AI65">
        <v>24822</v>
      </c>
      <c r="AJ65">
        <v>457</v>
      </c>
      <c r="AK65" s="37" t="s">
        <v>935</v>
      </c>
      <c r="AL65" s="37" t="s">
        <v>884</v>
      </c>
      <c r="AM65" s="37" t="s">
        <v>886</v>
      </c>
      <c r="AN65" s="37" t="s">
        <v>936</v>
      </c>
      <c r="AO65" s="37" t="s">
        <v>584</v>
      </c>
      <c r="AP65">
        <v>4</v>
      </c>
      <c r="AQ65">
        <v>15</v>
      </c>
      <c r="AR65">
        <v>32</v>
      </c>
      <c r="AS65">
        <v>77</v>
      </c>
      <c r="AT65">
        <v>16</v>
      </c>
      <c r="AU65" s="115">
        <v>32142</v>
      </c>
      <c r="AV65" s="37"/>
      <c r="AW65" s="37"/>
      <c r="AX65" s="37" t="s">
        <v>621</v>
      </c>
      <c r="AY65" s="37"/>
      <c r="AZ65" s="37">
        <f>developmentdata2019[[#This Row],[NUMBER OF CURRENT APARTMENTS]]*5/2000</f>
        <v>0.26500000000000001</v>
      </c>
      <c r="BA65" s="37">
        <f>developmentdata2019[[#This Row],[Total]]*BA$1</f>
        <v>6.8900000000000003E-2</v>
      </c>
      <c r="BB65" s="37">
        <f>developmentdata2019[[#This Row],[Trash (tons/day)]]*BB$1</f>
        <v>1.3091E-2</v>
      </c>
      <c r="BC65" s="37">
        <f>developmentdata2019[[#This Row],[MGP (tons/day)]]*BC$1</f>
        <v>9.1637000000000012E-4</v>
      </c>
      <c r="BD65" s="37">
        <f>developmentdata2019[[#This Row],[Cardboard (tons/day)]]*BD$1</f>
        <v>6.4145900000000012E-5</v>
      </c>
      <c r="BE65" s="37">
        <f>developmentdata2019[[#This Row],[Paper (tons/day)]]*BE$1</f>
        <v>2.0526688000000005E-5</v>
      </c>
      <c r="BF65" s="37">
        <f>developmentdata2019[[#This Row],[Organics (tons/day)]]*BF$1</f>
        <v>2.0526688000000005E-7</v>
      </c>
      <c r="BG65" s="37">
        <f>developmentdata2019[[#This Row],[E-Waste (tons/day)]]*BG$1</f>
        <v>1.6421350400000004E-8</v>
      </c>
      <c r="BH65" s="37">
        <f>developmentdata2019[[#This Row],[Trash (tons/day)]]*BH$1</f>
        <v>1.4503450000000002</v>
      </c>
      <c r="BI65" s="37">
        <f>developmentdata2019[[#This Row],[MGP (tons/day)]]*BI$1</f>
        <v>0.23589982000000001</v>
      </c>
      <c r="BJ65" s="37">
        <f>developmentdata2019[[#This Row],[Cardboard (tons/day)]]*BJ$1</f>
        <v>2.4439587900000004E-2</v>
      </c>
      <c r="BK65" s="37">
        <f>developmentdata2019[[#This Row],[Paper (tons/day)]]*BK$1</f>
        <v>3.9706312100000008E-4</v>
      </c>
      <c r="BL65" s="37">
        <f>developmentdata2019[[#This Row],[Organics (tons/day)]]*BL$1</f>
        <v>8.8675292160000024E-5</v>
      </c>
      <c r="BM65" s="37">
        <f>developmentdata2019[[#This Row],[E-Waste (tons/day)]]*BM$1</f>
        <v>1.1597578720000004E-6</v>
      </c>
      <c r="BN65" s="37">
        <f>developmentdata2019[[#This Row],[Textiles (tons/day)]]*BN$1</f>
        <v>2.1889660083200005E-7</v>
      </c>
      <c r="BO65" s="37">
        <f>developmentdata2019[[#This Row],[Trash (CY/day)]]*201.974</f>
        <v>292.93198103000003</v>
      </c>
      <c r="BP65" s="37">
        <f>developmentdata2019[[#This Row],[MGP (CY/day)]]*201.974</f>
        <v>47.64563024468</v>
      </c>
      <c r="BQ65" s="37">
        <f>developmentdata2019[[#This Row],[Cardboard (CY/day)]]*201.974</f>
        <v>4.9361613265146005</v>
      </c>
      <c r="BR65" s="37">
        <f>developmentdata2019[[#This Row],[Paper  (CY/day)]]*201.974</f>
        <v>8.0196426800854009E-2</v>
      </c>
      <c r="BS65" s="37">
        <f>developmentdata2019[[#This Row],[Organics (CY/day)]]*201.974</f>
        <v>1.7910103458723844E-2</v>
      </c>
      <c r="BT65" s="37">
        <f>developmentdata2019[[#This Row],[E-Waste (CY/day)]]*201.974</f>
        <v>2.3424093643932808E-4</v>
      </c>
      <c r="BU65" s="37">
        <f>developmentdata2019[[#This Row],[Textiles (CY/day)]]*201.974</f>
        <v>4.4211422056442374E-5</v>
      </c>
    </row>
    <row r="66" spans="1:73" x14ac:dyDescent="0.2">
      <c r="A66" s="37" t="s">
        <v>937</v>
      </c>
      <c r="B66" s="115">
        <v>43466</v>
      </c>
      <c r="C66" s="37" t="s">
        <v>595</v>
      </c>
      <c r="D66">
        <v>308</v>
      </c>
      <c r="E66">
        <v>308</v>
      </c>
      <c r="F66">
        <v>750</v>
      </c>
      <c r="G66">
        <v>750</v>
      </c>
      <c r="H66" s="37" t="s">
        <v>938</v>
      </c>
      <c r="I66" s="37" t="s">
        <v>577</v>
      </c>
      <c r="J66" s="37" t="s">
        <v>588</v>
      </c>
      <c r="K66" s="37" t="s">
        <v>597</v>
      </c>
      <c r="M66">
        <v>107</v>
      </c>
      <c r="N66">
        <v>115</v>
      </c>
      <c r="O66">
        <v>470.5</v>
      </c>
      <c r="P66">
        <v>4.4000000000000004</v>
      </c>
      <c r="R66">
        <v>263</v>
      </c>
      <c r="S66">
        <v>263</v>
      </c>
      <c r="T66">
        <v>27</v>
      </c>
      <c r="U66">
        <v>0.252</v>
      </c>
      <c r="V66">
        <v>5</v>
      </c>
      <c r="W66">
        <v>0</v>
      </c>
      <c r="X66">
        <v>5</v>
      </c>
      <c r="Y66">
        <v>5</v>
      </c>
      <c r="Z66">
        <v>35423</v>
      </c>
      <c r="AA66">
        <v>0.81</v>
      </c>
      <c r="AB66">
        <v>35423</v>
      </c>
      <c r="AC66">
        <v>0.81</v>
      </c>
      <c r="AD66">
        <v>21985</v>
      </c>
      <c r="AE66">
        <v>1538950</v>
      </c>
      <c r="AF66">
        <v>0.62060000000000004</v>
      </c>
      <c r="AG66">
        <v>325</v>
      </c>
      <c r="AH66">
        <v>7234594</v>
      </c>
      <c r="AI66">
        <v>14061</v>
      </c>
      <c r="AJ66">
        <v>495</v>
      </c>
      <c r="AK66" s="37" t="s">
        <v>598</v>
      </c>
      <c r="AL66" s="37" t="s">
        <v>939</v>
      </c>
      <c r="AM66" s="37" t="s">
        <v>940</v>
      </c>
      <c r="AN66" s="37" t="s">
        <v>941</v>
      </c>
      <c r="AO66" s="37" t="s">
        <v>584</v>
      </c>
      <c r="AP66">
        <v>4</v>
      </c>
      <c r="AQ66">
        <v>15</v>
      </c>
      <c r="AR66">
        <v>32</v>
      </c>
      <c r="AS66">
        <v>77</v>
      </c>
      <c r="AT66">
        <v>16</v>
      </c>
      <c r="AU66" s="115">
        <v>31106</v>
      </c>
      <c r="AV66" s="37"/>
      <c r="AW66" s="37"/>
      <c r="AX66" s="37" t="s">
        <v>621</v>
      </c>
      <c r="AY66" s="37"/>
      <c r="AZ66" s="37">
        <f>developmentdata2019[[#This Row],[NUMBER OF CURRENT APARTMENTS]]*5/2000</f>
        <v>0.26750000000000002</v>
      </c>
      <c r="BA66" s="37">
        <f>developmentdata2019[[#This Row],[Total]]*BA$1</f>
        <v>6.9550000000000001E-2</v>
      </c>
      <c r="BB66" s="37">
        <f>developmentdata2019[[#This Row],[Trash (tons/day)]]*BB$1</f>
        <v>1.3214500000000001E-2</v>
      </c>
      <c r="BC66" s="37">
        <f>developmentdata2019[[#This Row],[MGP (tons/day)]]*BC$1</f>
        <v>9.2501500000000017E-4</v>
      </c>
      <c r="BD66" s="37">
        <f>developmentdata2019[[#This Row],[Cardboard (tons/day)]]*BD$1</f>
        <v>6.4751050000000021E-5</v>
      </c>
      <c r="BE66" s="37">
        <f>developmentdata2019[[#This Row],[Paper (tons/day)]]*BE$1</f>
        <v>2.0720336000000007E-5</v>
      </c>
      <c r="BF66" s="37">
        <f>developmentdata2019[[#This Row],[Organics (tons/day)]]*BF$1</f>
        <v>2.0720336000000007E-7</v>
      </c>
      <c r="BG66" s="37">
        <f>developmentdata2019[[#This Row],[E-Waste (tons/day)]]*BG$1</f>
        <v>1.6576268800000005E-8</v>
      </c>
      <c r="BH66" s="37">
        <f>developmentdata2019[[#This Row],[Trash (tons/day)]]*BH$1</f>
        <v>1.4640275</v>
      </c>
      <c r="BI66" s="37">
        <f>developmentdata2019[[#This Row],[MGP (tons/day)]]*BI$1</f>
        <v>0.23812529000000002</v>
      </c>
      <c r="BJ66" s="37">
        <f>developmentdata2019[[#This Row],[Cardboard (tons/day)]]*BJ$1</f>
        <v>2.4670150050000006E-2</v>
      </c>
      <c r="BK66" s="37">
        <f>developmentdata2019[[#This Row],[Paper (tons/day)]]*BK$1</f>
        <v>4.0080899950000018E-4</v>
      </c>
      <c r="BL66" s="37">
        <f>developmentdata2019[[#This Row],[Organics (tons/day)]]*BL$1</f>
        <v>8.9511851520000037E-5</v>
      </c>
      <c r="BM66" s="37">
        <f>developmentdata2019[[#This Row],[E-Waste (tons/day)]]*BM$1</f>
        <v>1.1706989840000004E-6</v>
      </c>
      <c r="BN66" s="37">
        <f>developmentdata2019[[#This Row],[Textiles (tons/day)]]*BN$1</f>
        <v>2.2096166310400007E-7</v>
      </c>
      <c r="BO66" s="37">
        <f>developmentdata2019[[#This Row],[Trash (CY/day)]]*201.974</f>
        <v>295.69549028500001</v>
      </c>
      <c r="BP66" s="37">
        <f>developmentdata2019[[#This Row],[MGP (CY/day)]]*201.974</f>
        <v>48.095117322459998</v>
      </c>
      <c r="BQ66" s="37">
        <f>developmentdata2019[[#This Row],[Cardboard (CY/day)]]*201.974</f>
        <v>4.9827288861987009</v>
      </c>
      <c r="BR66" s="37">
        <f>developmentdata2019[[#This Row],[Paper  (CY/day)]]*201.974</f>
        <v>8.0952996865013033E-2</v>
      </c>
      <c r="BS66" s="37">
        <f>developmentdata2019[[#This Row],[Organics (CY/day)]]*201.974</f>
        <v>1.8079066698900487E-2</v>
      </c>
      <c r="BT66" s="37">
        <f>developmentdata2019[[#This Row],[E-Waste (CY/day)]]*201.974</f>
        <v>2.3645075659441608E-4</v>
      </c>
      <c r="BU66" s="37">
        <f>developmentdata2019[[#This Row],[Textiles (CY/day)]]*201.974</f>
        <v>4.462851094376731E-5</v>
      </c>
    </row>
    <row r="67" spans="1:73" x14ac:dyDescent="0.2">
      <c r="A67" s="37" t="s">
        <v>942</v>
      </c>
      <c r="B67" s="115">
        <v>43466</v>
      </c>
      <c r="C67" s="37" t="s">
        <v>595</v>
      </c>
      <c r="D67">
        <v>335</v>
      </c>
      <c r="E67">
        <v>308</v>
      </c>
      <c r="F67">
        <v>751</v>
      </c>
      <c r="G67">
        <v>750</v>
      </c>
      <c r="H67" s="37" t="s">
        <v>943</v>
      </c>
      <c r="I67" s="37" t="s">
        <v>577</v>
      </c>
      <c r="J67" s="37" t="s">
        <v>588</v>
      </c>
      <c r="K67" s="37" t="s">
        <v>597</v>
      </c>
      <c r="M67">
        <v>147</v>
      </c>
      <c r="N67">
        <v>150</v>
      </c>
      <c r="O67">
        <v>647.5</v>
      </c>
      <c r="P67">
        <v>4.4000000000000004</v>
      </c>
      <c r="R67">
        <v>342</v>
      </c>
      <c r="S67">
        <v>342</v>
      </c>
      <c r="T67">
        <v>50</v>
      </c>
      <c r="U67">
        <v>0.34</v>
      </c>
      <c r="V67">
        <v>9</v>
      </c>
      <c r="W67">
        <v>0</v>
      </c>
      <c r="X67">
        <v>9</v>
      </c>
      <c r="Y67">
        <v>43560</v>
      </c>
      <c r="Z67">
        <v>45636</v>
      </c>
      <c r="AA67">
        <v>1.05</v>
      </c>
      <c r="AB67">
        <v>45636</v>
      </c>
      <c r="AC67">
        <v>1.05</v>
      </c>
      <c r="AD67">
        <v>29519</v>
      </c>
      <c r="AE67">
        <v>2656710</v>
      </c>
      <c r="AF67">
        <v>0.64680000000000004</v>
      </c>
      <c r="AG67">
        <v>326</v>
      </c>
      <c r="AH67">
        <v>10283674</v>
      </c>
      <c r="AI67">
        <v>15605</v>
      </c>
      <c r="AJ67">
        <v>464</v>
      </c>
      <c r="AK67" s="37" t="s">
        <v>884</v>
      </c>
      <c r="AL67" s="37" t="s">
        <v>935</v>
      </c>
      <c r="AM67" s="37" t="s">
        <v>940</v>
      </c>
      <c r="AN67" s="37" t="s">
        <v>941</v>
      </c>
      <c r="AO67" s="37" t="s">
        <v>584</v>
      </c>
      <c r="AP67">
        <v>4</v>
      </c>
      <c r="AQ67">
        <v>15</v>
      </c>
      <c r="AR67">
        <v>32</v>
      </c>
      <c r="AS67">
        <v>77</v>
      </c>
      <c r="AT67">
        <v>16</v>
      </c>
      <c r="AU67" s="115">
        <v>31708</v>
      </c>
      <c r="AV67" s="37"/>
      <c r="AW67" s="37"/>
      <c r="AX67" s="37" t="s">
        <v>621</v>
      </c>
      <c r="AY67" s="37"/>
      <c r="AZ67" s="37">
        <f>developmentdata2019[[#This Row],[NUMBER OF CURRENT APARTMENTS]]*5/2000</f>
        <v>0.36749999999999999</v>
      </c>
      <c r="BA67" s="37">
        <f>developmentdata2019[[#This Row],[Total]]*BA$1</f>
        <v>9.5549999999999996E-2</v>
      </c>
      <c r="BB67" s="37">
        <f>developmentdata2019[[#This Row],[Trash (tons/day)]]*BB$1</f>
        <v>1.81545E-2</v>
      </c>
      <c r="BC67" s="37">
        <f>developmentdata2019[[#This Row],[MGP (tons/day)]]*BC$1</f>
        <v>1.2708150000000002E-3</v>
      </c>
      <c r="BD67" s="37">
        <f>developmentdata2019[[#This Row],[Cardboard (tons/day)]]*BD$1</f>
        <v>8.8957050000000026E-5</v>
      </c>
      <c r="BE67" s="37">
        <f>developmentdata2019[[#This Row],[Paper (tons/day)]]*BE$1</f>
        <v>2.8466256000000009E-5</v>
      </c>
      <c r="BF67" s="37">
        <f>developmentdata2019[[#This Row],[Organics (tons/day)]]*BF$1</f>
        <v>2.8466256000000008E-7</v>
      </c>
      <c r="BG67" s="37">
        <f>developmentdata2019[[#This Row],[E-Waste (tons/day)]]*BG$1</f>
        <v>2.2773004800000006E-8</v>
      </c>
      <c r="BH67" s="37">
        <f>developmentdata2019[[#This Row],[Trash (tons/day)]]*BH$1</f>
        <v>2.0113275000000002</v>
      </c>
      <c r="BI67" s="37">
        <f>developmentdata2019[[#This Row],[MGP (tons/day)]]*BI$1</f>
        <v>0.32714409</v>
      </c>
      <c r="BJ67" s="37">
        <f>developmentdata2019[[#This Row],[Cardboard (tons/day)]]*BJ$1</f>
        <v>3.3892636050000008E-2</v>
      </c>
      <c r="BK67" s="37">
        <f>developmentdata2019[[#This Row],[Paper (tons/day)]]*BK$1</f>
        <v>5.5064413950000018E-4</v>
      </c>
      <c r="BL67" s="37">
        <f>developmentdata2019[[#This Row],[Organics (tons/day)]]*BL$1</f>
        <v>1.2297422592000005E-4</v>
      </c>
      <c r="BM67" s="37">
        <f>developmentdata2019[[#This Row],[E-Waste (tons/day)]]*BM$1</f>
        <v>1.6083434640000007E-6</v>
      </c>
      <c r="BN67" s="37">
        <f>developmentdata2019[[#This Row],[Textiles (tons/day)]]*BN$1</f>
        <v>3.0356415398400011E-7</v>
      </c>
      <c r="BO67" s="37">
        <f>developmentdata2019[[#This Row],[Trash (CY/day)]]*201.974</f>
        <v>406.23586048499999</v>
      </c>
      <c r="BP67" s="37">
        <f>developmentdata2019[[#This Row],[MGP (CY/day)]]*201.974</f>
        <v>66.074600433659995</v>
      </c>
      <c r="BQ67" s="37">
        <f>developmentdata2019[[#This Row],[Cardboard (CY/day)]]*201.974</f>
        <v>6.845431273562701</v>
      </c>
      <c r="BR67" s="37">
        <f>developmentdata2019[[#This Row],[Paper  (CY/day)]]*201.974</f>
        <v>0.11121579943137302</v>
      </c>
      <c r="BS67" s="37">
        <f>developmentdata2019[[#This Row],[Organics (CY/day)]]*201.974</f>
        <v>2.4837596305966089E-2</v>
      </c>
      <c r="BT67" s="37">
        <f>developmentdata2019[[#This Row],[E-Waste (CY/day)]]*201.974</f>
        <v>3.2484356279793614E-4</v>
      </c>
      <c r="BU67" s="37">
        <f>developmentdata2019[[#This Row],[Textiles (CY/day)]]*201.974</f>
        <v>6.1312066436764441E-5</v>
      </c>
    </row>
    <row r="68" spans="1:73" x14ac:dyDescent="0.2">
      <c r="A68" s="37" t="s">
        <v>944</v>
      </c>
      <c r="B68" s="115">
        <v>43466</v>
      </c>
      <c r="C68" s="37" t="s">
        <v>595</v>
      </c>
      <c r="D68">
        <v>336</v>
      </c>
      <c r="E68">
        <v>308</v>
      </c>
      <c r="F68">
        <v>752</v>
      </c>
      <c r="G68">
        <v>750</v>
      </c>
      <c r="H68" s="37" t="s">
        <v>945</v>
      </c>
      <c r="I68" s="37" t="s">
        <v>577</v>
      </c>
      <c r="J68" s="37" t="s">
        <v>588</v>
      </c>
      <c r="K68" s="37" t="s">
        <v>597</v>
      </c>
      <c r="M68">
        <v>129</v>
      </c>
      <c r="N68">
        <v>135</v>
      </c>
      <c r="O68">
        <v>560.5</v>
      </c>
      <c r="P68">
        <v>4.34</v>
      </c>
      <c r="R68">
        <v>304</v>
      </c>
      <c r="S68">
        <v>304</v>
      </c>
      <c r="T68">
        <v>40</v>
      </c>
      <c r="U68">
        <v>0.31</v>
      </c>
      <c r="V68">
        <v>3</v>
      </c>
      <c r="W68">
        <v>0</v>
      </c>
      <c r="X68">
        <v>3</v>
      </c>
      <c r="Y68">
        <v>5</v>
      </c>
      <c r="Z68">
        <v>53898</v>
      </c>
      <c r="AA68">
        <v>1.24</v>
      </c>
      <c r="AB68">
        <v>53898</v>
      </c>
      <c r="AC68">
        <v>1.24</v>
      </c>
      <c r="AD68">
        <v>28605</v>
      </c>
      <c r="AE68">
        <v>2927721</v>
      </c>
      <c r="AF68">
        <v>0.53069999999999995</v>
      </c>
      <c r="AG68">
        <v>245</v>
      </c>
      <c r="AH68">
        <v>8551169</v>
      </c>
      <c r="AI68">
        <v>14555</v>
      </c>
      <c r="AJ68">
        <v>506</v>
      </c>
      <c r="AK68" s="37" t="s">
        <v>946</v>
      </c>
      <c r="AL68" s="37" t="s">
        <v>598</v>
      </c>
      <c r="AM68" s="37" t="s">
        <v>941</v>
      </c>
      <c r="AN68" s="37" t="s">
        <v>936</v>
      </c>
      <c r="AO68" s="37" t="s">
        <v>584</v>
      </c>
      <c r="AP68">
        <v>4</v>
      </c>
      <c r="AQ68">
        <v>15</v>
      </c>
      <c r="AR68">
        <v>32</v>
      </c>
      <c r="AS68">
        <v>77</v>
      </c>
      <c r="AT68">
        <v>16</v>
      </c>
      <c r="AU68" s="115">
        <v>31381</v>
      </c>
      <c r="AV68" s="37"/>
      <c r="AW68" s="37"/>
      <c r="AX68" s="37" t="s">
        <v>621</v>
      </c>
      <c r="AY68" s="37"/>
      <c r="AZ68" s="37">
        <f>developmentdata2019[[#This Row],[NUMBER OF CURRENT APARTMENTS]]*5/2000</f>
        <v>0.32250000000000001</v>
      </c>
      <c r="BA68" s="37">
        <f>developmentdata2019[[#This Row],[Total]]*BA$1</f>
        <v>8.3850000000000008E-2</v>
      </c>
      <c r="BB68" s="37">
        <f>developmentdata2019[[#This Row],[Trash (tons/day)]]*BB$1</f>
        <v>1.5931500000000001E-2</v>
      </c>
      <c r="BC68" s="37">
        <f>developmentdata2019[[#This Row],[MGP (tons/day)]]*BC$1</f>
        <v>1.1152050000000002E-3</v>
      </c>
      <c r="BD68" s="37">
        <f>developmentdata2019[[#This Row],[Cardboard (tons/day)]]*BD$1</f>
        <v>7.8064350000000014E-5</v>
      </c>
      <c r="BE68" s="37">
        <f>developmentdata2019[[#This Row],[Paper (tons/day)]]*BE$1</f>
        <v>2.4980592000000004E-5</v>
      </c>
      <c r="BF68" s="37">
        <f>developmentdata2019[[#This Row],[Organics (tons/day)]]*BF$1</f>
        <v>2.4980592000000006E-7</v>
      </c>
      <c r="BG68" s="37">
        <f>developmentdata2019[[#This Row],[E-Waste (tons/day)]]*BG$1</f>
        <v>1.9984473600000004E-8</v>
      </c>
      <c r="BH68" s="37">
        <f>developmentdata2019[[#This Row],[Trash (tons/day)]]*BH$1</f>
        <v>1.7650425000000003</v>
      </c>
      <c r="BI68" s="37">
        <f>developmentdata2019[[#This Row],[MGP (tons/day)]]*BI$1</f>
        <v>0.28708563000000004</v>
      </c>
      <c r="BJ68" s="37">
        <f>developmentdata2019[[#This Row],[Cardboard (tons/day)]]*BJ$1</f>
        <v>2.9742517350000008E-2</v>
      </c>
      <c r="BK68" s="37">
        <f>developmentdata2019[[#This Row],[Paper (tons/day)]]*BK$1</f>
        <v>4.832183265000001E-4</v>
      </c>
      <c r="BL68" s="37">
        <f>developmentdata2019[[#This Row],[Organics (tons/day)]]*BL$1</f>
        <v>1.0791615744000003E-4</v>
      </c>
      <c r="BM68" s="37">
        <f>developmentdata2019[[#This Row],[E-Waste (tons/day)]]*BM$1</f>
        <v>1.4114034480000004E-6</v>
      </c>
      <c r="BN68" s="37">
        <f>developmentdata2019[[#This Row],[Textiles (tons/day)]]*BN$1</f>
        <v>2.6639303308800004E-7</v>
      </c>
      <c r="BO68" s="37">
        <f>developmentdata2019[[#This Row],[Trash (CY/day)]]*201.974</f>
        <v>356.49269389500006</v>
      </c>
      <c r="BP68" s="37">
        <f>developmentdata2019[[#This Row],[MGP (CY/day)]]*201.974</f>
        <v>57.983833033620002</v>
      </c>
      <c r="BQ68" s="37">
        <f>developmentdata2019[[#This Row],[Cardboard (CY/day)]]*201.974</f>
        <v>6.0072151992489013</v>
      </c>
      <c r="BR68" s="37">
        <f>developmentdata2019[[#This Row],[Paper  (CY/day)]]*201.974</f>
        <v>9.759753827651102E-2</v>
      </c>
      <c r="BS68" s="37">
        <f>developmentdata2019[[#This Row],[Organics (CY/day)]]*201.974</f>
        <v>2.1796257982786563E-2</v>
      </c>
      <c r="BT68" s="37">
        <f>developmentdata2019[[#This Row],[E-Waste (CY/day)]]*201.974</f>
        <v>2.8506680000635207E-4</v>
      </c>
      <c r="BU68" s="37">
        <f>developmentdata2019[[#This Row],[Textiles (CY/day)]]*201.974</f>
        <v>5.3804466464915714E-5</v>
      </c>
    </row>
    <row r="69" spans="1:73" x14ac:dyDescent="0.2">
      <c r="A69" s="37" t="s">
        <v>947</v>
      </c>
      <c r="B69" s="115">
        <v>43466</v>
      </c>
      <c r="C69" s="37" t="s">
        <v>948</v>
      </c>
      <c r="D69">
        <v>11</v>
      </c>
      <c r="E69">
        <v>280</v>
      </c>
      <c r="F69">
        <v>208</v>
      </c>
      <c r="G69">
        <v>506</v>
      </c>
      <c r="H69" s="37" t="s">
        <v>949</v>
      </c>
      <c r="I69" s="37" t="s">
        <v>577</v>
      </c>
      <c r="J69" s="37" t="s">
        <v>578</v>
      </c>
      <c r="K69" s="37" t="s">
        <v>579</v>
      </c>
      <c r="M69">
        <v>401</v>
      </c>
      <c r="N69">
        <v>401</v>
      </c>
      <c r="O69">
        <v>1893.5</v>
      </c>
      <c r="P69">
        <v>4.72</v>
      </c>
      <c r="R69">
        <v>861</v>
      </c>
      <c r="S69">
        <v>861</v>
      </c>
      <c r="T69">
        <v>173</v>
      </c>
      <c r="U69">
        <v>0.438</v>
      </c>
      <c r="V69">
        <v>46</v>
      </c>
      <c r="W69">
        <v>0</v>
      </c>
      <c r="X69">
        <v>192</v>
      </c>
      <c r="Y69">
        <v>2</v>
      </c>
      <c r="Z69">
        <v>742013</v>
      </c>
      <c r="AA69">
        <v>17.03</v>
      </c>
      <c r="AB69">
        <v>742013</v>
      </c>
      <c r="AC69">
        <v>17.03</v>
      </c>
      <c r="AD69">
        <v>154304</v>
      </c>
      <c r="AE69">
        <v>3388939</v>
      </c>
      <c r="AF69">
        <v>0.20799999999999999</v>
      </c>
      <c r="AG69">
        <v>51</v>
      </c>
      <c r="AH69">
        <v>2067000</v>
      </c>
      <c r="AI69">
        <v>1116</v>
      </c>
      <c r="AJ69">
        <v>612</v>
      </c>
      <c r="AK69" s="37" t="s">
        <v>950</v>
      </c>
      <c r="AL69" s="37" t="s">
        <v>951</v>
      </c>
      <c r="AM69" s="37" t="s">
        <v>952</v>
      </c>
      <c r="AN69" s="37" t="s">
        <v>953</v>
      </c>
      <c r="AO69" s="37" t="s">
        <v>584</v>
      </c>
      <c r="AP69">
        <v>9</v>
      </c>
      <c r="AQ69">
        <v>15</v>
      </c>
      <c r="AR69">
        <v>34</v>
      </c>
      <c r="AS69">
        <v>85</v>
      </c>
      <c r="AT69">
        <v>18</v>
      </c>
      <c r="AU69" s="115">
        <v>15330</v>
      </c>
      <c r="AV69" s="37"/>
      <c r="AW69" s="37"/>
      <c r="AX69" s="37"/>
      <c r="AY69" s="37"/>
      <c r="AZ69" s="37">
        <f>developmentdata2019[[#This Row],[NUMBER OF CURRENT APARTMENTS]]*5/2000</f>
        <v>1.0024999999999999</v>
      </c>
      <c r="BA69" s="37">
        <f>developmentdata2019[[#This Row],[Total]]*BA$1</f>
        <v>0.26064999999999999</v>
      </c>
      <c r="BB69" s="37">
        <f>developmentdata2019[[#This Row],[Trash (tons/day)]]*BB$1</f>
        <v>4.9523499999999998E-2</v>
      </c>
      <c r="BC69" s="37">
        <f>developmentdata2019[[#This Row],[MGP (tons/day)]]*BC$1</f>
        <v>3.4666450000000004E-3</v>
      </c>
      <c r="BD69" s="37">
        <f>developmentdata2019[[#This Row],[Cardboard (tons/day)]]*BD$1</f>
        <v>2.4266515000000006E-4</v>
      </c>
      <c r="BE69" s="37">
        <f>developmentdata2019[[#This Row],[Paper (tons/day)]]*BE$1</f>
        <v>7.7652848000000021E-5</v>
      </c>
      <c r="BF69" s="37">
        <f>developmentdata2019[[#This Row],[Organics (tons/day)]]*BF$1</f>
        <v>7.7652848000000018E-7</v>
      </c>
      <c r="BG69" s="37">
        <f>developmentdata2019[[#This Row],[E-Waste (tons/day)]]*BG$1</f>
        <v>6.2122278400000015E-8</v>
      </c>
      <c r="BH69" s="37">
        <f>developmentdata2019[[#This Row],[Trash (tons/day)]]*BH$1</f>
        <v>5.4866824999999997</v>
      </c>
      <c r="BI69" s="37">
        <f>developmentdata2019[[#This Row],[MGP (tons/day)]]*BI$1</f>
        <v>0.89241346999999993</v>
      </c>
      <c r="BJ69" s="37">
        <f>developmentdata2019[[#This Row],[Cardboard (tons/day)]]*BJ$1</f>
        <v>9.2455422150000022E-2</v>
      </c>
      <c r="BK69" s="37">
        <f>developmentdata2019[[#This Row],[Paper (tons/day)]]*BK$1</f>
        <v>1.5020972785000004E-3</v>
      </c>
      <c r="BL69" s="37">
        <f>developmentdata2019[[#This Row],[Organics (tons/day)]]*BL$1</f>
        <v>3.3546030336000009E-4</v>
      </c>
      <c r="BM69" s="37">
        <f>developmentdata2019[[#This Row],[E-Waste (tons/day)]]*BM$1</f>
        <v>4.3873859120000011E-6</v>
      </c>
      <c r="BN69" s="37">
        <f>developmentdata2019[[#This Row],[Textiles (tons/day)]]*BN$1</f>
        <v>8.2808997107200024E-7</v>
      </c>
      <c r="BO69" s="37">
        <f>developmentdata2019[[#This Row],[Trash (CY/day)]]*201.974</f>
        <v>1108.167211255</v>
      </c>
      <c r="BP69" s="37">
        <f>developmentdata2019[[#This Row],[MGP (CY/day)]]*201.974</f>
        <v>180.24431818977999</v>
      </c>
      <c r="BQ69" s="37">
        <f>developmentdata2019[[#This Row],[Cardboard (CY/day)]]*201.974</f>
        <v>18.673591433324102</v>
      </c>
      <c r="BR69" s="37">
        <f>developmentdata2019[[#This Row],[Paper  (CY/day)]]*201.974</f>
        <v>0.30338459572775905</v>
      </c>
      <c r="BS69" s="37">
        <f>developmentdata2019[[#This Row],[Organics (CY/day)]]*201.974</f>
        <v>6.7754259310832649E-2</v>
      </c>
      <c r="BT69" s="37">
        <f>developmentdata2019[[#This Row],[E-Waste (CY/day)]]*201.974</f>
        <v>8.8613788219028822E-4</v>
      </c>
      <c r="BU69" s="37">
        <f>developmentdata2019[[#This Row],[Textiles (CY/day)]]*201.974</f>
        <v>1.6725264381729616E-4</v>
      </c>
    </row>
    <row r="70" spans="1:73" x14ac:dyDescent="0.2">
      <c r="A70" s="37" t="s">
        <v>364</v>
      </c>
      <c r="B70" s="115">
        <v>43466</v>
      </c>
      <c r="C70" s="37" t="s">
        <v>954</v>
      </c>
      <c r="D70">
        <v>123</v>
      </c>
      <c r="E70">
        <v>123</v>
      </c>
      <c r="F70">
        <v>245</v>
      </c>
      <c r="G70">
        <v>245</v>
      </c>
      <c r="H70" s="37" t="s">
        <v>955</v>
      </c>
      <c r="I70" s="37" t="s">
        <v>577</v>
      </c>
      <c r="J70" s="37" t="s">
        <v>578</v>
      </c>
      <c r="K70" s="37" t="s">
        <v>579</v>
      </c>
      <c r="M70">
        <v>748</v>
      </c>
      <c r="N70">
        <v>749</v>
      </c>
      <c r="O70">
        <v>3523</v>
      </c>
      <c r="P70">
        <v>4.71</v>
      </c>
      <c r="R70">
        <v>1720</v>
      </c>
      <c r="S70">
        <v>1720</v>
      </c>
      <c r="T70">
        <v>330</v>
      </c>
      <c r="U70">
        <v>0.45</v>
      </c>
      <c r="V70">
        <v>6</v>
      </c>
      <c r="W70">
        <v>2</v>
      </c>
      <c r="X70">
        <v>8</v>
      </c>
      <c r="Y70">
        <v>43726</v>
      </c>
      <c r="Z70">
        <v>243770</v>
      </c>
      <c r="AA70">
        <v>5.6</v>
      </c>
      <c r="AB70">
        <v>232673</v>
      </c>
      <c r="AC70">
        <v>5.34</v>
      </c>
      <c r="AD70">
        <v>51879</v>
      </c>
      <c r="AE70">
        <v>6740935</v>
      </c>
      <c r="AF70">
        <v>0.21279999999999999</v>
      </c>
      <c r="AG70">
        <v>307</v>
      </c>
      <c r="AH70">
        <v>16774779</v>
      </c>
      <c r="AI70">
        <v>4756</v>
      </c>
      <c r="AJ70">
        <v>529</v>
      </c>
      <c r="AK70" s="37" t="s">
        <v>956</v>
      </c>
      <c r="AL70" s="37" t="s">
        <v>957</v>
      </c>
      <c r="AM70" s="37" t="s">
        <v>958</v>
      </c>
      <c r="AN70" s="37" t="s">
        <v>959</v>
      </c>
      <c r="AO70" s="37" t="s">
        <v>608</v>
      </c>
      <c r="AP70">
        <v>11</v>
      </c>
      <c r="AQ70">
        <v>13</v>
      </c>
      <c r="AR70">
        <v>30</v>
      </c>
      <c r="AS70">
        <v>68</v>
      </c>
      <c r="AT70">
        <v>8</v>
      </c>
      <c r="AU70" s="115">
        <v>24046</v>
      </c>
      <c r="AV70" s="37"/>
      <c r="AW70" s="37"/>
      <c r="AX70" s="37"/>
      <c r="AY70" s="37"/>
      <c r="AZ70" s="37">
        <f>developmentdata2019[[#This Row],[NUMBER OF CURRENT APARTMENTS]]*5/2000</f>
        <v>1.87</v>
      </c>
      <c r="BA70" s="37">
        <f>developmentdata2019[[#This Row],[Total]]*BA$1</f>
        <v>0.48620000000000002</v>
      </c>
      <c r="BB70" s="37">
        <f>developmentdata2019[[#This Row],[Trash (tons/day)]]*BB$1</f>
        <v>9.2378000000000002E-2</v>
      </c>
      <c r="BC70" s="37">
        <f>developmentdata2019[[#This Row],[MGP (tons/day)]]*BC$1</f>
        <v>6.4664600000000011E-3</v>
      </c>
      <c r="BD70" s="37">
        <f>developmentdata2019[[#This Row],[Cardboard (tons/day)]]*BD$1</f>
        <v>4.5265220000000012E-4</v>
      </c>
      <c r="BE70" s="37">
        <f>developmentdata2019[[#This Row],[Paper (tons/day)]]*BE$1</f>
        <v>1.4484870400000005E-4</v>
      </c>
      <c r="BF70" s="37">
        <f>developmentdata2019[[#This Row],[Organics (tons/day)]]*BF$1</f>
        <v>1.4484870400000006E-6</v>
      </c>
      <c r="BG70" s="37">
        <f>developmentdata2019[[#This Row],[E-Waste (tons/day)]]*BG$1</f>
        <v>1.1587896320000006E-7</v>
      </c>
      <c r="BH70" s="37">
        <f>developmentdata2019[[#This Row],[Trash (tons/day)]]*BH$1</f>
        <v>10.23451</v>
      </c>
      <c r="BI70" s="37">
        <f>developmentdata2019[[#This Row],[MGP (tons/day)]]*BI$1</f>
        <v>1.66465156</v>
      </c>
      <c r="BJ70" s="37">
        <f>developmentdata2019[[#This Row],[Cardboard (tons/day)]]*BJ$1</f>
        <v>0.17246048820000004</v>
      </c>
      <c r="BK70" s="37">
        <f>developmentdata2019[[#This Row],[Paper (tons/day)]]*BK$1</f>
        <v>2.801917118000001E-3</v>
      </c>
      <c r="BL70" s="37">
        <f>developmentdata2019[[#This Row],[Organics (tons/day)]]*BL$1</f>
        <v>6.2574640128000027E-4</v>
      </c>
      <c r="BM70" s="37">
        <f>developmentdata2019[[#This Row],[E-Waste (tons/day)]]*BM$1</f>
        <v>8.1839517760000045E-6</v>
      </c>
      <c r="BN70" s="37">
        <f>developmentdata2019[[#This Row],[Textiles (tons/day)]]*BN$1</f>
        <v>1.5446665794560008E-6</v>
      </c>
      <c r="BO70" s="37">
        <f>developmentdata2019[[#This Row],[Trash (CY/day)]]*201.974</f>
        <v>2067.1049227399999</v>
      </c>
      <c r="BP70" s="37">
        <f>developmentdata2019[[#This Row],[MGP (CY/day)]]*201.974</f>
        <v>336.21633417943997</v>
      </c>
      <c r="BQ70" s="37">
        <f>developmentdata2019[[#This Row],[Cardboard (CY/day)]]*201.974</f>
        <v>34.832534643706808</v>
      </c>
      <c r="BR70" s="37">
        <f>developmentdata2019[[#This Row],[Paper  (CY/day)]]*201.974</f>
        <v>0.56591440799093218</v>
      </c>
      <c r="BS70" s="37">
        <f>developmentdata2019[[#This Row],[Organics (CY/day)]]*201.974</f>
        <v>0.12638450365212678</v>
      </c>
      <c r="BT70" s="37">
        <f>developmentdata2019[[#This Row],[E-Waste (CY/day)]]*201.974</f>
        <v>1.6529454760058249E-3</v>
      </c>
      <c r="BU70" s="37">
        <f>developmentdata2019[[#This Row],[Textiles (CY/day)]]*201.974</f>
        <v>3.1198248771904628E-4</v>
      </c>
    </row>
    <row r="71" spans="1:73" x14ac:dyDescent="0.2">
      <c r="A71" s="37" t="s">
        <v>960</v>
      </c>
      <c r="B71" s="115">
        <v>43466</v>
      </c>
      <c r="C71" s="37" t="s">
        <v>595</v>
      </c>
      <c r="D71">
        <v>236</v>
      </c>
      <c r="E71">
        <v>308</v>
      </c>
      <c r="F71">
        <v>351</v>
      </c>
      <c r="G71">
        <v>344</v>
      </c>
      <c r="H71" s="37" t="s">
        <v>961</v>
      </c>
      <c r="I71" s="37" t="s">
        <v>577</v>
      </c>
      <c r="J71" s="37" t="s">
        <v>588</v>
      </c>
      <c r="K71" s="37" t="s">
        <v>735</v>
      </c>
      <c r="M71">
        <v>95</v>
      </c>
      <c r="N71">
        <v>95</v>
      </c>
      <c r="O71">
        <v>307.5</v>
      </c>
      <c r="P71">
        <v>3.24</v>
      </c>
      <c r="R71">
        <v>102</v>
      </c>
      <c r="S71">
        <v>102</v>
      </c>
      <c r="T71">
        <v>84</v>
      </c>
      <c r="U71">
        <v>0.89400000000000002</v>
      </c>
      <c r="V71">
        <v>1</v>
      </c>
      <c r="W71">
        <v>0</v>
      </c>
      <c r="X71">
        <v>1</v>
      </c>
      <c r="Y71">
        <v>6</v>
      </c>
      <c r="Z71">
        <v>22146</v>
      </c>
      <c r="AA71">
        <v>0.51</v>
      </c>
      <c r="AB71">
        <v>22146</v>
      </c>
      <c r="AC71">
        <v>0.51</v>
      </c>
      <c r="AD71">
        <v>10022</v>
      </c>
      <c r="AE71">
        <v>784399</v>
      </c>
      <c r="AF71">
        <v>0.45250000000000001</v>
      </c>
      <c r="AG71">
        <v>200</v>
      </c>
      <c r="AH71">
        <v>2518156</v>
      </c>
      <c r="AI71">
        <v>7869</v>
      </c>
      <c r="AJ71">
        <v>288</v>
      </c>
      <c r="AK71" s="37" t="s">
        <v>936</v>
      </c>
      <c r="AL71" s="37" t="s">
        <v>941</v>
      </c>
      <c r="AM71" s="37" t="s">
        <v>940</v>
      </c>
      <c r="AN71" s="37" t="s">
        <v>946</v>
      </c>
      <c r="AO71" s="37" t="s">
        <v>584</v>
      </c>
      <c r="AP71">
        <v>4</v>
      </c>
      <c r="AQ71">
        <v>15</v>
      </c>
      <c r="AR71">
        <v>32</v>
      </c>
      <c r="AS71">
        <v>77</v>
      </c>
      <c r="AT71">
        <v>16</v>
      </c>
      <c r="AU71" s="115">
        <v>26511</v>
      </c>
      <c r="AV71" s="37"/>
      <c r="AW71" s="37" t="s">
        <v>736</v>
      </c>
      <c r="AX71" s="37"/>
      <c r="AY71" s="37"/>
      <c r="AZ71" s="37">
        <f>developmentdata2019[[#This Row],[NUMBER OF CURRENT APARTMENTS]]*5/2000</f>
        <v>0.23749999999999999</v>
      </c>
      <c r="BA71" s="37">
        <f>developmentdata2019[[#This Row],[Total]]*BA$1</f>
        <v>6.1749999999999999E-2</v>
      </c>
      <c r="BB71" s="37">
        <f>developmentdata2019[[#This Row],[Trash (tons/day)]]*BB$1</f>
        <v>1.17325E-2</v>
      </c>
      <c r="BC71" s="37">
        <f>developmentdata2019[[#This Row],[MGP (tons/day)]]*BC$1</f>
        <v>8.2127500000000011E-4</v>
      </c>
      <c r="BD71" s="37">
        <f>developmentdata2019[[#This Row],[Cardboard (tons/day)]]*BD$1</f>
        <v>5.7489250000000015E-5</v>
      </c>
      <c r="BE71" s="37">
        <f>developmentdata2019[[#This Row],[Paper (tons/day)]]*BE$1</f>
        <v>1.8396560000000007E-5</v>
      </c>
      <c r="BF71" s="37">
        <f>developmentdata2019[[#This Row],[Organics (tons/day)]]*BF$1</f>
        <v>1.8396560000000008E-7</v>
      </c>
      <c r="BG71" s="37">
        <f>developmentdata2019[[#This Row],[E-Waste (tons/day)]]*BG$1</f>
        <v>1.4717248000000007E-8</v>
      </c>
      <c r="BH71" s="37">
        <f>developmentdata2019[[#This Row],[Trash (tons/day)]]*BH$1</f>
        <v>1.2998375</v>
      </c>
      <c r="BI71" s="37">
        <f>developmentdata2019[[#This Row],[MGP (tons/day)]]*BI$1</f>
        <v>0.21141964999999999</v>
      </c>
      <c r="BJ71" s="37">
        <f>developmentdata2019[[#This Row],[Cardboard (tons/day)]]*BJ$1</f>
        <v>2.1903404250000005E-2</v>
      </c>
      <c r="BK71" s="37">
        <f>developmentdata2019[[#This Row],[Paper (tons/day)]]*BK$1</f>
        <v>3.5585845750000014E-4</v>
      </c>
      <c r="BL71" s="37">
        <f>developmentdata2019[[#This Row],[Organics (tons/day)]]*BL$1</f>
        <v>7.947313920000004E-5</v>
      </c>
      <c r="BM71" s="37">
        <f>developmentdata2019[[#This Row],[E-Waste (tons/day)]]*BM$1</f>
        <v>1.0394056400000005E-6</v>
      </c>
      <c r="BN71" s="37">
        <f>developmentdata2019[[#This Row],[Textiles (tons/day)]]*BN$1</f>
        <v>1.961809158400001E-7</v>
      </c>
      <c r="BO71" s="37">
        <f>developmentdata2019[[#This Row],[Trash (CY/day)]]*201.974</f>
        <v>262.53337922499998</v>
      </c>
      <c r="BP71" s="37">
        <f>developmentdata2019[[#This Row],[MGP (CY/day)]]*201.974</f>
        <v>42.701272389099998</v>
      </c>
      <c r="BQ71" s="37">
        <f>developmentdata2019[[#This Row],[Cardboard (CY/day)]]*201.974</f>
        <v>4.4239181699895003</v>
      </c>
      <c r="BR71" s="37">
        <f>developmentdata2019[[#This Row],[Paper  (CY/day)]]*201.974</f>
        <v>7.187415609510503E-2</v>
      </c>
      <c r="BS71" s="37">
        <f>developmentdata2019[[#This Row],[Organics (CY/day)]]*201.974</f>
        <v>1.6051507816780806E-2</v>
      </c>
      <c r="BT71" s="37">
        <f>developmentdata2019[[#This Row],[E-Waste (CY/day)]]*201.974</f>
        <v>2.099329147333601E-4</v>
      </c>
      <c r="BU71" s="37">
        <f>developmentdata2019[[#This Row],[Textiles (CY/day)]]*201.974</f>
        <v>3.9623444295868179E-5</v>
      </c>
    </row>
    <row r="72" spans="1:73" x14ac:dyDescent="0.2">
      <c r="A72" s="37" t="s">
        <v>962</v>
      </c>
      <c r="B72" s="115">
        <v>43466</v>
      </c>
      <c r="C72" s="37" t="s">
        <v>963</v>
      </c>
      <c r="D72">
        <v>94</v>
      </c>
      <c r="E72">
        <v>170</v>
      </c>
      <c r="F72">
        <v>671</v>
      </c>
      <c r="G72">
        <v>671</v>
      </c>
      <c r="H72" s="37" t="s">
        <v>964</v>
      </c>
      <c r="I72" s="37" t="s">
        <v>577</v>
      </c>
      <c r="J72" s="37" t="s">
        <v>578</v>
      </c>
      <c r="K72" s="37" t="s">
        <v>579</v>
      </c>
      <c r="M72">
        <v>530</v>
      </c>
      <c r="N72">
        <v>534</v>
      </c>
      <c r="O72">
        <v>2426</v>
      </c>
      <c r="P72">
        <v>4.58</v>
      </c>
      <c r="R72">
        <v>1121</v>
      </c>
      <c r="S72">
        <v>1121</v>
      </c>
      <c r="T72">
        <v>211</v>
      </c>
      <c r="U72">
        <v>0.40100000000000002</v>
      </c>
      <c r="V72">
        <v>5</v>
      </c>
      <c r="W72">
        <v>0</v>
      </c>
      <c r="X72">
        <v>5</v>
      </c>
      <c r="Y72">
        <v>14</v>
      </c>
      <c r="Z72">
        <v>298874</v>
      </c>
      <c r="AA72">
        <v>6.86</v>
      </c>
      <c r="AB72">
        <v>239429</v>
      </c>
      <c r="AC72">
        <v>5.5</v>
      </c>
      <c r="AD72">
        <v>38119</v>
      </c>
      <c r="AE72">
        <v>4912800</v>
      </c>
      <c r="AF72">
        <v>0.1275</v>
      </c>
      <c r="AG72">
        <v>163</v>
      </c>
      <c r="AH72">
        <v>7728534</v>
      </c>
      <c r="AI72">
        <v>3165</v>
      </c>
      <c r="AJ72">
        <v>599</v>
      </c>
      <c r="AK72" s="37" t="s">
        <v>898</v>
      </c>
      <c r="AL72" s="37" t="s">
        <v>965</v>
      </c>
      <c r="AM72" s="37" t="s">
        <v>966</v>
      </c>
      <c r="AN72" s="37" t="s">
        <v>967</v>
      </c>
      <c r="AO72" s="37" t="s">
        <v>593</v>
      </c>
      <c r="AP72">
        <v>13</v>
      </c>
      <c r="AQ72">
        <v>8</v>
      </c>
      <c r="AR72">
        <v>23</v>
      </c>
      <c r="AS72">
        <v>46</v>
      </c>
      <c r="AT72">
        <v>47</v>
      </c>
      <c r="AU72" s="115">
        <v>20876</v>
      </c>
      <c r="AV72" s="37" t="s">
        <v>715</v>
      </c>
      <c r="AW72" s="37"/>
      <c r="AX72" s="37"/>
      <c r="AY72" s="37"/>
      <c r="AZ72" s="37">
        <f>developmentdata2019[[#This Row],[NUMBER OF CURRENT APARTMENTS]]*5/2000</f>
        <v>1.325</v>
      </c>
      <c r="BA72" s="37">
        <f>developmentdata2019[[#This Row],[Total]]*BA$1</f>
        <v>0.34449999999999997</v>
      </c>
      <c r="BB72" s="37">
        <f>developmentdata2019[[#This Row],[Trash (tons/day)]]*BB$1</f>
        <v>6.5454999999999999E-2</v>
      </c>
      <c r="BC72" s="37">
        <f>developmentdata2019[[#This Row],[MGP (tons/day)]]*BC$1</f>
        <v>4.5818500000000002E-3</v>
      </c>
      <c r="BD72" s="37">
        <f>developmentdata2019[[#This Row],[Cardboard (tons/day)]]*BD$1</f>
        <v>3.2072950000000002E-4</v>
      </c>
      <c r="BE72" s="37">
        <f>developmentdata2019[[#This Row],[Paper (tons/day)]]*BE$1</f>
        <v>1.0263344000000001E-4</v>
      </c>
      <c r="BF72" s="37">
        <f>developmentdata2019[[#This Row],[Organics (tons/day)]]*BF$1</f>
        <v>1.0263344000000001E-6</v>
      </c>
      <c r="BG72" s="37">
        <f>developmentdata2019[[#This Row],[E-Waste (tons/day)]]*BG$1</f>
        <v>8.2106752000000009E-8</v>
      </c>
      <c r="BH72" s="37">
        <f>developmentdata2019[[#This Row],[Trash (tons/day)]]*BH$1</f>
        <v>7.2517249999999995</v>
      </c>
      <c r="BI72" s="37">
        <f>developmentdata2019[[#This Row],[MGP (tons/day)]]*BI$1</f>
        <v>1.1794990999999999</v>
      </c>
      <c r="BJ72" s="37">
        <f>developmentdata2019[[#This Row],[Cardboard (tons/day)]]*BJ$1</f>
        <v>0.12219793950000001</v>
      </c>
      <c r="BK72" s="37">
        <f>developmentdata2019[[#This Row],[Paper (tons/day)]]*BK$1</f>
        <v>1.9853156050000003E-3</v>
      </c>
      <c r="BL72" s="37">
        <f>developmentdata2019[[#This Row],[Organics (tons/day)]]*BL$1</f>
        <v>4.4337646080000009E-4</v>
      </c>
      <c r="BM72" s="37">
        <f>developmentdata2019[[#This Row],[E-Waste (tons/day)]]*BM$1</f>
        <v>5.7987893600000006E-6</v>
      </c>
      <c r="BN72" s="37">
        <f>developmentdata2019[[#This Row],[Textiles (tons/day)]]*BN$1</f>
        <v>1.0944830041600001E-6</v>
      </c>
      <c r="BO72" s="37">
        <f>developmentdata2019[[#This Row],[Trash (CY/day)]]*201.974</f>
        <v>1464.6599051499998</v>
      </c>
      <c r="BP72" s="37">
        <f>developmentdata2019[[#This Row],[MGP (CY/day)]]*201.974</f>
        <v>238.22815122339998</v>
      </c>
      <c r="BQ72" s="37">
        <f>developmentdata2019[[#This Row],[Cardboard (CY/day)]]*201.974</f>
        <v>24.680806632572999</v>
      </c>
      <c r="BR72" s="37">
        <f>developmentdata2019[[#This Row],[Paper  (CY/day)]]*201.974</f>
        <v>0.40098213400427002</v>
      </c>
      <c r="BS72" s="37">
        <f>developmentdata2019[[#This Row],[Organics (CY/day)]]*201.974</f>
        <v>8.9550517293619208E-2</v>
      </c>
      <c r="BT72" s="37">
        <f>developmentdata2019[[#This Row],[E-Waste (CY/day)]]*201.974</f>
        <v>1.17120468219664E-3</v>
      </c>
      <c r="BU72" s="37">
        <f>developmentdata2019[[#This Row],[Textiles (CY/day)]]*201.974</f>
        <v>2.2105711028221186E-4</v>
      </c>
    </row>
    <row r="73" spans="1:73" x14ac:dyDescent="0.2">
      <c r="A73" s="37" t="s">
        <v>968</v>
      </c>
      <c r="B73" s="115">
        <v>43466</v>
      </c>
      <c r="C73" s="37" t="s">
        <v>892</v>
      </c>
      <c r="D73">
        <v>239</v>
      </c>
      <c r="E73">
        <v>166</v>
      </c>
      <c r="F73">
        <v>335</v>
      </c>
      <c r="G73">
        <v>288</v>
      </c>
      <c r="H73" s="37" t="s">
        <v>969</v>
      </c>
      <c r="I73" s="37" t="s">
        <v>577</v>
      </c>
      <c r="J73" s="37" t="s">
        <v>588</v>
      </c>
      <c r="K73" s="37" t="s">
        <v>579</v>
      </c>
      <c r="M73">
        <v>192</v>
      </c>
      <c r="N73">
        <v>193</v>
      </c>
      <c r="O73">
        <v>952</v>
      </c>
      <c r="P73">
        <v>4.96</v>
      </c>
      <c r="R73">
        <v>512</v>
      </c>
      <c r="S73">
        <v>512</v>
      </c>
      <c r="T73">
        <v>73</v>
      </c>
      <c r="U73">
        <v>0.38200000000000001</v>
      </c>
      <c r="V73">
        <v>1</v>
      </c>
      <c r="W73">
        <v>0</v>
      </c>
      <c r="X73">
        <v>1</v>
      </c>
      <c r="Y73">
        <v>18</v>
      </c>
      <c r="Z73">
        <v>93061</v>
      </c>
      <c r="AA73">
        <v>2.14</v>
      </c>
      <c r="AB73">
        <v>93061</v>
      </c>
      <c r="AC73">
        <v>2.14</v>
      </c>
      <c r="AD73">
        <v>14078</v>
      </c>
      <c r="AE73">
        <v>1876990</v>
      </c>
      <c r="AF73">
        <v>0.15129999999999999</v>
      </c>
      <c r="AG73">
        <v>239</v>
      </c>
      <c r="AH73">
        <v>7531412</v>
      </c>
      <c r="AI73">
        <v>7829</v>
      </c>
      <c r="AJ73">
        <v>552</v>
      </c>
      <c r="AK73" s="37" t="s">
        <v>970</v>
      </c>
      <c r="AL73" s="37" t="s">
        <v>971</v>
      </c>
      <c r="AM73" s="37" t="s">
        <v>898</v>
      </c>
      <c r="AN73" s="37" t="s">
        <v>972</v>
      </c>
      <c r="AO73" s="37" t="s">
        <v>593</v>
      </c>
      <c r="AP73">
        <v>13</v>
      </c>
      <c r="AQ73">
        <v>8</v>
      </c>
      <c r="AR73">
        <v>23</v>
      </c>
      <c r="AS73">
        <v>46</v>
      </c>
      <c r="AT73">
        <v>47</v>
      </c>
      <c r="AU73" s="115">
        <v>26815</v>
      </c>
      <c r="AV73" s="37"/>
      <c r="AW73" s="37"/>
      <c r="AX73" s="37"/>
      <c r="AY73" s="37"/>
      <c r="AZ73" s="37">
        <f>developmentdata2019[[#This Row],[NUMBER OF CURRENT APARTMENTS]]*5/2000</f>
        <v>0.48</v>
      </c>
      <c r="BA73" s="37">
        <f>developmentdata2019[[#This Row],[Total]]*BA$1</f>
        <v>0.12479999999999999</v>
      </c>
      <c r="BB73" s="37">
        <f>developmentdata2019[[#This Row],[Trash (tons/day)]]*BB$1</f>
        <v>2.3712E-2</v>
      </c>
      <c r="BC73" s="37">
        <f>developmentdata2019[[#This Row],[MGP (tons/day)]]*BC$1</f>
        <v>1.6598400000000001E-3</v>
      </c>
      <c r="BD73" s="37">
        <f>developmentdata2019[[#This Row],[Cardboard (tons/day)]]*BD$1</f>
        <v>1.1618880000000002E-4</v>
      </c>
      <c r="BE73" s="37">
        <f>developmentdata2019[[#This Row],[Paper (tons/day)]]*BE$1</f>
        <v>3.7180416000000004E-5</v>
      </c>
      <c r="BF73" s="37">
        <f>developmentdata2019[[#This Row],[Organics (tons/day)]]*BF$1</f>
        <v>3.7180416000000004E-7</v>
      </c>
      <c r="BG73" s="37">
        <f>developmentdata2019[[#This Row],[E-Waste (tons/day)]]*BG$1</f>
        <v>2.9744332800000005E-8</v>
      </c>
      <c r="BH73" s="37">
        <f>developmentdata2019[[#This Row],[Trash (tons/day)]]*BH$1</f>
        <v>2.62704</v>
      </c>
      <c r="BI73" s="37">
        <f>developmentdata2019[[#This Row],[MGP (tons/day)]]*BI$1</f>
        <v>0.42729023999999999</v>
      </c>
      <c r="BJ73" s="37">
        <f>developmentdata2019[[#This Row],[Cardboard (tons/day)]]*BJ$1</f>
        <v>4.4267932800000007E-2</v>
      </c>
      <c r="BK73" s="37">
        <f>developmentdata2019[[#This Row],[Paper (tons/day)]]*BK$1</f>
        <v>7.1920867200000018E-4</v>
      </c>
      <c r="BL73" s="37">
        <f>developmentdata2019[[#This Row],[Organics (tons/day)]]*BL$1</f>
        <v>1.6061939712000003E-4</v>
      </c>
      <c r="BM73" s="37">
        <f>developmentdata2019[[#This Row],[E-Waste (tons/day)]]*BM$1</f>
        <v>2.1006935040000002E-6</v>
      </c>
      <c r="BN73" s="37">
        <f>developmentdata2019[[#This Row],[Textiles (tons/day)]]*BN$1</f>
        <v>3.9649195622400006E-7</v>
      </c>
      <c r="BO73" s="37">
        <f>developmentdata2019[[#This Row],[Trash (CY/day)]]*201.974</f>
        <v>530.59377696000001</v>
      </c>
      <c r="BP73" s="37">
        <f>developmentdata2019[[#This Row],[MGP (CY/day)]]*201.974</f>
        <v>86.301518933759994</v>
      </c>
      <c r="BQ73" s="37">
        <f>developmentdata2019[[#This Row],[Cardboard (CY/day)]]*201.974</f>
        <v>8.9409714593472014</v>
      </c>
      <c r="BR73" s="37">
        <f>developmentdata2019[[#This Row],[Paper  (CY/day)]]*201.974</f>
        <v>0.14526145231852802</v>
      </c>
      <c r="BS73" s="37">
        <f>developmentdata2019[[#This Row],[Organics (CY/day)]]*201.974</f>
        <v>3.2440942113914885E-2</v>
      </c>
      <c r="BT73" s="37">
        <f>developmentdata2019[[#This Row],[E-Waste (CY/day)]]*201.974</f>
        <v>4.2428546977689603E-4</v>
      </c>
      <c r="BU73" s="37">
        <f>developmentdata2019[[#This Row],[Textiles (CY/day)]]*201.974</f>
        <v>8.008106636638619E-5</v>
      </c>
    </row>
    <row r="74" spans="1:73" x14ac:dyDescent="0.2">
      <c r="A74" s="37" t="s">
        <v>973</v>
      </c>
      <c r="B74" s="115">
        <v>43466</v>
      </c>
      <c r="C74" s="37" t="s">
        <v>974</v>
      </c>
      <c r="D74">
        <v>238</v>
      </c>
      <c r="E74">
        <v>172</v>
      </c>
      <c r="F74">
        <v>334</v>
      </c>
      <c r="G74">
        <v>334</v>
      </c>
      <c r="H74" s="37" t="s">
        <v>975</v>
      </c>
      <c r="I74" s="37" t="s">
        <v>577</v>
      </c>
      <c r="J74" s="37" t="s">
        <v>588</v>
      </c>
      <c r="K74" s="37" t="s">
        <v>579</v>
      </c>
      <c r="M74">
        <v>124</v>
      </c>
      <c r="N74">
        <v>125</v>
      </c>
      <c r="O74">
        <v>626</v>
      </c>
      <c r="P74">
        <v>5.05</v>
      </c>
      <c r="R74">
        <v>361</v>
      </c>
      <c r="S74">
        <v>361</v>
      </c>
      <c r="T74">
        <v>37</v>
      </c>
      <c r="U74">
        <v>0.30599999999999999</v>
      </c>
      <c r="V74">
        <v>1</v>
      </c>
      <c r="W74">
        <v>0</v>
      </c>
      <c r="X74">
        <v>2</v>
      </c>
      <c r="Y74">
        <v>14</v>
      </c>
      <c r="Z74">
        <v>61483</v>
      </c>
      <c r="AA74">
        <v>1.41</v>
      </c>
      <c r="AB74">
        <v>61483</v>
      </c>
      <c r="AC74">
        <v>1.41</v>
      </c>
      <c r="AD74">
        <v>11970</v>
      </c>
      <c r="AE74">
        <v>1187936</v>
      </c>
      <c r="AF74">
        <v>0.19470000000000001</v>
      </c>
      <c r="AG74">
        <v>256</v>
      </c>
      <c r="AH74">
        <v>5853893</v>
      </c>
      <c r="AI74">
        <v>9255</v>
      </c>
      <c r="AJ74">
        <v>559</v>
      </c>
      <c r="AK74" s="37" t="s">
        <v>976</v>
      </c>
      <c r="AL74" s="37" t="s">
        <v>977</v>
      </c>
      <c r="AM74" s="37" t="s">
        <v>898</v>
      </c>
      <c r="AN74" s="37" t="s">
        <v>972</v>
      </c>
      <c r="AO74" s="37" t="s">
        <v>593</v>
      </c>
      <c r="AP74">
        <v>13</v>
      </c>
      <c r="AQ74">
        <v>8</v>
      </c>
      <c r="AR74">
        <v>23</v>
      </c>
      <c r="AS74">
        <v>46</v>
      </c>
      <c r="AT74">
        <v>47</v>
      </c>
      <c r="AU74" s="115">
        <v>27029</v>
      </c>
      <c r="AV74" s="37"/>
      <c r="AW74" s="37"/>
      <c r="AX74" s="37"/>
      <c r="AY74" s="37"/>
      <c r="AZ74" s="37">
        <f>developmentdata2019[[#This Row],[NUMBER OF CURRENT APARTMENTS]]*5/2000</f>
        <v>0.31</v>
      </c>
      <c r="BA74" s="37">
        <f>developmentdata2019[[#This Row],[Total]]*BA$1</f>
        <v>8.0600000000000005E-2</v>
      </c>
      <c r="BB74" s="37">
        <f>developmentdata2019[[#This Row],[Trash (tons/day)]]*BB$1</f>
        <v>1.5314000000000001E-2</v>
      </c>
      <c r="BC74" s="37">
        <f>developmentdata2019[[#This Row],[MGP (tons/day)]]*BC$1</f>
        <v>1.0719800000000002E-3</v>
      </c>
      <c r="BD74" s="37">
        <f>developmentdata2019[[#This Row],[Cardboard (tons/day)]]*BD$1</f>
        <v>7.5038600000000024E-5</v>
      </c>
      <c r="BE74" s="37">
        <f>developmentdata2019[[#This Row],[Paper (tons/day)]]*BE$1</f>
        <v>2.401235200000001E-5</v>
      </c>
      <c r="BF74" s="37">
        <f>developmentdata2019[[#This Row],[Organics (tons/day)]]*BF$1</f>
        <v>2.4012352000000012E-7</v>
      </c>
      <c r="BG74" s="37">
        <f>developmentdata2019[[#This Row],[E-Waste (tons/day)]]*BG$1</f>
        <v>1.920988160000001E-8</v>
      </c>
      <c r="BH74" s="37">
        <f>developmentdata2019[[#This Row],[Trash (tons/day)]]*BH$1</f>
        <v>1.6966300000000001</v>
      </c>
      <c r="BI74" s="37">
        <f>developmentdata2019[[#This Row],[MGP (tons/day)]]*BI$1</f>
        <v>0.27595828</v>
      </c>
      <c r="BJ74" s="37">
        <f>developmentdata2019[[#This Row],[Cardboard (tons/day)]]*BJ$1</f>
        <v>2.8589706600000007E-2</v>
      </c>
      <c r="BK74" s="37">
        <f>developmentdata2019[[#This Row],[Paper (tons/day)]]*BK$1</f>
        <v>4.6448893400000016E-4</v>
      </c>
      <c r="BL74" s="37">
        <f>developmentdata2019[[#This Row],[Organics (tons/day)]]*BL$1</f>
        <v>1.0373336064000005E-4</v>
      </c>
      <c r="BM74" s="37">
        <f>developmentdata2019[[#This Row],[E-Waste (tons/day)]]*BM$1</f>
        <v>1.3566978880000009E-6</v>
      </c>
      <c r="BN74" s="37">
        <f>developmentdata2019[[#This Row],[Textiles (tons/day)]]*BN$1</f>
        <v>2.5606772172800013E-7</v>
      </c>
      <c r="BO74" s="37">
        <f>developmentdata2019[[#This Row],[Trash (CY/day)]]*201.974</f>
        <v>342.67514762000002</v>
      </c>
      <c r="BP74" s="37">
        <f>developmentdata2019[[#This Row],[MGP (CY/day)]]*201.974</f>
        <v>55.73639764472</v>
      </c>
      <c r="BQ74" s="37">
        <f>developmentdata2019[[#This Row],[Cardboard (CY/day)]]*201.974</f>
        <v>5.774377400828401</v>
      </c>
      <c r="BR74" s="37">
        <f>developmentdata2019[[#This Row],[Paper  (CY/day)]]*201.974</f>
        <v>9.3814687955716028E-2</v>
      </c>
      <c r="BS74" s="37">
        <f>developmentdata2019[[#This Row],[Organics (CY/day)]]*201.974</f>
        <v>2.095144178190337E-2</v>
      </c>
      <c r="BT74" s="37">
        <f>developmentdata2019[[#This Row],[E-Waste (CY/day)]]*201.974</f>
        <v>2.7401769923091215E-4</v>
      </c>
      <c r="BU74" s="37">
        <f>developmentdata2019[[#This Row],[Textiles (CY/day)]]*201.974</f>
        <v>5.1719022028291094E-5</v>
      </c>
    </row>
    <row r="75" spans="1:73" x14ac:dyDescent="0.2">
      <c r="A75" s="37" t="s">
        <v>978</v>
      </c>
      <c r="B75" s="115">
        <v>43466</v>
      </c>
      <c r="C75" s="37" t="s">
        <v>963</v>
      </c>
      <c r="D75">
        <v>216</v>
      </c>
      <c r="E75">
        <v>170</v>
      </c>
      <c r="F75">
        <v>328</v>
      </c>
      <c r="G75">
        <v>278</v>
      </c>
      <c r="H75" s="37" t="s">
        <v>979</v>
      </c>
      <c r="I75" s="37" t="s">
        <v>577</v>
      </c>
      <c r="J75" s="37" t="s">
        <v>588</v>
      </c>
      <c r="K75" s="37" t="s">
        <v>579</v>
      </c>
      <c r="M75">
        <v>376</v>
      </c>
      <c r="N75">
        <v>376</v>
      </c>
      <c r="O75">
        <v>1879</v>
      </c>
      <c r="P75">
        <v>5</v>
      </c>
      <c r="R75">
        <v>1029</v>
      </c>
      <c r="S75">
        <v>1029</v>
      </c>
      <c r="T75">
        <v>103</v>
      </c>
      <c r="U75">
        <v>0.27900000000000003</v>
      </c>
      <c r="V75">
        <v>1</v>
      </c>
      <c r="W75">
        <v>1</v>
      </c>
      <c r="X75">
        <v>6</v>
      </c>
      <c r="Y75">
        <v>17</v>
      </c>
      <c r="Z75">
        <v>187318</v>
      </c>
      <c r="AA75">
        <v>4.3</v>
      </c>
      <c r="AB75">
        <v>187318</v>
      </c>
      <c r="AC75">
        <v>4.3</v>
      </c>
      <c r="AD75">
        <v>38750</v>
      </c>
      <c r="AE75">
        <v>4017326</v>
      </c>
      <c r="AF75">
        <v>0.2069</v>
      </c>
      <c r="AG75">
        <v>239</v>
      </c>
      <c r="AH75">
        <v>16603000</v>
      </c>
      <c r="AI75">
        <v>8808</v>
      </c>
      <c r="AJ75">
        <v>595</v>
      </c>
      <c r="AK75" s="37" t="s">
        <v>972</v>
      </c>
      <c r="AL75" s="37" t="s">
        <v>921</v>
      </c>
      <c r="AM75" s="37" t="s">
        <v>898</v>
      </c>
      <c r="AN75" s="37" t="s">
        <v>980</v>
      </c>
      <c r="AO75" s="37" t="s">
        <v>593</v>
      </c>
      <c r="AP75">
        <v>13</v>
      </c>
      <c r="AQ75">
        <v>8</v>
      </c>
      <c r="AR75">
        <v>23</v>
      </c>
      <c r="AS75">
        <v>46</v>
      </c>
      <c r="AT75">
        <v>47</v>
      </c>
      <c r="AU75" s="115">
        <v>27241</v>
      </c>
      <c r="AV75" s="37"/>
      <c r="AW75" s="37"/>
      <c r="AX75" s="37"/>
      <c r="AY75" s="37"/>
      <c r="AZ75" s="37">
        <f>developmentdata2019[[#This Row],[NUMBER OF CURRENT APARTMENTS]]*5/2000</f>
        <v>0.94</v>
      </c>
      <c r="BA75" s="37">
        <f>developmentdata2019[[#This Row],[Total]]*BA$1</f>
        <v>0.24440000000000001</v>
      </c>
      <c r="BB75" s="37">
        <f>developmentdata2019[[#This Row],[Trash (tons/day)]]*BB$1</f>
        <v>4.6436000000000005E-2</v>
      </c>
      <c r="BC75" s="37">
        <f>developmentdata2019[[#This Row],[MGP (tons/day)]]*BC$1</f>
        <v>3.2505200000000007E-3</v>
      </c>
      <c r="BD75" s="37">
        <f>developmentdata2019[[#This Row],[Cardboard (tons/day)]]*BD$1</f>
        <v>2.2753640000000008E-4</v>
      </c>
      <c r="BE75" s="37">
        <f>developmentdata2019[[#This Row],[Paper (tons/day)]]*BE$1</f>
        <v>7.2811648000000031E-5</v>
      </c>
      <c r="BF75" s="37">
        <f>developmentdata2019[[#This Row],[Organics (tons/day)]]*BF$1</f>
        <v>7.2811648000000034E-7</v>
      </c>
      <c r="BG75" s="37">
        <f>developmentdata2019[[#This Row],[E-Waste (tons/day)]]*BG$1</f>
        <v>5.824931840000003E-8</v>
      </c>
      <c r="BH75" s="37">
        <f>developmentdata2019[[#This Row],[Trash (tons/day)]]*BH$1</f>
        <v>5.1446200000000006</v>
      </c>
      <c r="BI75" s="37">
        <f>developmentdata2019[[#This Row],[MGP (tons/day)]]*BI$1</f>
        <v>0.83677672000000003</v>
      </c>
      <c r="BJ75" s="37">
        <f>developmentdata2019[[#This Row],[Cardboard (tons/day)]]*BJ$1</f>
        <v>8.6691368400000024E-2</v>
      </c>
      <c r="BK75" s="37">
        <f>developmentdata2019[[#This Row],[Paper (tons/day)]]*BK$1</f>
        <v>1.4084503160000006E-3</v>
      </c>
      <c r="BL75" s="37">
        <f>developmentdata2019[[#This Row],[Organics (tons/day)]]*BL$1</f>
        <v>3.1454631936000016E-4</v>
      </c>
      <c r="BM75" s="37">
        <f>developmentdata2019[[#This Row],[E-Waste (tons/day)]]*BM$1</f>
        <v>4.1138581120000019E-6</v>
      </c>
      <c r="BN75" s="37">
        <f>developmentdata2019[[#This Row],[Textiles (tons/day)]]*BN$1</f>
        <v>7.7646341427200044E-7</v>
      </c>
      <c r="BO75" s="37">
        <f>developmentdata2019[[#This Row],[Trash (CY/day)]]*201.974</f>
        <v>1039.07947988</v>
      </c>
      <c r="BP75" s="37">
        <f>developmentdata2019[[#This Row],[MGP (CY/day)]]*201.974</f>
        <v>169.00714124528</v>
      </c>
      <c r="BQ75" s="37">
        <f>developmentdata2019[[#This Row],[Cardboard (CY/day)]]*201.974</f>
        <v>17.509402441221603</v>
      </c>
      <c r="BR75" s="37">
        <f>developmentdata2019[[#This Row],[Paper  (CY/day)]]*201.974</f>
        <v>0.28447034412378408</v>
      </c>
      <c r="BS75" s="37">
        <f>developmentdata2019[[#This Row],[Organics (CY/day)]]*201.974</f>
        <v>6.3530178306416676E-2</v>
      </c>
      <c r="BT75" s="37">
        <f>developmentdata2019[[#This Row],[E-Waste (CY/day)]]*201.974</f>
        <v>8.3089237831308839E-4</v>
      </c>
      <c r="BU75" s="37">
        <f>developmentdata2019[[#This Row],[Textiles (CY/day)]]*201.974</f>
        <v>1.56825421634173E-4</v>
      </c>
    </row>
    <row r="76" spans="1:73" x14ac:dyDescent="0.2">
      <c r="A76" s="37" t="s">
        <v>981</v>
      </c>
      <c r="B76" s="115">
        <v>43466</v>
      </c>
      <c r="C76" s="37" t="s">
        <v>721</v>
      </c>
      <c r="D76">
        <v>232</v>
      </c>
      <c r="E76">
        <v>91</v>
      </c>
      <c r="F76">
        <v>347</v>
      </c>
      <c r="G76">
        <v>240</v>
      </c>
      <c r="H76" s="37" t="s">
        <v>982</v>
      </c>
      <c r="I76" s="37" t="s">
        <v>577</v>
      </c>
      <c r="J76" s="37" t="s">
        <v>588</v>
      </c>
      <c r="K76" s="37" t="s">
        <v>735</v>
      </c>
      <c r="M76">
        <v>214</v>
      </c>
      <c r="N76">
        <v>216</v>
      </c>
      <c r="O76">
        <v>701</v>
      </c>
      <c r="P76">
        <v>3.28</v>
      </c>
      <c r="R76">
        <v>240</v>
      </c>
      <c r="S76">
        <v>240</v>
      </c>
      <c r="T76">
        <v>192</v>
      </c>
      <c r="U76">
        <v>0.91</v>
      </c>
      <c r="V76">
        <v>1</v>
      </c>
      <c r="W76">
        <v>0</v>
      </c>
      <c r="X76">
        <v>1</v>
      </c>
      <c r="Y76">
        <v>13</v>
      </c>
      <c r="Z76">
        <v>51873</v>
      </c>
      <c r="AA76">
        <v>1.19</v>
      </c>
      <c r="AB76">
        <v>51873</v>
      </c>
      <c r="AC76">
        <v>1.19</v>
      </c>
      <c r="AD76">
        <v>11294</v>
      </c>
      <c r="AE76">
        <v>1325412</v>
      </c>
      <c r="AF76">
        <v>0.2177</v>
      </c>
      <c r="AG76">
        <v>202</v>
      </c>
      <c r="AH76">
        <v>5835896</v>
      </c>
      <c r="AI76">
        <v>7973</v>
      </c>
      <c r="AJ76">
        <v>352</v>
      </c>
      <c r="AK76" s="37" t="s">
        <v>983</v>
      </c>
      <c r="AL76" s="37" t="s">
        <v>984</v>
      </c>
      <c r="AM76" s="37" t="s">
        <v>985</v>
      </c>
      <c r="AN76" s="37" t="s">
        <v>986</v>
      </c>
      <c r="AO76" s="37" t="s">
        <v>703</v>
      </c>
      <c r="AP76">
        <v>12</v>
      </c>
      <c r="AQ76">
        <v>5</v>
      </c>
      <c r="AR76">
        <v>14</v>
      </c>
      <c r="AS76">
        <v>29</v>
      </c>
      <c r="AT76">
        <v>27</v>
      </c>
      <c r="AU76" s="115">
        <v>26754</v>
      </c>
      <c r="AV76" s="37"/>
      <c r="AW76" s="37" t="s">
        <v>736</v>
      </c>
      <c r="AX76" s="37"/>
      <c r="AY76" s="37"/>
      <c r="AZ76" s="37">
        <f>developmentdata2019[[#This Row],[NUMBER OF CURRENT APARTMENTS]]*5/2000</f>
        <v>0.53500000000000003</v>
      </c>
      <c r="BA76" s="37">
        <f>developmentdata2019[[#This Row],[Total]]*BA$1</f>
        <v>0.1391</v>
      </c>
      <c r="BB76" s="37">
        <f>developmentdata2019[[#This Row],[Trash (tons/day)]]*BB$1</f>
        <v>2.6429000000000001E-2</v>
      </c>
      <c r="BC76" s="37">
        <f>developmentdata2019[[#This Row],[MGP (tons/day)]]*BC$1</f>
        <v>1.8500300000000003E-3</v>
      </c>
      <c r="BD76" s="37">
        <f>developmentdata2019[[#This Row],[Cardboard (tons/day)]]*BD$1</f>
        <v>1.2950210000000004E-4</v>
      </c>
      <c r="BE76" s="37">
        <f>developmentdata2019[[#This Row],[Paper (tons/day)]]*BE$1</f>
        <v>4.1440672000000015E-5</v>
      </c>
      <c r="BF76" s="37">
        <f>developmentdata2019[[#This Row],[Organics (tons/day)]]*BF$1</f>
        <v>4.1440672000000014E-7</v>
      </c>
      <c r="BG76" s="37">
        <f>developmentdata2019[[#This Row],[E-Waste (tons/day)]]*BG$1</f>
        <v>3.3152537600000011E-8</v>
      </c>
      <c r="BH76" s="37">
        <f>developmentdata2019[[#This Row],[Trash (tons/day)]]*BH$1</f>
        <v>2.9280550000000001</v>
      </c>
      <c r="BI76" s="37">
        <f>developmentdata2019[[#This Row],[MGP (tons/day)]]*BI$1</f>
        <v>0.47625058000000003</v>
      </c>
      <c r="BJ76" s="37">
        <f>developmentdata2019[[#This Row],[Cardboard (tons/day)]]*BJ$1</f>
        <v>4.9340300100000012E-2</v>
      </c>
      <c r="BK76" s="37">
        <f>developmentdata2019[[#This Row],[Paper (tons/day)]]*BK$1</f>
        <v>8.0161799900000036E-4</v>
      </c>
      <c r="BL76" s="37">
        <f>developmentdata2019[[#This Row],[Organics (tons/day)]]*BL$1</f>
        <v>1.7902370304000007E-4</v>
      </c>
      <c r="BM76" s="37">
        <f>developmentdata2019[[#This Row],[E-Waste (tons/day)]]*BM$1</f>
        <v>2.3413979680000008E-6</v>
      </c>
      <c r="BN76" s="37">
        <f>developmentdata2019[[#This Row],[Textiles (tons/day)]]*BN$1</f>
        <v>4.4192332620800013E-7</v>
      </c>
      <c r="BO76" s="37">
        <f>developmentdata2019[[#This Row],[Trash (CY/day)]]*201.974</f>
        <v>591.39098057000001</v>
      </c>
      <c r="BP76" s="37">
        <f>developmentdata2019[[#This Row],[MGP (CY/day)]]*201.974</f>
        <v>96.190234644919997</v>
      </c>
      <c r="BQ76" s="37">
        <f>developmentdata2019[[#This Row],[Cardboard (CY/day)]]*201.974</f>
        <v>9.9654577723974018</v>
      </c>
      <c r="BR76" s="37">
        <f>developmentdata2019[[#This Row],[Paper  (CY/day)]]*201.974</f>
        <v>0.16190599373002607</v>
      </c>
      <c r="BS76" s="37">
        <f>developmentdata2019[[#This Row],[Organics (CY/day)]]*201.974</f>
        <v>3.6158133397800975E-2</v>
      </c>
      <c r="BT76" s="37">
        <f>developmentdata2019[[#This Row],[E-Waste (CY/day)]]*201.974</f>
        <v>4.7290151318883216E-4</v>
      </c>
      <c r="BU76" s="37">
        <f>developmentdata2019[[#This Row],[Textiles (CY/day)]]*201.974</f>
        <v>8.9257021887534621E-5</v>
      </c>
    </row>
    <row r="77" spans="1:73" x14ac:dyDescent="0.2">
      <c r="A77" s="37" t="s">
        <v>987</v>
      </c>
      <c r="B77" s="115">
        <v>43466</v>
      </c>
      <c r="C77" s="37" t="s">
        <v>988</v>
      </c>
      <c r="D77">
        <v>69</v>
      </c>
      <c r="E77">
        <v>69</v>
      </c>
      <c r="F77">
        <v>223</v>
      </c>
      <c r="G77">
        <v>223</v>
      </c>
      <c r="H77" s="37" t="s">
        <v>989</v>
      </c>
      <c r="I77" s="37" t="s">
        <v>577</v>
      </c>
      <c r="J77" s="37" t="s">
        <v>578</v>
      </c>
      <c r="K77" s="37" t="s">
        <v>579</v>
      </c>
      <c r="M77">
        <v>700</v>
      </c>
      <c r="N77">
        <v>700</v>
      </c>
      <c r="O77">
        <v>3281</v>
      </c>
      <c r="P77">
        <v>4.6900000000000004</v>
      </c>
      <c r="R77">
        <v>1554</v>
      </c>
      <c r="S77">
        <v>1554</v>
      </c>
      <c r="T77">
        <v>301</v>
      </c>
      <c r="U77">
        <v>0.434</v>
      </c>
      <c r="V77">
        <v>11</v>
      </c>
      <c r="W77">
        <v>0</v>
      </c>
      <c r="X77">
        <v>13</v>
      </c>
      <c r="Y77">
        <v>7</v>
      </c>
      <c r="Z77">
        <v>528967</v>
      </c>
      <c r="AA77">
        <v>12.14</v>
      </c>
      <c r="AB77">
        <v>496296</v>
      </c>
      <c r="AC77">
        <v>11.39</v>
      </c>
      <c r="AD77">
        <v>86767</v>
      </c>
      <c r="AE77">
        <v>5878957</v>
      </c>
      <c r="AF77">
        <v>0.16400000000000001</v>
      </c>
      <c r="AG77">
        <v>128</v>
      </c>
      <c r="AH77">
        <v>7702277</v>
      </c>
      <c r="AI77">
        <v>2346</v>
      </c>
      <c r="AJ77">
        <v>541</v>
      </c>
      <c r="AK77" s="37" t="s">
        <v>990</v>
      </c>
      <c r="AL77" s="37" t="s">
        <v>991</v>
      </c>
      <c r="AM77" s="37" t="s">
        <v>992</v>
      </c>
      <c r="AN77" s="37" t="s">
        <v>993</v>
      </c>
      <c r="AO77" s="37" t="s">
        <v>593</v>
      </c>
      <c r="AP77">
        <v>1</v>
      </c>
      <c r="AQ77">
        <v>12</v>
      </c>
      <c r="AR77">
        <v>18</v>
      </c>
      <c r="AS77">
        <v>50</v>
      </c>
      <c r="AT77">
        <v>34</v>
      </c>
      <c r="AU77" s="115">
        <v>19535</v>
      </c>
      <c r="AV77" s="37"/>
      <c r="AW77" s="37"/>
      <c r="AX77" s="37"/>
      <c r="AY77" s="37"/>
      <c r="AZ77" s="37">
        <f>developmentdata2019[[#This Row],[NUMBER OF CURRENT APARTMENTS]]*5/2000</f>
        <v>1.75</v>
      </c>
      <c r="BA77" s="37">
        <f>developmentdata2019[[#This Row],[Total]]*BA$1</f>
        <v>0.45500000000000002</v>
      </c>
      <c r="BB77" s="37">
        <f>developmentdata2019[[#This Row],[Trash (tons/day)]]*BB$1</f>
        <v>8.6449999999999999E-2</v>
      </c>
      <c r="BC77" s="37">
        <f>developmentdata2019[[#This Row],[MGP (tons/day)]]*BC$1</f>
        <v>6.0515000000000005E-3</v>
      </c>
      <c r="BD77" s="37">
        <f>developmentdata2019[[#This Row],[Cardboard (tons/day)]]*BD$1</f>
        <v>4.2360500000000008E-4</v>
      </c>
      <c r="BE77" s="37">
        <f>developmentdata2019[[#This Row],[Paper (tons/day)]]*BE$1</f>
        <v>1.3555360000000002E-4</v>
      </c>
      <c r="BF77" s="37">
        <f>developmentdata2019[[#This Row],[Organics (tons/day)]]*BF$1</f>
        <v>1.3555360000000003E-6</v>
      </c>
      <c r="BG77" s="37">
        <f>developmentdata2019[[#This Row],[E-Waste (tons/day)]]*BG$1</f>
        <v>1.0844288000000003E-7</v>
      </c>
      <c r="BH77" s="37">
        <f>developmentdata2019[[#This Row],[Trash (tons/day)]]*BH$1</f>
        <v>9.57775</v>
      </c>
      <c r="BI77" s="37">
        <f>developmentdata2019[[#This Row],[MGP (tons/day)]]*BI$1</f>
        <v>1.5578289999999999</v>
      </c>
      <c r="BJ77" s="37">
        <f>developmentdata2019[[#This Row],[Cardboard (tons/day)]]*BJ$1</f>
        <v>0.16139350500000002</v>
      </c>
      <c r="BK77" s="37">
        <f>developmentdata2019[[#This Row],[Paper (tons/day)]]*BK$1</f>
        <v>2.6221149500000006E-3</v>
      </c>
      <c r="BL77" s="37">
        <f>developmentdata2019[[#This Row],[Organics (tons/day)]]*BL$1</f>
        <v>5.8559155200000018E-4</v>
      </c>
      <c r="BM77" s="37">
        <f>developmentdata2019[[#This Row],[E-Waste (tons/day)]]*BM$1</f>
        <v>7.6587784000000032E-6</v>
      </c>
      <c r="BN77" s="37">
        <f>developmentdata2019[[#This Row],[Textiles (tons/day)]]*BN$1</f>
        <v>1.4455435904000004E-6</v>
      </c>
      <c r="BO77" s="37">
        <f>developmentdata2019[[#This Row],[Trash (CY/day)]]*201.974</f>
        <v>1934.4564785</v>
      </c>
      <c r="BP77" s="37">
        <f>developmentdata2019[[#This Row],[MGP (CY/day)]]*201.974</f>
        <v>314.64095444599997</v>
      </c>
      <c r="BQ77" s="37">
        <f>developmentdata2019[[#This Row],[Cardboard (CY/day)]]*201.974</f>
        <v>32.597291778870002</v>
      </c>
      <c r="BR77" s="37">
        <f>developmentdata2019[[#This Row],[Paper  (CY/day)]]*201.974</f>
        <v>0.52959904491130005</v>
      </c>
      <c r="BS77" s="37">
        <f>developmentdata2019[[#This Row],[Organics (CY/day)]]*201.974</f>
        <v>0.11827426812364802</v>
      </c>
      <c r="BT77" s="37">
        <f>developmentdata2019[[#This Row],[E-Waste (CY/day)]]*201.974</f>
        <v>1.5468741085616006E-3</v>
      </c>
      <c r="BU77" s="37">
        <f>developmentdata2019[[#This Row],[Textiles (CY/day)]]*201.974</f>
        <v>2.9196222112744968E-4</v>
      </c>
    </row>
    <row r="78" spans="1:73" x14ac:dyDescent="0.2">
      <c r="A78" s="37" t="s">
        <v>994</v>
      </c>
      <c r="B78" s="115">
        <v>43466</v>
      </c>
      <c r="C78" s="37" t="s">
        <v>629</v>
      </c>
      <c r="D78">
        <v>199</v>
      </c>
      <c r="E78">
        <v>64</v>
      </c>
      <c r="F78">
        <v>359</v>
      </c>
      <c r="G78">
        <v>219</v>
      </c>
      <c r="H78" s="37" t="s">
        <v>995</v>
      </c>
      <c r="I78" s="37" t="s">
        <v>577</v>
      </c>
      <c r="J78" s="37" t="s">
        <v>578</v>
      </c>
      <c r="K78" s="37" t="s">
        <v>735</v>
      </c>
      <c r="M78">
        <v>171</v>
      </c>
      <c r="N78">
        <v>171</v>
      </c>
      <c r="O78">
        <v>512.5</v>
      </c>
      <c r="P78">
        <v>3</v>
      </c>
      <c r="R78">
        <v>186</v>
      </c>
      <c r="S78">
        <v>186</v>
      </c>
      <c r="T78">
        <v>144</v>
      </c>
      <c r="U78">
        <v>0.86699999999999999</v>
      </c>
      <c r="V78">
        <v>1</v>
      </c>
      <c r="W78">
        <v>0</v>
      </c>
      <c r="X78">
        <v>1</v>
      </c>
      <c r="Y78">
        <v>16</v>
      </c>
      <c r="Z78">
        <v>32004</v>
      </c>
      <c r="AA78">
        <v>0.73</v>
      </c>
      <c r="AB78">
        <v>32004</v>
      </c>
      <c r="AC78">
        <v>0.73</v>
      </c>
      <c r="AD78">
        <v>20446</v>
      </c>
      <c r="AE78">
        <v>1361650</v>
      </c>
      <c r="AF78">
        <v>0.63890000000000002</v>
      </c>
      <c r="AG78">
        <v>255</v>
      </c>
      <c r="AH78">
        <v>6600521</v>
      </c>
      <c r="AI78">
        <v>11882</v>
      </c>
      <c r="AJ78">
        <v>303</v>
      </c>
      <c r="AK78" s="37" t="s">
        <v>996</v>
      </c>
      <c r="AL78" s="37" t="s">
        <v>997</v>
      </c>
      <c r="AM78" s="37" t="s">
        <v>633</v>
      </c>
      <c r="AN78" s="37" t="s">
        <v>631</v>
      </c>
      <c r="AO78" s="37" t="s">
        <v>608</v>
      </c>
      <c r="AP78">
        <v>11</v>
      </c>
      <c r="AQ78">
        <v>13</v>
      </c>
      <c r="AR78">
        <v>29</v>
      </c>
      <c r="AS78">
        <v>68</v>
      </c>
      <c r="AT78">
        <v>8</v>
      </c>
      <c r="AU78" s="115">
        <v>26998</v>
      </c>
      <c r="AV78" s="37"/>
      <c r="AW78" s="37" t="s">
        <v>736</v>
      </c>
      <c r="AX78" s="37"/>
      <c r="AY78" s="37"/>
      <c r="AZ78" s="37">
        <f>developmentdata2019[[#This Row],[NUMBER OF CURRENT APARTMENTS]]*5/2000</f>
        <v>0.42749999999999999</v>
      </c>
      <c r="BA78" s="37">
        <f>developmentdata2019[[#This Row],[Total]]*BA$1</f>
        <v>0.11115</v>
      </c>
      <c r="BB78" s="37">
        <f>developmentdata2019[[#This Row],[Trash (tons/day)]]*BB$1</f>
        <v>2.1118499999999998E-2</v>
      </c>
      <c r="BC78" s="37">
        <f>developmentdata2019[[#This Row],[MGP (tons/day)]]*BC$1</f>
        <v>1.4782950000000001E-3</v>
      </c>
      <c r="BD78" s="37">
        <f>developmentdata2019[[#This Row],[Cardboard (tons/day)]]*BD$1</f>
        <v>1.0348065000000002E-4</v>
      </c>
      <c r="BE78" s="37">
        <f>developmentdata2019[[#This Row],[Paper (tons/day)]]*BE$1</f>
        <v>3.311380800000001E-5</v>
      </c>
      <c r="BF78" s="37">
        <f>developmentdata2019[[#This Row],[Organics (tons/day)]]*BF$1</f>
        <v>3.3113808000000012E-7</v>
      </c>
      <c r="BG78" s="37">
        <f>developmentdata2019[[#This Row],[E-Waste (tons/day)]]*BG$1</f>
        <v>2.649104640000001E-8</v>
      </c>
      <c r="BH78" s="37">
        <f>developmentdata2019[[#This Row],[Trash (tons/day)]]*BH$1</f>
        <v>2.3397075000000003</v>
      </c>
      <c r="BI78" s="37">
        <f>developmentdata2019[[#This Row],[MGP (tons/day)]]*BI$1</f>
        <v>0.38055536999999995</v>
      </c>
      <c r="BJ78" s="37">
        <f>developmentdata2019[[#This Row],[Cardboard (tons/day)]]*BJ$1</f>
        <v>3.9426127650000004E-2</v>
      </c>
      <c r="BK78" s="37">
        <f>developmentdata2019[[#This Row],[Paper (tons/day)]]*BK$1</f>
        <v>6.4054522350000015E-4</v>
      </c>
      <c r="BL78" s="37">
        <f>developmentdata2019[[#This Row],[Organics (tons/day)]]*BL$1</f>
        <v>1.4305165056000005E-4</v>
      </c>
      <c r="BM78" s="37">
        <f>developmentdata2019[[#This Row],[E-Waste (tons/day)]]*BM$1</f>
        <v>1.8709301520000007E-6</v>
      </c>
      <c r="BN78" s="37">
        <f>developmentdata2019[[#This Row],[Textiles (tons/day)]]*BN$1</f>
        <v>3.5312564851200016E-7</v>
      </c>
      <c r="BO78" s="37">
        <f>developmentdata2019[[#This Row],[Trash (CY/day)]]*201.974</f>
        <v>472.56008260500005</v>
      </c>
      <c r="BP78" s="37">
        <f>developmentdata2019[[#This Row],[MGP (CY/day)]]*201.974</f>
        <v>76.862290300379982</v>
      </c>
      <c r="BQ78" s="37">
        <f>developmentdata2019[[#This Row],[Cardboard (CY/day)]]*201.974</f>
        <v>7.9630527059811005</v>
      </c>
      <c r="BR78" s="37">
        <f>developmentdata2019[[#This Row],[Paper  (CY/day)]]*201.974</f>
        <v>0.12937348097118903</v>
      </c>
      <c r="BS78" s="37">
        <f>developmentdata2019[[#This Row],[Organics (CY/day)]]*201.974</f>
        <v>2.8892714070205449E-2</v>
      </c>
      <c r="BT78" s="37">
        <f>developmentdata2019[[#This Row],[E-Waste (CY/day)]]*201.974</f>
        <v>3.778792465200481E-4</v>
      </c>
      <c r="BU78" s="37">
        <f>developmentdata2019[[#This Row],[Textiles (CY/day)]]*201.974</f>
        <v>7.1322199732562716E-5</v>
      </c>
    </row>
    <row r="79" spans="1:73" x14ac:dyDescent="0.2">
      <c r="A79" s="37" t="s">
        <v>998</v>
      </c>
      <c r="B79" s="115">
        <v>43466</v>
      </c>
      <c r="C79" s="37" t="s">
        <v>999</v>
      </c>
      <c r="D79">
        <v>312</v>
      </c>
      <c r="E79">
        <v>351</v>
      </c>
      <c r="F79">
        <v>331</v>
      </c>
      <c r="G79">
        <v>765</v>
      </c>
      <c r="H79" s="37" t="s">
        <v>1000</v>
      </c>
      <c r="I79" s="37" t="s">
        <v>577</v>
      </c>
      <c r="J79" s="37" t="s">
        <v>588</v>
      </c>
      <c r="K79" s="37" t="s">
        <v>597</v>
      </c>
      <c r="M79">
        <v>121</v>
      </c>
      <c r="N79">
        <v>121</v>
      </c>
      <c r="O79">
        <v>527.5</v>
      </c>
      <c r="P79">
        <v>4.3600000000000003</v>
      </c>
      <c r="R79">
        <v>241</v>
      </c>
      <c r="S79">
        <v>241</v>
      </c>
      <c r="T79">
        <v>33</v>
      </c>
      <c r="U79">
        <v>0.27500000000000002</v>
      </c>
      <c r="V79">
        <v>8</v>
      </c>
      <c r="W79">
        <v>0</v>
      </c>
      <c r="X79">
        <v>8</v>
      </c>
      <c r="Y79">
        <v>4</v>
      </c>
      <c r="Z79">
        <v>51255</v>
      </c>
      <c r="AA79">
        <v>1.18</v>
      </c>
      <c r="AB79">
        <v>51255</v>
      </c>
      <c r="AC79">
        <v>1.18</v>
      </c>
      <c r="AD79">
        <v>31650</v>
      </c>
      <c r="AE79">
        <v>1139400</v>
      </c>
      <c r="AF79">
        <v>0.61750000000000005</v>
      </c>
      <c r="AG79">
        <v>204</v>
      </c>
      <c r="AH79">
        <v>7974650</v>
      </c>
      <c r="AI79">
        <v>15118</v>
      </c>
      <c r="AJ79">
        <v>625</v>
      </c>
      <c r="AK79" s="37" t="s">
        <v>1001</v>
      </c>
      <c r="AL79" s="37" t="s">
        <v>673</v>
      </c>
      <c r="AM79" s="37" t="s">
        <v>833</v>
      </c>
      <c r="AN79" s="37" t="s">
        <v>1002</v>
      </c>
      <c r="AO79" s="37" t="s">
        <v>593</v>
      </c>
      <c r="AP79">
        <v>8</v>
      </c>
      <c r="AQ79" t="s">
        <v>1003</v>
      </c>
      <c r="AR79" t="s">
        <v>1004</v>
      </c>
      <c r="AS79" t="s">
        <v>1005</v>
      </c>
      <c r="AT79">
        <v>41</v>
      </c>
      <c r="AU79" s="115">
        <v>31659</v>
      </c>
      <c r="AV79" s="37"/>
      <c r="AW79" s="37"/>
      <c r="AX79" s="37" t="s">
        <v>621</v>
      </c>
      <c r="AY79" s="37"/>
      <c r="AZ79" s="37">
        <f>developmentdata2019[[#This Row],[NUMBER OF CURRENT APARTMENTS]]*5/2000</f>
        <v>0.30249999999999999</v>
      </c>
      <c r="BA79" s="37">
        <f>developmentdata2019[[#This Row],[Total]]*BA$1</f>
        <v>7.8649999999999998E-2</v>
      </c>
      <c r="BB79" s="37">
        <f>developmentdata2019[[#This Row],[Trash (tons/day)]]*BB$1</f>
        <v>1.49435E-2</v>
      </c>
      <c r="BC79" s="37">
        <f>developmentdata2019[[#This Row],[MGP (tons/day)]]*BC$1</f>
        <v>1.046045E-3</v>
      </c>
      <c r="BD79" s="37">
        <f>developmentdata2019[[#This Row],[Cardboard (tons/day)]]*BD$1</f>
        <v>7.3223150000000011E-5</v>
      </c>
      <c r="BE79" s="37">
        <f>developmentdata2019[[#This Row],[Paper (tons/day)]]*BE$1</f>
        <v>2.3431408000000003E-5</v>
      </c>
      <c r="BF79" s="37">
        <f>developmentdata2019[[#This Row],[Organics (tons/day)]]*BF$1</f>
        <v>2.3431408000000004E-7</v>
      </c>
      <c r="BG79" s="37">
        <f>developmentdata2019[[#This Row],[E-Waste (tons/day)]]*BG$1</f>
        <v>1.8745126400000004E-8</v>
      </c>
      <c r="BH79" s="37">
        <f>developmentdata2019[[#This Row],[Trash (tons/day)]]*BH$1</f>
        <v>1.6555825</v>
      </c>
      <c r="BI79" s="37">
        <f>developmentdata2019[[#This Row],[MGP (tons/day)]]*BI$1</f>
        <v>0.26928186999999998</v>
      </c>
      <c r="BJ79" s="37">
        <f>developmentdata2019[[#This Row],[Cardboard (tons/day)]]*BJ$1</f>
        <v>2.7898020150000001E-2</v>
      </c>
      <c r="BK79" s="37">
        <f>developmentdata2019[[#This Row],[Paper (tons/day)]]*BK$1</f>
        <v>4.5325129850000011E-4</v>
      </c>
      <c r="BL79" s="37">
        <f>developmentdata2019[[#This Row],[Organics (tons/day)]]*BL$1</f>
        <v>1.0122368256000002E-4</v>
      </c>
      <c r="BM79" s="37">
        <f>developmentdata2019[[#This Row],[E-Waste (tons/day)]]*BM$1</f>
        <v>1.3238745520000004E-6</v>
      </c>
      <c r="BN79" s="37">
        <f>developmentdata2019[[#This Row],[Textiles (tons/day)]]*BN$1</f>
        <v>2.4987253491200004E-7</v>
      </c>
      <c r="BO79" s="37">
        <f>developmentdata2019[[#This Row],[Trash (CY/day)]]*201.974</f>
        <v>334.38461985499998</v>
      </c>
      <c r="BP79" s="37">
        <f>developmentdata2019[[#This Row],[MGP (CY/day)]]*201.974</f>
        <v>54.387936411379989</v>
      </c>
      <c r="BQ79" s="37">
        <f>developmentdata2019[[#This Row],[Cardboard (CY/day)]]*201.974</f>
        <v>5.6346747217760997</v>
      </c>
      <c r="BR79" s="37">
        <f>developmentdata2019[[#This Row],[Paper  (CY/day)]]*201.974</f>
        <v>9.1544977763239013E-2</v>
      </c>
      <c r="BS79" s="37">
        <f>developmentdata2019[[#This Row],[Organics (CY/day)]]*201.974</f>
        <v>2.0444552061373442E-2</v>
      </c>
      <c r="BT79" s="37">
        <f>developmentdata2019[[#This Row],[E-Waste (CY/day)]]*201.974</f>
        <v>2.6738823876564806E-4</v>
      </c>
      <c r="BU79" s="37">
        <f>developmentdata2019[[#This Row],[Textiles (CY/day)]]*201.974</f>
        <v>5.0467755366316293E-5</v>
      </c>
    </row>
    <row r="80" spans="1:73" x14ac:dyDescent="0.2">
      <c r="A80" s="37" t="s">
        <v>1006</v>
      </c>
      <c r="B80" s="115">
        <v>43466</v>
      </c>
      <c r="C80" s="37" t="s">
        <v>1007</v>
      </c>
      <c r="D80">
        <v>70</v>
      </c>
      <c r="E80">
        <v>70</v>
      </c>
      <c r="F80">
        <v>536</v>
      </c>
      <c r="G80">
        <v>536</v>
      </c>
      <c r="H80" s="37" t="s">
        <v>1008</v>
      </c>
      <c r="I80" s="37" t="s">
        <v>577</v>
      </c>
      <c r="J80" s="37" t="s">
        <v>578</v>
      </c>
      <c r="K80" s="37" t="s">
        <v>579</v>
      </c>
      <c r="M80">
        <v>1439</v>
      </c>
      <c r="N80">
        <v>1444</v>
      </c>
      <c r="O80">
        <v>6588.5</v>
      </c>
      <c r="P80">
        <v>4.58</v>
      </c>
      <c r="R80">
        <v>3250</v>
      </c>
      <c r="S80">
        <v>3250</v>
      </c>
      <c r="T80">
        <v>519</v>
      </c>
      <c r="U80">
        <v>0.36399999999999999</v>
      </c>
      <c r="V80">
        <v>15</v>
      </c>
      <c r="W80">
        <v>0</v>
      </c>
      <c r="X80">
        <v>30</v>
      </c>
      <c r="Y80">
        <v>7</v>
      </c>
      <c r="Z80">
        <v>1264130</v>
      </c>
      <c r="AA80">
        <v>29.02</v>
      </c>
      <c r="AB80">
        <v>1264130</v>
      </c>
      <c r="AC80">
        <v>29.02</v>
      </c>
      <c r="AD80">
        <v>223364</v>
      </c>
      <c r="AE80">
        <v>12338237</v>
      </c>
      <c r="AF80">
        <v>0.1767</v>
      </c>
      <c r="AG80">
        <v>112</v>
      </c>
      <c r="AH80">
        <v>14773000</v>
      </c>
      <c r="AI80">
        <v>2247</v>
      </c>
      <c r="AJ80">
        <v>517</v>
      </c>
      <c r="AK80" s="37" t="s">
        <v>591</v>
      </c>
      <c r="AL80" s="37" t="s">
        <v>1009</v>
      </c>
      <c r="AM80" s="37" t="s">
        <v>806</v>
      </c>
      <c r="AN80" s="37" t="s">
        <v>1010</v>
      </c>
      <c r="AO80" s="37" t="s">
        <v>593</v>
      </c>
      <c r="AP80">
        <v>5</v>
      </c>
      <c r="AQ80">
        <v>8</v>
      </c>
      <c r="AR80" t="s">
        <v>1011</v>
      </c>
      <c r="AS80">
        <v>60</v>
      </c>
      <c r="AT80">
        <v>42</v>
      </c>
      <c r="AU80" s="115">
        <v>20234</v>
      </c>
      <c r="AV80" s="37" t="s">
        <v>680</v>
      </c>
      <c r="AW80" s="37"/>
      <c r="AX80" s="37"/>
      <c r="AY80" s="37"/>
      <c r="AZ80" s="37">
        <f>developmentdata2019[[#This Row],[NUMBER OF CURRENT APARTMENTS]]*5/2000</f>
        <v>3.5975000000000001</v>
      </c>
      <c r="BA80" s="37">
        <f>developmentdata2019[[#This Row],[Total]]*BA$1</f>
        <v>0.93535000000000001</v>
      </c>
      <c r="BB80" s="37">
        <f>developmentdata2019[[#This Row],[Trash (tons/day)]]*BB$1</f>
        <v>0.1777165</v>
      </c>
      <c r="BC80" s="37">
        <f>developmentdata2019[[#This Row],[MGP (tons/day)]]*BC$1</f>
        <v>1.2440155000000001E-2</v>
      </c>
      <c r="BD80" s="37">
        <f>developmentdata2019[[#This Row],[Cardboard (tons/day)]]*BD$1</f>
        <v>8.7081085000000015E-4</v>
      </c>
      <c r="BE80" s="37">
        <f>developmentdata2019[[#This Row],[Paper (tons/day)]]*BE$1</f>
        <v>2.7865947200000007E-4</v>
      </c>
      <c r="BF80" s="37">
        <f>developmentdata2019[[#This Row],[Organics (tons/day)]]*BF$1</f>
        <v>2.7865947200000009E-6</v>
      </c>
      <c r="BG80" s="37">
        <f>developmentdata2019[[#This Row],[E-Waste (tons/day)]]*BG$1</f>
        <v>2.2292757760000007E-7</v>
      </c>
      <c r="BH80" s="37">
        <f>developmentdata2019[[#This Row],[Trash (tons/day)]]*BH$1</f>
        <v>19.689117500000002</v>
      </c>
      <c r="BI80" s="37">
        <f>developmentdata2019[[#This Row],[MGP (tons/day)]]*BI$1</f>
        <v>3.2024513299999997</v>
      </c>
      <c r="BJ80" s="37">
        <f>developmentdata2019[[#This Row],[Cardboard (tons/day)]]*BJ$1</f>
        <v>0.33177893385000007</v>
      </c>
      <c r="BK80" s="37">
        <f>developmentdata2019[[#This Row],[Paper (tons/day)]]*BK$1</f>
        <v>5.3903191615000011E-3</v>
      </c>
      <c r="BL80" s="37">
        <f>developmentdata2019[[#This Row],[Organics (tons/day)]]*BL$1</f>
        <v>1.2038089190400004E-3</v>
      </c>
      <c r="BM80" s="37">
        <f>developmentdata2019[[#This Row],[E-Waste (tons/day)]]*BM$1</f>
        <v>1.5744260168000005E-5</v>
      </c>
      <c r="BN80" s="37">
        <f>developmentdata2019[[#This Row],[Textiles (tons/day)]]*BN$1</f>
        <v>2.9716246094080008E-6</v>
      </c>
      <c r="BO80" s="37">
        <f>developmentdata2019[[#This Row],[Trash (CY/day)]]*201.974</f>
        <v>3976.689817945</v>
      </c>
      <c r="BP80" s="37">
        <f>developmentdata2019[[#This Row],[MGP (CY/day)]]*201.974</f>
        <v>646.81190492541987</v>
      </c>
      <c r="BQ80" s="37">
        <f>developmentdata2019[[#This Row],[Cardboard (CY/day)]]*201.974</f>
        <v>67.010718385419906</v>
      </c>
      <c r="BR80" s="37">
        <f>developmentdata2019[[#This Row],[Paper  (CY/day)]]*201.974</f>
        <v>1.0887043223248012</v>
      </c>
      <c r="BS80" s="37">
        <f>developmentdata2019[[#This Row],[Organics (CY/day)]]*201.974</f>
        <v>0.24313810261418503</v>
      </c>
      <c r="BT80" s="37">
        <f>developmentdata2019[[#This Row],[E-Waste (CY/day)]]*201.974</f>
        <v>3.1799312031716327E-3</v>
      </c>
      <c r="BU80" s="37">
        <f>developmentdata2019[[#This Row],[Textiles (CY/day)]]*201.974</f>
        <v>6.0019090886057156E-4</v>
      </c>
    </row>
    <row r="81" spans="1:73" x14ac:dyDescent="0.2">
      <c r="A81" s="37" t="s">
        <v>397</v>
      </c>
      <c r="B81" s="115">
        <v>43466</v>
      </c>
      <c r="C81" s="37" t="s">
        <v>929</v>
      </c>
      <c r="D81">
        <v>190</v>
      </c>
      <c r="E81">
        <v>342</v>
      </c>
      <c r="F81">
        <v>301</v>
      </c>
      <c r="G81">
        <v>301</v>
      </c>
      <c r="H81" s="37" t="s">
        <v>1012</v>
      </c>
      <c r="I81" s="37" t="s">
        <v>577</v>
      </c>
      <c r="J81" s="37" t="s">
        <v>578</v>
      </c>
      <c r="K81" s="37" t="s">
        <v>579</v>
      </c>
      <c r="M81">
        <v>175</v>
      </c>
      <c r="N81">
        <v>175</v>
      </c>
      <c r="O81">
        <v>841.5</v>
      </c>
      <c r="P81">
        <v>4.8099999999999996</v>
      </c>
      <c r="R81">
        <v>479</v>
      </c>
      <c r="S81">
        <v>479</v>
      </c>
      <c r="T81">
        <v>69</v>
      </c>
      <c r="U81">
        <v>0.39400000000000002</v>
      </c>
      <c r="V81">
        <v>1</v>
      </c>
      <c r="W81">
        <v>0</v>
      </c>
      <c r="X81">
        <v>2</v>
      </c>
      <c r="Y81">
        <v>8</v>
      </c>
      <c r="Z81">
        <v>82967</v>
      </c>
      <c r="AA81">
        <v>1.9</v>
      </c>
      <c r="AB81">
        <v>82967</v>
      </c>
      <c r="AC81">
        <v>1.9</v>
      </c>
      <c r="AD81">
        <v>24796</v>
      </c>
      <c r="AE81">
        <v>1647000</v>
      </c>
      <c r="AF81">
        <v>0.2989</v>
      </c>
      <c r="AG81">
        <v>252</v>
      </c>
      <c r="AH81">
        <v>8704709</v>
      </c>
      <c r="AI81">
        <v>10259</v>
      </c>
      <c r="AJ81">
        <v>544</v>
      </c>
      <c r="AK81" s="37" t="s">
        <v>1013</v>
      </c>
      <c r="AL81" s="37" t="s">
        <v>1014</v>
      </c>
      <c r="AM81" s="37" t="s">
        <v>1015</v>
      </c>
      <c r="AN81" s="37" t="s">
        <v>663</v>
      </c>
      <c r="AO81" s="37" t="s">
        <v>584</v>
      </c>
      <c r="AP81">
        <v>3</v>
      </c>
      <c r="AQ81">
        <v>15</v>
      </c>
      <c r="AR81">
        <v>32</v>
      </c>
      <c r="AS81">
        <v>79</v>
      </c>
      <c r="AT81">
        <v>17</v>
      </c>
      <c r="AU81" s="115">
        <v>26907</v>
      </c>
      <c r="AV81" s="37"/>
      <c r="AW81" s="37" t="s">
        <v>693</v>
      </c>
      <c r="AX81" s="37"/>
      <c r="AY81" s="37"/>
      <c r="AZ81" s="37">
        <f>developmentdata2019[[#This Row],[NUMBER OF CURRENT APARTMENTS]]*5/2000</f>
        <v>0.4375</v>
      </c>
      <c r="BA81" s="37">
        <f>developmentdata2019[[#This Row],[Total]]*BA$1</f>
        <v>0.11375</v>
      </c>
      <c r="BB81" s="37">
        <f>developmentdata2019[[#This Row],[Trash (tons/day)]]*BB$1</f>
        <v>2.16125E-2</v>
      </c>
      <c r="BC81" s="37">
        <f>developmentdata2019[[#This Row],[MGP (tons/day)]]*BC$1</f>
        <v>1.5128750000000001E-3</v>
      </c>
      <c r="BD81" s="37">
        <f>developmentdata2019[[#This Row],[Cardboard (tons/day)]]*BD$1</f>
        <v>1.0590125000000002E-4</v>
      </c>
      <c r="BE81" s="37">
        <f>developmentdata2019[[#This Row],[Paper (tons/day)]]*BE$1</f>
        <v>3.3888400000000006E-5</v>
      </c>
      <c r="BF81" s="37">
        <f>developmentdata2019[[#This Row],[Organics (tons/day)]]*BF$1</f>
        <v>3.3888400000000009E-7</v>
      </c>
      <c r="BG81" s="37">
        <f>developmentdata2019[[#This Row],[E-Waste (tons/day)]]*BG$1</f>
        <v>2.7110720000000007E-8</v>
      </c>
      <c r="BH81" s="37">
        <f>developmentdata2019[[#This Row],[Trash (tons/day)]]*BH$1</f>
        <v>2.3944375</v>
      </c>
      <c r="BI81" s="37">
        <f>developmentdata2019[[#This Row],[MGP (tons/day)]]*BI$1</f>
        <v>0.38945724999999998</v>
      </c>
      <c r="BJ81" s="37">
        <f>developmentdata2019[[#This Row],[Cardboard (tons/day)]]*BJ$1</f>
        <v>4.0348376250000005E-2</v>
      </c>
      <c r="BK81" s="37">
        <f>developmentdata2019[[#This Row],[Paper (tons/day)]]*BK$1</f>
        <v>6.5552873750000015E-4</v>
      </c>
      <c r="BL81" s="37">
        <f>developmentdata2019[[#This Row],[Organics (tons/day)]]*BL$1</f>
        <v>1.4639788800000004E-4</v>
      </c>
      <c r="BM81" s="37">
        <f>developmentdata2019[[#This Row],[E-Waste (tons/day)]]*BM$1</f>
        <v>1.9146946000000008E-6</v>
      </c>
      <c r="BN81" s="37">
        <f>developmentdata2019[[#This Row],[Textiles (tons/day)]]*BN$1</f>
        <v>3.613858976000001E-7</v>
      </c>
      <c r="BO81" s="37">
        <f>developmentdata2019[[#This Row],[Trash (CY/day)]]*201.974</f>
        <v>483.614119625</v>
      </c>
      <c r="BP81" s="37">
        <f>developmentdata2019[[#This Row],[MGP (CY/day)]]*201.974</f>
        <v>78.660238611499992</v>
      </c>
      <c r="BQ81" s="37">
        <f>developmentdata2019[[#This Row],[Cardboard (CY/day)]]*201.974</f>
        <v>8.1493229447175004</v>
      </c>
      <c r="BR81" s="37">
        <f>developmentdata2019[[#This Row],[Paper  (CY/day)]]*201.974</f>
        <v>0.13239976122782501</v>
      </c>
      <c r="BS81" s="37">
        <f>developmentdata2019[[#This Row],[Organics (CY/day)]]*201.974</f>
        <v>2.9568567030912006E-2</v>
      </c>
      <c r="BT81" s="37">
        <f>developmentdata2019[[#This Row],[E-Waste (CY/day)]]*201.974</f>
        <v>3.8671852714040016E-4</v>
      </c>
      <c r="BU81" s="37">
        <f>developmentdata2019[[#This Row],[Textiles (CY/day)]]*201.974</f>
        <v>7.299055528186242E-5</v>
      </c>
    </row>
    <row r="82" spans="1:73" x14ac:dyDescent="0.2">
      <c r="A82" s="37" t="s">
        <v>1016</v>
      </c>
      <c r="B82" s="115">
        <v>43466</v>
      </c>
      <c r="C82" s="37" t="s">
        <v>1017</v>
      </c>
      <c r="D82">
        <v>155</v>
      </c>
      <c r="E82">
        <v>127</v>
      </c>
      <c r="F82">
        <v>265</v>
      </c>
      <c r="G82">
        <v>259</v>
      </c>
      <c r="H82" s="37" t="s">
        <v>1018</v>
      </c>
      <c r="I82" s="37" t="s">
        <v>577</v>
      </c>
      <c r="J82" s="37" t="s">
        <v>578</v>
      </c>
      <c r="K82" s="37" t="s">
        <v>579</v>
      </c>
      <c r="M82">
        <v>219</v>
      </c>
      <c r="N82">
        <v>223</v>
      </c>
      <c r="O82">
        <v>953.5</v>
      </c>
      <c r="P82">
        <v>4.3499999999999996</v>
      </c>
      <c r="R82">
        <v>453</v>
      </c>
      <c r="S82">
        <v>453</v>
      </c>
      <c r="T82">
        <v>87</v>
      </c>
      <c r="U82">
        <v>0.40699999999999997</v>
      </c>
      <c r="V82">
        <v>1</v>
      </c>
      <c r="W82">
        <v>0</v>
      </c>
      <c r="X82">
        <v>1</v>
      </c>
      <c r="Y82">
        <v>22</v>
      </c>
      <c r="Z82">
        <v>32690</v>
      </c>
      <c r="AA82">
        <v>0.75</v>
      </c>
      <c r="AB82">
        <v>32690</v>
      </c>
      <c r="AC82">
        <v>0.75</v>
      </c>
      <c r="AD82">
        <v>10319</v>
      </c>
      <c r="AE82">
        <v>1794597</v>
      </c>
      <c r="AF82">
        <v>0.31569999999999998</v>
      </c>
      <c r="AG82">
        <v>604</v>
      </c>
      <c r="AH82">
        <v>4044899</v>
      </c>
      <c r="AI82">
        <v>4130</v>
      </c>
      <c r="AJ82">
        <v>532</v>
      </c>
      <c r="AK82" s="37" t="s">
        <v>618</v>
      </c>
      <c r="AL82" s="37" t="s">
        <v>1019</v>
      </c>
      <c r="AM82" s="37" t="s">
        <v>1020</v>
      </c>
      <c r="AN82" s="37" t="s">
        <v>1021</v>
      </c>
      <c r="AO82" s="37" t="s">
        <v>608</v>
      </c>
      <c r="AP82">
        <v>7</v>
      </c>
      <c r="AQ82">
        <v>10</v>
      </c>
      <c r="AR82">
        <v>30</v>
      </c>
      <c r="AS82">
        <v>69</v>
      </c>
      <c r="AT82">
        <v>6</v>
      </c>
      <c r="AU82" s="115">
        <v>25290</v>
      </c>
      <c r="AV82" s="37"/>
      <c r="AW82" s="37"/>
      <c r="AX82" s="37"/>
      <c r="AY82" s="37"/>
      <c r="AZ82" s="37">
        <f>developmentdata2019[[#This Row],[NUMBER OF CURRENT APARTMENTS]]*5/2000</f>
        <v>0.54749999999999999</v>
      </c>
      <c r="BA82" s="37">
        <f>developmentdata2019[[#This Row],[Total]]*BA$1</f>
        <v>0.14235</v>
      </c>
      <c r="BB82" s="37">
        <f>developmentdata2019[[#This Row],[Trash (tons/day)]]*BB$1</f>
        <v>2.7046500000000001E-2</v>
      </c>
      <c r="BC82" s="37">
        <f>developmentdata2019[[#This Row],[MGP (tons/day)]]*BC$1</f>
        <v>1.8932550000000002E-3</v>
      </c>
      <c r="BD82" s="37">
        <f>developmentdata2019[[#This Row],[Cardboard (tons/day)]]*BD$1</f>
        <v>1.3252785000000003E-4</v>
      </c>
      <c r="BE82" s="37">
        <f>developmentdata2019[[#This Row],[Paper (tons/day)]]*BE$1</f>
        <v>4.2408912000000013E-5</v>
      </c>
      <c r="BF82" s="37">
        <f>developmentdata2019[[#This Row],[Organics (tons/day)]]*BF$1</f>
        <v>4.2408912000000012E-7</v>
      </c>
      <c r="BG82" s="37">
        <f>developmentdata2019[[#This Row],[E-Waste (tons/day)]]*BG$1</f>
        <v>3.3927129600000012E-8</v>
      </c>
      <c r="BH82" s="37">
        <f>developmentdata2019[[#This Row],[Trash (tons/day)]]*BH$1</f>
        <v>2.9964675000000001</v>
      </c>
      <c r="BI82" s="37">
        <f>developmentdata2019[[#This Row],[MGP (tons/day)]]*BI$1</f>
        <v>0.48737793000000001</v>
      </c>
      <c r="BJ82" s="37">
        <f>developmentdata2019[[#This Row],[Cardboard (tons/day)]]*BJ$1</f>
        <v>5.0493110850000009E-2</v>
      </c>
      <c r="BK82" s="37">
        <f>developmentdata2019[[#This Row],[Paper (tons/day)]]*BK$1</f>
        <v>8.203473915000003E-4</v>
      </c>
      <c r="BL82" s="37">
        <f>developmentdata2019[[#This Row],[Organics (tons/day)]]*BL$1</f>
        <v>1.8320649984000006E-4</v>
      </c>
      <c r="BM82" s="37">
        <f>developmentdata2019[[#This Row],[E-Waste (tons/day)]]*BM$1</f>
        <v>2.3961035280000007E-6</v>
      </c>
      <c r="BN82" s="37">
        <f>developmentdata2019[[#This Row],[Textiles (tons/day)]]*BN$1</f>
        <v>4.5224863756800015E-7</v>
      </c>
      <c r="BO82" s="37">
        <f>developmentdata2019[[#This Row],[Trash (CY/day)]]*201.974</f>
        <v>605.20852684499994</v>
      </c>
      <c r="BP82" s="37">
        <f>developmentdata2019[[#This Row],[MGP (CY/day)]]*201.974</f>
        <v>98.437670033819998</v>
      </c>
      <c r="BQ82" s="37">
        <f>developmentdata2019[[#This Row],[Cardboard (CY/day)]]*201.974</f>
        <v>10.198295570817901</v>
      </c>
      <c r="BR82" s="37">
        <f>developmentdata2019[[#This Row],[Paper  (CY/day)]]*201.974</f>
        <v>0.16568884405082104</v>
      </c>
      <c r="BS82" s="37">
        <f>developmentdata2019[[#This Row],[Organics (CY/day)]]*201.974</f>
        <v>3.7002949598684172E-2</v>
      </c>
      <c r="BT82" s="37">
        <f>developmentdata2019[[#This Row],[E-Waste (CY/day)]]*201.974</f>
        <v>4.8395061396427214E-4</v>
      </c>
      <c r="BU82" s="37">
        <f>developmentdata2019[[#This Row],[Textiles (CY/day)]]*201.974</f>
        <v>9.1342466324159253E-5</v>
      </c>
    </row>
    <row r="83" spans="1:73" x14ac:dyDescent="0.2">
      <c r="A83" s="37" t="s">
        <v>341</v>
      </c>
      <c r="B83" s="115">
        <v>43466</v>
      </c>
      <c r="C83" s="37"/>
      <c r="D83" t="s">
        <v>1022</v>
      </c>
      <c r="E83">
        <v>82</v>
      </c>
      <c r="F83">
        <v>569</v>
      </c>
      <c r="G83">
        <v>569</v>
      </c>
      <c r="H83" s="37" t="s">
        <v>1023</v>
      </c>
      <c r="I83" s="37" t="s">
        <v>577</v>
      </c>
      <c r="J83" s="37" t="s">
        <v>578</v>
      </c>
      <c r="K83" s="37" t="s">
        <v>579</v>
      </c>
      <c r="M83">
        <v>2054</v>
      </c>
      <c r="N83">
        <v>2058</v>
      </c>
      <c r="O83">
        <v>9269</v>
      </c>
      <c r="P83">
        <v>4.51</v>
      </c>
      <c r="R83">
        <v>4240</v>
      </c>
      <c r="S83">
        <v>4240</v>
      </c>
      <c r="T83">
        <v>850</v>
      </c>
      <c r="U83">
        <v>0.41599999999999998</v>
      </c>
      <c r="V83">
        <v>17</v>
      </c>
      <c r="W83">
        <v>0</v>
      </c>
      <c r="X83">
        <v>17</v>
      </c>
      <c r="Y83" t="s">
        <v>1024</v>
      </c>
      <c r="Z83">
        <v>947991</v>
      </c>
      <c r="AA83">
        <v>21.76</v>
      </c>
      <c r="AB83">
        <v>863250</v>
      </c>
      <c r="AC83">
        <v>19.82</v>
      </c>
      <c r="AD83">
        <v>138552</v>
      </c>
      <c r="AE83">
        <v>17567741</v>
      </c>
      <c r="AF83">
        <v>0.1462</v>
      </c>
      <c r="AG83">
        <v>195</v>
      </c>
      <c r="AH83">
        <v>37441000</v>
      </c>
      <c r="AI83">
        <v>4062</v>
      </c>
      <c r="AJ83">
        <v>564</v>
      </c>
      <c r="AK83" s="37" t="s">
        <v>1025</v>
      </c>
      <c r="AL83" s="37" t="s">
        <v>784</v>
      </c>
      <c r="AM83" s="37" t="s">
        <v>658</v>
      </c>
      <c r="AN83" s="37" t="s">
        <v>618</v>
      </c>
      <c r="AO83" s="37" t="s">
        <v>608</v>
      </c>
      <c r="AP83">
        <v>7</v>
      </c>
      <c r="AQ83">
        <v>13</v>
      </c>
      <c r="AR83">
        <v>30</v>
      </c>
      <c r="AS83">
        <v>69</v>
      </c>
      <c r="AT83">
        <v>7</v>
      </c>
      <c r="AU83" s="115">
        <v>21453</v>
      </c>
      <c r="AV83" s="37" t="s">
        <v>1026</v>
      </c>
      <c r="AW83" s="37"/>
      <c r="AX83" s="37"/>
      <c r="AY83" s="37"/>
      <c r="AZ83" s="37">
        <f>developmentdata2019[[#This Row],[NUMBER OF CURRENT APARTMENTS]]*5/2000</f>
        <v>5.1349999999999998</v>
      </c>
      <c r="BA83" s="37">
        <f>developmentdata2019[[#This Row],[Total]]*BA$1</f>
        <v>1.3351</v>
      </c>
      <c r="BB83" s="37">
        <f>developmentdata2019[[#This Row],[Trash (tons/day)]]*BB$1</f>
        <v>0.25366899999999998</v>
      </c>
      <c r="BC83" s="37">
        <f>developmentdata2019[[#This Row],[MGP (tons/day)]]*BC$1</f>
        <v>1.7756830000000001E-2</v>
      </c>
      <c r="BD83" s="37">
        <f>developmentdata2019[[#This Row],[Cardboard (tons/day)]]*BD$1</f>
        <v>1.2429781000000003E-3</v>
      </c>
      <c r="BE83" s="37">
        <f>developmentdata2019[[#This Row],[Paper (tons/day)]]*BE$1</f>
        <v>3.9775299200000012E-4</v>
      </c>
      <c r="BF83" s="37">
        <f>developmentdata2019[[#This Row],[Organics (tons/day)]]*BF$1</f>
        <v>3.9775299200000014E-6</v>
      </c>
      <c r="BG83" s="37">
        <f>developmentdata2019[[#This Row],[E-Waste (tons/day)]]*BG$1</f>
        <v>3.1820239360000011E-7</v>
      </c>
      <c r="BH83" s="37">
        <f>developmentdata2019[[#This Row],[Trash (tons/day)]]*BH$1</f>
        <v>28.103854999999999</v>
      </c>
      <c r="BI83" s="37">
        <f>developmentdata2019[[#This Row],[MGP (tons/day)]]*BI$1</f>
        <v>4.5711153799999993</v>
      </c>
      <c r="BJ83" s="37">
        <f>developmentdata2019[[#This Row],[Cardboard (tons/day)]]*BJ$1</f>
        <v>0.47357465610000005</v>
      </c>
      <c r="BK83" s="37">
        <f>developmentdata2019[[#This Row],[Paper (tons/day)]]*BK$1</f>
        <v>7.6940344390000028E-3</v>
      </c>
      <c r="BL83" s="37">
        <f>developmentdata2019[[#This Row],[Organics (tons/day)]]*BL$1</f>
        <v>1.7182929254400006E-3</v>
      </c>
      <c r="BM83" s="37">
        <f>developmentdata2019[[#This Row],[E-Waste (tons/day)]]*BM$1</f>
        <v>2.2473044048000009E-5</v>
      </c>
      <c r="BN83" s="37">
        <f>developmentdata2019[[#This Row],[Textiles (tons/day)]]*BN$1</f>
        <v>4.2416379066880011E-6</v>
      </c>
      <c r="BO83" s="37">
        <f>developmentdata2019[[#This Row],[Trash (CY/day)]]*201.974</f>
        <v>5676.24800977</v>
      </c>
      <c r="BP83" s="37">
        <f>developmentdata2019[[#This Row],[MGP (CY/day)]]*201.974</f>
        <v>923.24645776011982</v>
      </c>
      <c r="BQ83" s="37">
        <f>developmentdata2019[[#This Row],[Cardboard (CY/day)]]*201.974</f>
        <v>95.649767591141398</v>
      </c>
      <c r="BR83" s="37">
        <f>developmentdata2019[[#This Row],[Paper  (CY/day)]]*201.974</f>
        <v>1.5539949117825864</v>
      </c>
      <c r="BS83" s="37">
        <f>developmentdata2019[[#This Row],[Organics (CY/day)]]*201.974</f>
        <v>0.34705049532281868</v>
      </c>
      <c r="BT83" s="37">
        <f>developmentdata2019[[#This Row],[E-Waste (CY/day)]]*201.974</f>
        <v>4.5389705985507539E-3</v>
      </c>
      <c r="BU83" s="37">
        <f>developmentdata2019[[#This Row],[Textiles (CY/day)]]*201.974</f>
        <v>8.5670057456540226E-4</v>
      </c>
    </row>
    <row r="84" spans="1:73" x14ac:dyDescent="0.2">
      <c r="A84" s="37" t="s">
        <v>343</v>
      </c>
      <c r="B84" s="115">
        <v>43466</v>
      </c>
      <c r="C84" s="37" t="s">
        <v>655</v>
      </c>
      <c r="D84">
        <v>148</v>
      </c>
      <c r="E84">
        <v>82</v>
      </c>
      <c r="F84">
        <v>569</v>
      </c>
      <c r="G84">
        <v>569</v>
      </c>
      <c r="H84" s="37" t="s">
        <v>1023</v>
      </c>
      <c r="I84" s="37" t="s">
        <v>577</v>
      </c>
      <c r="J84" s="37" t="s">
        <v>578</v>
      </c>
      <c r="K84" s="37" t="s">
        <v>579</v>
      </c>
      <c r="M84">
        <v>135</v>
      </c>
      <c r="N84">
        <v>135</v>
      </c>
      <c r="O84">
        <v>667.5</v>
      </c>
      <c r="P84">
        <v>4.9400000000000004</v>
      </c>
      <c r="R84">
        <v>337</v>
      </c>
      <c r="S84">
        <v>337</v>
      </c>
      <c r="T84">
        <v>50</v>
      </c>
      <c r="U84">
        <v>0.37</v>
      </c>
      <c r="V84">
        <v>1</v>
      </c>
      <c r="W84">
        <v>0</v>
      </c>
      <c r="X84">
        <v>1</v>
      </c>
      <c r="Y84">
        <v>16</v>
      </c>
      <c r="Z84">
        <v>23957</v>
      </c>
      <c r="AA84">
        <v>0.55000000000000004</v>
      </c>
      <c r="AB84">
        <v>23957</v>
      </c>
      <c r="AC84">
        <v>0.55000000000000004</v>
      </c>
      <c r="AD84">
        <v>8884</v>
      </c>
      <c r="AE84">
        <v>1289500</v>
      </c>
      <c r="AF84">
        <v>0.37080000000000002</v>
      </c>
      <c r="AG84">
        <v>613</v>
      </c>
      <c r="AH84">
        <v>3783000</v>
      </c>
      <c r="AI84">
        <v>5667</v>
      </c>
      <c r="AJ84">
        <v>600</v>
      </c>
      <c r="AK84" s="37" t="s">
        <v>1027</v>
      </c>
      <c r="AL84" s="37" t="s">
        <v>1028</v>
      </c>
      <c r="AM84" s="37" t="s">
        <v>618</v>
      </c>
      <c r="AN84" s="37"/>
      <c r="AO84" s="37" t="s">
        <v>608</v>
      </c>
      <c r="AP84">
        <v>7</v>
      </c>
      <c r="AQ84">
        <v>10</v>
      </c>
      <c r="AR84">
        <v>30</v>
      </c>
      <c r="AS84">
        <v>69</v>
      </c>
      <c r="AT84">
        <v>7</v>
      </c>
      <c r="AU84" s="115">
        <v>23923</v>
      </c>
      <c r="AV84" s="37" t="s">
        <v>1026</v>
      </c>
      <c r="AW84" s="37"/>
      <c r="AX84" s="37"/>
      <c r="AY84" s="37"/>
      <c r="AZ84" s="37">
        <f>developmentdata2019[[#This Row],[NUMBER OF CURRENT APARTMENTS]]*5/2000</f>
        <v>0.33750000000000002</v>
      </c>
      <c r="BA84" s="37">
        <f>developmentdata2019[[#This Row],[Total]]*BA$1</f>
        <v>8.7750000000000009E-2</v>
      </c>
      <c r="BB84" s="37">
        <f>developmentdata2019[[#This Row],[Trash (tons/day)]]*BB$1</f>
        <v>1.6672500000000003E-2</v>
      </c>
      <c r="BC84" s="37">
        <f>developmentdata2019[[#This Row],[MGP (tons/day)]]*BC$1</f>
        <v>1.1670750000000003E-3</v>
      </c>
      <c r="BD84" s="37">
        <f>developmentdata2019[[#This Row],[Cardboard (tons/day)]]*BD$1</f>
        <v>8.1695250000000027E-5</v>
      </c>
      <c r="BE84" s="37">
        <f>developmentdata2019[[#This Row],[Paper (tons/day)]]*BE$1</f>
        <v>2.6142480000000008E-5</v>
      </c>
      <c r="BF84" s="37">
        <f>developmentdata2019[[#This Row],[Organics (tons/day)]]*BF$1</f>
        <v>2.6142480000000007E-7</v>
      </c>
      <c r="BG84" s="37">
        <f>developmentdata2019[[#This Row],[E-Waste (tons/day)]]*BG$1</f>
        <v>2.0913984000000006E-8</v>
      </c>
      <c r="BH84" s="37">
        <f>developmentdata2019[[#This Row],[Trash (tons/day)]]*BH$1</f>
        <v>1.8471375000000003</v>
      </c>
      <c r="BI84" s="37">
        <f>developmentdata2019[[#This Row],[MGP (tons/day)]]*BI$1</f>
        <v>0.30043845000000008</v>
      </c>
      <c r="BJ84" s="37">
        <f>developmentdata2019[[#This Row],[Cardboard (tons/day)]]*BJ$1</f>
        <v>3.112589025000001E-2</v>
      </c>
      <c r="BK84" s="37">
        <f>developmentdata2019[[#This Row],[Paper (tons/day)]]*BK$1</f>
        <v>5.056935975000002E-4</v>
      </c>
      <c r="BL84" s="37">
        <f>developmentdata2019[[#This Row],[Organics (tons/day)]]*BL$1</f>
        <v>1.1293551360000004E-4</v>
      </c>
      <c r="BM84" s="37">
        <f>developmentdata2019[[#This Row],[E-Waste (tons/day)]]*BM$1</f>
        <v>1.4770501200000005E-6</v>
      </c>
      <c r="BN84" s="37">
        <f>developmentdata2019[[#This Row],[Textiles (tons/day)]]*BN$1</f>
        <v>2.7878340672000006E-7</v>
      </c>
      <c r="BO84" s="37">
        <f>developmentdata2019[[#This Row],[Trash (CY/day)]]*201.974</f>
        <v>373.07374942500007</v>
      </c>
      <c r="BP84" s="37">
        <f>developmentdata2019[[#This Row],[MGP (CY/day)]]*201.974</f>
        <v>60.680755500300016</v>
      </c>
      <c r="BQ84" s="37">
        <f>developmentdata2019[[#This Row],[Cardboard (CY/day)]]*201.974</f>
        <v>6.2866205573535021</v>
      </c>
      <c r="BR84" s="37">
        <f>developmentdata2019[[#This Row],[Paper  (CY/day)]]*201.974</f>
        <v>0.10213695866146504</v>
      </c>
      <c r="BS84" s="37">
        <f>developmentdata2019[[#This Row],[Organics (CY/day)]]*201.974</f>
        <v>2.2810037423846408E-2</v>
      </c>
      <c r="BT84" s="37">
        <f>developmentdata2019[[#This Row],[E-Waste (CY/day)]]*201.974</f>
        <v>2.9832572093688007E-4</v>
      </c>
      <c r="BU84" s="37">
        <f>developmentdata2019[[#This Row],[Textiles (CY/day)]]*201.974</f>
        <v>5.6306999788865289E-5</v>
      </c>
    </row>
    <row r="85" spans="1:73" x14ac:dyDescent="0.2">
      <c r="A85" s="37" t="s">
        <v>1029</v>
      </c>
      <c r="B85" s="115">
        <v>43466</v>
      </c>
      <c r="C85" s="37" t="s">
        <v>655</v>
      </c>
      <c r="D85">
        <v>82</v>
      </c>
      <c r="E85">
        <v>82</v>
      </c>
      <c r="F85">
        <v>569</v>
      </c>
      <c r="G85">
        <v>569</v>
      </c>
      <c r="H85" s="37" t="s">
        <v>1023</v>
      </c>
      <c r="I85" s="37" t="s">
        <v>577</v>
      </c>
      <c r="J85" s="37" t="s">
        <v>578</v>
      </c>
      <c r="K85" s="37" t="s">
        <v>579</v>
      </c>
      <c r="M85">
        <v>1302</v>
      </c>
      <c r="N85">
        <v>1305</v>
      </c>
      <c r="O85">
        <v>5806</v>
      </c>
      <c r="P85">
        <v>4.46</v>
      </c>
      <c r="R85">
        <v>2651</v>
      </c>
      <c r="S85">
        <v>2651</v>
      </c>
      <c r="T85">
        <v>543</v>
      </c>
      <c r="U85">
        <v>0.42</v>
      </c>
      <c r="V85">
        <v>11</v>
      </c>
      <c r="W85">
        <v>0</v>
      </c>
      <c r="X85">
        <v>11</v>
      </c>
      <c r="Y85" t="s">
        <v>1030</v>
      </c>
      <c r="Z85">
        <v>533018</v>
      </c>
      <c r="AA85">
        <v>12.24</v>
      </c>
      <c r="AB85">
        <v>533018</v>
      </c>
      <c r="AC85">
        <v>12.24</v>
      </c>
      <c r="AD85">
        <v>94508</v>
      </c>
      <c r="AE85">
        <v>10999163</v>
      </c>
      <c r="AF85">
        <v>0.17730000000000001</v>
      </c>
      <c r="AG85">
        <v>217</v>
      </c>
      <c r="AH85">
        <v>22701754</v>
      </c>
      <c r="AI85">
        <v>3933</v>
      </c>
      <c r="AJ85">
        <v>549</v>
      </c>
      <c r="AK85" s="37" t="s">
        <v>1025</v>
      </c>
      <c r="AL85" s="37" t="s">
        <v>784</v>
      </c>
      <c r="AM85" s="37" t="s">
        <v>658</v>
      </c>
      <c r="AN85" s="37" t="s">
        <v>620</v>
      </c>
      <c r="AO85" s="37" t="s">
        <v>608</v>
      </c>
      <c r="AP85">
        <v>7</v>
      </c>
      <c r="AQ85">
        <v>13</v>
      </c>
      <c r="AR85">
        <v>30</v>
      </c>
      <c r="AS85">
        <v>69</v>
      </c>
      <c r="AT85">
        <v>7</v>
      </c>
      <c r="AU85" s="115">
        <v>21453</v>
      </c>
      <c r="AV85" s="37" t="s">
        <v>1026</v>
      </c>
      <c r="AW85" s="37"/>
      <c r="AX85" s="37"/>
      <c r="AY85" s="37"/>
      <c r="AZ85" s="37">
        <f>developmentdata2019[[#This Row],[NUMBER OF CURRENT APARTMENTS]]*5/2000</f>
        <v>3.2549999999999999</v>
      </c>
      <c r="BA85" s="37">
        <f>developmentdata2019[[#This Row],[Total]]*BA$1</f>
        <v>0.84630000000000005</v>
      </c>
      <c r="BB85" s="37">
        <f>developmentdata2019[[#This Row],[Trash (tons/day)]]*BB$1</f>
        <v>0.16079700000000002</v>
      </c>
      <c r="BC85" s="37">
        <f>developmentdata2019[[#This Row],[MGP (tons/day)]]*BC$1</f>
        <v>1.1255790000000003E-2</v>
      </c>
      <c r="BD85" s="37">
        <f>developmentdata2019[[#This Row],[Cardboard (tons/day)]]*BD$1</f>
        <v>7.879053000000003E-4</v>
      </c>
      <c r="BE85" s="37">
        <f>developmentdata2019[[#This Row],[Paper (tons/day)]]*BE$1</f>
        <v>2.5212969600000012E-4</v>
      </c>
      <c r="BF85" s="37">
        <f>developmentdata2019[[#This Row],[Organics (tons/day)]]*BF$1</f>
        <v>2.5212969600000012E-6</v>
      </c>
      <c r="BG85" s="37">
        <f>developmentdata2019[[#This Row],[E-Waste (tons/day)]]*BG$1</f>
        <v>2.017037568000001E-7</v>
      </c>
      <c r="BH85" s="37">
        <f>developmentdata2019[[#This Row],[Trash (tons/day)]]*BH$1</f>
        <v>17.814615000000003</v>
      </c>
      <c r="BI85" s="37">
        <f>developmentdata2019[[#This Row],[MGP (tons/day)]]*BI$1</f>
        <v>2.8975619400000006</v>
      </c>
      <c r="BJ85" s="37">
        <f>developmentdata2019[[#This Row],[Cardboard (tons/day)]]*BJ$1</f>
        <v>0.30019191930000011</v>
      </c>
      <c r="BK85" s="37">
        <f>developmentdata2019[[#This Row],[Paper (tons/day)]]*BK$1</f>
        <v>4.8771338070000021E-3</v>
      </c>
      <c r="BL85" s="37">
        <f>developmentdata2019[[#This Row],[Organics (tons/day)]]*BL$1</f>
        <v>1.0892002867200006E-3</v>
      </c>
      <c r="BM85" s="37">
        <f>developmentdata2019[[#This Row],[E-Waste (tons/day)]]*BM$1</f>
        <v>1.4245327824000007E-5</v>
      </c>
      <c r="BN85" s="37">
        <f>developmentdata2019[[#This Row],[Textiles (tons/day)]]*BN$1</f>
        <v>2.6887110781440015E-6</v>
      </c>
      <c r="BO85" s="37">
        <f>developmentdata2019[[#This Row],[Trash (CY/day)]]*201.974</f>
        <v>3598.0890500100004</v>
      </c>
      <c r="BP85" s="37">
        <f>developmentdata2019[[#This Row],[MGP (CY/day)]]*201.974</f>
        <v>585.23217526956012</v>
      </c>
      <c r="BQ85" s="37">
        <f>developmentdata2019[[#This Row],[Cardboard (CY/day)]]*201.974</f>
        <v>60.63096270869822</v>
      </c>
      <c r="BR85" s="37">
        <f>developmentdata2019[[#This Row],[Paper  (CY/day)]]*201.974</f>
        <v>0.98505422353501837</v>
      </c>
      <c r="BS85" s="37">
        <f>developmentdata2019[[#This Row],[Organics (CY/day)]]*201.974</f>
        <v>0.21999013870998541</v>
      </c>
      <c r="BT85" s="37">
        <f>developmentdata2019[[#This Row],[E-Waste (CY/day)]]*201.974</f>
        <v>2.8771858419245773E-3</v>
      </c>
      <c r="BU85" s="37">
        <f>developmentdata2019[[#This Row],[Textiles (CY/day)]]*201.974</f>
        <v>5.4304973129705653E-4</v>
      </c>
    </row>
    <row r="86" spans="1:73" x14ac:dyDescent="0.2">
      <c r="A86" s="37" t="s">
        <v>1031</v>
      </c>
      <c r="B86" s="115">
        <v>43466</v>
      </c>
      <c r="C86" s="37" t="s">
        <v>655</v>
      </c>
      <c r="D86">
        <v>582</v>
      </c>
      <c r="E86">
        <v>82</v>
      </c>
      <c r="F86">
        <v>569</v>
      </c>
      <c r="G86">
        <v>569</v>
      </c>
      <c r="H86" s="37" t="s">
        <v>1023</v>
      </c>
      <c r="I86" s="37" t="s">
        <v>577</v>
      </c>
      <c r="J86" s="37" t="s">
        <v>578</v>
      </c>
      <c r="K86" s="37" t="s">
        <v>579</v>
      </c>
      <c r="M86">
        <v>752</v>
      </c>
      <c r="N86">
        <v>753</v>
      </c>
      <c r="O86">
        <v>3463</v>
      </c>
      <c r="P86">
        <v>4.6100000000000003</v>
      </c>
      <c r="R86">
        <v>1589</v>
      </c>
      <c r="S86">
        <v>1589</v>
      </c>
      <c r="T86">
        <v>307</v>
      </c>
      <c r="U86">
        <v>0.41</v>
      </c>
      <c r="V86">
        <v>6</v>
      </c>
      <c r="W86">
        <v>0</v>
      </c>
      <c r="X86">
        <v>6</v>
      </c>
      <c r="Y86" t="s">
        <v>1032</v>
      </c>
      <c r="Z86">
        <v>414973</v>
      </c>
      <c r="AA86">
        <v>9.5299999999999994</v>
      </c>
      <c r="AB86">
        <v>330232</v>
      </c>
      <c r="AC86">
        <v>7.58</v>
      </c>
      <c r="AD86">
        <v>44044</v>
      </c>
      <c r="AE86">
        <v>6568578</v>
      </c>
      <c r="AF86">
        <v>0.1061</v>
      </c>
      <c r="AG86">
        <v>167</v>
      </c>
      <c r="AH86">
        <v>14739246</v>
      </c>
      <c r="AI86">
        <v>4277</v>
      </c>
      <c r="AJ86">
        <v>589</v>
      </c>
      <c r="AK86" s="37" t="s">
        <v>1025</v>
      </c>
      <c r="AL86" s="37" t="s">
        <v>620</v>
      </c>
      <c r="AM86" s="37" t="s">
        <v>658</v>
      </c>
      <c r="AN86" s="37" t="s">
        <v>618</v>
      </c>
      <c r="AO86" s="37" t="s">
        <v>608</v>
      </c>
      <c r="AP86">
        <v>7</v>
      </c>
      <c r="AQ86">
        <v>13</v>
      </c>
      <c r="AR86">
        <v>30</v>
      </c>
      <c r="AS86">
        <v>69</v>
      </c>
      <c r="AT86">
        <v>7</v>
      </c>
      <c r="AU86" s="115">
        <v>21453</v>
      </c>
      <c r="AV86" s="37" t="s">
        <v>1026</v>
      </c>
      <c r="AW86" s="37"/>
      <c r="AX86" s="37"/>
      <c r="AY86" s="37"/>
      <c r="AZ86" s="37">
        <f>developmentdata2019[[#This Row],[NUMBER OF CURRENT APARTMENTS]]*5/2000</f>
        <v>1.88</v>
      </c>
      <c r="BA86" s="37">
        <f>developmentdata2019[[#This Row],[Total]]*BA$1</f>
        <v>0.48880000000000001</v>
      </c>
      <c r="BB86" s="37">
        <f>developmentdata2019[[#This Row],[Trash (tons/day)]]*BB$1</f>
        <v>9.287200000000001E-2</v>
      </c>
      <c r="BC86" s="37">
        <f>developmentdata2019[[#This Row],[MGP (tons/day)]]*BC$1</f>
        <v>6.5010400000000013E-3</v>
      </c>
      <c r="BD86" s="37">
        <f>developmentdata2019[[#This Row],[Cardboard (tons/day)]]*BD$1</f>
        <v>4.5507280000000016E-4</v>
      </c>
      <c r="BE86" s="37">
        <f>developmentdata2019[[#This Row],[Paper (tons/day)]]*BE$1</f>
        <v>1.4562329600000006E-4</v>
      </c>
      <c r="BF86" s="37">
        <f>developmentdata2019[[#This Row],[Organics (tons/day)]]*BF$1</f>
        <v>1.4562329600000007E-6</v>
      </c>
      <c r="BG86" s="37">
        <f>developmentdata2019[[#This Row],[E-Waste (tons/day)]]*BG$1</f>
        <v>1.1649863680000006E-7</v>
      </c>
      <c r="BH86" s="37">
        <f>developmentdata2019[[#This Row],[Trash (tons/day)]]*BH$1</f>
        <v>10.289240000000001</v>
      </c>
      <c r="BI86" s="37">
        <f>developmentdata2019[[#This Row],[MGP (tons/day)]]*BI$1</f>
        <v>1.6735534400000001</v>
      </c>
      <c r="BJ86" s="37">
        <f>developmentdata2019[[#This Row],[Cardboard (tons/day)]]*BJ$1</f>
        <v>0.17338273680000005</v>
      </c>
      <c r="BK86" s="37">
        <f>developmentdata2019[[#This Row],[Paper (tons/day)]]*BK$1</f>
        <v>2.8169006320000012E-3</v>
      </c>
      <c r="BL86" s="37">
        <f>developmentdata2019[[#This Row],[Organics (tons/day)]]*BL$1</f>
        <v>6.2909263872000032E-4</v>
      </c>
      <c r="BM86" s="37">
        <f>developmentdata2019[[#This Row],[E-Waste (tons/day)]]*BM$1</f>
        <v>8.2277162240000038E-6</v>
      </c>
      <c r="BN86" s="37">
        <f>developmentdata2019[[#This Row],[Textiles (tons/day)]]*BN$1</f>
        <v>1.5529268285440009E-6</v>
      </c>
      <c r="BO86" s="37">
        <f>developmentdata2019[[#This Row],[Trash (CY/day)]]*201.974</f>
        <v>2078.15895976</v>
      </c>
      <c r="BP86" s="37">
        <f>developmentdata2019[[#This Row],[MGP (CY/day)]]*201.974</f>
        <v>338.01428249055999</v>
      </c>
      <c r="BQ86" s="37">
        <f>developmentdata2019[[#This Row],[Cardboard (CY/day)]]*201.974</f>
        <v>35.018804882443206</v>
      </c>
      <c r="BR86" s="37">
        <f>developmentdata2019[[#This Row],[Paper  (CY/day)]]*201.974</f>
        <v>0.56894068824756816</v>
      </c>
      <c r="BS86" s="37">
        <f>developmentdata2019[[#This Row],[Organics (CY/day)]]*201.974</f>
        <v>0.12706035661283335</v>
      </c>
      <c r="BT86" s="37">
        <f>developmentdata2019[[#This Row],[E-Waste (CY/day)]]*201.974</f>
        <v>1.6617847566261768E-3</v>
      </c>
      <c r="BU86" s="37">
        <f>developmentdata2019[[#This Row],[Textiles (CY/day)]]*201.974</f>
        <v>3.13650843268346E-4</v>
      </c>
    </row>
    <row r="87" spans="1:73" x14ac:dyDescent="0.2">
      <c r="A87" s="37" t="s">
        <v>354</v>
      </c>
      <c r="B87" s="115">
        <v>43466</v>
      </c>
      <c r="C87" s="37" t="s">
        <v>1033</v>
      </c>
      <c r="D87">
        <v>111</v>
      </c>
      <c r="E87">
        <v>111</v>
      </c>
      <c r="F87">
        <v>434</v>
      </c>
      <c r="G87">
        <v>434</v>
      </c>
      <c r="H87" s="37" t="s">
        <v>1034</v>
      </c>
      <c r="I87" s="37" t="s">
        <v>683</v>
      </c>
      <c r="J87" s="37" t="s">
        <v>578</v>
      </c>
      <c r="K87" s="37" t="s">
        <v>579</v>
      </c>
      <c r="L87">
        <v>278</v>
      </c>
      <c r="M87">
        <v>1211</v>
      </c>
      <c r="N87">
        <v>1217</v>
      </c>
      <c r="O87">
        <v>5344.5</v>
      </c>
      <c r="P87">
        <v>4.41</v>
      </c>
      <c r="Q87">
        <v>631</v>
      </c>
      <c r="R87">
        <v>2169</v>
      </c>
      <c r="S87">
        <v>2800</v>
      </c>
      <c r="T87">
        <v>474</v>
      </c>
      <c r="U87">
        <v>0.4</v>
      </c>
      <c r="V87">
        <v>5</v>
      </c>
      <c r="W87">
        <v>0</v>
      </c>
      <c r="X87">
        <v>5</v>
      </c>
      <c r="Y87">
        <v>21</v>
      </c>
      <c r="Z87">
        <v>312188</v>
      </c>
      <c r="AA87">
        <v>7.17</v>
      </c>
      <c r="AB87">
        <v>292159</v>
      </c>
      <c r="AC87">
        <v>6.71</v>
      </c>
      <c r="AD87">
        <v>74433</v>
      </c>
      <c r="AE87">
        <v>9889060</v>
      </c>
      <c r="AF87">
        <v>0.2384</v>
      </c>
      <c r="AG87">
        <v>391</v>
      </c>
      <c r="AH87">
        <v>25146000</v>
      </c>
      <c r="AI87">
        <v>4687</v>
      </c>
      <c r="AJ87">
        <v>482</v>
      </c>
      <c r="AK87" s="37" t="s">
        <v>1035</v>
      </c>
      <c r="AL87" s="37" t="s">
        <v>1036</v>
      </c>
      <c r="AM87" s="37" t="s">
        <v>1037</v>
      </c>
      <c r="AN87" s="37" t="s">
        <v>1038</v>
      </c>
      <c r="AO87" s="37" t="s">
        <v>608</v>
      </c>
      <c r="AP87">
        <v>10</v>
      </c>
      <c r="AQ87">
        <v>13</v>
      </c>
      <c r="AR87">
        <v>30</v>
      </c>
      <c r="AS87">
        <v>70</v>
      </c>
      <c r="AT87">
        <v>9</v>
      </c>
      <c r="AU87" s="115">
        <v>24015</v>
      </c>
      <c r="AV87" s="37"/>
      <c r="AW87" s="37"/>
      <c r="AX87" s="37"/>
      <c r="AY87" s="37"/>
      <c r="AZ87" s="37">
        <f>developmentdata2019[[#This Row],[NUMBER OF CURRENT APARTMENTS]]*5/2000</f>
        <v>3.0274999999999999</v>
      </c>
      <c r="BA87" s="37">
        <f>developmentdata2019[[#This Row],[Total]]*BA$1</f>
        <v>0.78715000000000002</v>
      </c>
      <c r="BB87" s="37">
        <f>developmentdata2019[[#This Row],[Trash (tons/day)]]*BB$1</f>
        <v>0.14955850000000001</v>
      </c>
      <c r="BC87" s="37">
        <f>developmentdata2019[[#This Row],[MGP (tons/day)]]*BC$1</f>
        <v>1.0469095000000001E-2</v>
      </c>
      <c r="BD87" s="37">
        <f>developmentdata2019[[#This Row],[Cardboard (tons/day)]]*BD$1</f>
        <v>7.3283665000000017E-4</v>
      </c>
      <c r="BE87" s="37">
        <f>developmentdata2019[[#This Row],[Paper (tons/day)]]*BE$1</f>
        <v>2.3450772800000006E-4</v>
      </c>
      <c r="BF87" s="37">
        <f>developmentdata2019[[#This Row],[Organics (tons/day)]]*BF$1</f>
        <v>2.3450772800000008E-6</v>
      </c>
      <c r="BG87" s="37">
        <f>developmentdata2019[[#This Row],[E-Waste (tons/day)]]*BG$1</f>
        <v>1.8760618240000008E-7</v>
      </c>
      <c r="BH87" s="37">
        <f>developmentdata2019[[#This Row],[Trash (tons/day)]]*BH$1</f>
        <v>16.5695075</v>
      </c>
      <c r="BI87" s="37">
        <f>developmentdata2019[[#This Row],[MGP (tons/day)]]*BI$1</f>
        <v>2.6950441700000001</v>
      </c>
      <c r="BJ87" s="37">
        <f>developmentdata2019[[#This Row],[Cardboard (tons/day)]]*BJ$1</f>
        <v>0.27921076365000003</v>
      </c>
      <c r="BK87" s="37">
        <f>developmentdata2019[[#This Row],[Paper (tons/day)]]*BK$1</f>
        <v>4.5362588635000011E-3</v>
      </c>
      <c r="BL87" s="37">
        <f>developmentdata2019[[#This Row],[Organics (tons/day)]]*BL$1</f>
        <v>1.0130733849600003E-3</v>
      </c>
      <c r="BM87" s="37">
        <f>developmentdata2019[[#This Row],[E-Waste (tons/day)]]*BM$1</f>
        <v>1.3249686632000006E-5</v>
      </c>
      <c r="BN87" s="37">
        <f>developmentdata2019[[#This Row],[Textiles (tons/day)]]*BN$1</f>
        <v>2.5007904113920012E-6</v>
      </c>
      <c r="BO87" s="37">
        <f>developmentdata2019[[#This Row],[Trash (CY/day)]]*201.974</f>
        <v>3346.6097078049997</v>
      </c>
      <c r="BP87" s="37">
        <f>developmentdata2019[[#This Row],[MGP (CY/day)]]*201.974</f>
        <v>544.32885119158004</v>
      </c>
      <c r="BQ87" s="37">
        <f>developmentdata2019[[#This Row],[Cardboard (CY/day)]]*201.974</f>
        <v>56.393314777445106</v>
      </c>
      <c r="BR87" s="37">
        <f>developmentdata2019[[#This Row],[Paper  (CY/day)]]*201.974</f>
        <v>0.91620634769654918</v>
      </c>
      <c r="BS87" s="37">
        <f>developmentdata2019[[#This Row],[Organics (CY/day)]]*201.974</f>
        <v>0.20461448385391109</v>
      </c>
      <c r="BT87" s="37">
        <f>developmentdata2019[[#This Row],[E-Waste (CY/day)]]*201.974</f>
        <v>2.6760922078115693E-3</v>
      </c>
      <c r="BU87" s="37">
        <f>developmentdata2019[[#This Row],[Textiles (CY/day)]]*201.974</f>
        <v>5.0509464255048806E-4</v>
      </c>
    </row>
    <row r="88" spans="1:73" x14ac:dyDescent="0.2">
      <c r="A88" s="37" t="s">
        <v>379</v>
      </c>
      <c r="B88" s="115">
        <v>43466</v>
      </c>
      <c r="C88" s="37" t="s">
        <v>1039</v>
      </c>
      <c r="D88">
        <v>41</v>
      </c>
      <c r="E88">
        <v>41</v>
      </c>
      <c r="F88">
        <v>373</v>
      </c>
      <c r="G88">
        <v>373</v>
      </c>
      <c r="H88" s="37" t="s">
        <v>1040</v>
      </c>
      <c r="I88" s="37" t="s">
        <v>577</v>
      </c>
      <c r="J88" s="37" t="s">
        <v>578</v>
      </c>
      <c r="K88" s="37" t="s">
        <v>579</v>
      </c>
      <c r="M88">
        <v>1167</v>
      </c>
      <c r="N88">
        <v>1167</v>
      </c>
      <c r="O88">
        <v>5054.5</v>
      </c>
      <c r="P88">
        <v>4.33</v>
      </c>
      <c r="R88">
        <v>2270</v>
      </c>
      <c r="S88">
        <v>2270</v>
      </c>
      <c r="T88">
        <v>532</v>
      </c>
      <c r="U88">
        <v>0.45900000000000002</v>
      </c>
      <c r="V88">
        <v>7</v>
      </c>
      <c r="W88">
        <v>1</v>
      </c>
      <c r="X88">
        <v>8</v>
      </c>
      <c r="Y88">
        <v>14</v>
      </c>
      <c r="Z88">
        <v>613884</v>
      </c>
      <c r="AA88">
        <v>14.09</v>
      </c>
      <c r="AB88">
        <v>570318</v>
      </c>
      <c r="AC88">
        <v>13.09</v>
      </c>
      <c r="AD88">
        <v>80457</v>
      </c>
      <c r="AE88">
        <v>9780114</v>
      </c>
      <c r="AF88">
        <v>0.13109999999999999</v>
      </c>
      <c r="AG88">
        <v>161</v>
      </c>
      <c r="AH88">
        <v>14202915</v>
      </c>
      <c r="AI88">
        <v>2812</v>
      </c>
      <c r="AJ88">
        <v>543</v>
      </c>
      <c r="AK88" s="37" t="s">
        <v>1041</v>
      </c>
      <c r="AL88" s="37" t="s">
        <v>1042</v>
      </c>
      <c r="AM88" s="37" t="s">
        <v>1043</v>
      </c>
      <c r="AN88" s="37" t="s">
        <v>927</v>
      </c>
      <c r="AO88" s="37" t="s">
        <v>608</v>
      </c>
      <c r="AP88">
        <v>12</v>
      </c>
      <c r="AQ88">
        <v>13</v>
      </c>
      <c r="AR88">
        <v>31</v>
      </c>
      <c r="AS88">
        <v>72</v>
      </c>
      <c r="AT88">
        <v>10</v>
      </c>
      <c r="AU88" s="115">
        <v>18743</v>
      </c>
      <c r="AV88" s="37" t="s">
        <v>1044</v>
      </c>
      <c r="AW88" s="37"/>
      <c r="AX88" s="37"/>
      <c r="AY88" s="37"/>
      <c r="AZ88" s="37">
        <f>developmentdata2019[[#This Row],[NUMBER OF CURRENT APARTMENTS]]*5/2000</f>
        <v>2.9175</v>
      </c>
      <c r="BA88" s="37">
        <f>developmentdata2019[[#This Row],[Total]]*BA$1</f>
        <v>0.75855000000000006</v>
      </c>
      <c r="BB88" s="37">
        <f>developmentdata2019[[#This Row],[Trash (tons/day)]]*BB$1</f>
        <v>0.14412450000000002</v>
      </c>
      <c r="BC88" s="37">
        <f>developmentdata2019[[#This Row],[MGP (tons/day)]]*BC$1</f>
        <v>1.0088715000000002E-2</v>
      </c>
      <c r="BD88" s="37">
        <f>developmentdata2019[[#This Row],[Cardboard (tons/day)]]*BD$1</f>
        <v>7.0621005000000021E-4</v>
      </c>
      <c r="BE88" s="37">
        <f>developmentdata2019[[#This Row],[Paper (tons/day)]]*BE$1</f>
        <v>2.2598721600000006E-4</v>
      </c>
      <c r="BF88" s="37">
        <f>developmentdata2019[[#This Row],[Organics (tons/day)]]*BF$1</f>
        <v>2.2598721600000008E-6</v>
      </c>
      <c r="BG88" s="37">
        <f>developmentdata2019[[#This Row],[E-Waste (tons/day)]]*BG$1</f>
        <v>1.8078977280000008E-7</v>
      </c>
      <c r="BH88" s="37">
        <f>developmentdata2019[[#This Row],[Trash (tons/day)]]*BH$1</f>
        <v>15.967477500000001</v>
      </c>
      <c r="BI88" s="37">
        <f>developmentdata2019[[#This Row],[MGP (tons/day)]]*BI$1</f>
        <v>2.5971234900000004</v>
      </c>
      <c r="BJ88" s="37">
        <f>developmentdata2019[[#This Row],[Cardboard (tons/day)]]*BJ$1</f>
        <v>0.26906602905000004</v>
      </c>
      <c r="BK88" s="37">
        <f>developmentdata2019[[#This Row],[Paper (tons/day)]]*BK$1</f>
        <v>4.3714402095000014E-3</v>
      </c>
      <c r="BL88" s="37">
        <f>developmentdata2019[[#This Row],[Organics (tons/day)]]*BL$1</f>
        <v>9.7626477312000033E-4</v>
      </c>
      <c r="BM88" s="37">
        <f>developmentdata2019[[#This Row],[E-Waste (tons/day)]]*BM$1</f>
        <v>1.2768277704000006E-5</v>
      </c>
      <c r="BN88" s="37">
        <f>developmentdata2019[[#This Row],[Textiles (tons/day)]]*BN$1</f>
        <v>2.4099276714240011E-6</v>
      </c>
      <c r="BO88" s="37">
        <f>developmentdata2019[[#This Row],[Trash (CY/day)]]*201.974</f>
        <v>3225.0153005850002</v>
      </c>
      <c r="BP88" s="37">
        <f>developmentdata2019[[#This Row],[MGP (CY/day)]]*201.974</f>
        <v>524.55141976926006</v>
      </c>
      <c r="BQ88" s="37">
        <f>developmentdata2019[[#This Row],[Cardboard (CY/day)]]*201.974</f>
        <v>54.344342151344705</v>
      </c>
      <c r="BR88" s="37">
        <f>developmentdata2019[[#This Row],[Paper  (CY/day)]]*201.974</f>
        <v>0.88291726487355326</v>
      </c>
      <c r="BS88" s="37">
        <f>developmentdata2019[[#This Row],[Organics (CY/day)]]*201.974</f>
        <v>0.19718010128613894</v>
      </c>
      <c r="BT88" s="37">
        <f>developmentdata2019[[#This Row],[E-Waste (CY/day)]]*201.974</f>
        <v>2.578860120987697E-3</v>
      </c>
      <c r="BU88" s="37">
        <f>developmentdata2019[[#This Row],[Textiles (CY/day)]]*201.974</f>
        <v>4.8674273150819117E-4</v>
      </c>
    </row>
    <row r="89" spans="1:73" x14ac:dyDescent="0.2">
      <c r="A89" s="37" t="s">
        <v>1045</v>
      </c>
      <c r="B89" s="115">
        <v>43466</v>
      </c>
      <c r="C89" s="37" t="s">
        <v>1046</v>
      </c>
      <c r="D89">
        <v>224</v>
      </c>
      <c r="E89">
        <v>59</v>
      </c>
      <c r="F89">
        <v>343</v>
      </c>
      <c r="G89">
        <v>236</v>
      </c>
      <c r="H89" s="37" t="s">
        <v>1047</v>
      </c>
      <c r="I89" s="37" t="s">
        <v>577</v>
      </c>
      <c r="J89" s="37" t="s">
        <v>588</v>
      </c>
      <c r="K89" s="37" t="s">
        <v>579</v>
      </c>
      <c r="M89">
        <v>65</v>
      </c>
      <c r="N89">
        <v>66</v>
      </c>
      <c r="O89">
        <v>273.5</v>
      </c>
      <c r="P89">
        <v>4.21</v>
      </c>
      <c r="R89">
        <v>125</v>
      </c>
      <c r="S89">
        <v>125</v>
      </c>
      <c r="T89">
        <v>23</v>
      </c>
      <c r="U89">
        <v>0.35399999999999998</v>
      </c>
      <c r="V89">
        <v>1</v>
      </c>
      <c r="W89">
        <v>0</v>
      </c>
      <c r="X89">
        <v>1</v>
      </c>
      <c r="Y89">
        <v>6</v>
      </c>
      <c r="Z89">
        <v>28125</v>
      </c>
      <c r="AA89">
        <v>0.65</v>
      </c>
      <c r="AB89">
        <v>28125</v>
      </c>
      <c r="AC89">
        <v>0.65</v>
      </c>
      <c r="AD89">
        <v>9828</v>
      </c>
      <c r="AE89">
        <v>598000</v>
      </c>
      <c r="AF89">
        <v>0.34939999999999999</v>
      </c>
      <c r="AG89">
        <v>192</v>
      </c>
      <c r="AH89">
        <v>1710901</v>
      </c>
      <c r="AI89">
        <v>6078</v>
      </c>
      <c r="AJ89">
        <v>472</v>
      </c>
      <c r="AK89" s="37" t="s">
        <v>1048</v>
      </c>
      <c r="AL89" s="37" t="s">
        <v>1049</v>
      </c>
      <c r="AM89" s="37" t="s">
        <v>600</v>
      </c>
      <c r="AN89" s="37" t="s">
        <v>1050</v>
      </c>
      <c r="AO89" s="37" t="s">
        <v>584</v>
      </c>
      <c r="AP89">
        <v>3</v>
      </c>
      <c r="AQ89">
        <v>15</v>
      </c>
      <c r="AR89">
        <v>32</v>
      </c>
      <c r="AS89">
        <v>79</v>
      </c>
      <c r="AT89">
        <v>17</v>
      </c>
      <c r="AU89" s="115">
        <v>26084</v>
      </c>
      <c r="AV89" s="37"/>
      <c r="AW89" s="37"/>
      <c r="AX89" s="37"/>
      <c r="AY89" s="37"/>
      <c r="AZ89" s="37">
        <f>developmentdata2019[[#This Row],[NUMBER OF CURRENT APARTMENTS]]*5/2000</f>
        <v>0.16250000000000001</v>
      </c>
      <c r="BA89" s="37">
        <f>developmentdata2019[[#This Row],[Total]]*BA$1</f>
        <v>4.2250000000000003E-2</v>
      </c>
      <c r="BB89" s="37">
        <f>developmentdata2019[[#This Row],[Trash (tons/day)]]*BB$1</f>
        <v>8.0274999999999999E-3</v>
      </c>
      <c r="BC89" s="37">
        <f>developmentdata2019[[#This Row],[MGP (tons/day)]]*BC$1</f>
        <v>5.6192500000000001E-4</v>
      </c>
      <c r="BD89" s="37">
        <f>developmentdata2019[[#This Row],[Cardboard (tons/day)]]*BD$1</f>
        <v>3.9334750000000005E-5</v>
      </c>
      <c r="BE89" s="37">
        <f>developmentdata2019[[#This Row],[Paper (tons/day)]]*BE$1</f>
        <v>1.2587120000000002E-5</v>
      </c>
      <c r="BF89" s="37">
        <f>developmentdata2019[[#This Row],[Organics (tons/day)]]*BF$1</f>
        <v>1.2587120000000001E-7</v>
      </c>
      <c r="BG89" s="37">
        <f>developmentdata2019[[#This Row],[E-Waste (tons/day)]]*BG$1</f>
        <v>1.0069696000000001E-8</v>
      </c>
      <c r="BH89" s="37">
        <f>developmentdata2019[[#This Row],[Trash (tons/day)]]*BH$1</f>
        <v>0.88936250000000006</v>
      </c>
      <c r="BI89" s="37">
        <f>developmentdata2019[[#This Row],[MGP (tons/day)]]*BI$1</f>
        <v>0.14465554999999999</v>
      </c>
      <c r="BJ89" s="37">
        <f>developmentdata2019[[#This Row],[Cardboard (tons/day)]]*BJ$1</f>
        <v>1.4986539750000001E-2</v>
      </c>
      <c r="BK89" s="37">
        <f>developmentdata2019[[#This Row],[Paper (tons/day)]]*BK$1</f>
        <v>2.4348210250000005E-4</v>
      </c>
      <c r="BL89" s="37">
        <f>developmentdata2019[[#This Row],[Organics (tons/day)]]*BL$1</f>
        <v>5.4376358400000008E-5</v>
      </c>
      <c r="BM89" s="37">
        <f>developmentdata2019[[#This Row],[E-Waste (tons/day)]]*BM$1</f>
        <v>7.111722800000001E-7</v>
      </c>
      <c r="BN89" s="37">
        <f>developmentdata2019[[#This Row],[Textiles (tons/day)]]*BN$1</f>
        <v>1.3422904768000002E-7</v>
      </c>
      <c r="BO89" s="37">
        <f>developmentdata2019[[#This Row],[Trash (CY/day)]]*201.974</f>
        <v>179.62810157499999</v>
      </c>
      <c r="BP89" s="37">
        <f>developmentdata2019[[#This Row],[MGP (CY/day)]]*201.974</f>
        <v>29.216660055699997</v>
      </c>
      <c r="BQ89" s="37">
        <f>developmentdata2019[[#This Row],[Cardboard (CY/day)]]*201.974</f>
        <v>3.0268913794665</v>
      </c>
      <c r="BR89" s="37">
        <f>developmentdata2019[[#This Row],[Paper  (CY/day)]]*201.974</f>
        <v>4.9177054170335008E-2</v>
      </c>
      <c r="BS89" s="37">
        <f>developmentdata2019[[#This Row],[Organics (CY/day)]]*201.974</f>
        <v>1.0982610611481602E-2</v>
      </c>
      <c r="BT89" s="37">
        <f>developmentdata2019[[#This Row],[E-Waste (CY/day)]]*201.974</f>
        <v>1.4363831008072002E-4</v>
      </c>
      <c r="BU89" s="37">
        <f>developmentdata2019[[#This Row],[Textiles (CY/day)]]*201.974</f>
        <v>2.7110777676120325E-5</v>
      </c>
    </row>
    <row r="90" spans="1:73" x14ac:dyDescent="0.2">
      <c r="A90" s="37" t="s">
        <v>383</v>
      </c>
      <c r="B90" s="115">
        <v>43466</v>
      </c>
      <c r="C90" s="37" t="s">
        <v>1051</v>
      </c>
      <c r="D90">
        <v>237</v>
      </c>
      <c r="E90">
        <v>28</v>
      </c>
      <c r="F90">
        <v>360</v>
      </c>
      <c r="G90">
        <v>360</v>
      </c>
      <c r="H90" s="37" t="s">
        <v>1052</v>
      </c>
      <c r="I90" s="37" t="s">
        <v>577</v>
      </c>
      <c r="J90" s="37" t="s">
        <v>588</v>
      </c>
      <c r="K90" s="37" t="s">
        <v>579</v>
      </c>
      <c r="M90">
        <v>221</v>
      </c>
      <c r="N90">
        <v>221</v>
      </c>
      <c r="O90">
        <v>913.5</v>
      </c>
      <c r="P90">
        <v>4.13</v>
      </c>
      <c r="R90">
        <v>382</v>
      </c>
      <c r="S90">
        <v>382</v>
      </c>
      <c r="T90">
        <v>144</v>
      </c>
      <c r="U90">
        <v>0.65200000000000002</v>
      </c>
      <c r="V90">
        <v>2</v>
      </c>
      <c r="W90">
        <v>0</v>
      </c>
      <c r="X90">
        <v>2</v>
      </c>
      <c r="Y90">
        <v>43783</v>
      </c>
      <c r="Z90">
        <v>63175</v>
      </c>
      <c r="AA90">
        <v>1.45</v>
      </c>
      <c r="AB90">
        <v>63175</v>
      </c>
      <c r="AC90">
        <v>1.45</v>
      </c>
      <c r="AD90">
        <v>21301</v>
      </c>
      <c r="AE90">
        <v>1801668</v>
      </c>
      <c r="AF90">
        <v>0.3372</v>
      </c>
      <c r="AG90">
        <v>263</v>
      </c>
      <c r="AH90">
        <v>7717944</v>
      </c>
      <c r="AI90">
        <v>8330</v>
      </c>
      <c r="AJ90">
        <v>423</v>
      </c>
      <c r="AK90" s="37" t="s">
        <v>1053</v>
      </c>
      <c r="AL90" s="37" t="s">
        <v>1054</v>
      </c>
      <c r="AM90" s="37" t="s">
        <v>1055</v>
      </c>
      <c r="AN90" s="37" t="s">
        <v>1056</v>
      </c>
      <c r="AO90" s="37" t="s">
        <v>584</v>
      </c>
      <c r="AP90">
        <v>1</v>
      </c>
      <c r="AQ90">
        <v>15</v>
      </c>
      <c r="AR90">
        <v>32</v>
      </c>
      <c r="AS90">
        <v>84</v>
      </c>
      <c r="AT90">
        <v>17</v>
      </c>
      <c r="AU90" s="115">
        <v>26907</v>
      </c>
      <c r="AV90" s="37"/>
      <c r="AW90" s="37" t="s">
        <v>693</v>
      </c>
      <c r="AX90" s="37"/>
      <c r="AY90" s="37"/>
      <c r="AZ90" s="37">
        <f>developmentdata2019[[#This Row],[NUMBER OF CURRENT APARTMENTS]]*5/2000</f>
        <v>0.55249999999999999</v>
      </c>
      <c r="BA90" s="37">
        <f>developmentdata2019[[#This Row],[Total]]*BA$1</f>
        <v>0.14365</v>
      </c>
      <c r="BB90" s="37">
        <f>developmentdata2019[[#This Row],[Trash (tons/day)]]*BB$1</f>
        <v>2.7293500000000002E-2</v>
      </c>
      <c r="BC90" s="37">
        <f>developmentdata2019[[#This Row],[MGP (tons/day)]]*BC$1</f>
        <v>1.9105450000000003E-3</v>
      </c>
      <c r="BD90" s="37">
        <f>developmentdata2019[[#This Row],[Cardboard (tons/day)]]*BD$1</f>
        <v>1.3373815000000002E-4</v>
      </c>
      <c r="BE90" s="37">
        <f>developmentdata2019[[#This Row],[Paper (tons/day)]]*BE$1</f>
        <v>4.2796208000000011E-5</v>
      </c>
      <c r="BF90" s="37">
        <f>developmentdata2019[[#This Row],[Organics (tons/day)]]*BF$1</f>
        <v>4.2796208000000011E-7</v>
      </c>
      <c r="BG90" s="37">
        <f>developmentdata2019[[#This Row],[E-Waste (tons/day)]]*BG$1</f>
        <v>3.4236966400000007E-8</v>
      </c>
      <c r="BH90" s="37">
        <f>developmentdata2019[[#This Row],[Trash (tons/day)]]*BH$1</f>
        <v>3.0238325000000001</v>
      </c>
      <c r="BI90" s="37">
        <f>developmentdata2019[[#This Row],[MGP (tons/day)]]*BI$1</f>
        <v>0.49182887000000003</v>
      </c>
      <c r="BJ90" s="37">
        <f>developmentdata2019[[#This Row],[Cardboard (tons/day)]]*BJ$1</f>
        <v>5.0954235150000013E-2</v>
      </c>
      <c r="BK90" s="37">
        <f>developmentdata2019[[#This Row],[Paper (tons/day)]]*BK$1</f>
        <v>8.2783914850000019E-4</v>
      </c>
      <c r="BL90" s="37">
        <f>developmentdata2019[[#This Row],[Organics (tons/day)]]*BL$1</f>
        <v>1.8487961856000006E-4</v>
      </c>
      <c r="BM90" s="37">
        <f>developmentdata2019[[#This Row],[E-Waste (tons/day)]]*BM$1</f>
        <v>2.4179857520000008E-6</v>
      </c>
      <c r="BN90" s="37">
        <f>developmentdata2019[[#This Row],[Textiles (tons/day)]]*BN$1</f>
        <v>4.5637876211200007E-7</v>
      </c>
      <c r="BO90" s="37">
        <f>developmentdata2019[[#This Row],[Trash (CY/day)]]*201.974</f>
        <v>610.735545355</v>
      </c>
      <c r="BP90" s="37">
        <f>developmentdata2019[[#This Row],[MGP (CY/day)]]*201.974</f>
        <v>99.336644189379996</v>
      </c>
      <c r="BQ90" s="37">
        <f>developmentdata2019[[#This Row],[Cardboard (CY/day)]]*201.974</f>
        <v>10.291430690186102</v>
      </c>
      <c r="BR90" s="37">
        <f>developmentdata2019[[#This Row],[Paper  (CY/day)]]*201.974</f>
        <v>0.16720198417913903</v>
      </c>
      <c r="BS90" s="37">
        <f>developmentdata2019[[#This Row],[Organics (CY/day)]]*201.974</f>
        <v>3.7340876079037452E-2</v>
      </c>
      <c r="BT90" s="37">
        <f>developmentdata2019[[#This Row],[E-Waste (CY/day)]]*201.974</f>
        <v>4.8837025427444808E-4</v>
      </c>
      <c r="BU90" s="37">
        <f>developmentdata2019[[#This Row],[Textiles (CY/day)]]*201.974</f>
        <v>9.2176644098809098E-5</v>
      </c>
    </row>
    <row r="91" spans="1:73" x14ac:dyDescent="0.2">
      <c r="A91" s="37" t="s">
        <v>1057</v>
      </c>
      <c r="B91" s="115">
        <v>43466</v>
      </c>
      <c r="C91" s="37" t="s">
        <v>854</v>
      </c>
      <c r="D91">
        <v>304</v>
      </c>
      <c r="E91">
        <v>530</v>
      </c>
      <c r="F91">
        <v>552</v>
      </c>
      <c r="G91">
        <v>748</v>
      </c>
      <c r="H91" s="37" t="s">
        <v>1058</v>
      </c>
      <c r="I91" s="37" t="s">
        <v>577</v>
      </c>
      <c r="J91" s="37" t="s">
        <v>588</v>
      </c>
      <c r="K91" s="37" t="s">
        <v>579</v>
      </c>
      <c r="M91">
        <v>111</v>
      </c>
      <c r="N91">
        <v>111</v>
      </c>
      <c r="O91">
        <v>588.5</v>
      </c>
      <c r="P91">
        <v>5.3</v>
      </c>
      <c r="R91">
        <v>362</v>
      </c>
      <c r="S91">
        <v>362</v>
      </c>
      <c r="T91">
        <v>21</v>
      </c>
      <c r="U91">
        <v>0.191</v>
      </c>
      <c r="V91">
        <v>5</v>
      </c>
      <c r="W91">
        <v>0</v>
      </c>
      <c r="X91">
        <v>19</v>
      </c>
      <c r="Y91">
        <v>3</v>
      </c>
      <c r="Z91">
        <v>137566</v>
      </c>
      <c r="AA91">
        <v>3.16</v>
      </c>
      <c r="AB91">
        <v>137566</v>
      </c>
      <c r="AC91">
        <v>3.16</v>
      </c>
      <c r="AD91">
        <v>41134</v>
      </c>
      <c r="AE91">
        <v>1286795</v>
      </c>
      <c r="AF91">
        <v>0.29899999999999999</v>
      </c>
      <c r="AG91">
        <v>115</v>
      </c>
      <c r="AH91">
        <v>8178643</v>
      </c>
      <c r="AI91">
        <v>13874</v>
      </c>
      <c r="AJ91">
        <v>729</v>
      </c>
      <c r="AK91" s="37" t="s">
        <v>662</v>
      </c>
      <c r="AL91" s="37" t="s">
        <v>1059</v>
      </c>
      <c r="AM91" s="37" t="s">
        <v>1060</v>
      </c>
      <c r="AN91" s="37" t="s">
        <v>1061</v>
      </c>
      <c r="AO91" s="37" t="s">
        <v>584</v>
      </c>
      <c r="AP91">
        <v>2</v>
      </c>
      <c r="AQ91">
        <v>15</v>
      </c>
      <c r="AR91">
        <v>32</v>
      </c>
      <c r="AS91">
        <v>85</v>
      </c>
      <c r="AT91">
        <v>17</v>
      </c>
      <c r="AU91" s="115">
        <v>32081</v>
      </c>
      <c r="AV91" s="37"/>
      <c r="AW91" s="37"/>
      <c r="AX91" s="37" t="s">
        <v>621</v>
      </c>
      <c r="AY91" s="37" t="s">
        <v>621</v>
      </c>
      <c r="AZ91" s="37">
        <f>developmentdata2019[[#This Row],[NUMBER OF CURRENT APARTMENTS]]*5/2000</f>
        <v>0.27750000000000002</v>
      </c>
      <c r="BA91" s="37">
        <f>developmentdata2019[[#This Row],[Total]]*BA$1</f>
        <v>7.2150000000000006E-2</v>
      </c>
      <c r="BB91" s="37">
        <f>developmentdata2019[[#This Row],[Trash (tons/day)]]*BB$1</f>
        <v>1.3708500000000002E-2</v>
      </c>
      <c r="BC91" s="37">
        <f>developmentdata2019[[#This Row],[MGP (tons/day)]]*BC$1</f>
        <v>9.5959500000000026E-4</v>
      </c>
      <c r="BD91" s="37">
        <f>developmentdata2019[[#This Row],[Cardboard (tons/day)]]*BD$1</f>
        <v>6.717165000000003E-5</v>
      </c>
      <c r="BE91" s="37">
        <f>developmentdata2019[[#This Row],[Paper (tons/day)]]*BE$1</f>
        <v>2.149492800000001E-5</v>
      </c>
      <c r="BF91" s="37">
        <f>developmentdata2019[[#This Row],[Organics (tons/day)]]*BF$1</f>
        <v>2.1494928000000009E-7</v>
      </c>
      <c r="BG91" s="37">
        <f>developmentdata2019[[#This Row],[E-Waste (tons/day)]]*BG$1</f>
        <v>1.7195942400000009E-8</v>
      </c>
      <c r="BH91" s="37">
        <f>developmentdata2019[[#This Row],[Trash (tons/day)]]*BH$1</f>
        <v>1.5187575000000002</v>
      </c>
      <c r="BI91" s="37">
        <f>developmentdata2019[[#This Row],[MGP (tons/day)]]*BI$1</f>
        <v>0.24702717000000002</v>
      </c>
      <c r="BJ91" s="37">
        <f>developmentdata2019[[#This Row],[Cardboard (tons/day)]]*BJ$1</f>
        <v>2.5592398650000008E-2</v>
      </c>
      <c r="BK91" s="37">
        <f>developmentdata2019[[#This Row],[Paper (tons/day)]]*BK$1</f>
        <v>4.1579251350000023E-4</v>
      </c>
      <c r="BL91" s="37">
        <f>developmentdata2019[[#This Row],[Organics (tons/day)]]*BL$1</f>
        <v>9.2858088960000049E-5</v>
      </c>
      <c r="BM91" s="37">
        <f>developmentdata2019[[#This Row],[E-Waste (tons/day)]]*BM$1</f>
        <v>1.2144634320000005E-6</v>
      </c>
      <c r="BN91" s="37">
        <f>developmentdata2019[[#This Row],[Textiles (tons/day)]]*BN$1</f>
        <v>2.2922191219200012E-7</v>
      </c>
      <c r="BO91" s="37">
        <f>developmentdata2019[[#This Row],[Trash (CY/day)]]*201.974</f>
        <v>306.74952730500002</v>
      </c>
      <c r="BP91" s="37">
        <f>developmentdata2019[[#This Row],[MGP (CY/day)]]*201.974</f>
        <v>49.893065633580001</v>
      </c>
      <c r="BQ91" s="37">
        <f>developmentdata2019[[#This Row],[Cardboard (CY/day)]]*201.974</f>
        <v>5.1689991249351008</v>
      </c>
      <c r="BR91" s="37">
        <f>developmentdata2019[[#This Row],[Paper  (CY/day)]]*201.974</f>
        <v>8.3979277121649043E-2</v>
      </c>
      <c r="BS91" s="37">
        <f>developmentdata2019[[#This Row],[Organics (CY/day)]]*201.974</f>
        <v>1.8754919659607048E-2</v>
      </c>
      <c r="BT91" s="37">
        <f>developmentdata2019[[#This Row],[E-Waste (CY/day)]]*201.974</f>
        <v>2.4529003721476811E-4</v>
      </c>
      <c r="BU91" s="37">
        <f>developmentdata2019[[#This Row],[Textiles (CY/day)]]*201.974</f>
        <v>4.6296866493067027E-5</v>
      </c>
    </row>
    <row r="92" spans="1:73" x14ac:dyDescent="0.2">
      <c r="A92" s="37" t="s">
        <v>1062</v>
      </c>
      <c r="B92" s="115">
        <v>43466</v>
      </c>
      <c r="C92" s="37" t="s">
        <v>854</v>
      </c>
      <c r="D92">
        <v>338</v>
      </c>
      <c r="E92">
        <v>530</v>
      </c>
      <c r="F92">
        <v>778</v>
      </c>
      <c r="G92">
        <v>748</v>
      </c>
      <c r="H92" s="37" t="s">
        <v>1063</v>
      </c>
      <c r="I92" s="37" t="s">
        <v>577</v>
      </c>
      <c r="J92" s="37" t="s">
        <v>588</v>
      </c>
      <c r="K92" s="37" t="s">
        <v>579</v>
      </c>
      <c r="M92">
        <v>168</v>
      </c>
      <c r="N92">
        <v>168</v>
      </c>
      <c r="O92">
        <v>758</v>
      </c>
      <c r="P92">
        <v>4.51</v>
      </c>
      <c r="R92">
        <v>403</v>
      </c>
      <c r="S92">
        <v>403</v>
      </c>
      <c r="T92">
        <v>52</v>
      </c>
      <c r="U92">
        <v>0.313</v>
      </c>
      <c r="V92">
        <v>7</v>
      </c>
      <c r="W92">
        <v>0</v>
      </c>
      <c r="X92">
        <v>28</v>
      </c>
      <c r="Y92">
        <v>3</v>
      </c>
      <c r="Z92">
        <v>196060</v>
      </c>
      <c r="AA92">
        <v>4.5</v>
      </c>
      <c r="AB92">
        <v>196060</v>
      </c>
      <c r="AC92">
        <v>4.5</v>
      </c>
      <c r="AD92">
        <v>59524</v>
      </c>
      <c r="AE92">
        <v>1547624</v>
      </c>
      <c r="AF92">
        <v>0.28460000000000002</v>
      </c>
      <c r="AG92">
        <v>90</v>
      </c>
      <c r="AH92">
        <v>12629936</v>
      </c>
      <c r="AI92">
        <v>16684</v>
      </c>
      <c r="AJ92">
        <v>562</v>
      </c>
      <c r="AK92" s="37" t="s">
        <v>1064</v>
      </c>
      <c r="AL92" s="37" t="s">
        <v>856</v>
      </c>
      <c r="AM92" s="37" t="s">
        <v>857</v>
      </c>
      <c r="AN92" s="37" t="s">
        <v>1065</v>
      </c>
      <c r="AO92" s="37" t="s">
        <v>584</v>
      </c>
      <c r="AP92">
        <v>3</v>
      </c>
      <c r="AQ92">
        <v>15</v>
      </c>
      <c r="AR92">
        <v>32</v>
      </c>
      <c r="AS92">
        <v>79</v>
      </c>
      <c r="AT92">
        <v>17</v>
      </c>
      <c r="AU92" s="115">
        <v>32081</v>
      </c>
      <c r="AV92" s="37"/>
      <c r="AW92" s="37"/>
      <c r="AX92" s="37" t="s">
        <v>621</v>
      </c>
      <c r="AY92" s="37" t="s">
        <v>621</v>
      </c>
      <c r="AZ92" s="37">
        <f>developmentdata2019[[#This Row],[NUMBER OF CURRENT APARTMENTS]]*5/2000</f>
        <v>0.42</v>
      </c>
      <c r="BA92" s="37">
        <f>developmentdata2019[[#This Row],[Total]]*BA$1</f>
        <v>0.10920000000000001</v>
      </c>
      <c r="BB92" s="37">
        <f>developmentdata2019[[#This Row],[Trash (tons/day)]]*BB$1</f>
        <v>2.0748000000000003E-2</v>
      </c>
      <c r="BC92" s="37">
        <f>developmentdata2019[[#This Row],[MGP (tons/day)]]*BC$1</f>
        <v>1.4523600000000004E-3</v>
      </c>
      <c r="BD92" s="37">
        <f>developmentdata2019[[#This Row],[Cardboard (tons/day)]]*BD$1</f>
        <v>1.0166520000000004E-4</v>
      </c>
      <c r="BE92" s="37">
        <f>developmentdata2019[[#This Row],[Paper (tons/day)]]*BE$1</f>
        <v>3.253286400000001E-5</v>
      </c>
      <c r="BF92" s="37">
        <f>developmentdata2019[[#This Row],[Organics (tons/day)]]*BF$1</f>
        <v>3.2532864000000011E-7</v>
      </c>
      <c r="BG92" s="37">
        <f>developmentdata2019[[#This Row],[E-Waste (tons/day)]]*BG$1</f>
        <v>2.6026291200000011E-8</v>
      </c>
      <c r="BH92" s="37">
        <f>developmentdata2019[[#This Row],[Trash (tons/day)]]*BH$1</f>
        <v>2.2986600000000004</v>
      </c>
      <c r="BI92" s="37">
        <f>developmentdata2019[[#This Row],[MGP (tons/day)]]*BI$1</f>
        <v>0.37387896000000004</v>
      </c>
      <c r="BJ92" s="37">
        <f>developmentdata2019[[#This Row],[Cardboard (tons/day)]]*BJ$1</f>
        <v>3.8734441200000011E-2</v>
      </c>
      <c r="BK92" s="37">
        <f>developmentdata2019[[#This Row],[Paper (tons/day)]]*BK$1</f>
        <v>6.2930758800000032E-4</v>
      </c>
      <c r="BL92" s="37">
        <f>developmentdata2019[[#This Row],[Organics (tons/day)]]*BL$1</f>
        <v>1.4054197248000006E-4</v>
      </c>
      <c r="BM92" s="37">
        <f>developmentdata2019[[#This Row],[E-Waste (tons/day)]]*BM$1</f>
        <v>1.8381068160000008E-6</v>
      </c>
      <c r="BN92" s="37">
        <f>developmentdata2019[[#This Row],[Textiles (tons/day)]]*BN$1</f>
        <v>3.4693046169600017E-7</v>
      </c>
      <c r="BO92" s="37">
        <f>developmentdata2019[[#This Row],[Trash (CY/day)]]*201.974</f>
        <v>464.26955484000007</v>
      </c>
      <c r="BP92" s="37">
        <f>developmentdata2019[[#This Row],[MGP (CY/day)]]*201.974</f>
        <v>75.513829067040007</v>
      </c>
      <c r="BQ92" s="37">
        <f>developmentdata2019[[#This Row],[Cardboard (CY/day)]]*201.974</f>
        <v>7.8233500269288019</v>
      </c>
      <c r="BR92" s="37">
        <f>developmentdata2019[[#This Row],[Paper  (CY/day)]]*201.974</f>
        <v>0.12710377077871204</v>
      </c>
      <c r="BS92" s="37">
        <f>developmentdata2019[[#This Row],[Organics (CY/day)]]*201.974</f>
        <v>2.8385824349675532E-2</v>
      </c>
      <c r="BT92" s="37">
        <f>developmentdata2019[[#This Row],[E-Waste (CY/day)]]*201.974</f>
        <v>3.7124978605478413E-4</v>
      </c>
      <c r="BU92" s="37">
        <f>developmentdata2019[[#This Row],[Textiles (CY/day)]]*201.974</f>
        <v>7.0070933070587942E-5</v>
      </c>
    </row>
    <row r="93" spans="1:73" x14ac:dyDescent="0.2">
      <c r="A93" s="37" t="s">
        <v>410</v>
      </c>
      <c r="B93" s="115">
        <v>43466</v>
      </c>
      <c r="C93" s="37" t="s">
        <v>1066</v>
      </c>
      <c r="D93">
        <v>208</v>
      </c>
      <c r="E93">
        <v>180</v>
      </c>
      <c r="F93">
        <v>323</v>
      </c>
      <c r="G93">
        <v>363</v>
      </c>
      <c r="H93" s="37" t="s">
        <v>1067</v>
      </c>
      <c r="I93" s="37" t="s">
        <v>577</v>
      </c>
      <c r="J93" s="37" t="s">
        <v>578</v>
      </c>
      <c r="K93" s="37" t="s">
        <v>579</v>
      </c>
      <c r="M93">
        <v>239</v>
      </c>
      <c r="N93">
        <v>239</v>
      </c>
      <c r="O93">
        <v>1052.5</v>
      </c>
      <c r="P93">
        <v>4.4000000000000004</v>
      </c>
      <c r="R93">
        <v>531</v>
      </c>
      <c r="S93">
        <v>531</v>
      </c>
      <c r="T93">
        <v>88</v>
      </c>
      <c r="U93">
        <v>0.373</v>
      </c>
      <c r="V93">
        <v>1</v>
      </c>
      <c r="W93">
        <v>1</v>
      </c>
      <c r="X93">
        <v>3</v>
      </c>
      <c r="Y93">
        <v>10</v>
      </c>
      <c r="Z93">
        <v>78743</v>
      </c>
      <c r="AA93">
        <v>1.81</v>
      </c>
      <c r="AB93">
        <v>78743</v>
      </c>
      <c r="AC93">
        <v>1.81</v>
      </c>
      <c r="AD93">
        <v>30800</v>
      </c>
      <c r="AE93">
        <v>2072776</v>
      </c>
      <c r="AF93">
        <v>0.3911</v>
      </c>
      <c r="AG93">
        <v>293</v>
      </c>
      <c r="AH93">
        <v>8727000</v>
      </c>
      <c r="AI93">
        <v>8221</v>
      </c>
      <c r="AJ93">
        <v>531</v>
      </c>
      <c r="AK93" s="37" t="s">
        <v>1068</v>
      </c>
      <c r="AL93" s="37" t="s">
        <v>1069</v>
      </c>
      <c r="AM93" s="37" t="s">
        <v>1070</v>
      </c>
      <c r="AN93" s="37" t="s">
        <v>1071</v>
      </c>
      <c r="AO93" s="37" t="s">
        <v>584</v>
      </c>
      <c r="AP93">
        <v>6</v>
      </c>
      <c r="AQ93">
        <v>15</v>
      </c>
      <c r="AR93">
        <v>33</v>
      </c>
      <c r="AS93">
        <v>86</v>
      </c>
      <c r="AT93">
        <v>15</v>
      </c>
      <c r="AU93" s="115">
        <v>26937</v>
      </c>
      <c r="AV93" s="37"/>
      <c r="AW93" s="37"/>
      <c r="AX93" s="37"/>
      <c r="AY93" s="37"/>
      <c r="AZ93" s="37">
        <f>developmentdata2019[[#This Row],[NUMBER OF CURRENT APARTMENTS]]*5/2000</f>
        <v>0.59750000000000003</v>
      </c>
      <c r="BA93" s="37">
        <f>developmentdata2019[[#This Row],[Total]]*BA$1</f>
        <v>0.15535000000000002</v>
      </c>
      <c r="BB93" s="37">
        <f>developmentdata2019[[#This Row],[Trash (tons/day)]]*BB$1</f>
        <v>2.9516500000000005E-2</v>
      </c>
      <c r="BC93" s="37">
        <f>developmentdata2019[[#This Row],[MGP (tons/day)]]*BC$1</f>
        <v>2.0661550000000005E-3</v>
      </c>
      <c r="BD93" s="37">
        <f>developmentdata2019[[#This Row],[Cardboard (tons/day)]]*BD$1</f>
        <v>1.4463085000000005E-4</v>
      </c>
      <c r="BE93" s="37">
        <f>developmentdata2019[[#This Row],[Paper (tons/day)]]*BE$1</f>
        <v>4.6281872000000019E-5</v>
      </c>
      <c r="BF93" s="37">
        <f>developmentdata2019[[#This Row],[Organics (tons/day)]]*BF$1</f>
        <v>4.6281872000000019E-7</v>
      </c>
      <c r="BG93" s="37">
        <f>developmentdata2019[[#This Row],[E-Waste (tons/day)]]*BG$1</f>
        <v>3.7025497600000015E-8</v>
      </c>
      <c r="BH93" s="37">
        <f>developmentdata2019[[#This Row],[Trash (tons/day)]]*BH$1</f>
        <v>3.2701175000000005</v>
      </c>
      <c r="BI93" s="37">
        <f>developmentdata2019[[#This Row],[MGP (tons/day)]]*BI$1</f>
        <v>0.5318873300000001</v>
      </c>
      <c r="BJ93" s="37">
        <f>developmentdata2019[[#This Row],[Cardboard (tons/day)]]*BJ$1</f>
        <v>5.5104353850000017E-2</v>
      </c>
      <c r="BK93" s="37">
        <f>developmentdata2019[[#This Row],[Paper (tons/day)]]*BK$1</f>
        <v>8.9526496150000039E-4</v>
      </c>
      <c r="BL93" s="37">
        <f>developmentdata2019[[#This Row],[Organics (tons/day)]]*BL$1</f>
        <v>1.9993768704000008E-4</v>
      </c>
      <c r="BM93" s="37">
        <f>developmentdata2019[[#This Row],[E-Waste (tons/day)]]*BM$1</f>
        <v>2.6149257680000013E-6</v>
      </c>
      <c r="BN93" s="37">
        <f>developmentdata2019[[#This Row],[Textiles (tons/day)]]*BN$1</f>
        <v>4.9354988300800025E-7</v>
      </c>
      <c r="BO93" s="37">
        <f>developmentdata2019[[#This Row],[Trash (CY/day)]]*201.974</f>
        <v>660.4787119450001</v>
      </c>
      <c r="BP93" s="37">
        <f>developmentdata2019[[#This Row],[MGP (CY/day)]]*201.974</f>
        <v>107.42741158942002</v>
      </c>
      <c r="BQ93" s="37">
        <f>developmentdata2019[[#This Row],[Cardboard (CY/day)]]*201.974</f>
        <v>11.129646764499903</v>
      </c>
      <c r="BR93" s="37">
        <f>developmentdata2019[[#This Row],[Paper  (CY/day)]]*201.974</f>
        <v>0.18082024533400107</v>
      </c>
      <c r="BS93" s="37">
        <f>developmentdata2019[[#This Row],[Organics (CY/day)]]*201.974</f>
        <v>4.0382214402216975E-2</v>
      </c>
      <c r="BT93" s="37">
        <f>developmentdata2019[[#This Row],[E-Waste (CY/day)]]*201.974</f>
        <v>5.2814701706603226E-4</v>
      </c>
      <c r="BU93" s="37">
        <f>developmentdata2019[[#This Row],[Textiles (CY/day)]]*201.974</f>
        <v>9.9684244070657839E-5</v>
      </c>
    </row>
    <row r="94" spans="1:73" x14ac:dyDescent="0.2">
      <c r="A94" s="37" t="s">
        <v>1072</v>
      </c>
      <c r="B94" s="115">
        <v>43466</v>
      </c>
      <c r="C94" s="37" t="s">
        <v>1007</v>
      </c>
      <c r="D94">
        <v>263</v>
      </c>
      <c r="E94">
        <v>70</v>
      </c>
      <c r="F94">
        <v>378</v>
      </c>
      <c r="G94">
        <v>378</v>
      </c>
      <c r="H94" s="37" t="s">
        <v>1073</v>
      </c>
      <c r="I94" s="37" t="s">
        <v>577</v>
      </c>
      <c r="J94" s="37" t="s">
        <v>588</v>
      </c>
      <c r="K94" s="37" t="s">
        <v>579</v>
      </c>
      <c r="M94">
        <v>66</v>
      </c>
      <c r="N94">
        <v>66</v>
      </c>
      <c r="O94">
        <v>409</v>
      </c>
      <c r="P94">
        <v>6.2</v>
      </c>
      <c r="R94">
        <v>258</v>
      </c>
      <c r="S94">
        <v>258</v>
      </c>
      <c r="T94">
        <v>19</v>
      </c>
      <c r="U94">
        <v>0.29199999999999998</v>
      </c>
      <c r="V94">
        <v>33</v>
      </c>
      <c r="W94">
        <v>0</v>
      </c>
      <c r="X94">
        <v>33</v>
      </c>
      <c r="Y94">
        <v>3</v>
      </c>
      <c r="Z94">
        <v>84400</v>
      </c>
      <c r="AA94">
        <v>1.94</v>
      </c>
      <c r="AB94">
        <v>84400</v>
      </c>
      <c r="AC94">
        <v>1.94</v>
      </c>
      <c r="AD94">
        <v>26943</v>
      </c>
      <c r="AE94">
        <v>719300</v>
      </c>
      <c r="AF94">
        <v>0.31919999999999998</v>
      </c>
      <c r="AG94">
        <v>133</v>
      </c>
      <c r="AH94">
        <v>2774644</v>
      </c>
      <c r="AI94">
        <v>6784</v>
      </c>
      <c r="AJ94">
        <v>633</v>
      </c>
      <c r="AK94" s="37" t="s">
        <v>1010</v>
      </c>
      <c r="AL94" s="37" t="s">
        <v>1074</v>
      </c>
      <c r="AM94" s="37" t="s">
        <v>1075</v>
      </c>
      <c r="AN94" s="37"/>
      <c r="AO94" s="37" t="s">
        <v>593</v>
      </c>
      <c r="AP94">
        <v>5</v>
      </c>
      <c r="AQ94">
        <v>8</v>
      </c>
      <c r="AR94">
        <v>19</v>
      </c>
      <c r="AS94">
        <v>60</v>
      </c>
      <c r="AT94">
        <v>42</v>
      </c>
      <c r="AU94" s="115">
        <v>27850</v>
      </c>
      <c r="AV94" s="37"/>
      <c r="AW94" s="37"/>
      <c r="AX94" s="37"/>
      <c r="AY94" s="37"/>
      <c r="AZ94" s="37">
        <f>developmentdata2019[[#This Row],[NUMBER OF CURRENT APARTMENTS]]*5/2000</f>
        <v>0.16500000000000001</v>
      </c>
      <c r="BA94" s="37">
        <f>developmentdata2019[[#This Row],[Total]]*BA$1</f>
        <v>4.2900000000000001E-2</v>
      </c>
      <c r="BB94" s="37">
        <f>developmentdata2019[[#This Row],[Trash (tons/day)]]*BB$1</f>
        <v>8.1510000000000003E-3</v>
      </c>
      <c r="BC94" s="37">
        <f>developmentdata2019[[#This Row],[MGP (tons/day)]]*BC$1</f>
        <v>5.7057000000000006E-4</v>
      </c>
      <c r="BD94" s="37">
        <f>developmentdata2019[[#This Row],[Cardboard (tons/day)]]*BD$1</f>
        <v>3.9939900000000007E-5</v>
      </c>
      <c r="BE94" s="37">
        <f>developmentdata2019[[#This Row],[Paper (tons/day)]]*BE$1</f>
        <v>1.2780768000000002E-5</v>
      </c>
      <c r="BF94" s="37">
        <f>developmentdata2019[[#This Row],[Organics (tons/day)]]*BF$1</f>
        <v>1.2780768000000003E-7</v>
      </c>
      <c r="BG94" s="37">
        <f>developmentdata2019[[#This Row],[E-Waste (tons/day)]]*BG$1</f>
        <v>1.0224614400000003E-8</v>
      </c>
      <c r="BH94" s="37">
        <f>developmentdata2019[[#This Row],[Trash (tons/day)]]*BH$1</f>
        <v>0.9030450000000001</v>
      </c>
      <c r="BI94" s="37">
        <f>developmentdata2019[[#This Row],[MGP (tons/day)]]*BI$1</f>
        <v>0.14688102</v>
      </c>
      <c r="BJ94" s="37">
        <f>developmentdata2019[[#This Row],[Cardboard (tons/day)]]*BJ$1</f>
        <v>1.5217101900000002E-2</v>
      </c>
      <c r="BK94" s="37">
        <f>developmentdata2019[[#This Row],[Paper (tons/day)]]*BK$1</f>
        <v>2.4722798100000007E-4</v>
      </c>
      <c r="BL94" s="37">
        <f>developmentdata2019[[#This Row],[Organics (tons/day)]]*BL$1</f>
        <v>5.5212917760000015E-5</v>
      </c>
      <c r="BM94" s="37">
        <f>developmentdata2019[[#This Row],[E-Waste (tons/day)]]*BM$1</f>
        <v>7.2211339200000023E-7</v>
      </c>
      <c r="BN94" s="37">
        <f>developmentdata2019[[#This Row],[Textiles (tons/day)]]*BN$1</f>
        <v>1.3629410995200004E-7</v>
      </c>
      <c r="BO94" s="37">
        <f>developmentdata2019[[#This Row],[Trash (CY/day)]]*201.974</f>
        <v>182.39161083000002</v>
      </c>
      <c r="BP94" s="37">
        <f>developmentdata2019[[#This Row],[MGP (CY/day)]]*201.974</f>
        <v>29.666147133479999</v>
      </c>
      <c r="BQ94" s="37">
        <f>developmentdata2019[[#This Row],[Cardboard (CY/day)]]*201.974</f>
        <v>3.0734589391506004</v>
      </c>
      <c r="BR94" s="37">
        <f>developmentdata2019[[#This Row],[Paper  (CY/day)]]*201.974</f>
        <v>4.993362423449401E-2</v>
      </c>
      <c r="BS94" s="37">
        <f>developmentdata2019[[#This Row],[Organics (CY/day)]]*201.974</f>
        <v>1.1151573851658242E-2</v>
      </c>
      <c r="BT94" s="37">
        <f>developmentdata2019[[#This Row],[E-Waste (CY/day)]]*201.974</f>
        <v>1.4584813023580805E-4</v>
      </c>
      <c r="BU94" s="37">
        <f>developmentdata2019[[#This Row],[Textiles (CY/day)]]*201.974</f>
        <v>2.7527866563445254E-5</v>
      </c>
    </row>
    <row r="95" spans="1:73" x14ac:dyDescent="0.2">
      <c r="A95" s="37" t="s">
        <v>365</v>
      </c>
      <c r="B95" s="115">
        <v>43466</v>
      </c>
      <c r="C95" s="37" t="s">
        <v>1076</v>
      </c>
      <c r="D95">
        <v>9</v>
      </c>
      <c r="E95">
        <v>9</v>
      </c>
      <c r="F95">
        <v>207</v>
      </c>
      <c r="G95">
        <v>207</v>
      </c>
      <c r="H95" s="37" t="s">
        <v>1077</v>
      </c>
      <c r="I95" s="37" t="s">
        <v>577</v>
      </c>
      <c r="J95" s="37" t="s">
        <v>578</v>
      </c>
      <c r="K95" s="37" t="s">
        <v>579</v>
      </c>
      <c r="M95">
        <v>1156</v>
      </c>
      <c r="N95">
        <v>1170</v>
      </c>
      <c r="O95">
        <v>4846</v>
      </c>
      <c r="P95">
        <v>4.1900000000000004</v>
      </c>
      <c r="R95">
        <v>2284</v>
      </c>
      <c r="S95">
        <v>2284</v>
      </c>
      <c r="T95">
        <v>470</v>
      </c>
      <c r="U95">
        <v>0.41699999999999998</v>
      </c>
      <c r="V95">
        <v>10</v>
      </c>
      <c r="W95">
        <v>1</v>
      </c>
      <c r="X95">
        <v>30</v>
      </c>
      <c r="Y95">
        <v>40704</v>
      </c>
      <c r="Z95">
        <v>512822</v>
      </c>
      <c r="AA95">
        <v>11.77</v>
      </c>
      <c r="AB95">
        <v>466607</v>
      </c>
      <c r="AC95">
        <v>10.71</v>
      </c>
      <c r="AD95">
        <v>112140</v>
      </c>
      <c r="AE95">
        <v>7963515</v>
      </c>
      <c r="AF95">
        <v>0.21870000000000001</v>
      </c>
      <c r="AG95">
        <v>194</v>
      </c>
      <c r="AH95">
        <v>5304700</v>
      </c>
      <c r="AI95">
        <v>1086</v>
      </c>
      <c r="AJ95">
        <v>466</v>
      </c>
      <c r="AK95" s="37" t="s">
        <v>633</v>
      </c>
      <c r="AL95" s="37" t="s">
        <v>731</v>
      </c>
      <c r="AM95" s="37" t="s">
        <v>740</v>
      </c>
      <c r="AN95" s="37" t="s">
        <v>1078</v>
      </c>
      <c r="AO95" s="37" t="s">
        <v>608</v>
      </c>
      <c r="AP95">
        <v>11</v>
      </c>
      <c r="AQ95">
        <v>13</v>
      </c>
      <c r="AR95">
        <v>30</v>
      </c>
      <c r="AS95">
        <v>68</v>
      </c>
      <c r="AT95">
        <v>8</v>
      </c>
      <c r="AU95" s="115">
        <v>15116</v>
      </c>
      <c r="AV95" s="37"/>
      <c r="AW95" s="37"/>
      <c r="AX95" s="37"/>
      <c r="AY95" s="37"/>
      <c r="AZ95" s="37">
        <f>developmentdata2019[[#This Row],[NUMBER OF CURRENT APARTMENTS]]*5/2000</f>
        <v>2.89</v>
      </c>
      <c r="BA95" s="37">
        <f>developmentdata2019[[#This Row],[Total]]*BA$1</f>
        <v>0.75140000000000007</v>
      </c>
      <c r="BB95" s="37">
        <f>developmentdata2019[[#This Row],[Trash (tons/day)]]*BB$1</f>
        <v>0.142766</v>
      </c>
      <c r="BC95" s="37">
        <f>developmentdata2019[[#This Row],[MGP (tons/day)]]*BC$1</f>
        <v>9.9936200000000017E-3</v>
      </c>
      <c r="BD95" s="37">
        <f>developmentdata2019[[#This Row],[Cardboard (tons/day)]]*BD$1</f>
        <v>6.9955340000000014E-4</v>
      </c>
      <c r="BE95" s="37">
        <f>developmentdata2019[[#This Row],[Paper (tons/day)]]*BE$1</f>
        <v>2.2385708800000005E-4</v>
      </c>
      <c r="BF95" s="37">
        <f>developmentdata2019[[#This Row],[Organics (tons/day)]]*BF$1</f>
        <v>2.2385708800000007E-6</v>
      </c>
      <c r="BG95" s="37">
        <f>developmentdata2019[[#This Row],[E-Waste (tons/day)]]*BG$1</f>
        <v>1.7908567040000007E-7</v>
      </c>
      <c r="BH95" s="37">
        <f>developmentdata2019[[#This Row],[Trash (tons/day)]]*BH$1</f>
        <v>15.816970000000001</v>
      </c>
      <c r="BI95" s="37">
        <f>developmentdata2019[[#This Row],[MGP (tons/day)]]*BI$1</f>
        <v>2.5726433200000001</v>
      </c>
      <c r="BJ95" s="37">
        <f>developmentdata2019[[#This Row],[Cardboard (tons/day)]]*BJ$1</f>
        <v>0.26652984540000008</v>
      </c>
      <c r="BK95" s="37">
        <f>developmentdata2019[[#This Row],[Paper (tons/day)]]*BK$1</f>
        <v>4.3302355460000013E-3</v>
      </c>
      <c r="BL95" s="37">
        <f>developmentdata2019[[#This Row],[Organics (tons/day)]]*BL$1</f>
        <v>9.6706262016000026E-4</v>
      </c>
      <c r="BM95" s="37">
        <f>developmentdata2019[[#This Row],[E-Waste (tons/day)]]*BM$1</f>
        <v>1.2647925472000006E-5</v>
      </c>
      <c r="BN95" s="37">
        <f>developmentdata2019[[#This Row],[Textiles (tons/day)]]*BN$1</f>
        <v>2.387211986432001E-6</v>
      </c>
      <c r="BO95" s="37">
        <f>developmentdata2019[[#This Row],[Trash (CY/day)]]*201.974</f>
        <v>3194.6166987800002</v>
      </c>
      <c r="BP95" s="37">
        <f>developmentdata2019[[#This Row],[MGP (CY/day)]]*201.974</f>
        <v>519.60706191368001</v>
      </c>
      <c r="BQ95" s="37">
        <f>developmentdata2019[[#This Row],[Cardboard (CY/day)]]*201.974</f>
        <v>53.83209899481961</v>
      </c>
      <c r="BR95" s="37">
        <f>developmentdata2019[[#This Row],[Paper  (CY/day)]]*201.974</f>
        <v>0.87459499416780417</v>
      </c>
      <c r="BS95" s="37">
        <f>developmentdata2019[[#This Row],[Organics (CY/day)]]*201.974</f>
        <v>0.19532150564419587</v>
      </c>
      <c r="BT95" s="37">
        <f>developmentdata2019[[#This Row],[E-Waste (CY/day)]]*201.974</f>
        <v>2.554552099281729E-3</v>
      </c>
      <c r="BU95" s="37">
        <f>developmentdata2019[[#This Row],[Textiles (CY/day)]]*201.974</f>
        <v>4.8215475374761694E-4</v>
      </c>
    </row>
    <row r="96" spans="1:73" x14ac:dyDescent="0.2">
      <c r="A96" s="37" t="s">
        <v>426</v>
      </c>
      <c r="B96" s="115">
        <v>43466</v>
      </c>
      <c r="C96" s="37" t="s">
        <v>1079</v>
      </c>
      <c r="D96">
        <v>34</v>
      </c>
      <c r="E96">
        <v>34</v>
      </c>
      <c r="F96">
        <v>313</v>
      </c>
      <c r="G96">
        <v>313</v>
      </c>
      <c r="H96" s="37" t="s">
        <v>1080</v>
      </c>
      <c r="I96" s="37" t="s">
        <v>577</v>
      </c>
      <c r="J96" s="37" t="s">
        <v>578</v>
      </c>
      <c r="K96" s="37" t="s">
        <v>579</v>
      </c>
      <c r="M96">
        <v>877</v>
      </c>
      <c r="N96">
        <v>877</v>
      </c>
      <c r="O96">
        <v>4249.5</v>
      </c>
      <c r="P96">
        <v>4.8499999999999996</v>
      </c>
      <c r="R96">
        <v>2051</v>
      </c>
      <c r="S96">
        <v>2051</v>
      </c>
      <c r="T96">
        <v>323</v>
      </c>
      <c r="U96">
        <v>0.371</v>
      </c>
      <c r="V96">
        <v>10</v>
      </c>
      <c r="W96">
        <v>0</v>
      </c>
      <c r="X96">
        <v>15</v>
      </c>
      <c r="Y96">
        <v>43654</v>
      </c>
      <c r="Z96">
        <v>653856</v>
      </c>
      <c r="AA96">
        <v>15.01</v>
      </c>
      <c r="AB96">
        <v>607396</v>
      </c>
      <c r="AC96">
        <v>13.94</v>
      </c>
      <c r="AD96">
        <v>115918</v>
      </c>
      <c r="AE96">
        <v>7891470</v>
      </c>
      <c r="AF96">
        <v>0.17730000000000001</v>
      </c>
      <c r="AG96">
        <v>137</v>
      </c>
      <c r="AH96">
        <v>9514000</v>
      </c>
      <c r="AI96">
        <v>2244</v>
      </c>
      <c r="AJ96">
        <v>551</v>
      </c>
      <c r="AK96" s="37" t="s">
        <v>1081</v>
      </c>
      <c r="AL96" s="37" t="s">
        <v>1082</v>
      </c>
      <c r="AM96" s="37" t="s">
        <v>1083</v>
      </c>
      <c r="AN96" s="37" t="s">
        <v>1084</v>
      </c>
      <c r="AO96" s="37" t="s">
        <v>584</v>
      </c>
      <c r="AP96">
        <v>11</v>
      </c>
      <c r="AQ96">
        <v>16</v>
      </c>
      <c r="AR96">
        <v>36</v>
      </c>
      <c r="AS96">
        <v>83</v>
      </c>
      <c r="AT96">
        <v>12</v>
      </c>
      <c r="AU96" s="115">
        <v>18415</v>
      </c>
      <c r="AV96" s="37" t="s">
        <v>1085</v>
      </c>
      <c r="AW96" s="37"/>
      <c r="AX96" s="37"/>
      <c r="AY96" s="37"/>
      <c r="AZ96" s="37">
        <f>developmentdata2019[[#This Row],[NUMBER OF CURRENT APARTMENTS]]*5/2000</f>
        <v>2.1924999999999999</v>
      </c>
      <c r="BA96" s="37">
        <f>developmentdata2019[[#This Row],[Total]]*BA$1</f>
        <v>0.57004999999999995</v>
      </c>
      <c r="BB96" s="37">
        <f>developmentdata2019[[#This Row],[Trash (tons/day)]]*BB$1</f>
        <v>0.10830949999999999</v>
      </c>
      <c r="BC96" s="37">
        <f>developmentdata2019[[#This Row],[MGP (tons/day)]]*BC$1</f>
        <v>7.5816649999999996E-3</v>
      </c>
      <c r="BD96" s="37">
        <f>developmentdata2019[[#This Row],[Cardboard (tons/day)]]*BD$1</f>
        <v>5.3071655000000006E-4</v>
      </c>
      <c r="BE96" s="37">
        <f>developmentdata2019[[#This Row],[Paper (tons/day)]]*BE$1</f>
        <v>1.6982929600000001E-4</v>
      </c>
      <c r="BF96" s="37">
        <f>developmentdata2019[[#This Row],[Organics (tons/day)]]*BF$1</f>
        <v>1.6982929600000002E-6</v>
      </c>
      <c r="BG96" s="37">
        <f>developmentdata2019[[#This Row],[E-Waste (tons/day)]]*BG$1</f>
        <v>1.3586343680000001E-7</v>
      </c>
      <c r="BH96" s="37">
        <f>developmentdata2019[[#This Row],[Trash (tons/day)]]*BH$1</f>
        <v>11.9995525</v>
      </c>
      <c r="BI96" s="37">
        <f>developmentdata2019[[#This Row],[MGP (tons/day)]]*BI$1</f>
        <v>1.9517371899999998</v>
      </c>
      <c r="BJ96" s="37">
        <f>developmentdata2019[[#This Row],[Cardboard (tons/day)]]*BJ$1</f>
        <v>0.20220300555000001</v>
      </c>
      <c r="BK96" s="37">
        <f>developmentdata2019[[#This Row],[Paper (tons/day)]]*BK$1</f>
        <v>3.2851354445000004E-3</v>
      </c>
      <c r="BL96" s="37">
        <f>developmentdata2019[[#This Row],[Organics (tons/day)]]*BL$1</f>
        <v>7.3366255872000011E-4</v>
      </c>
      <c r="BM96" s="37">
        <f>developmentdata2019[[#This Row],[E-Waste (tons/day)]]*BM$1</f>
        <v>9.5953552240000024E-6</v>
      </c>
      <c r="BN96" s="37">
        <f>developmentdata2019[[#This Row],[Textiles (tons/day)]]*BN$1</f>
        <v>1.8110596125440001E-6</v>
      </c>
      <c r="BO96" s="37">
        <f>developmentdata2019[[#This Row],[Trash (CY/day)]]*201.974</f>
        <v>2423.5976166349997</v>
      </c>
      <c r="BP96" s="37">
        <f>developmentdata2019[[#This Row],[MGP (CY/day)]]*201.974</f>
        <v>394.20016721305996</v>
      </c>
      <c r="BQ96" s="37">
        <f>developmentdata2019[[#This Row],[Cardboard (CY/day)]]*201.974</f>
        <v>40.839749842955698</v>
      </c>
      <c r="BR96" s="37">
        <f>developmentdata2019[[#This Row],[Paper  (CY/day)]]*201.974</f>
        <v>0.66351194626744303</v>
      </c>
      <c r="BS96" s="37">
        <f>developmentdata2019[[#This Row],[Organics (CY/day)]]*201.974</f>
        <v>0.14818076163491328</v>
      </c>
      <c r="BT96" s="37">
        <f>developmentdata2019[[#This Row],[E-Waste (CY/day)]]*201.974</f>
        <v>1.9380122760121765E-3</v>
      </c>
      <c r="BU96" s="37">
        <f>developmentdata2019[[#This Row],[Textiles (CY/day)]]*201.974</f>
        <v>3.6578695418396188E-4</v>
      </c>
    </row>
    <row r="97" spans="1:73" x14ac:dyDescent="0.2">
      <c r="A97" s="37" t="s">
        <v>433</v>
      </c>
      <c r="B97" s="115">
        <v>43466</v>
      </c>
      <c r="C97" s="37" t="s">
        <v>1086</v>
      </c>
      <c r="D97">
        <v>57</v>
      </c>
      <c r="E97">
        <v>57</v>
      </c>
      <c r="F97">
        <v>214</v>
      </c>
      <c r="G97">
        <v>214</v>
      </c>
      <c r="H97" s="37" t="s">
        <v>1087</v>
      </c>
      <c r="I97" s="37" t="s">
        <v>577</v>
      </c>
      <c r="J97" s="37" t="s">
        <v>578</v>
      </c>
      <c r="K97" s="37" t="s">
        <v>579</v>
      </c>
      <c r="M97">
        <v>2035</v>
      </c>
      <c r="N97">
        <v>2039</v>
      </c>
      <c r="O97">
        <v>9675.5</v>
      </c>
      <c r="P97">
        <v>4.75</v>
      </c>
      <c r="R97">
        <v>4852</v>
      </c>
      <c r="S97">
        <v>4852</v>
      </c>
      <c r="T97">
        <v>596</v>
      </c>
      <c r="U97">
        <v>0.29699999999999999</v>
      </c>
      <c r="V97">
        <v>40</v>
      </c>
      <c r="W97">
        <v>2</v>
      </c>
      <c r="X97">
        <v>71</v>
      </c>
      <c r="Y97">
        <v>43538</v>
      </c>
      <c r="Z97">
        <v>2129275</v>
      </c>
      <c r="AA97">
        <v>48.88</v>
      </c>
      <c r="AB97">
        <v>2023005</v>
      </c>
      <c r="AC97">
        <v>46.44</v>
      </c>
      <c r="AD97">
        <v>344433</v>
      </c>
      <c r="AE97">
        <v>17847449</v>
      </c>
      <c r="AF97">
        <v>0.1618</v>
      </c>
      <c r="AG97">
        <v>99</v>
      </c>
      <c r="AH97">
        <v>22862156</v>
      </c>
      <c r="AI97">
        <v>2359</v>
      </c>
      <c r="AJ97">
        <v>564</v>
      </c>
      <c r="AK97" s="37" t="s">
        <v>1088</v>
      </c>
      <c r="AL97" s="37" t="s">
        <v>1089</v>
      </c>
      <c r="AM97" s="37" t="s">
        <v>1090</v>
      </c>
      <c r="AN97" s="37" t="s">
        <v>1091</v>
      </c>
      <c r="AO97" s="37" t="s">
        <v>584</v>
      </c>
      <c r="AP97">
        <v>12</v>
      </c>
      <c r="AQ97">
        <v>16</v>
      </c>
      <c r="AR97">
        <v>36</v>
      </c>
      <c r="AS97">
        <v>83</v>
      </c>
      <c r="AT97">
        <v>12</v>
      </c>
      <c r="AU97" s="115">
        <v>19662</v>
      </c>
      <c r="AV97" s="37"/>
      <c r="AW97" s="37"/>
      <c r="AX97" s="37"/>
      <c r="AY97" s="37"/>
      <c r="AZ97" s="37">
        <f>developmentdata2019[[#This Row],[NUMBER OF CURRENT APARTMENTS]]*5/2000</f>
        <v>5.0875000000000004</v>
      </c>
      <c r="BA97" s="37">
        <f>developmentdata2019[[#This Row],[Total]]*BA$1</f>
        <v>1.3227500000000001</v>
      </c>
      <c r="BB97" s="37">
        <f>developmentdata2019[[#This Row],[Trash (tons/day)]]*BB$1</f>
        <v>0.2513225</v>
      </c>
      <c r="BC97" s="37">
        <f>developmentdata2019[[#This Row],[MGP (tons/day)]]*BC$1</f>
        <v>1.7592575000000003E-2</v>
      </c>
      <c r="BD97" s="37">
        <f>developmentdata2019[[#This Row],[Cardboard (tons/day)]]*BD$1</f>
        <v>1.2314802500000004E-3</v>
      </c>
      <c r="BE97" s="37">
        <f>developmentdata2019[[#This Row],[Paper (tons/day)]]*BE$1</f>
        <v>3.9407368000000015E-4</v>
      </c>
      <c r="BF97" s="37">
        <f>developmentdata2019[[#This Row],[Organics (tons/day)]]*BF$1</f>
        <v>3.9407368000000016E-6</v>
      </c>
      <c r="BG97" s="37">
        <f>developmentdata2019[[#This Row],[E-Waste (tons/day)]]*BG$1</f>
        <v>3.1525894400000012E-7</v>
      </c>
      <c r="BH97" s="37">
        <f>developmentdata2019[[#This Row],[Trash (tons/day)]]*BH$1</f>
        <v>27.843887500000005</v>
      </c>
      <c r="BI97" s="37">
        <f>developmentdata2019[[#This Row],[MGP (tons/day)]]*BI$1</f>
        <v>4.5288314500000002</v>
      </c>
      <c r="BJ97" s="37">
        <f>developmentdata2019[[#This Row],[Cardboard (tons/day)]]*BJ$1</f>
        <v>0.46919397525000012</v>
      </c>
      <c r="BK97" s="37">
        <f>developmentdata2019[[#This Row],[Paper (tons/day)]]*BK$1</f>
        <v>7.6228627475000031E-3</v>
      </c>
      <c r="BL97" s="37">
        <f>developmentdata2019[[#This Row],[Organics (tons/day)]]*BL$1</f>
        <v>1.7023982976000008E-3</v>
      </c>
      <c r="BM97" s="37">
        <f>developmentdata2019[[#This Row],[E-Waste (tons/day)]]*BM$1</f>
        <v>2.2265162920000012E-5</v>
      </c>
      <c r="BN97" s="37">
        <f>developmentdata2019[[#This Row],[Textiles (tons/day)]]*BN$1</f>
        <v>4.2024017235200014E-6</v>
      </c>
      <c r="BO97" s="37">
        <f>developmentdata2019[[#This Row],[Trash (CY/day)]]*201.974</f>
        <v>5623.7413339250006</v>
      </c>
      <c r="BP97" s="37">
        <f>developmentdata2019[[#This Row],[MGP (CY/day)]]*201.974</f>
        <v>914.70620328229995</v>
      </c>
      <c r="BQ97" s="37">
        <f>developmentdata2019[[#This Row],[Cardboard (CY/day)]]*201.974</f>
        <v>94.764983957143514</v>
      </c>
      <c r="BR97" s="37">
        <f>developmentdata2019[[#This Row],[Paper  (CY/day)]]*201.974</f>
        <v>1.5396200805635656</v>
      </c>
      <c r="BS97" s="37">
        <f>developmentdata2019[[#This Row],[Organics (CY/day)]]*201.974</f>
        <v>0.34384019375946256</v>
      </c>
      <c r="BT97" s="37">
        <f>developmentdata2019[[#This Row],[E-Waste (CY/day)]]*201.974</f>
        <v>4.4969840156040821E-3</v>
      </c>
      <c r="BU97" s="37">
        <f>developmentdata2019[[#This Row],[Textiles (CY/day)]]*201.974</f>
        <v>8.487758857062287E-4</v>
      </c>
    </row>
    <row r="98" spans="1:73" x14ac:dyDescent="0.2">
      <c r="A98" s="37" t="s">
        <v>340</v>
      </c>
      <c r="B98" s="115">
        <v>43466</v>
      </c>
      <c r="C98" s="37" t="s">
        <v>924</v>
      </c>
      <c r="D98">
        <v>15</v>
      </c>
      <c r="E98">
        <v>134</v>
      </c>
      <c r="F98">
        <v>367</v>
      </c>
      <c r="G98">
        <v>367</v>
      </c>
      <c r="H98" s="37" t="s">
        <v>1092</v>
      </c>
      <c r="I98" s="37" t="s">
        <v>577</v>
      </c>
      <c r="J98" s="37" t="s">
        <v>578</v>
      </c>
      <c r="K98" s="37" t="s">
        <v>579</v>
      </c>
      <c r="M98">
        <v>606</v>
      </c>
      <c r="N98">
        <v>608</v>
      </c>
      <c r="O98">
        <v>2843</v>
      </c>
      <c r="P98">
        <v>4.6900000000000004</v>
      </c>
      <c r="R98">
        <v>1355</v>
      </c>
      <c r="S98">
        <v>1355</v>
      </c>
      <c r="T98">
        <v>223</v>
      </c>
      <c r="U98">
        <v>0.38300000000000001</v>
      </c>
      <c r="V98">
        <v>4</v>
      </c>
      <c r="W98">
        <v>0</v>
      </c>
      <c r="X98">
        <v>8</v>
      </c>
      <c r="Y98">
        <v>43781</v>
      </c>
      <c r="Z98">
        <v>204530</v>
      </c>
      <c r="AA98">
        <v>4.7</v>
      </c>
      <c r="AB98">
        <v>204530</v>
      </c>
      <c r="AC98">
        <v>4.7</v>
      </c>
      <c r="AD98">
        <v>45023</v>
      </c>
      <c r="AE98">
        <v>4301454</v>
      </c>
      <c r="AF98">
        <v>0.22009999999999999</v>
      </c>
      <c r="AG98">
        <v>288</v>
      </c>
      <c r="AH98">
        <v>5042342</v>
      </c>
      <c r="AI98">
        <v>1808</v>
      </c>
      <c r="AJ98">
        <v>577</v>
      </c>
      <c r="AK98" s="37" t="s">
        <v>921</v>
      </c>
      <c r="AL98" s="37" t="s">
        <v>926</v>
      </c>
      <c r="AM98" s="37" t="s">
        <v>923</v>
      </c>
      <c r="AN98" s="37" t="s">
        <v>927</v>
      </c>
      <c r="AO98" s="37" t="s">
        <v>608</v>
      </c>
      <c r="AP98">
        <v>4</v>
      </c>
      <c r="AQ98">
        <v>10</v>
      </c>
      <c r="AR98" t="s">
        <v>1093</v>
      </c>
      <c r="AS98">
        <v>75</v>
      </c>
      <c r="AT98">
        <v>3</v>
      </c>
      <c r="AU98" s="115">
        <v>17363</v>
      </c>
      <c r="AV98" s="37" t="s">
        <v>1044</v>
      </c>
      <c r="AW98" s="37"/>
      <c r="AX98" s="37"/>
      <c r="AY98" s="37"/>
      <c r="AZ98" s="37">
        <f>developmentdata2019[[#This Row],[NUMBER OF CURRENT APARTMENTS]]*5/2000</f>
        <v>1.5149999999999999</v>
      </c>
      <c r="BA98" s="37">
        <f>developmentdata2019[[#This Row],[Total]]*BA$1</f>
        <v>0.39389999999999997</v>
      </c>
      <c r="BB98" s="37">
        <f>developmentdata2019[[#This Row],[Trash (tons/day)]]*BB$1</f>
        <v>7.4840999999999991E-2</v>
      </c>
      <c r="BC98" s="37">
        <f>developmentdata2019[[#This Row],[MGP (tons/day)]]*BC$1</f>
        <v>5.2388699999999996E-3</v>
      </c>
      <c r="BD98" s="37">
        <f>developmentdata2019[[#This Row],[Cardboard (tons/day)]]*BD$1</f>
        <v>3.6672089999999999E-4</v>
      </c>
      <c r="BE98" s="37">
        <f>developmentdata2019[[#This Row],[Paper (tons/day)]]*BE$1</f>
        <v>1.1735068799999999E-4</v>
      </c>
      <c r="BF98" s="37">
        <f>developmentdata2019[[#This Row],[Organics (tons/day)]]*BF$1</f>
        <v>1.17350688E-6</v>
      </c>
      <c r="BG98" s="37">
        <f>developmentdata2019[[#This Row],[E-Waste (tons/day)]]*BG$1</f>
        <v>9.3880550400000008E-8</v>
      </c>
      <c r="BH98" s="37">
        <f>developmentdata2019[[#This Row],[Trash (tons/day)]]*BH$1</f>
        <v>8.2915949999999992</v>
      </c>
      <c r="BI98" s="37">
        <f>developmentdata2019[[#This Row],[MGP (tons/day)]]*BI$1</f>
        <v>1.3486348199999998</v>
      </c>
      <c r="BJ98" s="37">
        <f>developmentdata2019[[#This Row],[Cardboard (tons/day)]]*BJ$1</f>
        <v>0.13972066289999999</v>
      </c>
      <c r="BK98" s="37">
        <f>developmentdata2019[[#This Row],[Paper (tons/day)]]*BK$1</f>
        <v>2.2700023709999999E-3</v>
      </c>
      <c r="BL98" s="37">
        <f>developmentdata2019[[#This Row],[Organics (tons/day)]]*BL$1</f>
        <v>5.0695497215999996E-4</v>
      </c>
      <c r="BM98" s="37">
        <f>developmentdata2019[[#This Row],[E-Waste (tons/day)]]*BM$1</f>
        <v>6.6303138720000011E-6</v>
      </c>
      <c r="BN98" s="37">
        <f>developmentdata2019[[#This Row],[Textiles (tons/day)]]*BN$1</f>
        <v>1.251427736832E-6</v>
      </c>
      <c r="BO98" s="37">
        <f>developmentdata2019[[#This Row],[Trash (CY/day)]]*201.974</f>
        <v>1674.6866085299998</v>
      </c>
      <c r="BP98" s="37">
        <f>developmentdata2019[[#This Row],[MGP (CY/day)]]*201.974</f>
        <v>272.38916913467995</v>
      </c>
      <c r="BQ98" s="37">
        <f>developmentdata2019[[#This Row],[Cardboard (CY/day)]]*201.974</f>
        <v>28.219941168564596</v>
      </c>
      <c r="BR98" s="37">
        <f>developmentdata2019[[#This Row],[Paper  (CY/day)]]*201.974</f>
        <v>0.45848145888035396</v>
      </c>
      <c r="BS98" s="37">
        <f>developmentdata2019[[#This Row],[Organics (CY/day)]]*201.974</f>
        <v>0.10239172354704383</v>
      </c>
      <c r="BT98" s="37">
        <f>developmentdata2019[[#This Row],[E-Waste (CY/day)]]*201.974</f>
        <v>1.3391510139833282E-3</v>
      </c>
      <c r="BU98" s="37">
        <f>developmentdata2019[[#This Row],[Textiles (CY/day)]]*201.974</f>
        <v>2.5275586571890635E-4</v>
      </c>
    </row>
    <row r="99" spans="1:73" x14ac:dyDescent="0.2">
      <c r="A99" s="37" t="s">
        <v>440</v>
      </c>
      <c r="B99" s="115">
        <v>43466</v>
      </c>
      <c r="C99" s="37" t="s">
        <v>1094</v>
      </c>
      <c r="D99">
        <v>29</v>
      </c>
      <c r="E99">
        <v>29</v>
      </c>
      <c r="F99">
        <v>532</v>
      </c>
      <c r="G99">
        <v>532</v>
      </c>
      <c r="H99" s="37" t="s">
        <v>1095</v>
      </c>
      <c r="I99" s="37" t="s">
        <v>577</v>
      </c>
      <c r="J99" s="37" t="s">
        <v>578</v>
      </c>
      <c r="K99" s="37" t="s">
        <v>579</v>
      </c>
      <c r="M99">
        <v>1389</v>
      </c>
      <c r="N99">
        <v>1390</v>
      </c>
      <c r="O99">
        <v>6512.5</v>
      </c>
      <c r="P99">
        <v>4.6900000000000004</v>
      </c>
      <c r="R99">
        <v>3185</v>
      </c>
      <c r="S99">
        <v>3185</v>
      </c>
      <c r="T99">
        <v>537</v>
      </c>
      <c r="U99">
        <v>0.38800000000000001</v>
      </c>
      <c r="V99">
        <v>10</v>
      </c>
      <c r="W99">
        <v>0</v>
      </c>
      <c r="X99">
        <v>10</v>
      </c>
      <c r="Y99">
        <v>14</v>
      </c>
      <c r="Z99">
        <v>723570</v>
      </c>
      <c r="AA99">
        <v>16.61</v>
      </c>
      <c r="AB99">
        <v>723570</v>
      </c>
      <c r="AC99">
        <v>16.61</v>
      </c>
      <c r="AD99">
        <v>100746</v>
      </c>
      <c r="AE99">
        <v>11639930</v>
      </c>
      <c r="AF99">
        <v>0.13919999999999999</v>
      </c>
      <c r="AG99">
        <v>192</v>
      </c>
      <c r="AH99">
        <v>15187000</v>
      </c>
      <c r="AI99">
        <v>2324</v>
      </c>
      <c r="AJ99">
        <v>532</v>
      </c>
      <c r="AK99" s="37" t="s">
        <v>1096</v>
      </c>
      <c r="AL99" s="37" t="s">
        <v>1097</v>
      </c>
      <c r="AM99" s="37" t="s">
        <v>1098</v>
      </c>
      <c r="AN99" s="37" t="s">
        <v>1099</v>
      </c>
      <c r="AO99" s="37" t="s">
        <v>593</v>
      </c>
      <c r="AP99">
        <v>2</v>
      </c>
      <c r="AQ99">
        <v>8</v>
      </c>
      <c r="AR99">
        <v>25</v>
      </c>
      <c r="AS99">
        <v>57</v>
      </c>
      <c r="AT99">
        <v>35</v>
      </c>
      <c r="AU99" s="115">
        <v>19121</v>
      </c>
      <c r="AV99" s="37" t="s">
        <v>680</v>
      </c>
      <c r="AW99" s="37"/>
      <c r="AX99" s="37"/>
      <c r="AY99" s="37"/>
      <c r="AZ99" s="37">
        <f>developmentdata2019[[#This Row],[NUMBER OF CURRENT APARTMENTS]]*5/2000</f>
        <v>3.4725000000000001</v>
      </c>
      <c r="BA99" s="37">
        <f>developmentdata2019[[#This Row],[Total]]*BA$1</f>
        <v>0.90285000000000004</v>
      </c>
      <c r="BB99" s="37">
        <f>developmentdata2019[[#This Row],[Trash (tons/day)]]*BB$1</f>
        <v>0.17154150000000001</v>
      </c>
      <c r="BC99" s="37">
        <f>developmentdata2019[[#This Row],[MGP (tons/day)]]*BC$1</f>
        <v>1.2007905000000003E-2</v>
      </c>
      <c r="BD99" s="37">
        <f>developmentdata2019[[#This Row],[Cardboard (tons/day)]]*BD$1</f>
        <v>8.405533500000003E-4</v>
      </c>
      <c r="BE99" s="37">
        <f>developmentdata2019[[#This Row],[Paper (tons/day)]]*BE$1</f>
        <v>2.6897707200000009E-4</v>
      </c>
      <c r="BF99" s="37">
        <f>developmentdata2019[[#This Row],[Organics (tons/day)]]*BF$1</f>
        <v>2.689770720000001E-6</v>
      </c>
      <c r="BG99" s="37">
        <f>developmentdata2019[[#This Row],[E-Waste (tons/day)]]*BG$1</f>
        <v>2.1518165760000008E-7</v>
      </c>
      <c r="BH99" s="37">
        <f>developmentdata2019[[#This Row],[Trash (tons/day)]]*BH$1</f>
        <v>19.0049925</v>
      </c>
      <c r="BI99" s="37">
        <f>developmentdata2019[[#This Row],[MGP (tons/day)]]*BI$1</f>
        <v>3.0911778300000003</v>
      </c>
      <c r="BJ99" s="37">
        <f>developmentdata2019[[#This Row],[Cardboard (tons/day)]]*BJ$1</f>
        <v>0.32025082635000007</v>
      </c>
      <c r="BK99" s="37">
        <f>developmentdata2019[[#This Row],[Paper (tons/day)]]*BK$1</f>
        <v>5.2030252365000019E-3</v>
      </c>
      <c r="BL99" s="37">
        <f>developmentdata2019[[#This Row],[Organics (tons/day)]]*BL$1</f>
        <v>1.1619809510400004E-3</v>
      </c>
      <c r="BM99" s="37">
        <f>developmentdata2019[[#This Row],[E-Waste (tons/day)]]*BM$1</f>
        <v>1.5197204568000006E-5</v>
      </c>
      <c r="BN99" s="37">
        <f>developmentdata2019[[#This Row],[Textiles (tons/day)]]*BN$1</f>
        <v>2.8683714958080012E-6</v>
      </c>
      <c r="BO99" s="37">
        <f>developmentdata2019[[#This Row],[Trash (CY/day)]]*201.974</f>
        <v>3838.514355195</v>
      </c>
      <c r="BP99" s="37">
        <f>developmentdata2019[[#This Row],[MGP (CY/day)]]*201.974</f>
        <v>624.33755103642</v>
      </c>
      <c r="BQ99" s="37">
        <f>developmentdata2019[[#This Row],[Cardboard (CY/day)]]*201.974</f>
        <v>64.682340401214915</v>
      </c>
      <c r="BR99" s="37">
        <f>developmentdata2019[[#This Row],[Paper  (CY/day)]]*201.974</f>
        <v>1.0508758191168512</v>
      </c>
      <c r="BS99" s="37">
        <f>developmentdata2019[[#This Row],[Organics (CY/day)]]*201.974</f>
        <v>0.23468994060535303</v>
      </c>
      <c r="BT99" s="37">
        <f>developmentdata2019[[#This Row],[E-Waste (CY/day)]]*201.974</f>
        <v>3.0694401954172333E-3</v>
      </c>
      <c r="BU99" s="37">
        <f>developmentdata2019[[#This Row],[Textiles (CY/day)]]*201.974</f>
        <v>5.7933646449432523E-4</v>
      </c>
    </row>
    <row r="100" spans="1:73" x14ac:dyDescent="0.2">
      <c r="A100" s="37" t="s">
        <v>1100</v>
      </c>
      <c r="B100" s="115">
        <v>43466</v>
      </c>
      <c r="C100" s="37" t="s">
        <v>586</v>
      </c>
      <c r="D100">
        <v>205</v>
      </c>
      <c r="E100">
        <v>167</v>
      </c>
      <c r="F100">
        <v>322</v>
      </c>
      <c r="G100">
        <v>283</v>
      </c>
      <c r="H100" s="37" t="s">
        <v>1101</v>
      </c>
      <c r="I100" s="37" t="s">
        <v>577</v>
      </c>
      <c r="J100" s="37" t="s">
        <v>588</v>
      </c>
      <c r="K100" s="37" t="s">
        <v>579</v>
      </c>
      <c r="M100">
        <v>36</v>
      </c>
      <c r="N100">
        <v>36</v>
      </c>
      <c r="O100">
        <v>180</v>
      </c>
      <c r="P100">
        <v>5</v>
      </c>
      <c r="R100">
        <v>98</v>
      </c>
      <c r="S100">
        <v>98</v>
      </c>
      <c r="T100">
        <v>12</v>
      </c>
      <c r="U100">
        <v>0.33300000000000002</v>
      </c>
      <c r="V100">
        <v>18</v>
      </c>
      <c r="W100">
        <v>0</v>
      </c>
      <c r="X100">
        <v>18</v>
      </c>
      <c r="Y100">
        <v>2</v>
      </c>
      <c r="Z100">
        <v>33705</v>
      </c>
      <c r="AA100">
        <v>0.77</v>
      </c>
      <c r="AB100">
        <v>33705</v>
      </c>
      <c r="AC100">
        <v>0.77</v>
      </c>
      <c r="AD100">
        <v>20339</v>
      </c>
      <c r="AE100">
        <v>564300</v>
      </c>
      <c r="AF100">
        <v>0.60340000000000005</v>
      </c>
      <c r="AG100">
        <v>127</v>
      </c>
      <c r="AH100">
        <v>633673</v>
      </c>
      <c r="AI100">
        <v>3520</v>
      </c>
      <c r="AJ100">
        <v>741</v>
      </c>
      <c r="AK100" s="37" t="s">
        <v>1102</v>
      </c>
      <c r="AL100" s="37" t="s">
        <v>669</v>
      </c>
      <c r="AM100" s="37" t="s">
        <v>1103</v>
      </c>
      <c r="AN100" s="37" t="s">
        <v>1104</v>
      </c>
      <c r="AO100" s="37" t="s">
        <v>593</v>
      </c>
      <c r="AP100">
        <v>9</v>
      </c>
      <c r="AQ100">
        <v>9</v>
      </c>
      <c r="AR100">
        <v>20</v>
      </c>
      <c r="AS100">
        <v>43</v>
      </c>
      <c r="AT100" t="s">
        <v>1105</v>
      </c>
      <c r="AU100" s="115">
        <v>25476</v>
      </c>
      <c r="AV100" s="37"/>
      <c r="AW100" s="37"/>
      <c r="AX100" s="37" t="s">
        <v>621</v>
      </c>
      <c r="AY100" s="37"/>
      <c r="AZ100" s="37">
        <f>developmentdata2019[[#This Row],[NUMBER OF CURRENT APARTMENTS]]*5/2000</f>
        <v>0.09</v>
      </c>
      <c r="BA100" s="37">
        <f>developmentdata2019[[#This Row],[Total]]*BA$1</f>
        <v>2.3400000000000001E-2</v>
      </c>
      <c r="BB100" s="37">
        <f>developmentdata2019[[#This Row],[Trash (tons/day)]]*BB$1</f>
        <v>4.4460000000000003E-3</v>
      </c>
      <c r="BC100" s="37">
        <f>developmentdata2019[[#This Row],[MGP (tons/day)]]*BC$1</f>
        <v>3.1122000000000007E-4</v>
      </c>
      <c r="BD100" s="37">
        <f>developmentdata2019[[#This Row],[Cardboard (tons/day)]]*BD$1</f>
        <v>2.1785400000000007E-5</v>
      </c>
      <c r="BE100" s="37">
        <f>developmentdata2019[[#This Row],[Paper (tons/day)]]*BE$1</f>
        <v>6.9713280000000021E-6</v>
      </c>
      <c r="BF100" s="37">
        <f>developmentdata2019[[#This Row],[Organics (tons/day)]]*BF$1</f>
        <v>6.971328000000002E-8</v>
      </c>
      <c r="BG100" s="37">
        <f>developmentdata2019[[#This Row],[E-Waste (tons/day)]]*BG$1</f>
        <v>5.5770624000000018E-9</v>
      </c>
      <c r="BH100" s="37">
        <f>developmentdata2019[[#This Row],[Trash (tons/day)]]*BH$1</f>
        <v>0.49257000000000001</v>
      </c>
      <c r="BI100" s="37">
        <f>developmentdata2019[[#This Row],[MGP (tons/day)]]*BI$1</f>
        <v>8.0116920000000008E-2</v>
      </c>
      <c r="BJ100" s="37">
        <f>developmentdata2019[[#This Row],[Cardboard (tons/day)]]*BJ$1</f>
        <v>8.3002374000000021E-3</v>
      </c>
      <c r="BK100" s="37">
        <f>developmentdata2019[[#This Row],[Paper (tons/day)]]*BK$1</f>
        <v>1.3485162600000006E-4</v>
      </c>
      <c r="BL100" s="37">
        <f>developmentdata2019[[#This Row],[Organics (tons/day)]]*BL$1</f>
        <v>3.011613696000001E-5</v>
      </c>
      <c r="BM100" s="37">
        <f>developmentdata2019[[#This Row],[E-Waste (tons/day)]]*BM$1</f>
        <v>3.9388003200000015E-7</v>
      </c>
      <c r="BN100" s="37">
        <f>developmentdata2019[[#This Row],[Textiles (tons/day)]]*BN$1</f>
        <v>7.4342241792000018E-8</v>
      </c>
      <c r="BO100" s="37">
        <f>developmentdata2019[[#This Row],[Trash (CY/day)]]*201.974</f>
        <v>99.486333180000003</v>
      </c>
      <c r="BP100" s="37">
        <f>developmentdata2019[[#This Row],[MGP (CY/day)]]*201.974</f>
        <v>16.181534800080001</v>
      </c>
      <c r="BQ100" s="37">
        <f>developmentdata2019[[#This Row],[Cardboard (CY/day)]]*201.974</f>
        <v>1.6764321486276004</v>
      </c>
      <c r="BR100" s="37">
        <f>developmentdata2019[[#This Row],[Paper  (CY/day)]]*201.974</f>
        <v>2.7236522309724009E-2</v>
      </c>
      <c r="BS100" s="37">
        <f>developmentdata2019[[#This Row],[Organics (CY/day)]]*201.974</f>
        <v>6.0826766463590413E-3</v>
      </c>
      <c r="BT100" s="37">
        <f>developmentdata2019[[#This Row],[E-Waste (CY/day)]]*201.974</f>
        <v>7.9553525583168027E-5</v>
      </c>
      <c r="BU100" s="37">
        <f>developmentdata2019[[#This Row],[Textiles (CY/day)]]*201.974</f>
        <v>1.5015199943697412E-5</v>
      </c>
    </row>
    <row r="101" spans="1:73" x14ac:dyDescent="0.2">
      <c r="A101" s="37" t="s">
        <v>1106</v>
      </c>
      <c r="B101" s="115">
        <v>43466</v>
      </c>
      <c r="C101" s="37" t="s">
        <v>1107</v>
      </c>
      <c r="D101">
        <v>209</v>
      </c>
      <c r="E101">
        <v>91</v>
      </c>
      <c r="F101">
        <v>324</v>
      </c>
      <c r="G101">
        <v>324</v>
      </c>
      <c r="H101" s="37" t="s">
        <v>1108</v>
      </c>
      <c r="I101" s="37" t="s">
        <v>577</v>
      </c>
      <c r="J101" s="37" t="s">
        <v>578</v>
      </c>
      <c r="K101" s="37" t="s">
        <v>597</v>
      </c>
      <c r="M101">
        <v>21</v>
      </c>
      <c r="N101">
        <v>29</v>
      </c>
      <c r="O101">
        <v>111.5</v>
      </c>
      <c r="P101">
        <v>5.31</v>
      </c>
      <c r="S101">
        <v>35</v>
      </c>
      <c r="V101">
        <v>26</v>
      </c>
      <c r="Y101">
        <v>43467</v>
      </c>
      <c r="Z101">
        <v>109109</v>
      </c>
      <c r="AA101">
        <v>2.5</v>
      </c>
      <c r="AB101">
        <v>109109</v>
      </c>
      <c r="AC101">
        <v>2.5</v>
      </c>
      <c r="AG101">
        <v>14</v>
      </c>
      <c r="AH101">
        <v>815005</v>
      </c>
      <c r="AI101">
        <v>6.56</v>
      </c>
      <c r="AJ101">
        <v>812</v>
      </c>
      <c r="AK101" s="37" t="s">
        <v>1109</v>
      </c>
      <c r="AL101" s="37"/>
      <c r="AM101" s="37"/>
      <c r="AN101" s="37"/>
      <c r="AO101" s="37"/>
      <c r="AU101" s="115">
        <v>25507</v>
      </c>
      <c r="AV101" s="37"/>
      <c r="AW101" s="37"/>
      <c r="AX101" s="37"/>
      <c r="AY101" s="37"/>
      <c r="AZ101" s="37">
        <f>developmentdata2019[[#This Row],[NUMBER OF CURRENT APARTMENTS]]*5/2000</f>
        <v>5.2499999999999998E-2</v>
      </c>
      <c r="BA101" s="37">
        <f>developmentdata2019[[#This Row],[Total]]*BA$1</f>
        <v>1.3650000000000001E-2</v>
      </c>
      <c r="BB101" s="37">
        <f>developmentdata2019[[#This Row],[Trash (tons/day)]]*BB$1</f>
        <v>2.5935000000000003E-3</v>
      </c>
      <c r="BC101" s="37">
        <f>developmentdata2019[[#This Row],[MGP (tons/day)]]*BC$1</f>
        <v>1.8154500000000005E-4</v>
      </c>
      <c r="BD101" s="37">
        <f>developmentdata2019[[#This Row],[Cardboard (tons/day)]]*BD$1</f>
        <v>1.2708150000000005E-5</v>
      </c>
      <c r="BE101" s="37">
        <f>developmentdata2019[[#This Row],[Paper (tons/day)]]*BE$1</f>
        <v>4.0666080000000012E-6</v>
      </c>
      <c r="BF101" s="37">
        <f>developmentdata2019[[#This Row],[Organics (tons/day)]]*BF$1</f>
        <v>4.0666080000000014E-8</v>
      </c>
      <c r="BG101" s="37">
        <f>developmentdata2019[[#This Row],[E-Waste (tons/day)]]*BG$1</f>
        <v>3.2532864000000014E-9</v>
      </c>
      <c r="BH101" s="37">
        <f>developmentdata2019[[#This Row],[Trash (tons/day)]]*BH$1</f>
        <v>0.28733250000000005</v>
      </c>
      <c r="BI101" s="37">
        <f>developmentdata2019[[#This Row],[MGP (tons/day)]]*BI$1</f>
        <v>4.6734870000000005E-2</v>
      </c>
      <c r="BJ101" s="37">
        <f>developmentdata2019[[#This Row],[Cardboard (tons/day)]]*BJ$1</f>
        <v>4.8418051500000014E-3</v>
      </c>
      <c r="BK101" s="37">
        <f>developmentdata2019[[#This Row],[Paper (tons/day)]]*BK$1</f>
        <v>7.866344850000004E-5</v>
      </c>
      <c r="BL101" s="37">
        <f>developmentdata2019[[#This Row],[Organics (tons/day)]]*BL$1</f>
        <v>1.7567746560000007E-5</v>
      </c>
      <c r="BM101" s="37">
        <f>developmentdata2019[[#This Row],[E-Waste (tons/day)]]*BM$1</f>
        <v>2.297633520000001E-7</v>
      </c>
      <c r="BN101" s="37">
        <f>developmentdata2019[[#This Row],[Textiles (tons/day)]]*BN$1</f>
        <v>4.3366307712000021E-8</v>
      </c>
      <c r="BO101" s="37">
        <f>developmentdata2019[[#This Row],[Trash (CY/day)]]*201.974</f>
        <v>58.033694355000009</v>
      </c>
      <c r="BP101" s="37">
        <f>developmentdata2019[[#This Row],[MGP (CY/day)]]*201.974</f>
        <v>9.4392286333800008</v>
      </c>
      <c r="BQ101" s="37">
        <f>developmentdata2019[[#This Row],[Cardboard (CY/day)]]*201.974</f>
        <v>0.97791875336610024</v>
      </c>
      <c r="BR101" s="37">
        <f>developmentdata2019[[#This Row],[Paper  (CY/day)]]*201.974</f>
        <v>1.5887971347339006E-2</v>
      </c>
      <c r="BS101" s="37">
        <f>developmentdata2019[[#This Row],[Organics (CY/day)]]*201.974</f>
        <v>3.5482280437094415E-3</v>
      </c>
      <c r="BT101" s="37">
        <f>developmentdata2019[[#This Row],[E-Waste (CY/day)]]*201.974</f>
        <v>4.6406223256848016E-5</v>
      </c>
      <c r="BU101" s="37">
        <f>developmentdata2019[[#This Row],[Textiles (CY/day)]]*201.974</f>
        <v>8.7588666338234927E-6</v>
      </c>
    </row>
    <row r="102" spans="1:73" x14ac:dyDescent="0.2">
      <c r="A102" s="37" t="s">
        <v>1110</v>
      </c>
      <c r="B102" s="115">
        <v>43466</v>
      </c>
      <c r="C102" s="37" t="s">
        <v>1107</v>
      </c>
      <c r="D102">
        <v>212</v>
      </c>
      <c r="E102">
        <v>91</v>
      </c>
      <c r="F102">
        <v>327</v>
      </c>
      <c r="G102">
        <v>324</v>
      </c>
      <c r="H102" s="37" t="s">
        <v>1111</v>
      </c>
      <c r="I102" s="37" t="s">
        <v>577</v>
      </c>
      <c r="J102" s="37" t="s">
        <v>578</v>
      </c>
      <c r="K102" s="37" t="s">
        <v>597</v>
      </c>
      <c r="M102">
        <v>10</v>
      </c>
      <c r="N102">
        <v>14</v>
      </c>
      <c r="O102">
        <v>54</v>
      </c>
      <c r="P102">
        <v>5.4</v>
      </c>
      <c r="S102">
        <v>25</v>
      </c>
      <c r="V102">
        <v>12</v>
      </c>
      <c r="Y102">
        <v>37623</v>
      </c>
      <c r="Z102">
        <v>71102</v>
      </c>
      <c r="AA102">
        <v>1.63</v>
      </c>
      <c r="AB102">
        <v>71102</v>
      </c>
      <c r="AC102">
        <v>1.63</v>
      </c>
      <c r="AG102">
        <v>15</v>
      </c>
      <c r="AH102">
        <v>594100</v>
      </c>
      <c r="AI102">
        <v>6.93</v>
      </c>
      <c r="AJ102">
        <v>920</v>
      </c>
      <c r="AK102" s="37" t="s">
        <v>1112</v>
      </c>
      <c r="AL102" s="37" t="s">
        <v>1113</v>
      </c>
      <c r="AM102" s="37"/>
      <c r="AN102" s="37"/>
      <c r="AO102" s="37"/>
      <c r="AU102" s="115">
        <v>25841</v>
      </c>
      <c r="AV102" s="37"/>
      <c r="AW102" s="37"/>
      <c r="AX102" s="37"/>
      <c r="AY102" s="37"/>
      <c r="AZ102" s="37">
        <f>developmentdata2019[[#This Row],[NUMBER OF CURRENT APARTMENTS]]*5/2000</f>
        <v>2.5000000000000001E-2</v>
      </c>
      <c r="BA102" s="37">
        <f>developmentdata2019[[#This Row],[Total]]*BA$1</f>
        <v>6.5000000000000006E-3</v>
      </c>
      <c r="BB102" s="37">
        <f>developmentdata2019[[#This Row],[Trash (tons/day)]]*BB$1</f>
        <v>1.2350000000000002E-3</v>
      </c>
      <c r="BC102" s="37">
        <f>developmentdata2019[[#This Row],[MGP (tons/day)]]*BC$1</f>
        <v>8.6450000000000028E-5</v>
      </c>
      <c r="BD102" s="37">
        <f>developmentdata2019[[#This Row],[Cardboard (tons/day)]]*BD$1</f>
        <v>6.0515000000000021E-6</v>
      </c>
      <c r="BE102" s="37">
        <f>developmentdata2019[[#This Row],[Paper (tons/day)]]*BE$1</f>
        <v>1.9364800000000007E-6</v>
      </c>
      <c r="BF102" s="37">
        <f>developmentdata2019[[#This Row],[Organics (tons/day)]]*BF$1</f>
        <v>1.9364800000000007E-8</v>
      </c>
      <c r="BG102" s="37">
        <f>developmentdata2019[[#This Row],[E-Waste (tons/day)]]*BG$1</f>
        <v>1.5491840000000007E-9</v>
      </c>
      <c r="BH102" s="37">
        <f>developmentdata2019[[#This Row],[Trash (tons/day)]]*BH$1</f>
        <v>0.13682500000000003</v>
      </c>
      <c r="BI102" s="37">
        <f>developmentdata2019[[#This Row],[MGP (tons/day)]]*BI$1</f>
        <v>2.2254700000000002E-2</v>
      </c>
      <c r="BJ102" s="37">
        <f>developmentdata2019[[#This Row],[Cardboard (tons/day)]]*BJ$1</f>
        <v>2.3056215000000009E-3</v>
      </c>
      <c r="BK102" s="37">
        <f>developmentdata2019[[#This Row],[Paper (tons/day)]]*BK$1</f>
        <v>3.7458785000000014E-5</v>
      </c>
      <c r="BL102" s="37">
        <f>developmentdata2019[[#This Row],[Organics (tons/day)]]*BL$1</f>
        <v>8.3655936000000039E-6</v>
      </c>
      <c r="BM102" s="37">
        <f>developmentdata2019[[#This Row],[E-Waste (tons/day)]]*BM$1</f>
        <v>1.0941112000000005E-7</v>
      </c>
      <c r="BN102" s="37">
        <f>developmentdata2019[[#This Row],[Textiles (tons/day)]]*BN$1</f>
        <v>2.0650622720000008E-8</v>
      </c>
      <c r="BO102" s="37">
        <f>developmentdata2019[[#This Row],[Trash (CY/day)]]*201.974</f>
        <v>27.635092550000003</v>
      </c>
      <c r="BP102" s="37">
        <f>developmentdata2019[[#This Row],[MGP (CY/day)]]*201.974</f>
        <v>4.4948707778000001</v>
      </c>
      <c r="BQ102" s="37">
        <f>developmentdata2019[[#This Row],[Cardboard (CY/day)]]*201.974</f>
        <v>0.46567559684100018</v>
      </c>
      <c r="BR102" s="37">
        <f>developmentdata2019[[#This Row],[Paper  (CY/day)]]*201.974</f>
        <v>7.5657006415900023E-3</v>
      </c>
      <c r="BS102" s="37">
        <f>developmentdata2019[[#This Row],[Organics (CY/day)]]*201.974</f>
        <v>1.6896324017664007E-3</v>
      </c>
      <c r="BT102" s="37">
        <f>developmentdata2019[[#This Row],[E-Waste (CY/day)]]*201.974</f>
        <v>2.2098201550880011E-5</v>
      </c>
      <c r="BU102" s="37">
        <f>developmentdata2019[[#This Row],[Textiles (CY/day)]]*201.974</f>
        <v>4.1708888732492817E-6</v>
      </c>
    </row>
    <row r="103" spans="1:73" x14ac:dyDescent="0.2">
      <c r="A103" s="37" t="s">
        <v>1114</v>
      </c>
      <c r="B103" s="115">
        <v>43466</v>
      </c>
      <c r="C103" s="37" t="s">
        <v>1107</v>
      </c>
      <c r="D103">
        <v>213</v>
      </c>
      <c r="E103">
        <v>91</v>
      </c>
      <c r="F103">
        <v>340</v>
      </c>
      <c r="G103">
        <v>324</v>
      </c>
      <c r="H103" s="37" t="s">
        <v>1115</v>
      </c>
      <c r="I103" s="37" t="s">
        <v>577</v>
      </c>
      <c r="J103" s="37" t="s">
        <v>578</v>
      </c>
      <c r="K103" s="37" t="s">
        <v>597</v>
      </c>
      <c r="M103">
        <v>11</v>
      </c>
      <c r="N103">
        <v>13</v>
      </c>
      <c r="O103">
        <v>60.5</v>
      </c>
      <c r="P103">
        <v>5.5</v>
      </c>
      <c r="S103">
        <v>20</v>
      </c>
      <c r="V103">
        <v>12</v>
      </c>
      <c r="Y103">
        <v>43467</v>
      </c>
      <c r="Z103">
        <v>48377</v>
      </c>
      <c r="AA103">
        <v>1.1100000000000001</v>
      </c>
      <c r="AB103">
        <v>48377</v>
      </c>
      <c r="AC103">
        <v>1.1100000000000001</v>
      </c>
      <c r="AG103">
        <v>18</v>
      </c>
      <c r="AH103">
        <v>363764</v>
      </c>
      <c r="AI103">
        <v>7.52</v>
      </c>
      <c r="AJ103">
        <v>1089</v>
      </c>
      <c r="AK103" s="37" t="s">
        <v>1112</v>
      </c>
      <c r="AL103" s="37" t="s">
        <v>1113</v>
      </c>
      <c r="AM103" s="37"/>
      <c r="AN103" s="37"/>
      <c r="AO103" s="37"/>
      <c r="AU103" s="115">
        <v>26053</v>
      </c>
      <c r="AV103" s="37"/>
      <c r="AW103" s="37"/>
      <c r="AX103" s="37"/>
      <c r="AY103" s="37"/>
      <c r="AZ103" s="37">
        <f>developmentdata2019[[#This Row],[NUMBER OF CURRENT APARTMENTS]]*5/2000</f>
        <v>2.75E-2</v>
      </c>
      <c r="BA103" s="37">
        <f>developmentdata2019[[#This Row],[Total]]*BA$1</f>
        <v>7.1500000000000001E-3</v>
      </c>
      <c r="BB103" s="37">
        <f>developmentdata2019[[#This Row],[Trash (tons/day)]]*BB$1</f>
        <v>1.3585000000000001E-3</v>
      </c>
      <c r="BC103" s="37">
        <f>developmentdata2019[[#This Row],[MGP (tons/day)]]*BC$1</f>
        <v>9.5095000000000024E-5</v>
      </c>
      <c r="BD103" s="37">
        <f>developmentdata2019[[#This Row],[Cardboard (tons/day)]]*BD$1</f>
        <v>6.6566500000000026E-6</v>
      </c>
      <c r="BE103" s="37">
        <f>developmentdata2019[[#This Row],[Paper (tons/day)]]*BE$1</f>
        <v>2.1301280000000009E-6</v>
      </c>
      <c r="BF103" s="37">
        <f>developmentdata2019[[#This Row],[Organics (tons/day)]]*BF$1</f>
        <v>2.130128000000001E-8</v>
      </c>
      <c r="BG103" s="37">
        <f>developmentdata2019[[#This Row],[E-Waste (tons/day)]]*BG$1</f>
        <v>1.7041024000000009E-9</v>
      </c>
      <c r="BH103" s="37">
        <f>developmentdata2019[[#This Row],[Trash (tons/day)]]*BH$1</f>
        <v>0.15050750000000002</v>
      </c>
      <c r="BI103" s="37">
        <f>developmentdata2019[[#This Row],[MGP (tons/day)]]*BI$1</f>
        <v>2.4480170000000002E-2</v>
      </c>
      <c r="BJ103" s="37">
        <f>developmentdata2019[[#This Row],[Cardboard (tons/day)]]*BJ$1</f>
        <v>2.5361836500000009E-3</v>
      </c>
      <c r="BK103" s="37">
        <f>developmentdata2019[[#This Row],[Paper (tons/day)]]*BK$1</f>
        <v>4.1204663500000019E-5</v>
      </c>
      <c r="BL103" s="37">
        <f>developmentdata2019[[#This Row],[Organics (tons/day)]]*BL$1</f>
        <v>9.2021529600000053E-6</v>
      </c>
      <c r="BM103" s="37">
        <f>developmentdata2019[[#This Row],[E-Waste (tons/day)]]*BM$1</f>
        <v>1.2035223200000007E-7</v>
      </c>
      <c r="BN103" s="37">
        <f>developmentdata2019[[#This Row],[Textiles (tons/day)]]*BN$1</f>
        <v>2.2715684992000011E-8</v>
      </c>
      <c r="BO103" s="37">
        <f>developmentdata2019[[#This Row],[Trash (CY/day)]]*201.974</f>
        <v>30.398601805000002</v>
      </c>
      <c r="BP103" s="37">
        <f>developmentdata2019[[#This Row],[MGP (CY/day)]]*201.974</f>
        <v>4.9443578555799998</v>
      </c>
      <c r="BQ103" s="37">
        <f>developmentdata2019[[#This Row],[Cardboard (CY/day)]]*201.974</f>
        <v>0.51224315652510011</v>
      </c>
      <c r="BR103" s="37">
        <f>developmentdata2019[[#This Row],[Paper  (CY/day)]]*201.974</f>
        <v>8.322270705749004E-3</v>
      </c>
      <c r="BS103" s="37">
        <f>developmentdata2019[[#This Row],[Organics (CY/day)]]*201.974</f>
        <v>1.858595641943041E-3</v>
      </c>
      <c r="BT103" s="37">
        <f>developmentdata2019[[#This Row],[E-Waste (CY/day)]]*201.974</f>
        <v>2.4308021705968012E-5</v>
      </c>
      <c r="BU103" s="37">
        <f>developmentdata2019[[#This Row],[Textiles (CY/day)]]*201.974</f>
        <v>4.5879777605742102E-6</v>
      </c>
    </row>
    <row r="104" spans="1:73" x14ac:dyDescent="0.2">
      <c r="A104" s="37" t="s">
        <v>1116</v>
      </c>
      <c r="B104" s="115">
        <v>43466</v>
      </c>
      <c r="C104" s="37" t="s">
        <v>1107</v>
      </c>
      <c r="D104">
        <v>226</v>
      </c>
      <c r="E104">
        <v>91</v>
      </c>
      <c r="F104">
        <v>345</v>
      </c>
      <c r="G104">
        <v>324</v>
      </c>
      <c r="H104" s="37" t="s">
        <v>1117</v>
      </c>
      <c r="I104" s="37" t="s">
        <v>577</v>
      </c>
      <c r="J104" s="37" t="s">
        <v>578</v>
      </c>
      <c r="K104" s="37" t="s">
        <v>597</v>
      </c>
      <c r="M104">
        <v>10</v>
      </c>
      <c r="N104">
        <v>13</v>
      </c>
      <c r="O104">
        <v>59</v>
      </c>
      <c r="P104">
        <v>5.9</v>
      </c>
      <c r="S104">
        <v>20</v>
      </c>
      <c r="V104">
        <v>13</v>
      </c>
      <c r="Y104">
        <v>37623</v>
      </c>
      <c r="Z104">
        <v>59855</v>
      </c>
      <c r="AA104">
        <v>1.37</v>
      </c>
      <c r="AB104">
        <v>59855</v>
      </c>
      <c r="AC104">
        <v>1.37</v>
      </c>
      <c r="AG104">
        <v>15</v>
      </c>
      <c r="AH104">
        <v>500168</v>
      </c>
      <c r="AI104">
        <v>7.38</v>
      </c>
      <c r="AJ104">
        <v>943</v>
      </c>
      <c r="AK104" s="37" t="s">
        <v>1118</v>
      </c>
      <c r="AL104" s="37" t="s">
        <v>1113</v>
      </c>
      <c r="AM104" s="37"/>
      <c r="AN104" s="37"/>
      <c r="AO104" s="37"/>
      <c r="AU104" s="115">
        <v>26114</v>
      </c>
      <c r="AV104" s="37"/>
      <c r="AW104" s="37"/>
      <c r="AX104" s="37"/>
      <c r="AY104" s="37"/>
      <c r="AZ104" s="37">
        <f>developmentdata2019[[#This Row],[NUMBER OF CURRENT APARTMENTS]]*5/2000</f>
        <v>2.5000000000000001E-2</v>
      </c>
      <c r="BA104" s="37">
        <f>developmentdata2019[[#This Row],[Total]]*BA$1</f>
        <v>6.5000000000000006E-3</v>
      </c>
      <c r="BB104" s="37">
        <f>developmentdata2019[[#This Row],[Trash (tons/day)]]*BB$1</f>
        <v>1.2350000000000002E-3</v>
      </c>
      <c r="BC104" s="37">
        <f>developmentdata2019[[#This Row],[MGP (tons/day)]]*BC$1</f>
        <v>8.6450000000000028E-5</v>
      </c>
      <c r="BD104" s="37">
        <f>developmentdata2019[[#This Row],[Cardboard (tons/day)]]*BD$1</f>
        <v>6.0515000000000021E-6</v>
      </c>
      <c r="BE104" s="37">
        <f>developmentdata2019[[#This Row],[Paper (tons/day)]]*BE$1</f>
        <v>1.9364800000000007E-6</v>
      </c>
      <c r="BF104" s="37">
        <f>developmentdata2019[[#This Row],[Organics (tons/day)]]*BF$1</f>
        <v>1.9364800000000007E-8</v>
      </c>
      <c r="BG104" s="37">
        <f>developmentdata2019[[#This Row],[E-Waste (tons/day)]]*BG$1</f>
        <v>1.5491840000000007E-9</v>
      </c>
      <c r="BH104" s="37">
        <f>developmentdata2019[[#This Row],[Trash (tons/day)]]*BH$1</f>
        <v>0.13682500000000003</v>
      </c>
      <c r="BI104" s="37">
        <f>developmentdata2019[[#This Row],[MGP (tons/day)]]*BI$1</f>
        <v>2.2254700000000002E-2</v>
      </c>
      <c r="BJ104" s="37">
        <f>developmentdata2019[[#This Row],[Cardboard (tons/day)]]*BJ$1</f>
        <v>2.3056215000000009E-3</v>
      </c>
      <c r="BK104" s="37">
        <f>developmentdata2019[[#This Row],[Paper (tons/day)]]*BK$1</f>
        <v>3.7458785000000014E-5</v>
      </c>
      <c r="BL104" s="37">
        <f>developmentdata2019[[#This Row],[Organics (tons/day)]]*BL$1</f>
        <v>8.3655936000000039E-6</v>
      </c>
      <c r="BM104" s="37">
        <f>developmentdata2019[[#This Row],[E-Waste (tons/day)]]*BM$1</f>
        <v>1.0941112000000005E-7</v>
      </c>
      <c r="BN104" s="37">
        <f>developmentdata2019[[#This Row],[Textiles (tons/day)]]*BN$1</f>
        <v>2.0650622720000008E-8</v>
      </c>
      <c r="BO104" s="37">
        <f>developmentdata2019[[#This Row],[Trash (CY/day)]]*201.974</f>
        <v>27.635092550000003</v>
      </c>
      <c r="BP104" s="37">
        <f>developmentdata2019[[#This Row],[MGP (CY/day)]]*201.974</f>
        <v>4.4948707778000001</v>
      </c>
      <c r="BQ104" s="37">
        <f>developmentdata2019[[#This Row],[Cardboard (CY/day)]]*201.974</f>
        <v>0.46567559684100018</v>
      </c>
      <c r="BR104" s="37">
        <f>developmentdata2019[[#This Row],[Paper  (CY/day)]]*201.974</f>
        <v>7.5657006415900023E-3</v>
      </c>
      <c r="BS104" s="37">
        <f>developmentdata2019[[#This Row],[Organics (CY/day)]]*201.974</f>
        <v>1.6896324017664007E-3</v>
      </c>
      <c r="BT104" s="37">
        <f>developmentdata2019[[#This Row],[E-Waste (CY/day)]]*201.974</f>
        <v>2.2098201550880011E-5</v>
      </c>
      <c r="BU104" s="37">
        <f>developmentdata2019[[#This Row],[Textiles (CY/day)]]*201.974</f>
        <v>4.1708888732492817E-6</v>
      </c>
    </row>
    <row r="105" spans="1:73" x14ac:dyDescent="0.2">
      <c r="A105" s="37" t="s">
        <v>1119</v>
      </c>
      <c r="B105" s="115">
        <v>43466</v>
      </c>
      <c r="C105" s="37" t="s">
        <v>1107</v>
      </c>
      <c r="D105">
        <v>283</v>
      </c>
      <c r="E105">
        <v>91</v>
      </c>
      <c r="F105">
        <v>376</v>
      </c>
      <c r="G105">
        <v>324</v>
      </c>
      <c r="H105" s="37" t="s">
        <v>1120</v>
      </c>
      <c r="I105" s="37" t="s">
        <v>577</v>
      </c>
      <c r="J105" s="37" t="s">
        <v>578</v>
      </c>
      <c r="K105" s="37" t="s">
        <v>597</v>
      </c>
      <c r="M105">
        <v>16</v>
      </c>
      <c r="N105">
        <v>40</v>
      </c>
      <c r="O105">
        <v>79</v>
      </c>
      <c r="P105">
        <v>4.9400000000000004</v>
      </c>
      <c r="S105">
        <v>31</v>
      </c>
      <c r="V105">
        <v>16</v>
      </c>
      <c r="Y105" t="s">
        <v>1121</v>
      </c>
      <c r="Z105">
        <v>50476</v>
      </c>
      <c r="AA105">
        <v>1.1599999999999999</v>
      </c>
      <c r="AB105">
        <v>50476</v>
      </c>
      <c r="AC105">
        <v>1.1599999999999999</v>
      </c>
      <c r="AG105">
        <v>27</v>
      </c>
      <c r="AH105">
        <v>0</v>
      </c>
      <c r="AI105">
        <v>0</v>
      </c>
      <c r="AJ105">
        <v>1076</v>
      </c>
      <c r="AK105" s="37" t="s">
        <v>1122</v>
      </c>
      <c r="AL105" s="37" t="s">
        <v>1123</v>
      </c>
      <c r="AM105" s="37"/>
      <c r="AN105" s="37"/>
      <c r="AO105" s="37"/>
      <c r="AU105" s="115">
        <v>30132</v>
      </c>
      <c r="AV105" s="37"/>
      <c r="AW105" s="37"/>
      <c r="AX105" s="37"/>
      <c r="AY105" s="37"/>
      <c r="AZ105" s="37">
        <f>developmentdata2019[[#This Row],[NUMBER OF CURRENT APARTMENTS]]*5/2000</f>
        <v>0.04</v>
      </c>
      <c r="BA105" s="37">
        <f>developmentdata2019[[#This Row],[Total]]*BA$1</f>
        <v>1.0400000000000001E-2</v>
      </c>
      <c r="BB105" s="37">
        <f>developmentdata2019[[#This Row],[Trash (tons/day)]]*BB$1</f>
        <v>1.9760000000000003E-3</v>
      </c>
      <c r="BC105" s="37">
        <f>developmentdata2019[[#This Row],[MGP (tons/day)]]*BC$1</f>
        <v>1.3832000000000004E-4</v>
      </c>
      <c r="BD105" s="37">
        <f>developmentdata2019[[#This Row],[Cardboard (tons/day)]]*BD$1</f>
        <v>9.6824000000000041E-6</v>
      </c>
      <c r="BE105" s="37">
        <f>developmentdata2019[[#This Row],[Paper (tons/day)]]*BE$1</f>
        <v>3.0983680000000015E-6</v>
      </c>
      <c r="BF105" s="37">
        <f>developmentdata2019[[#This Row],[Organics (tons/day)]]*BF$1</f>
        <v>3.0983680000000018E-8</v>
      </c>
      <c r="BG105" s="37">
        <f>developmentdata2019[[#This Row],[E-Waste (tons/day)]]*BG$1</f>
        <v>2.4786944000000017E-9</v>
      </c>
      <c r="BH105" s="37">
        <f>developmentdata2019[[#This Row],[Trash (tons/day)]]*BH$1</f>
        <v>0.21892000000000003</v>
      </c>
      <c r="BI105" s="37">
        <f>developmentdata2019[[#This Row],[MGP (tons/day)]]*BI$1</f>
        <v>3.5607520000000004E-2</v>
      </c>
      <c r="BJ105" s="37">
        <f>developmentdata2019[[#This Row],[Cardboard (tons/day)]]*BJ$1</f>
        <v>3.6889944000000016E-3</v>
      </c>
      <c r="BK105" s="37">
        <f>developmentdata2019[[#This Row],[Paper (tons/day)]]*BK$1</f>
        <v>5.9934056000000026E-5</v>
      </c>
      <c r="BL105" s="37">
        <f>developmentdata2019[[#This Row],[Organics (tons/day)]]*BL$1</f>
        <v>1.3384949760000007E-5</v>
      </c>
      <c r="BM105" s="37">
        <f>developmentdata2019[[#This Row],[E-Waste (tons/day)]]*BM$1</f>
        <v>1.7505779200000012E-7</v>
      </c>
      <c r="BN105" s="37">
        <f>developmentdata2019[[#This Row],[Textiles (tons/day)]]*BN$1</f>
        <v>3.3040996352000023E-8</v>
      </c>
      <c r="BO105" s="37">
        <f>developmentdata2019[[#This Row],[Trash (CY/day)]]*201.974</f>
        <v>44.216148080000004</v>
      </c>
      <c r="BP105" s="37">
        <f>developmentdata2019[[#This Row],[MGP (CY/day)]]*201.974</f>
        <v>7.1917932444800003</v>
      </c>
      <c r="BQ105" s="37">
        <f>developmentdata2019[[#This Row],[Cardboard (CY/day)]]*201.974</f>
        <v>0.74508095494560023</v>
      </c>
      <c r="BR105" s="37">
        <f>developmentdata2019[[#This Row],[Paper  (CY/day)]]*201.974</f>
        <v>1.2105121026544005E-2</v>
      </c>
      <c r="BS105" s="37">
        <f>developmentdata2019[[#This Row],[Organics (CY/day)]]*201.974</f>
        <v>2.7034118428262413E-3</v>
      </c>
      <c r="BT105" s="37">
        <f>developmentdata2019[[#This Row],[E-Waste (CY/day)]]*201.974</f>
        <v>3.5357122481408025E-5</v>
      </c>
      <c r="BU105" s="37">
        <f>developmentdata2019[[#This Row],[Textiles (CY/day)]]*201.974</f>
        <v>6.6734221971988523E-6</v>
      </c>
    </row>
    <row r="106" spans="1:73" x14ac:dyDescent="0.2">
      <c r="A106" s="37" t="s">
        <v>1124</v>
      </c>
      <c r="B106" s="115">
        <v>43466</v>
      </c>
      <c r="C106" s="37" t="s">
        <v>1107</v>
      </c>
      <c r="D106">
        <v>260</v>
      </c>
      <c r="E106">
        <v>91</v>
      </c>
      <c r="F106">
        <v>397</v>
      </c>
      <c r="G106">
        <v>324</v>
      </c>
      <c r="H106" s="37" t="s">
        <v>1125</v>
      </c>
      <c r="I106" s="37" t="s">
        <v>577</v>
      </c>
      <c r="J106" s="37" t="s">
        <v>578</v>
      </c>
      <c r="K106" s="37" t="s">
        <v>597</v>
      </c>
      <c r="M106">
        <v>29</v>
      </c>
      <c r="N106">
        <v>36</v>
      </c>
      <c r="O106">
        <v>153.5</v>
      </c>
      <c r="P106">
        <v>5.29</v>
      </c>
      <c r="S106">
        <v>65</v>
      </c>
      <c r="V106">
        <v>31</v>
      </c>
      <c r="Y106">
        <v>37623</v>
      </c>
      <c r="Z106">
        <v>140965</v>
      </c>
      <c r="AA106">
        <v>3.24</v>
      </c>
      <c r="AB106">
        <v>140965</v>
      </c>
      <c r="AC106">
        <v>3.24</v>
      </c>
      <c r="AG106">
        <v>20</v>
      </c>
      <c r="AH106">
        <v>1123771</v>
      </c>
      <c r="AI106">
        <v>7.17</v>
      </c>
      <c r="AJ106">
        <v>833</v>
      </c>
      <c r="AK106" s="37" t="s">
        <v>1126</v>
      </c>
      <c r="AL106" s="37" t="s">
        <v>1127</v>
      </c>
      <c r="AM106" s="37"/>
      <c r="AN106" s="37"/>
      <c r="AO106" s="37"/>
      <c r="AU106" s="115">
        <v>26572</v>
      </c>
      <c r="AV106" s="37"/>
      <c r="AW106" s="37"/>
      <c r="AX106" s="37"/>
      <c r="AY106" s="37"/>
      <c r="AZ106" s="37">
        <f>developmentdata2019[[#This Row],[NUMBER OF CURRENT APARTMENTS]]*5/2000</f>
        <v>7.2499999999999995E-2</v>
      </c>
      <c r="BA106" s="37">
        <f>developmentdata2019[[#This Row],[Total]]*BA$1</f>
        <v>1.8849999999999999E-2</v>
      </c>
      <c r="BB106" s="37">
        <f>developmentdata2019[[#This Row],[Trash (tons/day)]]*BB$1</f>
        <v>3.5814999999999996E-3</v>
      </c>
      <c r="BC106" s="37">
        <f>developmentdata2019[[#This Row],[MGP (tons/day)]]*BC$1</f>
        <v>2.5070499999999999E-4</v>
      </c>
      <c r="BD106" s="37">
        <f>developmentdata2019[[#This Row],[Cardboard (tons/day)]]*BD$1</f>
        <v>1.7549350000000002E-5</v>
      </c>
      <c r="BE106" s="37">
        <f>developmentdata2019[[#This Row],[Paper (tons/day)]]*BE$1</f>
        <v>5.6157920000000003E-6</v>
      </c>
      <c r="BF106" s="37">
        <f>developmentdata2019[[#This Row],[Organics (tons/day)]]*BF$1</f>
        <v>5.6157920000000007E-8</v>
      </c>
      <c r="BG106" s="37">
        <f>developmentdata2019[[#This Row],[E-Waste (tons/day)]]*BG$1</f>
        <v>4.4926336000000008E-9</v>
      </c>
      <c r="BH106" s="37">
        <f>developmentdata2019[[#This Row],[Trash (tons/day)]]*BH$1</f>
        <v>0.39679249999999999</v>
      </c>
      <c r="BI106" s="37">
        <f>developmentdata2019[[#This Row],[MGP (tons/day)]]*BI$1</f>
        <v>6.4538629999999986E-2</v>
      </c>
      <c r="BJ106" s="37">
        <f>developmentdata2019[[#This Row],[Cardboard (tons/day)]]*BJ$1</f>
        <v>6.6863023500000002E-3</v>
      </c>
      <c r="BK106" s="37">
        <f>developmentdata2019[[#This Row],[Paper (tons/day)]]*BK$1</f>
        <v>1.0863047650000002E-4</v>
      </c>
      <c r="BL106" s="37">
        <f>developmentdata2019[[#This Row],[Organics (tons/day)]]*BL$1</f>
        <v>2.4260221440000002E-5</v>
      </c>
      <c r="BM106" s="37">
        <f>developmentdata2019[[#This Row],[E-Waste (tons/day)]]*BM$1</f>
        <v>3.1729224800000006E-7</v>
      </c>
      <c r="BN106" s="37">
        <f>developmentdata2019[[#This Row],[Textiles (tons/day)]]*BN$1</f>
        <v>5.9886805888000006E-8</v>
      </c>
      <c r="BO106" s="37">
        <f>developmentdata2019[[#This Row],[Trash (CY/day)]]*201.974</f>
        <v>80.141768395</v>
      </c>
      <c r="BP106" s="37">
        <f>developmentdata2019[[#This Row],[MGP (CY/day)]]*201.974</f>
        <v>13.035125255619997</v>
      </c>
      <c r="BQ106" s="37">
        <f>developmentdata2019[[#This Row],[Cardboard (CY/day)]]*201.974</f>
        <v>1.3504592308389001</v>
      </c>
      <c r="BR106" s="37">
        <f>developmentdata2019[[#This Row],[Paper  (CY/day)]]*201.974</f>
        <v>2.1940531860611002E-2</v>
      </c>
      <c r="BS106" s="37">
        <f>developmentdata2019[[#This Row],[Organics (CY/day)]]*201.974</f>
        <v>4.8999339651225604E-3</v>
      </c>
      <c r="BT106" s="37">
        <f>developmentdata2019[[#This Row],[E-Waste (CY/day)]]*201.974</f>
        <v>6.4084784497552008E-5</v>
      </c>
      <c r="BU106" s="37">
        <f>developmentdata2019[[#This Row],[Textiles (CY/day)]]*201.974</f>
        <v>1.2095577732422913E-5</v>
      </c>
    </row>
    <row r="107" spans="1:73" x14ac:dyDescent="0.2">
      <c r="A107" s="37" t="s">
        <v>1128</v>
      </c>
      <c r="B107" s="115">
        <v>43466</v>
      </c>
      <c r="C107" s="37" t="s">
        <v>1107</v>
      </c>
      <c r="D107">
        <v>273</v>
      </c>
      <c r="E107">
        <v>91</v>
      </c>
      <c r="F107">
        <v>395</v>
      </c>
      <c r="G107">
        <v>324</v>
      </c>
      <c r="H107" s="37" t="s">
        <v>1129</v>
      </c>
      <c r="I107" s="37" t="s">
        <v>577</v>
      </c>
      <c r="J107" s="37" t="s">
        <v>578</v>
      </c>
      <c r="K107" s="37" t="s">
        <v>597</v>
      </c>
      <c r="M107">
        <v>6</v>
      </c>
      <c r="N107">
        <v>9</v>
      </c>
      <c r="O107">
        <v>32</v>
      </c>
      <c r="P107">
        <v>5.33</v>
      </c>
      <c r="S107">
        <v>11</v>
      </c>
      <c r="V107">
        <v>7</v>
      </c>
      <c r="Y107" t="s">
        <v>1130</v>
      </c>
      <c r="Z107">
        <v>46406</v>
      </c>
      <c r="AA107">
        <v>1.07</v>
      </c>
      <c r="AB107">
        <v>46406</v>
      </c>
      <c r="AC107">
        <v>1.07</v>
      </c>
      <c r="AG107">
        <v>10</v>
      </c>
      <c r="AH107">
        <v>339911</v>
      </c>
      <c r="AI107">
        <v>7.32</v>
      </c>
      <c r="AJ107">
        <v>750</v>
      </c>
      <c r="AK107" s="37" t="s">
        <v>1131</v>
      </c>
      <c r="AL107" s="37"/>
      <c r="AM107" s="37"/>
      <c r="AN107" s="37"/>
      <c r="AO107" s="37"/>
      <c r="AU107" s="115">
        <v>27972</v>
      </c>
      <c r="AV107" s="37"/>
      <c r="AW107" s="37"/>
      <c r="AX107" s="37"/>
      <c r="AY107" s="37"/>
      <c r="AZ107" s="37">
        <f>developmentdata2019[[#This Row],[NUMBER OF CURRENT APARTMENTS]]*5/2000</f>
        <v>1.4999999999999999E-2</v>
      </c>
      <c r="BA107" s="37">
        <f>developmentdata2019[[#This Row],[Total]]*BA$1</f>
        <v>3.8999999999999998E-3</v>
      </c>
      <c r="BB107" s="37">
        <f>developmentdata2019[[#This Row],[Trash (tons/day)]]*BB$1</f>
        <v>7.4100000000000001E-4</v>
      </c>
      <c r="BC107" s="37">
        <f>developmentdata2019[[#This Row],[MGP (tons/day)]]*BC$1</f>
        <v>5.1870000000000003E-5</v>
      </c>
      <c r="BD107" s="37">
        <f>developmentdata2019[[#This Row],[Cardboard (tons/day)]]*BD$1</f>
        <v>3.6309000000000007E-6</v>
      </c>
      <c r="BE107" s="37">
        <f>developmentdata2019[[#This Row],[Paper (tons/day)]]*BE$1</f>
        <v>1.1618880000000001E-6</v>
      </c>
      <c r="BF107" s="37">
        <f>developmentdata2019[[#This Row],[Organics (tons/day)]]*BF$1</f>
        <v>1.1618880000000001E-8</v>
      </c>
      <c r="BG107" s="37">
        <f>developmentdata2019[[#This Row],[E-Waste (tons/day)]]*BG$1</f>
        <v>9.2951040000000016E-10</v>
      </c>
      <c r="BH107" s="37">
        <f>developmentdata2019[[#This Row],[Trash (tons/day)]]*BH$1</f>
        <v>8.2095000000000001E-2</v>
      </c>
      <c r="BI107" s="37">
        <f>developmentdata2019[[#This Row],[MGP (tons/day)]]*BI$1</f>
        <v>1.335282E-2</v>
      </c>
      <c r="BJ107" s="37">
        <f>developmentdata2019[[#This Row],[Cardboard (tons/day)]]*BJ$1</f>
        <v>1.3833729000000002E-3</v>
      </c>
      <c r="BK107" s="37">
        <f>developmentdata2019[[#This Row],[Paper (tons/day)]]*BK$1</f>
        <v>2.2475271000000006E-5</v>
      </c>
      <c r="BL107" s="37">
        <f>developmentdata2019[[#This Row],[Organics (tons/day)]]*BL$1</f>
        <v>5.0193561600000008E-6</v>
      </c>
      <c r="BM107" s="37">
        <f>developmentdata2019[[#This Row],[E-Waste (tons/day)]]*BM$1</f>
        <v>6.5646672000000007E-8</v>
      </c>
      <c r="BN107" s="37">
        <f>developmentdata2019[[#This Row],[Textiles (tons/day)]]*BN$1</f>
        <v>1.2390373632000002E-8</v>
      </c>
      <c r="BO107" s="37">
        <f>developmentdata2019[[#This Row],[Trash (CY/day)]]*201.974</f>
        <v>16.58105553</v>
      </c>
      <c r="BP107" s="37">
        <f>developmentdata2019[[#This Row],[MGP (CY/day)]]*201.974</f>
        <v>2.6969224666799998</v>
      </c>
      <c r="BQ107" s="37">
        <f>developmentdata2019[[#This Row],[Cardboard (CY/day)]]*201.974</f>
        <v>0.27940535810460004</v>
      </c>
      <c r="BR107" s="37">
        <f>developmentdata2019[[#This Row],[Paper  (CY/day)]]*201.974</f>
        <v>4.5394203849540007E-3</v>
      </c>
      <c r="BS107" s="37">
        <f>developmentdata2019[[#This Row],[Organics (CY/day)]]*201.974</f>
        <v>1.0137794410598402E-3</v>
      </c>
      <c r="BT107" s="37">
        <f>developmentdata2019[[#This Row],[E-Waste (CY/day)]]*201.974</f>
        <v>1.3258920930528001E-5</v>
      </c>
      <c r="BU107" s="37">
        <f>developmentdata2019[[#This Row],[Textiles (CY/day)]]*201.974</f>
        <v>2.5025333239495684E-6</v>
      </c>
    </row>
    <row r="108" spans="1:73" x14ac:dyDescent="0.2">
      <c r="A108" s="37" t="s">
        <v>1132</v>
      </c>
      <c r="B108" s="115">
        <v>43466</v>
      </c>
      <c r="C108" s="37" t="s">
        <v>1107</v>
      </c>
      <c r="D108">
        <v>274</v>
      </c>
      <c r="E108">
        <v>91</v>
      </c>
      <c r="F108">
        <v>396</v>
      </c>
      <c r="G108">
        <v>324</v>
      </c>
      <c r="H108" s="37" t="s">
        <v>1133</v>
      </c>
      <c r="I108" s="37" t="s">
        <v>577</v>
      </c>
      <c r="J108" s="37" t="s">
        <v>578</v>
      </c>
      <c r="K108" s="37" t="s">
        <v>597</v>
      </c>
      <c r="M108">
        <v>5</v>
      </c>
      <c r="N108">
        <v>8</v>
      </c>
      <c r="O108">
        <v>29.5</v>
      </c>
      <c r="P108">
        <v>5.9</v>
      </c>
      <c r="S108">
        <v>9</v>
      </c>
      <c r="V108">
        <v>8</v>
      </c>
      <c r="Y108" t="s">
        <v>1130</v>
      </c>
      <c r="Z108">
        <v>41138</v>
      </c>
      <c r="AA108">
        <v>0.94</v>
      </c>
      <c r="AB108">
        <v>41138</v>
      </c>
      <c r="AC108">
        <v>0.94</v>
      </c>
      <c r="AG108">
        <v>10</v>
      </c>
      <c r="AH108">
        <v>419377</v>
      </c>
      <c r="AI108">
        <v>8.26</v>
      </c>
      <c r="AJ108">
        <v>929</v>
      </c>
      <c r="AK108" s="37" t="s">
        <v>1134</v>
      </c>
      <c r="AL108" s="37"/>
      <c r="AM108" s="37"/>
      <c r="AN108" s="37"/>
      <c r="AO108" s="37"/>
      <c r="AU108" s="115">
        <v>27954</v>
      </c>
      <c r="AV108" s="37"/>
      <c r="AW108" s="37"/>
      <c r="AX108" s="37"/>
      <c r="AY108" s="37"/>
      <c r="AZ108" s="37">
        <f>developmentdata2019[[#This Row],[NUMBER OF CURRENT APARTMENTS]]*5/2000</f>
        <v>1.2500000000000001E-2</v>
      </c>
      <c r="BA108" s="37">
        <f>developmentdata2019[[#This Row],[Total]]*BA$1</f>
        <v>3.2500000000000003E-3</v>
      </c>
      <c r="BB108" s="37">
        <f>developmentdata2019[[#This Row],[Trash (tons/day)]]*BB$1</f>
        <v>6.175000000000001E-4</v>
      </c>
      <c r="BC108" s="37">
        <f>developmentdata2019[[#This Row],[MGP (tons/day)]]*BC$1</f>
        <v>4.3225000000000014E-5</v>
      </c>
      <c r="BD108" s="37">
        <f>developmentdata2019[[#This Row],[Cardboard (tons/day)]]*BD$1</f>
        <v>3.0257500000000011E-6</v>
      </c>
      <c r="BE108" s="37">
        <f>developmentdata2019[[#This Row],[Paper (tons/day)]]*BE$1</f>
        <v>9.6824000000000036E-7</v>
      </c>
      <c r="BF108" s="37">
        <f>developmentdata2019[[#This Row],[Organics (tons/day)]]*BF$1</f>
        <v>9.6824000000000037E-9</v>
      </c>
      <c r="BG108" s="37">
        <f>developmentdata2019[[#This Row],[E-Waste (tons/day)]]*BG$1</f>
        <v>7.7459200000000034E-10</v>
      </c>
      <c r="BH108" s="37">
        <f>developmentdata2019[[#This Row],[Trash (tons/day)]]*BH$1</f>
        <v>6.8412500000000015E-2</v>
      </c>
      <c r="BI108" s="37">
        <f>developmentdata2019[[#This Row],[MGP (tons/day)]]*BI$1</f>
        <v>1.1127350000000001E-2</v>
      </c>
      <c r="BJ108" s="37">
        <f>developmentdata2019[[#This Row],[Cardboard (tons/day)]]*BJ$1</f>
        <v>1.1528107500000005E-3</v>
      </c>
      <c r="BK108" s="37">
        <f>developmentdata2019[[#This Row],[Paper (tons/day)]]*BK$1</f>
        <v>1.8729392500000007E-5</v>
      </c>
      <c r="BL108" s="37">
        <f>developmentdata2019[[#This Row],[Organics (tons/day)]]*BL$1</f>
        <v>4.1827968000000019E-6</v>
      </c>
      <c r="BM108" s="37">
        <f>developmentdata2019[[#This Row],[E-Waste (tons/day)]]*BM$1</f>
        <v>5.4705560000000025E-8</v>
      </c>
      <c r="BN108" s="37">
        <f>developmentdata2019[[#This Row],[Textiles (tons/day)]]*BN$1</f>
        <v>1.0325311360000004E-8</v>
      </c>
      <c r="BO108" s="37">
        <f>developmentdata2019[[#This Row],[Trash (CY/day)]]*201.974</f>
        <v>13.817546275000002</v>
      </c>
      <c r="BP108" s="37">
        <f>developmentdata2019[[#This Row],[MGP (CY/day)]]*201.974</f>
        <v>2.2474353889000001</v>
      </c>
      <c r="BQ108" s="37">
        <f>developmentdata2019[[#This Row],[Cardboard (CY/day)]]*201.974</f>
        <v>0.23283779842050009</v>
      </c>
      <c r="BR108" s="37">
        <f>developmentdata2019[[#This Row],[Paper  (CY/day)]]*201.974</f>
        <v>3.7828503207950012E-3</v>
      </c>
      <c r="BS108" s="37">
        <f>developmentdata2019[[#This Row],[Organics (CY/day)]]*201.974</f>
        <v>8.4481620088320034E-4</v>
      </c>
      <c r="BT108" s="37">
        <f>developmentdata2019[[#This Row],[E-Waste (CY/day)]]*201.974</f>
        <v>1.1049100775440005E-5</v>
      </c>
      <c r="BU108" s="37">
        <f>developmentdata2019[[#This Row],[Textiles (CY/day)]]*201.974</f>
        <v>2.0854444366246409E-6</v>
      </c>
    </row>
    <row r="109" spans="1:73" x14ac:dyDescent="0.2">
      <c r="A109" s="37" t="s">
        <v>1135</v>
      </c>
      <c r="B109" s="115">
        <v>43466</v>
      </c>
      <c r="C109" s="37" t="s">
        <v>1107</v>
      </c>
      <c r="D109">
        <v>275</v>
      </c>
      <c r="E109">
        <v>91</v>
      </c>
      <c r="F109">
        <v>520</v>
      </c>
      <c r="G109">
        <v>324</v>
      </c>
      <c r="H109" s="37" t="s">
        <v>1136</v>
      </c>
      <c r="I109" s="37" t="s">
        <v>577</v>
      </c>
      <c r="J109" s="37" t="s">
        <v>578</v>
      </c>
      <c r="K109" s="37" t="s">
        <v>597</v>
      </c>
      <c r="M109">
        <v>5</v>
      </c>
      <c r="N109">
        <v>9</v>
      </c>
      <c r="O109">
        <v>29.5</v>
      </c>
      <c r="P109">
        <v>5.9</v>
      </c>
      <c r="S109">
        <v>16</v>
      </c>
      <c r="V109">
        <v>9</v>
      </c>
      <c r="Y109" t="s">
        <v>1130</v>
      </c>
      <c r="Z109">
        <v>34842</v>
      </c>
      <c r="AA109">
        <v>0.8</v>
      </c>
      <c r="AB109">
        <v>34842</v>
      </c>
      <c r="AC109">
        <v>0.8</v>
      </c>
      <c r="AG109">
        <v>20</v>
      </c>
      <c r="AH109">
        <v>298491</v>
      </c>
      <c r="AI109">
        <v>8.57</v>
      </c>
      <c r="AJ109">
        <v>1249</v>
      </c>
      <c r="AK109" s="37" t="s">
        <v>1137</v>
      </c>
      <c r="AL109" s="37"/>
      <c r="AM109" s="37"/>
      <c r="AN109" s="37"/>
      <c r="AO109" s="37"/>
      <c r="AU109" s="115">
        <v>27972</v>
      </c>
      <c r="AV109" s="37"/>
      <c r="AW109" s="37"/>
      <c r="AX109" s="37"/>
      <c r="AY109" s="37"/>
      <c r="AZ109" s="37">
        <f>developmentdata2019[[#This Row],[NUMBER OF CURRENT APARTMENTS]]*5/2000</f>
        <v>1.2500000000000001E-2</v>
      </c>
      <c r="BA109" s="37">
        <f>developmentdata2019[[#This Row],[Total]]*BA$1</f>
        <v>3.2500000000000003E-3</v>
      </c>
      <c r="BB109" s="37">
        <f>developmentdata2019[[#This Row],[Trash (tons/day)]]*BB$1</f>
        <v>6.175000000000001E-4</v>
      </c>
      <c r="BC109" s="37">
        <f>developmentdata2019[[#This Row],[MGP (tons/day)]]*BC$1</f>
        <v>4.3225000000000014E-5</v>
      </c>
      <c r="BD109" s="37">
        <f>developmentdata2019[[#This Row],[Cardboard (tons/day)]]*BD$1</f>
        <v>3.0257500000000011E-6</v>
      </c>
      <c r="BE109" s="37">
        <f>developmentdata2019[[#This Row],[Paper (tons/day)]]*BE$1</f>
        <v>9.6824000000000036E-7</v>
      </c>
      <c r="BF109" s="37">
        <f>developmentdata2019[[#This Row],[Organics (tons/day)]]*BF$1</f>
        <v>9.6824000000000037E-9</v>
      </c>
      <c r="BG109" s="37">
        <f>developmentdata2019[[#This Row],[E-Waste (tons/day)]]*BG$1</f>
        <v>7.7459200000000034E-10</v>
      </c>
      <c r="BH109" s="37">
        <f>developmentdata2019[[#This Row],[Trash (tons/day)]]*BH$1</f>
        <v>6.8412500000000015E-2</v>
      </c>
      <c r="BI109" s="37">
        <f>developmentdata2019[[#This Row],[MGP (tons/day)]]*BI$1</f>
        <v>1.1127350000000001E-2</v>
      </c>
      <c r="BJ109" s="37">
        <f>developmentdata2019[[#This Row],[Cardboard (tons/day)]]*BJ$1</f>
        <v>1.1528107500000005E-3</v>
      </c>
      <c r="BK109" s="37">
        <f>developmentdata2019[[#This Row],[Paper (tons/day)]]*BK$1</f>
        <v>1.8729392500000007E-5</v>
      </c>
      <c r="BL109" s="37">
        <f>developmentdata2019[[#This Row],[Organics (tons/day)]]*BL$1</f>
        <v>4.1827968000000019E-6</v>
      </c>
      <c r="BM109" s="37">
        <f>developmentdata2019[[#This Row],[E-Waste (tons/day)]]*BM$1</f>
        <v>5.4705560000000025E-8</v>
      </c>
      <c r="BN109" s="37">
        <f>developmentdata2019[[#This Row],[Textiles (tons/day)]]*BN$1</f>
        <v>1.0325311360000004E-8</v>
      </c>
      <c r="BO109" s="37">
        <f>developmentdata2019[[#This Row],[Trash (CY/day)]]*201.974</f>
        <v>13.817546275000002</v>
      </c>
      <c r="BP109" s="37">
        <f>developmentdata2019[[#This Row],[MGP (CY/day)]]*201.974</f>
        <v>2.2474353889000001</v>
      </c>
      <c r="BQ109" s="37">
        <f>developmentdata2019[[#This Row],[Cardboard (CY/day)]]*201.974</f>
        <v>0.23283779842050009</v>
      </c>
      <c r="BR109" s="37">
        <f>developmentdata2019[[#This Row],[Paper  (CY/day)]]*201.974</f>
        <v>3.7828503207950012E-3</v>
      </c>
      <c r="BS109" s="37">
        <f>developmentdata2019[[#This Row],[Organics (CY/day)]]*201.974</f>
        <v>8.4481620088320034E-4</v>
      </c>
      <c r="BT109" s="37">
        <f>developmentdata2019[[#This Row],[E-Waste (CY/day)]]*201.974</f>
        <v>1.1049100775440005E-5</v>
      </c>
      <c r="BU109" s="37">
        <f>developmentdata2019[[#This Row],[Textiles (CY/day)]]*201.974</f>
        <v>2.0854444366246409E-6</v>
      </c>
    </row>
    <row r="110" spans="1:73" x14ac:dyDescent="0.2">
      <c r="A110" s="37" t="s">
        <v>1138</v>
      </c>
      <c r="B110" s="115">
        <v>43466</v>
      </c>
      <c r="C110" s="37" t="s">
        <v>1107</v>
      </c>
      <c r="D110">
        <v>284</v>
      </c>
      <c r="E110">
        <v>91</v>
      </c>
      <c r="F110">
        <v>521</v>
      </c>
      <c r="G110">
        <v>324</v>
      </c>
      <c r="H110" s="37" t="s">
        <v>1139</v>
      </c>
      <c r="I110" s="37" t="s">
        <v>577</v>
      </c>
      <c r="J110" s="37" t="s">
        <v>578</v>
      </c>
      <c r="K110" s="37" t="s">
        <v>597</v>
      </c>
      <c r="M110">
        <v>16</v>
      </c>
      <c r="N110">
        <v>21</v>
      </c>
      <c r="O110">
        <v>87</v>
      </c>
      <c r="P110">
        <v>5.44</v>
      </c>
      <c r="S110">
        <v>37</v>
      </c>
      <c r="V110">
        <v>20</v>
      </c>
      <c r="Y110" t="s">
        <v>1130</v>
      </c>
      <c r="Z110">
        <v>99627</v>
      </c>
      <c r="AA110">
        <v>2.29</v>
      </c>
      <c r="AB110">
        <v>99627</v>
      </c>
      <c r="AC110">
        <v>2.29</v>
      </c>
      <c r="AG110">
        <v>16</v>
      </c>
      <c r="AH110">
        <v>850661</v>
      </c>
      <c r="AI110">
        <v>6.56</v>
      </c>
      <c r="AJ110">
        <v>713</v>
      </c>
      <c r="AK110" s="37" t="s">
        <v>1140</v>
      </c>
      <c r="AL110" s="37"/>
      <c r="AM110" s="37"/>
      <c r="AN110" s="37"/>
      <c r="AO110" s="37"/>
      <c r="AU110" s="115">
        <v>30132</v>
      </c>
      <c r="AV110" s="37"/>
      <c r="AW110" s="37"/>
      <c r="AX110" s="37"/>
      <c r="AY110" s="37"/>
      <c r="AZ110" s="37">
        <f>developmentdata2019[[#This Row],[NUMBER OF CURRENT APARTMENTS]]*5/2000</f>
        <v>0.04</v>
      </c>
      <c r="BA110" s="37">
        <f>developmentdata2019[[#This Row],[Total]]*BA$1</f>
        <v>1.0400000000000001E-2</v>
      </c>
      <c r="BB110" s="37">
        <f>developmentdata2019[[#This Row],[Trash (tons/day)]]*BB$1</f>
        <v>1.9760000000000003E-3</v>
      </c>
      <c r="BC110" s="37">
        <f>developmentdata2019[[#This Row],[MGP (tons/day)]]*BC$1</f>
        <v>1.3832000000000004E-4</v>
      </c>
      <c r="BD110" s="37">
        <f>developmentdata2019[[#This Row],[Cardboard (tons/day)]]*BD$1</f>
        <v>9.6824000000000041E-6</v>
      </c>
      <c r="BE110" s="37">
        <f>developmentdata2019[[#This Row],[Paper (tons/day)]]*BE$1</f>
        <v>3.0983680000000015E-6</v>
      </c>
      <c r="BF110" s="37">
        <f>developmentdata2019[[#This Row],[Organics (tons/day)]]*BF$1</f>
        <v>3.0983680000000018E-8</v>
      </c>
      <c r="BG110" s="37">
        <f>developmentdata2019[[#This Row],[E-Waste (tons/day)]]*BG$1</f>
        <v>2.4786944000000017E-9</v>
      </c>
      <c r="BH110" s="37">
        <f>developmentdata2019[[#This Row],[Trash (tons/day)]]*BH$1</f>
        <v>0.21892000000000003</v>
      </c>
      <c r="BI110" s="37">
        <f>developmentdata2019[[#This Row],[MGP (tons/day)]]*BI$1</f>
        <v>3.5607520000000004E-2</v>
      </c>
      <c r="BJ110" s="37">
        <f>developmentdata2019[[#This Row],[Cardboard (tons/day)]]*BJ$1</f>
        <v>3.6889944000000016E-3</v>
      </c>
      <c r="BK110" s="37">
        <f>developmentdata2019[[#This Row],[Paper (tons/day)]]*BK$1</f>
        <v>5.9934056000000026E-5</v>
      </c>
      <c r="BL110" s="37">
        <f>developmentdata2019[[#This Row],[Organics (tons/day)]]*BL$1</f>
        <v>1.3384949760000007E-5</v>
      </c>
      <c r="BM110" s="37">
        <f>developmentdata2019[[#This Row],[E-Waste (tons/day)]]*BM$1</f>
        <v>1.7505779200000012E-7</v>
      </c>
      <c r="BN110" s="37">
        <f>developmentdata2019[[#This Row],[Textiles (tons/day)]]*BN$1</f>
        <v>3.3040996352000023E-8</v>
      </c>
      <c r="BO110" s="37">
        <f>developmentdata2019[[#This Row],[Trash (CY/day)]]*201.974</f>
        <v>44.216148080000004</v>
      </c>
      <c r="BP110" s="37">
        <f>developmentdata2019[[#This Row],[MGP (CY/day)]]*201.974</f>
        <v>7.1917932444800003</v>
      </c>
      <c r="BQ110" s="37">
        <f>developmentdata2019[[#This Row],[Cardboard (CY/day)]]*201.974</f>
        <v>0.74508095494560023</v>
      </c>
      <c r="BR110" s="37">
        <f>developmentdata2019[[#This Row],[Paper  (CY/day)]]*201.974</f>
        <v>1.2105121026544005E-2</v>
      </c>
      <c r="BS110" s="37">
        <f>developmentdata2019[[#This Row],[Organics (CY/day)]]*201.974</f>
        <v>2.7034118428262413E-3</v>
      </c>
      <c r="BT110" s="37">
        <f>developmentdata2019[[#This Row],[E-Waste (CY/day)]]*201.974</f>
        <v>3.5357122481408025E-5</v>
      </c>
      <c r="BU110" s="37">
        <f>developmentdata2019[[#This Row],[Textiles (CY/day)]]*201.974</f>
        <v>6.6734221971988523E-6</v>
      </c>
    </row>
    <row r="111" spans="1:73" x14ac:dyDescent="0.2">
      <c r="A111" s="37" t="s">
        <v>1141</v>
      </c>
      <c r="B111" s="115">
        <v>43466</v>
      </c>
      <c r="C111" s="37" t="s">
        <v>1142</v>
      </c>
      <c r="D111">
        <v>207</v>
      </c>
      <c r="E111">
        <v>261</v>
      </c>
      <c r="F111">
        <v>375</v>
      </c>
      <c r="G111">
        <v>375</v>
      </c>
      <c r="H111" s="37" t="s">
        <v>1143</v>
      </c>
      <c r="I111" s="37" t="s">
        <v>577</v>
      </c>
      <c r="J111" s="37" t="s">
        <v>578</v>
      </c>
      <c r="K111" s="37" t="s">
        <v>579</v>
      </c>
      <c r="M111">
        <v>158</v>
      </c>
      <c r="N111">
        <v>160</v>
      </c>
      <c r="O111">
        <v>787</v>
      </c>
      <c r="P111">
        <v>4.9800000000000004</v>
      </c>
      <c r="R111">
        <v>443</v>
      </c>
      <c r="S111">
        <v>443</v>
      </c>
      <c r="T111">
        <v>31</v>
      </c>
      <c r="U111">
        <v>0.19700000000000001</v>
      </c>
      <c r="V111">
        <v>8</v>
      </c>
      <c r="W111">
        <v>0</v>
      </c>
      <c r="X111">
        <v>10</v>
      </c>
      <c r="Y111">
        <v>4</v>
      </c>
      <c r="Z111">
        <v>95000</v>
      </c>
      <c r="AA111">
        <v>2.1800000000000002</v>
      </c>
      <c r="AB111">
        <v>95000</v>
      </c>
      <c r="AC111">
        <v>2.1800000000000002</v>
      </c>
      <c r="AD111">
        <v>42189</v>
      </c>
      <c r="AE111">
        <v>1916306</v>
      </c>
      <c r="AF111">
        <v>0.44409999999999999</v>
      </c>
      <c r="AG111">
        <v>203</v>
      </c>
      <c r="AH111">
        <v>6138432</v>
      </c>
      <c r="AI111">
        <v>7712</v>
      </c>
      <c r="AJ111">
        <v>537</v>
      </c>
      <c r="AK111" s="37" t="s">
        <v>1144</v>
      </c>
      <c r="AL111" s="37" t="s">
        <v>1145</v>
      </c>
      <c r="AM111" s="37" t="s">
        <v>1146</v>
      </c>
      <c r="AN111" s="37" t="s">
        <v>1147</v>
      </c>
      <c r="AO111" s="37" t="s">
        <v>593</v>
      </c>
      <c r="AP111">
        <v>5</v>
      </c>
      <c r="AQ111">
        <v>8</v>
      </c>
      <c r="AR111">
        <v>19</v>
      </c>
      <c r="AS111">
        <v>55</v>
      </c>
      <c r="AT111">
        <v>37</v>
      </c>
      <c r="AU111" s="115">
        <v>26237</v>
      </c>
      <c r="AV111" s="37"/>
      <c r="AW111" s="37"/>
      <c r="AX111" s="37"/>
      <c r="AY111" s="37"/>
      <c r="AZ111" s="37">
        <f>developmentdata2019[[#This Row],[NUMBER OF CURRENT APARTMENTS]]*5/2000</f>
        <v>0.39500000000000002</v>
      </c>
      <c r="BA111" s="37">
        <f>developmentdata2019[[#This Row],[Total]]*BA$1</f>
        <v>0.10270000000000001</v>
      </c>
      <c r="BB111" s="37">
        <f>developmentdata2019[[#This Row],[Trash (tons/day)]]*BB$1</f>
        <v>1.9513000000000003E-2</v>
      </c>
      <c r="BC111" s="37">
        <f>developmentdata2019[[#This Row],[MGP (tons/day)]]*BC$1</f>
        <v>1.3659100000000003E-3</v>
      </c>
      <c r="BD111" s="37">
        <f>developmentdata2019[[#This Row],[Cardboard (tons/day)]]*BD$1</f>
        <v>9.561370000000003E-5</v>
      </c>
      <c r="BE111" s="37">
        <f>developmentdata2019[[#This Row],[Paper (tons/day)]]*BE$1</f>
        <v>3.0596384000000007E-5</v>
      </c>
      <c r="BF111" s="37">
        <f>developmentdata2019[[#This Row],[Organics (tons/day)]]*BF$1</f>
        <v>3.0596384000000008E-7</v>
      </c>
      <c r="BG111" s="37">
        <f>developmentdata2019[[#This Row],[E-Waste (tons/day)]]*BG$1</f>
        <v>2.4477107200000006E-8</v>
      </c>
      <c r="BH111" s="37">
        <f>developmentdata2019[[#This Row],[Trash (tons/day)]]*BH$1</f>
        <v>2.1618350000000004</v>
      </c>
      <c r="BI111" s="37">
        <f>developmentdata2019[[#This Row],[MGP (tons/day)]]*BI$1</f>
        <v>0.35162426000000002</v>
      </c>
      <c r="BJ111" s="37">
        <f>developmentdata2019[[#This Row],[Cardboard (tons/day)]]*BJ$1</f>
        <v>3.6428819700000011E-2</v>
      </c>
      <c r="BK111" s="37">
        <f>developmentdata2019[[#This Row],[Paper (tons/day)]]*BK$1</f>
        <v>5.9184880300000022E-4</v>
      </c>
      <c r="BL111" s="37">
        <f>developmentdata2019[[#This Row],[Organics (tons/day)]]*BL$1</f>
        <v>1.3217637888000004E-4</v>
      </c>
      <c r="BM111" s="37">
        <f>developmentdata2019[[#This Row],[E-Waste (tons/day)]]*BM$1</f>
        <v>1.7286956960000005E-6</v>
      </c>
      <c r="BN111" s="37">
        <f>developmentdata2019[[#This Row],[Textiles (tons/day)]]*BN$1</f>
        <v>3.2627983897600009E-7</v>
      </c>
      <c r="BO111" s="37">
        <f>developmentdata2019[[#This Row],[Trash (CY/day)]]*201.974</f>
        <v>436.63446229000004</v>
      </c>
      <c r="BP111" s="37">
        <f>developmentdata2019[[#This Row],[MGP (CY/day)]]*201.974</f>
        <v>71.018958289240004</v>
      </c>
      <c r="BQ111" s="37">
        <f>developmentdata2019[[#This Row],[Cardboard (CY/day)]]*201.974</f>
        <v>7.3576744300878021</v>
      </c>
      <c r="BR111" s="37">
        <f>developmentdata2019[[#This Row],[Paper  (CY/day)]]*201.974</f>
        <v>0.11953807013712203</v>
      </c>
      <c r="BS111" s="37">
        <f>developmentdata2019[[#This Row],[Organics (CY/day)]]*201.974</f>
        <v>2.6696191947909127E-2</v>
      </c>
      <c r="BT111" s="37">
        <f>developmentdata2019[[#This Row],[E-Waste (CY/day)]]*201.974</f>
        <v>3.4915158450390412E-4</v>
      </c>
      <c r="BU111" s="37">
        <f>developmentdata2019[[#This Row],[Textiles (CY/day)]]*201.974</f>
        <v>6.5900044197338636E-5</v>
      </c>
    </row>
    <row r="112" spans="1:73" x14ac:dyDescent="0.2">
      <c r="A112" s="37" t="s">
        <v>1148</v>
      </c>
      <c r="B112" s="115">
        <v>43466</v>
      </c>
      <c r="C112" s="37" t="s">
        <v>817</v>
      </c>
      <c r="D112">
        <v>1</v>
      </c>
      <c r="E112">
        <v>337</v>
      </c>
      <c r="F112">
        <v>370</v>
      </c>
      <c r="G112">
        <v>370</v>
      </c>
      <c r="H112" s="37" t="s">
        <v>1149</v>
      </c>
      <c r="I112" s="37" t="s">
        <v>577</v>
      </c>
      <c r="J112" s="37" t="s">
        <v>578</v>
      </c>
      <c r="K112" s="37" t="s">
        <v>579</v>
      </c>
      <c r="M112">
        <v>126</v>
      </c>
      <c r="N112">
        <v>126</v>
      </c>
      <c r="O112">
        <v>448</v>
      </c>
      <c r="P112">
        <v>3.56</v>
      </c>
      <c r="R112">
        <v>178</v>
      </c>
      <c r="S112">
        <v>178</v>
      </c>
      <c r="T112">
        <v>56</v>
      </c>
      <c r="U112">
        <v>0.47099999999999997</v>
      </c>
      <c r="V112">
        <v>8</v>
      </c>
      <c r="W112">
        <v>0</v>
      </c>
      <c r="X112">
        <v>8</v>
      </c>
      <c r="Y112">
        <v>43560</v>
      </c>
      <c r="Z112">
        <v>53532</v>
      </c>
      <c r="AA112">
        <v>1.23</v>
      </c>
      <c r="AB112">
        <v>53532</v>
      </c>
      <c r="AC112">
        <v>1.23</v>
      </c>
      <c r="AD112">
        <v>24540</v>
      </c>
      <c r="AE112">
        <v>1411795</v>
      </c>
      <c r="AF112">
        <v>0.45839999999999997</v>
      </c>
      <c r="AG112">
        <v>145</v>
      </c>
      <c r="AH112">
        <v>1384643</v>
      </c>
      <c r="AI112">
        <v>3653</v>
      </c>
      <c r="AJ112">
        <v>500</v>
      </c>
      <c r="AK112" s="37" t="s">
        <v>1150</v>
      </c>
      <c r="AL112" s="37" t="s">
        <v>819</v>
      </c>
      <c r="AM112" s="37" t="s">
        <v>1151</v>
      </c>
      <c r="AN112" s="37" t="s">
        <v>633</v>
      </c>
      <c r="AO112" s="37" t="s">
        <v>608</v>
      </c>
      <c r="AP112">
        <v>3</v>
      </c>
      <c r="AQ112">
        <v>12</v>
      </c>
      <c r="AR112">
        <v>26</v>
      </c>
      <c r="AS112">
        <v>74</v>
      </c>
      <c r="AT112">
        <v>2</v>
      </c>
      <c r="AU112" s="115">
        <v>13301</v>
      </c>
      <c r="AV112" s="37" t="s">
        <v>1044</v>
      </c>
      <c r="AW112" s="37"/>
      <c r="AX112" s="37" t="s">
        <v>621</v>
      </c>
      <c r="AY112" s="37"/>
      <c r="AZ112" s="37">
        <f>developmentdata2019[[#This Row],[NUMBER OF CURRENT APARTMENTS]]*5/2000</f>
        <v>0.315</v>
      </c>
      <c r="BA112" s="37">
        <f>developmentdata2019[[#This Row],[Total]]*BA$1</f>
        <v>8.1900000000000001E-2</v>
      </c>
      <c r="BB112" s="37">
        <f>developmentdata2019[[#This Row],[Trash (tons/day)]]*BB$1</f>
        <v>1.5561E-2</v>
      </c>
      <c r="BC112" s="37">
        <f>developmentdata2019[[#This Row],[MGP (tons/day)]]*BC$1</f>
        <v>1.08927E-3</v>
      </c>
      <c r="BD112" s="37">
        <f>developmentdata2019[[#This Row],[Cardboard (tons/day)]]*BD$1</f>
        <v>7.6248900000000015E-5</v>
      </c>
      <c r="BE112" s="37">
        <f>developmentdata2019[[#This Row],[Paper (tons/day)]]*BE$1</f>
        <v>2.4399648000000004E-5</v>
      </c>
      <c r="BF112" s="37">
        <f>developmentdata2019[[#This Row],[Organics (tons/day)]]*BF$1</f>
        <v>2.4399648000000006E-7</v>
      </c>
      <c r="BG112" s="37">
        <f>developmentdata2019[[#This Row],[E-Waste (tons/day)]]*BG$1</f>
        <v>1.9519718400000005E-8</v>
      </c>
      <c r="BH112" s="37">
        <f>developmentdata2019[[#This Row],[Trash (tons/day)]]*BH$1</f>
        <v>1.7239950000000002</v>
      </c>
      <c r="BI112" s="37">
        <f>developmentdata2019[[#This Row],[MGP (tons/day)]]*BI$1</f>
        <v>0.28040922000000001</v>
      </c>
      <c r="BJ112" s="37">
        <f>developmentdata2019[[#This Row],[Cardboard (tons/day)]]*BJ$1</f>
        <v>2.9050830900000001E-2</v>
      </c>
      <c r="BK112" s="37">
        <f>developmentdata2019[[#This Row],[Paper (tons/day)]]*BK$1</f>
        <v>4.719806910000001E-4</v>
      </c>
      <c r="BL112" s="37">
        <f>developmentdata2019[[#This Row],[Organics (tons/day)]]*BL$1</f>
        <v>1.0540647936000002E-4</v>
      </c>
      <c r="BM112" s="37">
        <f>developmentdata2019[[#This Row],[E-Waste (tons/day)]]*BM$1</f>
        <v>1.3785801120000005E-6</v>
      </c>
      <c r="BN112" s="37">
        <f>developmentdata2019[[#This Row],[Textiles (tons/day)]]*BN$1</f>
        <v>2.6019784627200005E-7</v>
      </c>
      <c r="BO112" s="37">
        <f>developmentdata2019[[#This Row],[Trash (CY/day)]]*201.974</f>
        <v>348.20216613000002</v>
      </c>
      <c r="BP112" s="37">
        <f>developmentdata2019[[#This Row],[MGP (CY/day)]]*201.974</f>
        <v>56.635371800279998</v>
      </c>
      <c r="BQ112" s="37">
        <f>developmentdata2019[[#This Row],[Cardboard (CY/day)]]*201.974</f>
        <v>5.8675125201966001</v>
      </c>
      <c r="BR112" s="37">
        <f>developmentdata2019[[#This Row],[Paper  (CY/day)]]*201.974</f>
        <v>9.5327828084034019E-2</v>
      </c>
      <c r="BS112" s="37">
        <f>developmentdata2019[[#This Row],[Organics (CY/day)]]*201.974</f>
        <v>2.1289368262256643E-2</v>
      </c>
      <c r="BT112" s="37">
        <f>developmentdata2019[[#This Row],[E-Waste (CY/day)]]*201.974</f>
        <v>2.7843733954108809E-4</v>
      </c>
      <c r="BU112" s="37">
        <f>developmentdata2019[[#This Row],[Textiles (CY/day)]]*201.974</f>
        <v>5.2553199802940933E-5</v>
      </c>
    </row>
    <row r="113" spans="1:73" x14ac:dyDescent="0.2">
      <c r="A113" s="37" t="s">
        <v>398</v>
      </c>
      <c r="B113" s="115">
        <v>43466</v>
      </c>
      <c r="C113" s="37" t="s">
        <v>1046</v>
      </c>
      <c r="D113">
        <v>59</v>
      </c>
      <c r="E113">
        <v>59</v>
      </c>
      <c r="F113">
        <v>535</v>
      </c>
      <c r="G113">
        <v>535</v>
      </c>
      <c r="H113" s="37" t="s">
        <v>1152</v>
      </c>
      <c r="I113" s="37" t="s">
        <v>577</v>
      </c>
      <c r="J113" s="37" t="s">
        <v>578</v>
      </c>
      <c r="K113" s="37" t="s">
        <v>579</v>
      </c>
      <c r="M113">
        <v>1348</v>
      </c>
      <c r="N113">
        <v>1350</v>
      </c>
      <c r="O113">
        <v>6154</v>
      </c>
      <c r="P113">
        <v>4.57</v>
      </c>
      <c r="R113">
        <v>3002</v>
      </c>
      <c r="S113">
        <v>3002</v>
      </c>
      <c r="T113">
        <v>498</v>
      </c>
      <c r="U113">
        <v>0.373</v>
      </c>
      <c r="V113">
        <v>15</v>
      </c>
      <c r="W113">
        <v>0</v>
      </c>
      <c r="X113">
        <v>15</v>
      </c>
      <c r="Y113">
        <v>41892</v>
      </c>
      <c r="Z113">
        <v>771920</v>
      </c>
      <c r="AA113">
        <v>17.72</v>
      </c>
      <c r="AB113">
        <v>700087</v>
      </c>
      <c r="AC113">
        <v>16.07</v>
      </c>
      <c r="AD113">
        <v>125002</v>
      </c>
      <c r="AE113">
        <v>11465400</v>
      </c>
      <c r="AF113">
        <v>0.16189999999999999</v>
      </c>
      <c r="AG113">
        <v>169</v>
      </c>
      <c r="AH113">
        <v>19576000</v>
      </c>
      <c r="AI113">
        <v>3186</v>
      </c>
      <c r="AJ113">
        <v>526</v>
      </c>
      <c r="AK113" s="37" t="s">
        <v>1153</v>
      </c>
      <c r="AL113" s="37" t="s">
        <v>1049</v>
      </c>
      <c r="AM113" s="37" t="s">
        <v>1154</v>
      </c>
      <c r="AN113" s="37" t="s">
        <v>936</v>
      </c>
      <c r="AO113" s="37" t="s">
        <v>584</v>
      </c>
      <c r="AP113">
        <v>3</v>
      </c>
      <c r="AQ113">
        <v>15</v>
      </c>
      <c r="AR113">
        <v>32</v>
      </c>
      <c r="AS113">
        <v>79</v>
      </c>
      <c r="AT113">
        <v>16</v>
      </c>
      <c r="AU113" s="115">
        <v>20771</v>
      </c>
      <c r="AV113" s="37" t="s">
        <v>680</v>
      </c>
      <c r="AW113" s="37"/>
      <c r="AX113" s="37"/>
      <c r="AY113" s="37"/>
      <c r="AZ113" s="37">
        <f>developmentdata2019[[#This Row],[NUMBER OF CURRENT APARTMENTS]]*5/2000</f>
        <v>3.37</v>
      </c>
      <c r="BA113" s="37">
        <f>developmentdata2019[[#This Row],[Total]]*BA$1</f>
        <v>0.87620000000000009</v>
      </c>
      <c r="BB113" s="37">
        <f>developmentdata2019[[#This Row],[Trash (tons/day)]]*BB$1</f>
        <v>0.16647800000000001</v>
      </c>
      <c r="BC113" s="37">
        <f>developmentdata2019[[#This Row],[MGP (tons/day)]]*BC$1</f>
        <v>1.1653460000000003E-2</v>
      </c>
      <c r="BD113" s="37">
        <f>developmentdata2019[[#This Row],[Cardboard (tons/day)]]*BD$1</f>
        <v>8.1574220000000023E-4</v>
      </c>
      <c r="BE113" s="37">
        <f>developmentdata2019[[#This Row],[Paper (tons/day)]]*BE$1</f>
        <v>2.6103750400000009E-4</v>
      </c>
      <c r="BF113" s="37">
        <f>developmentdata2019[[#This Row],[Organics (tons/day)]]*BF$1</f>
        <v>2.610375040000001E-6</v>
      </c>
      <c r="BG113" s="37">
        <f>developmentdata2019[[#This Row],[E-Waste (tons/day)]]*BG$1</f>
        <v>2.0883000320000008E-7</v>
      </c>
      <c r="BH113" s="37">
        <f>developmentdata2019[[#This Row],[Trash (tons/day)]]*BH$1</f>
        <v>18.444010000000002</v>
      </c>
      <c r="BI113" s="37">
        <f>developmentdata2019[[#This Row],[MGP (tons/day)]]*BI$1</f>
        <v>2.9999335600000001</v>
      </c>
      <c r="BJ113" s="37">
        <f>developmentdata2019[[#This Row],[Cardboard (tons/day)]]*BJ$1</f>
        <v>0.3107977782000001</v>
      </c>
      <c r="BK113" s="37">
        <f>developmentdata2019[[#This Row],[Paper (tons/day)]]*BK$1</f>
        <v>5.0494442180000019E-3</v>
      </c>
      <c r="BL113" s="37">
        <f>developmentdata2019[[#This Row],[Organics (tons/day)]]*BL$1</f>
        <v>1.1276820172800004E-3</v>
      </c>
      <c r="BM113" s="37">
        <f>developmentdata2019[[#This Row],[E-Waste (tons/day)]]*BM$1</f>
        <v>1.4748618976000006E-5</v>
      </c>
      <c r="BN113" s="37">
        <f>developmentdata2019[[#This Row],[Textiles (tons/day)]]*BN$1</f>
        <v>2.783703942656001E-6</v>
      </c>
      <c r="BO113" s="37">
        <f>developmentdata2019[[#This Row],[Trash (CY/day)]]*201.974</f>
        <v>3725.2104757400002</v>
      </c>
      <c r="BP113" s="37">
        <f>developmentdata2019[[#This Row],[MGP (CY/day)]]*201.974</f>
        <v>605.90858084744002</v>
      </c>
      <c r="BQ113" s="37">
        <f>developmentdata2019[[#This Row],[Cardboard (CY/day)]]*201.974</f>
        <v>62.773070454166813</v>
      </c>
      <c r="BR113" s="37">
        <f>developmentdata2019[[#This Row],[Paper  (CY/day)]]*201.974</f>
        <v>1.0198564464863322</v>
      </c>
      <c r="BS113" s="37">
        <f>developmentdata2019[[#This Row],[Organics (CY/day)]]*201.974</f>
        <v>0.2277624477581108</v>
      </c>
      <c r="BT113" s="37">
        <f>developmentdata2019[[#This Row],[E-Waste (CY/day)]]*201.974</f>
        <v>2.9788375690586251E-3</v>
      </c>
      <c r="BU113" s="37">
        <f>developmentdata2019[[#This Row],[Textiles (CY/day)]]*201.974</f>
        <v>5.6223582011400309E-4</v>
      </c>
    </row>
    <row r="114" spans="1:73" x14ac:dyDescent="0.2">
      <c r="A114" s="37" t="s">
        <v>415</v>
      </c>
      <c r="B114" s="115">
        <v>43466</v>
      </c>
      <c r="C114" s="37" t="s">
        <v>716</v>
      </c>
      <c r="D114">
        <v>197</v>
      </c>
      <c r="E114">
        <v>197</v>
      </c>
      <c r="F114">
        <v>308</v>
      </c>
      <c r="G114">
        <v>311</v>
      </c>
      <c r="H114" s="37" t="s">
        <v>1155</v>
      </c>
      <c r="I114" s="37" t="s">
        <v>577</v>
      </c>
      <c r="J114" s="37" t="s">
        <v>588</v>
      </c>
      <c r="K114" s="37" t="s">
        <v>579</v>
      </c>
      <c r="M114">
        <v>342</v>
      </c>
      <c r="N114">
        <v>344</v>
      </c>
      <c r="O114">
        <v>1509</v>
      </c>
      <c r="P114">
        <v>4.41</v>
      </c>
      <c r="R114">
        <v>733</v>
      </c>
      <c r="S114">
        <v>733</v>
      </c>
      <c r="T114">
        <v>117</v>
      </c>
      <c r="U114">
        <v>0.34699999999999998</v>
      </c>
      <c r="V114">
        <v>1</v>
      </c>
      <c r="W114">
        <v>0</v>
      </c>
      <c r="X114">
        <v>2</v>
      </c>
      <c r="Y114">
        <v>21</v>
      </c>
      <c r="Z114">
        <v>149152</v>
      </c>
      <c r="AA114">
        <v>3.42</v>
      </c>
      <c r="AB114">
        <v>149152</v>
      </c>
      <c r="AC114">
        <v>3.42</v>
      </c>
      <c r="AD114">
        <v>25162</v>
      </c>
      <c r="AE114">
        <v>3321343</v>
      </c>
      <c r="AF114">
        <v>0.16869999999999999</v>
      </c>
      <c r="AG114">
        <v>214</v>
      </c>
      <c r="AH114">
        <v>10566070</v>
      </c>
      <c r="AI114">
        <v>6933</v>
      </c>
      <c r="AJ114">
        <v>544</v>
      </c>
      <c r="AK114" s="37" t="s">
        <v>1156</v>
      </c>
      <c r="AL114" s="37" t="s">
        <v>720</v>
      </c>
      <c r="AM114" s="37" t="s">
        <v>718</v>
      </c>
      <c r="AN114" s="37" t="s">
        <v>1157</v>
      </c>
      <c r="AO114" s="37" t="s">
        <v>584</v>
      </c>
      <c r="AP114">
        <v>8</v>
      </c>
      <c r="AQ114">
        <v>13</v>
      </c>
      <c r="AR114">
        <v>33</v>
      </c>
      <c r="AS114">
        <v>81</v>
      </c>
      <c r="AT114">
        <v>14</v>
      </c>
      <c r="AU114" s="115">
        <v>27363</v>
      </c>
      <c r="AV114" s="37"/>
      <c r="AW114" s="37"/>
      <c r="AX114" s="37"/>
      <c r="AY114" s="37"/>
      <c r="AZ114" s="37">
        <f>developmentdata2019[[#This Row],[NUMBER OF CURRENT APARTMENTS]]*5/2000</f>
        <v>0.85499999999999998</v>
      </c>
      <c r="BA114" s="37">
        <f>developmentdata2019[[#This Row],[Total]]*BA$1</f>
        <v>0.2223</v>
      </c>
      <c r="BB114" s="37">
        <f>developmentdata2019[[#This Row],[Trash (tons/day)]]*BB$1</f>
        <v>4.2236999999999997E-2</v>
      </c>
      <c r="BC114" s="37">
        <f>developmentdata2019[[#This Row],[MGP (tons/day)]]*BC$1</f>
        <v>2.9565900000000003E-3</v>
      </c>
      <c r="BD114" s="37">
        <f>developmentdata2019[[#This Row],[Cardboard (tons/day)]]*BD$1</f>
        <v>2.0696130000000005E-4</v>
      </c>
      <c r="BE114" s="37">
        <f>developmentdata2019[[#This Row],[Paper (tons/day)]]*BE$1</f>
        <v>6.622761600000002E-5</v>
      </c>
      <c r="BF114" s="37">
        <f>developmentdata2019[[#This Row],[Organics (tons/day)]]*BF$1</f>
        <v>6.6227616000000023E-7</v>
      </c>
      <c r="BG114" s="37">
        <f>developmentdata2019[[#This Row],[E-Waste (tons/day)]]*BG$1</f>
        <v>5.2982092800000021E-8</v>
      </c>
      <c r="BH114" s="37">
        <f>developmentdata2019[[#This Row],[Trash (tons/day)]]*BH$1</f>
        <v>4.6794150000000005</v>
      </c>
      <c r="BI114" s="37">
        <f>developmentdata2019[[#This Row],[MGP (tons/day)]]*BI$1</f>
        <v>0.7611107399999999</v>
      </c>
      <c r="BJ114" s="37">
        <f>developmentdata2019[[#This Row],[Cardboard (tons/day)]]*BJ$1</f>
        <v>7.8852255300000007E-2</v>
      </c>
      <c r="BK114" s="37">
        <f>developmentdata2019[[#This Row],[Paper (tons/day)]]*BK$1</f>
        <v>1.2810904470000003E-3</v>
      </c>
      <c r="BL114" s="37">
        <f>developmentdata2019[[#This Row],[Organics (tons/day)]]*BL$1</f>
        <v>2.8610330112000009E-4</v>
      </c>
      <c r="BM114" s="37">
        <f>developmentdata2019[[#This Row],[E-Waste (tons/day)]]*BM$1</f>
        <v>3.7418603040000014E-6</v>
      </c>
      <c r="BN114" s="37">
        <f>developmentdata2019[[#This Row],[Textiles (tons/day)]]*BN$1</f>
        <v>7.0625129702400032E-7</v>
      </c>
      <c r="BO114" s="37">
        <f>developmentdata2019[[#This Row],[Trash (CY/day)]]*201.974</f>
        <v>945.1201652100001</v>
      </c>
      <c r="BP114" s="37">
        <f>developmentdata2019[[#This Row],[MGP (CY/day)]]*201.974</f>
        <v>153.72458060075996</v>
      </c>
      <c r="BQ114" s="37">
        <f>developmentdata2019[[#This Row],[Cardboard (CY/day)]]*201.974</f>
        <v>15.926105411962201</v>
      </c>
      <c r="BR114" s="37">
        <f>developmentdata2019[[#This Row],[Paper  (CY/day)]]*201.974</f>
        <v>0.25874696194237806</v>
      </c>
      <c r="BS114" s="37">
        <f>developmentdata2019[[#This Row],[Organics (CY/day)]]*201.974</f>
        <v>5.7785428140410898E-2</v>
      </c>
      <c r="BT114" s="37">
        <f>developmentdata2019[[#This Row],[E-Waste (CY/day)]]*201.974</f>
        <v>7.557584930400962E-4</v>
      </c>
      <c r="BU114" s="37">
        <f>developmentdata2019[[#This Row],[Textiles (CY/day)]]*201.974</f>
        <v>1.4264439946512543E-4</v>
      </c>
    </row>
    <row r="115" spans="1:73" x14ac:dyDescent="0.2">
      <c r="A115" s="37" t="s">
        <v>1158</v>
      </c>
      <c r="B115" s="115">
        <v>43466</v>
      </c>
      <c r="C115" s="37" t="s">
        <v>1159</v>
      </c>
      <c r="D115">
        <v>309</v>
      </c>
      <c r="E115">
        <v>309</v>
      </c>
      <c r="F115">
        <v>341</v>
      </c>
      <c r="G115">
        <v>341</v>
      </c>
      <c r="H115" s="37" t="s">
        <v>1160</v>
      </c>
      <c r="I115" s="37" t="s">
        <v>577</v>
      </c>
      <c r="J115" s="37" t="s">
        <v>588</v>
      </c>
      <c r="K115" s="37" t="s">
        <v>1161</v>
      </c>
      <c r="M115">
        <v>226</v>
      </c>
      <c r="N115">
        <v>226</v>
      </c>
      <c r="O115">
        <v>814</v>
      </c>
      <c r="P115">
        <v>3.6</v>
      </c>
      <c r="R115">
        <v>277</v>
      </c>
      <c r="S115">
        <v>277</v>
      </c>
      <c r="T115">
        <v>204</v>
      </c>
      <c r="U115">
        <v>0.90300000000000002</v>
      </c>
      <c r="V115">
        <v>1</v>
      </c>
      <c r="W115">
        <v>0</v>
      </c>
      <c r="X115">
        <v>2</v>
      </c>
      <c r="Y115">
        <v>7</v>
      </c>
      <c r="Z115">
        <v>112034</v>
      </c>
      <c r="AA115">
        <v>2.57</v>
      </c>
      <c r="AB115">
        <v>112034</v>
      </c>
      <c r="AC115">
        <v>2.57</v>
      </c>
      <c r="AD115">
        <v>43735</v>
      </c>
      <c r="AE115">
        <v>3690779</v>
      </c>
      <c r="AF115">
        <v>0.39040000000000002</v>
      </c>
      <c r="AG115">
        <v>108</v>
      </c>
      <c r="AH115">
        <v>16237236</v>
      </c>
      <c r="AI115">
        <v>19862</v>
      </c>
      <c r="AJ115">
        <v>327</v>
      </c>
      <c r="AK115" s="37" t="s">
        <v>1162</v>
      </c>
      <c r="AL115" s="37" t="s">
        <v>1163</v>
      </c>
      <c r="AM115" s="37" t="s">
        <v>1164</v>
      </c>
      <c r="AN115" s="37" t="s">
        <v>1165</v>
      </c>
      <c r="AO115" s="37" t="s">
        <v>608</v>
      </c>
      <c r="AP115">
        <v>12</v>
      </c>
      <c r="AQ115">
        <v>13</v>
      </c>
      <c r="AR115">
        <v>31</v>
      </c>
      <c r="AS115">
        <v>71</v>
      </c>
      <c r="AT115">
        <v>7</v>
      </c>
      <c r="AU115" s="115">
        <v>31321</v>
      </c>
      <c r="AV115" s="37"/>
      <c r="AW115" s="37" t="s">
        <v>736</v>
      </c>
      <c r="AX115" s="37" t="s">
        <v>621</v>
      </c>
      <c r="AY115" s="37"/>
      <c r="AZ115" s="37">
        <f>developmentdata2019[[#This Row],[NUMBER OF CURRENT APARTMENTS]]*5/2000</f>
        <v>0.56499999999999995</v>
      </c>
      <c r="BA115" s="37">
        <f>developmentdata2019[[#This Row],[Total]]*BA$1</f>
        <v>0.1469</v>
      </c>
      <c r="BB115" s="37">
        <f>developmentdata2019[[#This Row],[Trash (tons/day)]]*BB$1</f>
        <v>2.7911000000000002E-2</v>
      </c>
      <c r="BC115" s="37">
        <f>developmentdata2019[[#This Row],[MGP (tons/day)]]*BC$1</f>
        <v>1.9537700000000005E-3</v>
      </c>
      <c r="BD115" s="37">
        <f>developmentdata2019[[#This Row],[Cardboard (tons/day)]]*BD$1</f>
        <v>1.3676390000000004E-4</v>
      </c>
      <c r="BE115" s="37">
        <f>developmentdata2019[[#This Row],[Paper (tons/day)]]*BE$1</f>
        <v>4.3764448000000016E-5</v>
      </c>
      <c r="BF115" s="37">
        <f>developmentdata2019[[#This Row],[Organics (tons/day)]]*BF$1</f>
        <v>4.3764448000000015E-7</v>
      </c>
      <c r="BG115" s="37">
        <f>developmentdata2019[[#This Row],[E-Waste (tons/day)]]*BG$1</f>
        <v>3.5011558400000014E-8</v>
      </c>
      <c r="BH115" s="37">
        <f>developmentdata2019[[#This Row],[Trash (tons/day)]]*BH$1</f>
        <v>3.0922450000000001</v>
      </c>
      <c r="BI115" s="37">
        <f>developmentdata2019[[#This Row],[MGP (tons/day)]]*BI$1</f>
        <v>0.50295622000000006</v>
      </c>
      <c r="BJ115" s="37">
        <f>developmentdata2019[[#This Row],[Cardboard (tons/day)]]*BJ$1</f>
        <v>5.2107045900000017E-2</v>
      </c>
      <c r="BK115" s="37">
        <f>developmentdata2019[[#This Row],[Paper (tons/day)]]*BK$1</f>
        <v>8.4656854100000035E-4</v>
      </c>
      <c r="BL115" s="37">
        <f>developmentdata2019[[#This Row],[Organics (tons/day)]]*BL$1</f>
        <v>1.8906241536000007E-4</v>
      </c>
      <c r="BM115" s="37">
        <f>developmentdata2019[[#This Row],[E-Waste (tons/day)]]*BM$1</f>
        <v>2.4726913120000012E-6</v>
      </c>
      <c r="BN115" s="37">
        <f>developmentdata2019[[#This Row],[Textiles (tons/day)]]*BN$1</f>
        <v>4.6670407347200018E-7</v>
      </c>
      <c r="BO115" s="37">
        <f>developmentdata2019[[#This Row],[Trash (CY/day)]]*201.974</f>
        <v>624.55309163000004</v>
      </c>
      <c r="BP115" s="37">
        <f>developmentdata2019[[#This Row],[MGP (CY/day)]]*201.974</f>
        <v>101.58407957828001</v>
      </c>
      <c r="BQ115" s="37">
        <f>developmentdata2019[[#This Row],[Cardboard (CY/day)]]*201.974</f>
        <v>10.524268488606603</v>
      </c>
      <c r="BR115" s="37">
        <f>developmentdata2019[[#This Row],[Paper  (CY/day)]]*201.974</f>
        <v>0.17098483449993407</v>
      </c>
      <c r="BS115" s="37">
        <f>developmentdata2019[[#This Row],[Organics (CY/day)]]*201.974</f>
        <v>3.8185692279920649E-2</v>
      </c>
      <c r="BT115" s="37">
        <f>developmentdata2019[[#This Row],[E-Waste (CY/day)]]*201.974</f>
        <v>4.9941935504988822E-4</v>
      </c>
      <c r="BU115" s="37">
        <f>developmentdata2019[[#This Row],[Textiles (CY/day)]]*201.974</f>
        <v>9.4262088535433758E-5</v>
      </c>
    </row>
    <row r="116" spans="1:73" x14ac:dyDescent="0.2">
      <c r="A116" s="37" t="s">
        <v>338</v>
      </c>
      <c r="B116" s="115">
        <v>43466</v>
      </c>
      <c r="C116" s="37" t="s">
        <v>1166</v>
      </c>
      <c r="D116">
        <v>136</v>
      </c>
      <c r="E116">
        <v>136</v>
      </c>
      <c r="F116">
        <v>252</v>
      </c>
      <c r="G116">
        <v>252</v>
      </c>
      <c r="H116" s="37" t="s">
        <v>1167</v>
      </c>
      <c r="I116" s="37" t="s">
        <v>577</v>
      </c>
      <c r="J116" s="37" t="s">
        <v>578</v>
      </c>
      <c r="K116" s="37" t="s">
        <v>579</v>
      </c>
      <c r="M116">
        <v>944</v>
      </c>
      <c r="N116">
        <v>944</v>
      </c>
      <c r="O116">
        <v>4223</v>
      </c>
      <c r="P116">
        <v>4.47</v>
      </c>
      <c r="R116">
        <v>2166</v>
      </c>
      <c r="S116">
        <v>2166</v>
      </c>
      <c r="T116">
        <v>374</v>
      </c>
      <c r="U116">
        <v>0.39900000000000002</v>
      </c>
      <c r="V116">
        <v>11</v>
      </c>
      <c r="W116">
        <v>1</v>
      </c>
      <c r="X116">
        <v>12</v>
      </c>
      <c r="Y116">
        <v>43641</v>
      </c>
      <c r="Z116">
        <v>214139</v>
      </c>
      <c r="AA116">
        <v>4.92</v>
      </c>
      <c r="AB116">
        <v>214139</v>
      </c>
      <c r="AC116">
        <v>4.92</v>
      </c>
      <c r="AD116">
        <v>70645</v>
      </c>
      <c r="AE116">
        <v>8097991</v>
      </c>
      <c r="AF116">
        <v>0.25879999999999997</v>
      </c>
      <c r="AG116">
        <v>440</v>
      </c>
      <c r="AH116">
        <v>20727847</v>
      </c>
      <c r="AI116">
        <v>4866</v>
      </c>
      <c r="AJ116">
        <v>678</v>
      </c>
      <c r="AK116" s="37" t="s">
        <v>1168</v>
      </c>
      <c r="AL116" s="37" t="s">
        <v>1169</v>
      </c>
      <c r="AM116" s="37" t="s">
        <v>923</v>
      </c>
      <c r="AN116" s="37"/>
      <c r="AO116" s="37" t="s">
        <v>608</v>
      </c>
      <c r="AP116">
        <v>4</v>
      </c>
      <c r="AQ116">
        <v>10</v>
      </c>
      <c r="AR116">
        <v>27</v>
      </c>
      <c r="AS116">
        <v>75</v>
      </c>
      <c r="AT116">
        <v>3</v>
      </c>
      <c r="AU116" s="115">
        <v>23832</v>
      </c>
      <c r="AV116" s="37"/>
      <c r="AW116" s="37"/>
      <c r="AX116" s="37"/>
      <c r="AY116" s="37"/>
      <c r="AZ116" s="37">
        <f>developmentdata2019[[#This Row],[NUMBER OF CURRENT APARTMENTS]]*5/2000</f>
        <v>2.36</v>
      </c>
      <c r="BA116" s="37">
        <f>developmentdata2019[[#This Row],[Total]]*BA$1</f>
        <v>0.61360000000000003</v>
      </c>
      <c r="BB116" s="37">
        <f>developmentdata2019[[#This Row],[Trash (tons/day)]]*BB$1</f>
        <v>0.11658400000000001</v>
      </c>
      <c r="BC116" s="37">
        <f>developmentdata2019[[#This Row],[MGP (tons/day)]]*BC$1</f>
        <v>8.1608800000000006E-3</v>
      </c>
      <c r="BD116" s="37">
        <f>developmentdata2019[[#This Row],[Cardboard (tons/day)]]*BD$1</f>
        <v>5.7126160000000009E-4</v>
      </c>
      <c r="BE116" s="37">
        <f>developmentdata2019[[#This Row],[Paper (tons/day)]]*BE$1</f>
        <v>1.8280371200000002E-4</v>
      </c>
      <c r="BF116" s="37">
        <f>developmentdata2019[[#This Row],[Organics (tons/day)]]*BF$1</f>
        <v>1.8280371200000003E-6</v>
      </c>
      <c r="BG116" s="37">
        <f>developmentdata2019[[#This Row],[E-Waste (tons/day)]]*BG$1</f>
        <v>1.4624296960000004E-7</v>
      </c>
      <c r="BH116" s="37">
        <f>developmentdata2019[[#This Row],[Trash (tons/day)]]*BH$1</f>
        <v>12.91628</v>
      </c>
      <c r="BI116" s="37">
        <f>developmentdata2019[[#This Row],[MGP (tons/day)]]*BI$1</f>
        <v>2.1008436800000001</v>
      </c>
      <c r="BJ116" s="37">
        <f>developmentdata2019[[#This Row],[Cardboard (tons/day)]]*BJ$1</f>
        <v>0.21765066960000004</v>
      </c>
      <c r="BK116" s="37">
        <f>developmentdata2019[[#This Row],[Paper (tons/day)]]*BK$1</f>
        <v>3.5361093040000009E-3</v>
      </c>
      <c r="BL116" s="37">
        <f>developmentdata2019[[#This Row],[Organics (tons/day)]]*BL$1</f>
        <v>7.8971203584000016E-4</v>
      </c>
      <c r="BM116" s="37">
        <f>developmentdata2019[[#This Row],[E-Waste (tons/day)]]*BM$1</f>
        <v>1.0328409728000002E-5</v>
      </c>
      <c r="BN116" s="37">
        <f>developmentdata2019[[#This Row],[Textiles (tons/day)]]*BN$1</f>
        <v>1.9494187847680004E-6</v>
      </c>
      <c r="BO116" s="37">
        <f>developmentdata2019[[#This Row],[Trash (CY/day)]]*201.974</f>
        <v>2608.75273672</v>
      </c>
      <c r="BP116" s="37">
        <f>developmentdata2019[[#This Row],[MGP (CY/day)]]*201.974</f>
        <v>424.31580142432</v>
      </c>
      <c r="BQ116" s="37">
        <f>developmentdata2019[[#This Row],[Cardboard (CY/day)]]*201.974</f>
        <v>43.959776341790409</v>
      </c>
      <c r="BR116" s="37">
        <f>developmentdata2019[[#This Row],[Paper  (CY/day)]]*201.974</f>
        <v>0.7142021405660961</v>
      </c>
      <c r="BS116" s="37">
        <f>developmentdata2019[[#This Row],[Organics (CY/day)]]*201.974</f>
        <v>0.15950129872674818</v>
      </c>
      <c r="BT116" s="37">
        <f>developmentdata2019[[#This Row],[E-Waste (CY/day)]]*201.974</f>
        <v>2.0860702264030723E-3</v>
      </c>
      <c r="BU116" s="37">
        <f>developmentdata2019[[#This Row],[Textiles (CY/day)]]*201.974</f>
        <v>3.937319096347321E-4</v>
      </c>
    </row>
    <row r="117" spans="1:73" x14ac:dyDescent="0.2">
      <c r="A117" s="37" t="s">
        <v>1170</v>
      </c>
      <c r="B117" s="115">
        <v>43466</v>
      </c>
      <c r="C117" s="37" t="s">
        <v>843</v>
      </c>
      <c r="D117">
        <v>252</v>
      </c>
      <c r="E117">
        <v>252</v>
      </c>
      <c r="F117">
        <v>381</v>
      </c>
      <c r="G117">
        <v>381</v>
      </c>
      <c r="H117" s="37" t="s">
        <v>1171</v>
      </c>
      <c r="I117" s="37" t="s">
        <v>577</v>
      </c>
      <c r="J117" s="37" t="s">
        <v>578</v>
      </c>
      <c r="K117" s="37" t="s">
        <v>579</v>
      </c>
      <c r="M117">
        <v>320</v>
      </c>
      <c r="N117">
        <v>321</v>
      </c>
      <c r="O117">
        <v>1525</v>
      </c>
      <c r="P117">
        <v>4.7699999999999996</v>
      </c>
      <c r="R117">
        <v>863</v>
      </c>
      <c r="S117">
        <v>863</v>
      </c>
      <c r="T117">
        <v>124</v>
      </c>
      <c r="U117">
        <v>0.39400000000000002</v>
      </c>
      <c r="V117">
        <v>3</v>
      </c>
      <c r="W117">
        <v>1</v>
      </c>
      <c r="X117">
        <v>6</v>
      </c>
      <c r="Y117" t="s">
        <v>1172</v>
      </c>
      <c r="Z117">
        <v>142730</v>
      </c>
      <c r="AA117">
        <v>3.28</v>
      </c>
      <c r="AB117">
        <v>142730</v>
      </c>
      <c r="AC117">
        <v>3.28</v>
      </c>
      <c r="AD117">
        <v>40745</v>
      </c>
      <c r="AE117">
        <v>3257257</v>
      </c>
      <c r="AF117">
        <v>0.28549999999999998</v>
      </c>
      <c r="AG117">
        <v>263</v>
      </c>
      <c r="AH117">
        <v>12599489</v>
      </c>
      <c r="AI117">
        <v>8168</v>
      </c>
      <c r="AJ117">
        <v>563</v>
      </c>
      <c r="AK117" s="37" t="s">
        <v>1173</v>
      </c>
      <c r="AL117" s="37" t="s">
        <v>1174</v>
      </c>
      <c r="AM117" s="37" t="s">
        <v>1146</v>
      </c>
      <c r="AN117" s="37"/>
      <c r="AO117" s="37" t="s">
        <v>593</v>
      </c>
      <c r="AP117">
        <v>16</v>
      </c>
      <c r="AQ117">
        <v>9</v>
      </c>
      <c r="AR117">
        <v>20</v>
      </c>
      <c r="AS117">
        <v>55</v>
      </c>
      <c r="AT117">
        <v>41</v>
      </c>
      <c r="AU117" s="115">
        <v>27453</v>
      </c>
      <c r="AV117" s="37"/>
      <c r="AW117" s="37" t="s">
        <v>693</v>
      </c>
      <c r="AX117" s="37"/>
      <c r="AY117" s="37"/>
      <c r="AZ117" s="37">
        <f>developmentdata2019[[#This Row],[NUMBER OF CURRENT APARTMENTS]]*5/2000</f>
        <v>0.8</v>
      </c>
      <c r="BA117" s="37">
        <f>developmentdata2019[[#This Row],[Total]]*BA$1</f>
        <v>0.20800000000000002</v>
      </c>
      <c r="BB117" s="37">
        <f>developmentdata2019[[#This Row],[Trash (tons/day)]]*BB$1</f>
        <v>3.9520000000000007E-2</v>
      </c>
      <c r="BC117" s="37">
        <f>developmentdata2019[[#This Row],[MGP (tons/day)]]*BC$1</f>
        <v>2.7664000000000009E-3</v>
      </c>
      <c r="BD117" s="37">
        <f>developmentdata2019[[#This Row],[Cardboard (tons/day)]]*BD$1</f>
        <v>1.9364800000000007E-4</v>
      </c>
      <c r="BE117" s="37">
        <f>developmentdata2019[[#This Row],[Paper (tons/day)]]*BE$1</f>
        <v>6.1967360000000023E-5</v>
      </c>
      <c r="BF117" s="37">
        <f>developmentdata2019[[#This Row],[Organics (tons/day)]]*BF$1</f>
        <v>6.1967360000000024E-7</v>
      </c>
      <c r="BG117" s="37">
        <f>developmentdata2019[[#This Row],[E-Waste (tons/day)]]*BG$1</f>
        <v>4.9573888000000022E-8</v>
      </c>
      <c r="BH117" s="37">
        <f>developmentdata2019[[#This Row],[Trash (tons/day)]]*BH$1</f>
        <v>4.378400000000001</v>
      </c>
      <c r="BI117" s="37">
        <f>developmentdata2019[[#This Row],[MGP (tons/day)]]*BI$1</f>
        <v>0.71215040000000007</v>
      </c>
      <c r="BJ117" s="37">
        <f>developmentdata2019[[#This Row],[Cardboard (tons/day)]]*BJ$1</f>
        <v>7.377988800000003E-2</v>
      </c>
      <c r="BK117" s="37">
        <f>developmentdata2019[[#This Row],[Paper (tons/day)]]*BK$1</f>
        <v>1.1986811200000004E-3</v>
      </c>
      <c r="BL117" s="37">
        <f>developmentdata2019[[#This Row],[Organics (tons/day)]]*BL$1</f>
        <v>2.6769899520000012E-4</v>
      </c>
      <c r="BM117" s="37">
        <f>developmentdata2019[[#This Row],[E-Waste (tons/day)]]*BM$1</f>
        <v>3.5011558400000016E-6</v>
      </c>
      <c r="BN117" s="37">
        <f>developmentdata2019[[#This Row],[Textiles (tons/day)]]*BN$1</f>
        <v>6.6081992704000024E-7</v>
      </c>
      <c r="BO117" s="37">
        <f>developmentdata2019[[#This Row],[Trash (CY/day)]]*201.974</f>
        <v>884.3229616000001</v>
      </c>
      <c r="BP117" s="37">
        <f>developmentdata2019[[#This Row],[MGP (CY/day)]]*201.974</f>
        <v>143.8358648896</v>
      </c>
      <c r="BQ117" s="37">
        <f>developmentdata2019[[#This Row],[Cardboard (CY/day)]]*201.974</f>
        <v>14.901619098912006</v>
      </c>
      <c r="BR117" s="37">
        <f>developmentdata2019[[#This Row],[Paper  (CY/day)]]*201.974</f>
        <v>0.24210242053088007</v>
      </c>
      <c r="BS117" s="37">
        <f>developmentdata2019[[#This Row],[Organics (CY/day)]]*201.974</f>
        <v>5.4068236856524822E-2</v>
      </c>
      <c r="BT117" s="37">
        <f>developmentdata2019[[#This Row],[E-Waste (CY/day)]]*201.974</f>
        <v>7.0714244962816035E-4</v>
      </c>
      <c r="BU117" s="37">
        <f>developmentdata2019[[#This Row],[Textiles (CY/day)]]*201.974</f>
        <v>1.3346844394397702E-4</v>
      </c>
    </row>
    <row r="118" spans="1:73" x14ac:dyDescent="0.2">
      <c r="A118" s="37" t="s">
        <v>1175</v>
      </c>
      <c r="B118" s="115">
        <v>43466</v>
      </c>
      <c r="C118" s="37" t="s">
        <v>610</v>
      </c>
      <c r="D118">
        <v>225</v>
      </c>
      <c r="E118">
        <v>67</v>
      </c>
      <c r="F118">
        <v>342</v>
      </c>
      <c r="G118">
        <v>222</v>
      </c>
      <c r="H118" s="37" t="s">
        <v>1176</v>
      </c>
      <c r="I118" s="37" t="s">
        <v>577</v>
      </c>
      <c r="J118" s="37" t="s">
        <v>588</v>
      </c>
      <c r="K118" s="37" t="s">
        <v>735</v>
      </c>
      <c r="M118">
        <v>131</v>
      </c>
      <c r="N118">
        <v>132</v>
      </c>
      <c r="O118">
        <v>434.5</v>
      </c>
      <c r="P118">
        <v>3.32</v>
      </c>
      <c r="R118">
        <v>143</v>
      </c>
      <c r="S118">
        <v>143</v>
      </c>
      <c r="T118">
        <v>124</v>
      </c>
      <c r="U118">
        <v>0.94699999999999995</v>
      </c>
      <c r="V118">
        <v>1</v>
      </c>
      <c r="W118">
        <v>0</v>
      </c>
      <c r="X118">
        <v>1</v>
      </c>
      <c r="Y118">
        <v>6</v>
      </c>
      <c r="Z118">
        <v>47204</v>
      </c>
      <c r="AA118">
        <v>1.08</v>
      </c>
      <c r="AB118">
        <v>47204</v>
      </c>
      <c r="AC118">
        <v>1.08</v>
      </c>
      <c r="AD118">
        <v>18734</v>
      </c>
      <c r="AE118">
        <v>1123122</v>
      </c>
      <c r="AF118">
        <v>0.39689999999999998</v>
      </c>
      <c r="AG118">
        <v>132</v>
      </c>
      <c r="AH118">
        <v>3356367</v>
      </c>
      <c r="AI118">
        <v>7467</v>
      </c>
      <c r="AJ118">
        <v>324</v>
      </c>
      <c r="AK118" s="37" t="s">
        <v>1177</v>
      </c>
      <c r="AL118" s="37" t="s">
        <v>662</v>
      </c>
      <c r="AM118" s="37" t="s">
        <v>1178</v>
      </c>
      <c r="AN118" s="37" t="s">
        <v>1179</v>
      </c>
      <c r="AO118" s="37" t="s">
        <v>584</v>
      </c>
      <c r="AP118">
        <v>10</v>
      </c>
      <c r="AQ118">
        <v>14</v>
      </c>
      <c r="AR118">
        <v>34</v>
      </c>
      <c r="AS118">
        <v>87</v>
      </c>
      <c r="AT118">
        <v>18</v>
      </c>
      <c r="AU118" s="115">
        <v>26298</v>
      </c>
      <c r="AV118" s="37"/>
      <c r="AW118" s="37" t="s">
        <v>736</v>
      </c>
      <c r="AX118" s="37"/>
      <c r="AY118" s="37"/>
      <c r="AZ118" s="37">
        <f>developmentdata2019[[#This Row],[NUMBER OF CURRENT APARTMENTS]]*5/2000</f>
        <v>0.32750000000000001</v>
      </c>
      <c r="BA118" s="37">
        <f>developmentdata2019[[#This Row],[Total]]*BA$1</f>
        <v>8.5150000000000003E-2</v>
      </c>
      <c r="BB118" s="37">
        <f>developmentdata2019[[#This Row],[Trash (tons/day)]]*BB$1</f>
        <v>1.6178500000000002E-2</v>
      </c>
      <c r="BC118" s="37">
        <f>developmentdata2019[[#This Row],[MGP (tons/day)]]*BC$1</f>
        <v>1.1324950000000003E-3</v>
      </c>
      <c r="BD118" s="37">
        <f>developmentdata2019[[#This Row],[Cardboard (tons/day)]]*BD$1</f>
        <v>7.9274650000000032E-5</v>
      </c>
      <c r="BE118" s="37">
        <f>developmentdata2019[[#This Row],[Paper (tons/day)]]*BE$1</f>
        <v>2.5367888000000012E-5</v>
      </c>
      <c r="BF118" s="37">
        <f>developmentdata2019[[#This Row],[Organics (tons/day)]]*BF$1</f>
        <v>2.5367888000000015E-7</v>
      </c>
      <c r="BG118" s="37">
        <f>developmentdata2019[[#This Row],[E-Waste (tons/day)]]*BG$1</f>
        <v>2.0294310400000013E-8</v>
      </c>
      <c r="BH118" s="37">
        <f>developmentdata2019[[#This Row],[Trash (tons/day)]]*BH$1</f>
        <v>1.7924075000000002</v>
      </c>
      <c r="BI118" s="37">
        <f>developmentdata2019[[#This Row],[MGP (tons/day)]]*BI$1</f>
        <v>0.29153657000000005</v>
      </c>
      <c r="BJ118" s="37">
        <f>developmentdata2019[[#This Row],[Cardboard (tons/day)]]*BJ$1</f>
        <v>3.0203641650000009E-2</v>
      </c>
      <c r="BK118" s="37">
        <f>developmentdata2019[[#This Row],[Paper (tons/day)]]*BK$1</f>
        <v>4.907100835000002E-4</v>
      </c>
      <c r="BL118" s="37">
        <f>developmentdata2019[[#This Row],[Organics (tons/day)]]*BL$1</f>
        <v>1.0958927616000006E-4</v>
      </c>
      <c r="BM118" s="37">
        <f>developmentdata2019[[#This Row],[E-Waste (tons/day)]]*BM$1</f>
        <v>1.4332856720000009E-6</v>
      </c>
      <c r="BN118" s="37">
        <f>developmentdata2019[[#This Row],[Textiles (tons/day)]]*BN$1</f>
        <v>2.7052315763200017E-7</v>
      </c>
      <c r="BO118" s="37">
        <f>developmentdata2019[[#This Row],[Trash (CY/day)]]*201.974</f>
        <v>362.01971240500001</v>
      </c>
      <c r="BP118" s="37">
        <f>developmentdata2019[[#This Row],[MGP (CY/day)]]*201.974</f>
        <v>58.882807189180006</v>
      </c>
      <c r="BQ118" s="37">
        <f>developmentdata2019[[#This Row],[Cardboard (CY/day)]]*201.974</f>
        <v>6.1003503186171013</v>
      </c>
      <c r="BR118" s="37">
        <f>developmentdata2019[[#This Row],[Paper  (CY/day)]]*201.974</f>
        <v>9.9110678404829039E-2</v>
      </c>
      <c r="BS118" s="37">
        <f>developmentdata2019[[#This Row],[Organics (CY/day)]]*201.974</f>
        <v>2.2134184463139851E-2</v>
      </c>
      <c r="BT118" s="37">
        <f>developmentdata2019[[#This Row],[E-Waste (CY/day)]]*201.974</f>
        <v>2.8948644031652818E-4</v>
      </c>
      <c r="BU118" s="37">
        <f>developmentdata2019[[#This Row],[Textiles (CY/day)]]*201.974</f>
        <v>5.4638644239565599E-5</v>
      </c>
    </row>
    <row r="119" spans="1:73" x14ac:dyDescent="0.2">
      <c r="A119" s="37" t="s">
        <v>1180</v>
      </c>
      <c r="B119" s="115">
        <v>43466</v>
      </c>
      <c r="C119" s="37" t="s">
        <v>1181</v>
      </c>
      <c r="D119">
        <v>171</v>
      </c>
      <c r="E119">
        <v>169</v>
      </c>
      <c r="F119">
        <v>581</v>
      </c>
      <c r="G119">
        <v>581</v>
      </c>
      <c r="H119" s="37" t="s">
        <v>1182</v>
      </c>
      <c r="I119" s="37" t="s">
        <v>577</v>
      </c>
      <c r="J119" s="37" t="s">
        <v>578</v>
      </c>
      <c r="K119" s="37" t="s">
        <v>579</v>
      </c>
      <c r="M119">
        <v>439</v>
      </c>
      <c r="N119">
        <v>440</v>
      </c>
      <c r="O119">
        <v>1701.5</v>
      </c>
      <c r="P119">
        <v>3.88</v>
      </c>
      <c r="R119">
        <v>823</v>
      </c>
      <c r="S119">
        <v>823</v>
      </c>
      <c r="T119">
        <v>189</v>
      </c>
      <c r="U119">
        <v>0.441</v>
      </c>
      <c r="V119">
        <v>4</v>
      </c>
      <c r="W119">
        <v>0</v>
      </c>
      <c r="X119">
        <v>4</v>
      </c>
      <c r="Y119">
        <v>45583</v>
      </c>
      <c r="Z119">
        <v>186180</v>
      </c>
      <c r="AA119">
        <v>4.2699999999999996</v>
      </c>
      <c r="AB119">
        <v>186180</v>
      </c>
      <c r="AC119">
        <v>4.2699999999999996</v>
      </c>
      <c r="AD119">
        <v>24838</v>
      </c>
      <c r="AE119">
        <v>4024811</v>
      </c>
      <c r="AF119">
        <v>0.13339999999999999</v>
      </c>
      <c r="AG119">
        <v>193</v>
      </c>
      <c r="AH119">
        <v>10600000</v>
      </c>
      <c r="AI119">
        <v>6221</v>
      </c>
      <c r="AJ119">
        <v>499</v>
      </c>
      <c r="AK119" s="37" t="s">
        <v>1146</v>
      </c>
      <c r="AL119" s="37" t="s">
        <v>1144</v>
      </c>
      <c r="AM119" s="37" t="s">
        <v>1183</v>
      </c>
      <c r="AN119" s="37" t="s">
        <v>1184</v>
      </c>
      <c r="AO119" s="37" t="s">
        <v>593</v>
      </c>
      <c r="AP119">
        <v>16</v>
      </c>
      <c r="AQ119">
        <v>8</v>
      </c>
      <c r="AR119">
        <v>19</v>
      </c>
      <c r="AS119">
        <v>55</v>
      </c>
      <c r="AT119">
        <v>37</v>
      </c>
      <c r="AU119" s="115">
        <v>24958</v>
      </c>
      <c r="AV119" s="37" t="s">
        <v>1185</v>
      </c>
      <c r="AW119" s="37"/>
      <c r="AX119" s="37"/>
      <c r="AY119" s="37"/>
      <c r="AZ119" s="37">
        <f>developmentdata2019[[#This Row],[NUMBER OF CURRENT APARTMENTS]]*5/2000</f>
        <v>1.0974999999999999</v>
      </c>
      <c r="BA119" s="37">
        <f>developmentdata2019[[#This Row],[Total]]*BA$1</f>
        <v>0.28534999999999999</v>
      </c>
      <c r="BB119" s="37">
        <f>developmentdata2019[[#This Row],[Trash (tons/day)]]*BB$1</f>
        <v>5.4216500000000001E-2</v>
      </c>
      <c r="BC119" s="37">
        <f>developmentdata2019[[#This Row],[MGP (tons/day)]]*BC$1</f>
        <v>3.7951550000000006E-3</v>
      </c>
      <c r="BD119" s="37">
        <f>developmentdata2019[[#This Row],[Cardboard (tons/day)]]*BD$1</f>
        <v>2.6566085000000005E-4</v>
      </c>
      <c r="BE119" s="37">
        <f>developmentdata2019[[#This Row],[Paper (tons/day)]]*BE$1</f>
        <v>8.5011472000000014E-5</v>
      </c>
      <c r="BF119" s="37">
        <f>developmentdata2019[[#This Row],[Organics (tons/day)]]*BF$1</f>
        <v>8.5011472000000016E-7</v>
      </c>
      <c r="BG119" s="37">
        <f>developmentdata2019[[#This Row],[E-Waste (tons/day)]]*BG$1</f>
        <v>6.8009177600000014E-8</v>
      </c>
      <c r="BH119" s="37">
        <f>developmentdata2019[[#This Row],[Trash (tons/day)]]*BH$1</f>
        <v>6.0066174999999999</v>
      </c>
      <c r="BI119" s="37">
        <f>developmentdata2019[[#This Row],[MGP (tons/day)]]*BI$1</f>
        <v>0.97698132999999998</v>
      </c>
      <c r="BJ119" s="37">
        <f>developmentdata2019[[#This Row],[Cardboard (tons/day)]]*BJ$1</f>
        <v>0.10121678385000002</v>
      </c>
      <c r="BK119" s="37">
        <f>developmentdata2019[[#This Row],[Paper (tons/day)]]*BK$1</f>
        <v>1.6444406615000004E-3</v>
      </c>
      <c r="BL119" s="37">
        <f>developmentdata2019[[#This Row],[Organics (tons/day)]]*BL$1</f>
        <v>3.672495590400001E-4</v>
      </c>
      <c r="BM119" s="37">
        <f>developmentdata2019[[#This Row],[E-Waste (tons/day)]]*BM$1</f>
        <v>4.8031481680000009E-6</v>
      </c>
      <c r="BN119" s="37">
        <f>developmentdata2019[[#This Row],[Textiles (tons/day)]]*BN$1</f>
        <v>9.065623374080002E-7</v>
      </c>
      <c r="BO119" s="37">
        <f>developmentdata2019[[#This Row],[Trash (CY/day)]]*201.974</f>
        <v>1213.180562945</v>
      </c>
      <c r="BP119" s="37">
        <f>developmentdata2019[[#This Row],[MGP (CY/day)]]*201.974</f>
        <v>197.32482714541999</v>
      </c>
      <c r="BQ119" s="37">
        <f>developmentdata2019[[#This Row],[Cardboard (CY/day)]]*201.974</f>
        <v>20.443158701319902</v>
      </c>
      <c r="BR119" s="37">
        <f>developmentdata2019[[#This Row],[Paper  (CY/day)]]*201.974</f>
        <v>0.33213425816580106</v>
      </c>
      <c r="BS119" s="37">
        <f>developmentdata2019[[#This Row],[Organics (CY/day)]]*201.974</f>
        <v>7.4174862437544981E-2</v>
      </c>
      <c r="BT119" s="37">
        <f>developmentdata2019[[#This Row],[E-Waste (CY/day)]]*201.974</f>
        <v>9.7011104808363208E-4</v>
      </c>
      <c r="BU119" s="37">
        <f>developmentdata2019[[#This Row],[Textiles (CY/day)]]*201.974</f>
        <v>1.8310202153564342E-4</v>
      </c>
    </row>
    <row r="120" spans="1:73" x14ac:dyDescent="0.2">
      <c r="A120" s="37" t="s">
        <v>484</v>
      </c>
      <c r="B120" s="115">
        <v>43466</v>
      </c>
      <c r="C120" s="37" t="s">
        <v>1186</v>
      </c>
      <c r="D120">
        <v>44</v>
      </c>
      <c r="E120">
        <v>44</v>
      </c>
      <c r="F120">
        <v>584</v>
      </c>
      <c r="G120">
        <v>584</v>
      </c>
      <c r="H120" s="37" t="s">
        <v>1187</v>
      </c>
      <c r="I120" s="37" t="s">
        <v>577</v>
      </c>
      <c r="J120" s="37" t="s">
        <v>578</v>
      </c>
      <c r="K120" s="37" t="s">
        <v>579</v>
      </c>
      <c r="M120">
        <v>1186</v>
      </c>
      <c r="N120">
        <v>1188</v>
      </c>
      <c r="O120">
        <v>5207</v>
      </c>
      <c r="P120">
        <v>4.3899999999999997</v>
      </c>
      <c r="R120">
        <v>2512</v>
      </c>
      <c r="S120">
        <v>2512</v>
      </c>
      <c r="T120">
        <v>404</v>
      </c>
      <c r="U120">
        <v>0.34399999999999997</v>
      </c>
      <c r="V120">
        <v>20</v>
      </c>
      <c r="W120">
        <v>0</v>
      </c>
      <c r="X120">
        <v>40</v>
      </c>
      <c r="Y120">
        <v>6</v>
      </c>
      <c r="Z120">
        <v>975095</v>
      </c>
      <c r="AA120">
        <v>22.39</v>
      </c>
      <c r="AB120">
        <v>915230</v>
      </c>
      <c r="AC120">
        <v>21.01</v>
      </c>
      <c r="AD120">
        <v>183856</v>
      </c>
      <c r="AE120">
        <v>10242805</v>
      </c>
      <c r="AF120">
        <v>0.18859999999999999</v>
      </c>
      <c r="AG120">
        <v>112</v>
      </c>
      <c r="AH120">
        <v>12907133</v>
      </c>
      <c r="AI120">
        <v>2475</v>
      </c>
      <c r="AJ120">
        <v>599</v>
      </c>
      <c r="AK120" s="37" t="s">
        <v>1188</v>
      </c>
      <c r="AL120" s="37" t="s">
        <v>1189</v>
      </c>
      <c r="AM120" s="37" t="s">
        <v>833</v>
      </c>
      <c r="AN120" s="37" t="s">
        <v>1190</v>
      </c>
      <c r="AO120" s="37" t="s">
        <v>593</v>
      </c>
      <c r="AP120">
        <v>18</v>
      </c>
      <c r="AQ120">
        <v>8</v>
      </c>
      <c r="AR120">
        <v>21</v>
      </c>
      <c r="AS120">
        <v>59</v>
      </c>
      <c r="AT120">
        <v>45</v>
      </c>
      <c r="AU120" s="115">
        <v>18458</v>
      </c>
      <c r="AV120" s="37" t="s">
        <v>1191</v>
      </c>
      <c r="AW120" s="37"/>
      <c r="AX120" s="37"/>
      <c r="AY120" s="37"/>
      <c r="AZ120" s="37">
        <f>developmentdata2019[[#This Row],[NUMBER OF CURRENT APARTMENTS]]*5/2000</f>
        <v>2.9649999999999999</v>
      </c>
      <c r="BA120" s="37">
        <f>developmentdata2019[[#This Row],[Total]]*BA$1</f>
        <v>0.77090000000000003</v>
      </c>
      <c r="BB120" s="37">
        <f>developmentdata2019[[#This Row],[Trash (tons/day)]]*BB$1</f>
        <v>0.14647100000000002</v>
      </c>
      <c r="BC120" s="37">
        <f>developmentdata2019[[#This Row],[MGP (tons/day)]]*BC$1</f>
        <v>1.0252970000000002E-2</v>
      </c>
      <c r="BD120" s="37">
        <f>developmentdata2019[[#This Row],[Cardboard (tons/day)]]*BD$1</f>
        <v>7.1770790000000024E-4</v>
      </c>
      <c r="BE120" s="37">
        <f>developmentdata2019[[#This Row],[Paper (tons/day)]]*BE$1</f>
        <v>2.2966652800000009E-4</v>
      </c>
      <c r="BF120" s="37">
        <f>developmentdata2019[[#This Row],[Organics (tons/day)]]*BF$1</f>
        <v>2.2966652800000011E-6</v>
      </c>
      <c r="BG120" s="37">
        <f>developmentdata2019[[#This Row],[E-Waste (tons/day)]]*BG$1</f>
        <v>1.8373322240000009E-7</v>
      </c>
      <c r="BH120" s="37">
        <f>developmentdata2019[[#This Row],[Trash (tons/day)]]*BH$1</f>
        <v>16.227444999999999</v>
      </c>
      <c r="BI120" s="37">
        <f>developmentdata2019[[#This Row],[MGP (tons/day)]]*BI$1</f>
        <v>2.6394074200000004</v>
      </c>
      <c r="BJ120" s="37">
        <f>developmentdata2019[[#This Row],[Cardboard (tons/day)]]*BJ$1</f>
        <v>0.27344670990000008</v>
      </c>
      <c r="BK120" s="37">
        <f>developmentdata2019[[#This Row],[Paper (tons/day)]]*BK$1</f>
        <v>4.442611901000002E-3</v>
      </c>
      <c r="BL120" s="37">
        <f>developmentdata2019[[#This Row],[Organics (tons/day)]]*BL$1</f>
        <v>9.921594009600005E-4</v>
      </c>
      <c r="BM120" s="37">
        <f>developmentdata2019[[#This Row],[E-Waste (tons/day)]]*BM$1</f>
        <v>1.2976158832000006E-5</v>
      </c>
      <c r="BN120" s="37">
        <f>developmentdata2019[[#This Row],[Textiles (tons/day)]]*BN$1</f>
        <v>2.4491638545920012E-6</v>
      </c>
      <c r="BO120" s="37">
        <f>developmentdata2019[[#This Row],[Trash (CY/day)]]*201.974</f>
        <v>3277.5219764299995</v>
      </c>
      <c r="BP120" s="37">
        <f>developmentdata2019[[#This Row],[MGP (CY/day)]]*201.974</f>
        <v>533.09167424708005</v>
      </c>
      <c r="BQ120" s="37">
        <f>developmentdata2019[[#This Row],[Cardboard (CY/day)]]*201.974</f>
        <v>55.229125785342617</v>
      </c>
      <c r="BR120" s="37">
        <f>developmentdata2019[[#This Row],[Paper  (CY/day)]]*201.974</f>
        <v>0.89729209609257432</v>
      </c>
      <c r="BS120" s="37">
        <f>developmentdata2019[[#This Row],[Organics (CY/day)]]*201.974</f>
        <v>0.20039040284949514</v>
      </c>
      <c r="BT120" s="37">
        <f>developmentdata2019[[#This Row],[E-Waste (CY/day)]]*201.974</f>
        <v>2.6208467039343692E-3</v>
      </c>
      <c r="BU120" s="37">
        <f>developmentdata2019[[#This Row],[Textiles (CY/day)]]*201.974</f>
        <v>4.9466742036736479E-4</v>
      </c>
    </row>
    <row r="121" spans="1:73" x14ac:dyDescent="0.2">
      <c r="A121" s="37" t="s">
        <v>325</v>
      </c>
      <c r="B121" s="115">
        <v>43466</v>
      </c>
      <c r="C121" s="37" t="s">
        <v>642</v>
      </c>
      <c r="D121">
        <v>100</v>
      </c>
      <c r="E121">
        <v>100</v>
      </c>
      <c r="F121">
        <v>237</v>
      </c>
      <c r="G121">
        <v>237</v>
      </c>
      <c r="H121" s="37" t="s">
        <v>1192</v>
      </c>
      <c r="I121" s="37" t="s">
        <v>577</v>
      </c>
      <c r="J121" s="37" t="s">
        <v>578</v>
      </c>
      <c r="K121" s="37" t="s">
        <v>579</v>
      </c>
      <c r="M121">
        <v>472</v>
      </c>
      <c r="N121">
        <v>474</v>
      </c>
      <c r="O121">
        <v>2193</v>
      </c>
      <c r="P121">
        <v>4.6500000000000004</v>
      </c>
      <c r="R121">
        <v>1067</v>
      </c>
      <c r="S121">
        <v>1067</v>
      </c>
      <c r="T121">
        <v>205</v>
      </c>
      <c r="U121">
        <v>0.442</v>
      </c>
      <c r="V121">
        <v>2</v>
      </c>
      <c r="W121">
        <v>2</v>
      </c>
      <c r="X121">
        <v>5</v>
      </c>
      <c r="Y121">
        <v>20</v>
      </c>
      <c r="Z121">
        <v>161016</v>
      </c>
      <c r="AA121">
        <v>3.7</v>
      </c>
      <c r="AB121">
        <v>161016</v>
      </c>
      <c r="AC121">
        <v>3.7</v>
      </c>
      <c r="AD121">
        <v>24555</v>
      </c>
      <c r="AE121">
        <v>4083496</v>
      </c>
      <c r="AF121">
        <v>0.1525</v>
      </c>
      <c r="AG121">
        <v>288</v>
      </c>
      <c r="AH121">
        <v>9322807</v>
      </c>
      <c r="AI121">
        <v>4240</v>
      </c>
      <c r="AJ121">
        <v>556</v>
      </c>
      <c r="AK121" s="37" t="s">
        <v>1193</v>
      </c>
      <c r="AL121" s="37" t="s">
        <v>1194</v>
      </c>
      <c r="AM121" s="37" t="s">
        <v>1195</v>
      </c>
      <c r="AN121" s="37"/>
      <c r="AO121" s="37" t="s">
        <v>608</v>
      </c>
      <c r="AP121">
        <v>3</v>
      </c>
      <c r="AQ121">
        <v>7</v>
      </c>
      <c r="AR121">
        <v>26</v>
      </c>
      <c r="AS121">
        <v>74</v>
      </c>
      <c r="AT121">
        <v>2</v>
      </c>
      <c r="AU121" s="115">
        <v>23497</v>
      </c>
      <c r="AV121" s="37"/>
      <c r="AW121" s="37"/>
      <c r="AX121" s="37"/>
      <c r="AY121" s="37"/>
      <c r="AZ121" s="37">
        <f>developmentdata2019[[#This Row],[NUMBER OF CURRENT APARTMENTS]]*5/2000</f>
        <v>1.18</v>
      </c>
      <c r="BA121" s="37">
        <f>developmentdata2019[[#This Row],[Total]]*BA$1</f>
        <v>0.30680000000000002</v>
      </c>
      <c r="BB121" s="37">
        <f>developmentdata2019[[#This Row],[Trash (tons/day)]]*BB$1</f>
        <v>5.8292000000000004E-2</v>
      </c>
      <c r="BC121" s="37">
        <f>developmentdata2019[[#This Row],[MGP (tons/day)]]*BC$1</f>
        <v>4.0804400000000003E-3</v>
      </c>
      <c r="BD121" s="37">
        <f>developmentdata2019[[#This Row],[Cardboard (tons/day)]]*BD$1</f>
        <v>2.8563080000000004E-4</v>
      </c>
      <c r="BE121" s="37">
        <f>developmentdata2019[[#This Row],[Paper (tons/day)]]*BE$1</f>
        <v>9.140185600000001E-5</v>
      </c>
      <c r="BF121" s="37">
        <f>developmentdata2019[[#This Row],[Organics (tons/day)]]*BF$1</f>
        <v>9.1401856000000015E-7</v>
      </c>
      <c r="BG121" s="37">
        <f>developmentdata2019[[#This Row],[E-Waste (tons/day)]]*BG$1</f>
        <v>7.3121484800000019E-8</v>
      </c>
      <c r="BH121" s="37">
        <f>developmentdata2019[[#This Row],[Trash (tons/day)]]*BH$1</f>
        <v>6.4581400000000002</v>
      </c>
      <c r="BI121" s="37">
        <f>developmentdata2019[[#This Row],[MGP (tons/day)]]*BI$1</f>
        <v>1.0504218400000001</v>
      </c>
      <c r="BJ121" s="37">
        <f>developmentdata2019[[#This Row],[Cardboard (tons/day)]]*BJ$1</f>
        <v>0.10882533480000002</v>
      </c>
      <c r="BK121" s="37">
        <f>developmentdata2019[[#This Row],[Paper (tons/day)]]*BK$1</f>
        <v>1.7680546520000005E-3</v>
      </c>
      <c r="BL121" s="37">
        <f>developmentdata2019[[#This Row],[Organics (tons/day)]]*BL$1</f>
        <v>3.9485601792000008E-4</v>
      </c>
      <c r="BM121" s="37">
        <f>developmentdata2019[[#This Row],[E-Waste (tons/day)]]*BM$1</f>
        <v>5.1642048640000012E-6</v>
      </c>
      <c r="BN121" s="37">
        <f>developmentdata2019[[#This Row],[Textiles (tons/day)]]*BN$1</f>
        <v>9.7470939238400021E-7</v>
      </c>
      <c r="BO121" s="37">
        <f>developmentdata2019[[#This Row],[Trash (CY/day)]]*201.974</f>
        <v>1304.37636836</v>
      </c>
      <c r="BP121" s="37">
        <f>developmentdata2019[[#This Row],[MGP (CY/day)]]*201.974</f>
        <v>212.15790071216</v>
      </c>
      <c r="BQ121" s="37">
        <f>developmentdata2019[[#This Row],[Cardboard (CY/day)]]*201.974</f>
        <v>21.979888170895205</v>
      </c>
      <c r="BR121" s="37">
        <f>developmentdata2019[[#This Row],[Paper  (CY/day)]]*201.974</f>
        <v>0.35710107028304805</v>
      </c>
      <c r="BS121" s="37">
        <f>developmentdata2019[[#This Row],[Organics (CY/day)]]*201.974</f>
        <v>7.9750649363374088E-2</v>
      </c>
      <c r="BT121" s="37">
        <f>developmentdata2019[[#This Row],[E-Waste (CY/day)]]*201.974</f>
        <v>1.0430351132015361E-3</v>
      </c>
      <c r="BU121" s="37">
        <f>developmentdata2019[[#This Row],[Textiles (CY/day)]]*201.974</f>
        <v>1.9686595481736605E-4</v>
      </c>
    </row>
    <row r="122" spans="1:73" x14ac:dyDescent="0.2">
      <c r="A122" s="37" t="s">
        <v>465</v>
      </c>
      <c r="B122" s="115">
        <v>43466</v>
      </c>
      <c r="C122" s="37" t="s">
        <v>1196</v>
      </c>
      <c r="D122">
        <v>25</v>
      </c>
      <c r="E122">
        <v>25</v>
      </c>
      <c r="F122">
        <v>515</v>
      </c>
      <c r="G122">
        <v>515</v>
      </c>
      <c r="H122" s="37" t="s">
        <v>1197</v>
      </c>
      <c r="I122" s="37" t="s">
        <v>577</v>
      </c>
      <c r="J122" s="37" t="s">
        <v>578</v>
      </c>
      <c r="K122" s="37" t="s">
        <v>579</v>
      </c>
      <c r="M122">
        <v>1137</v>
      </c>
      <c r="N122">
        <v>1139</v>
      </c>
      <c r="O122">
        <v>5436.5</v>
      </c>
      <c r="P122">
        <v>4.78</v>
      </c>
      <c r="R122">
        <v>2669</v>
      </c>
      <c r="S122">
        <v>2669</v>
      </c>
      <c r="T122">
        <v>455</v>
      </c>
      <c r="U122">
        <v>0.40400000000000003</v>
      </c>
      <c r="V122">
        <v>15</v>
      </c>
      <c r="W122">
        <v>1</v>
      </c>
      <c r="X122">
        <v>25</v>
      </c>
      <c r="Y122" t="s">
        <v>1198</v>
      </c>
      <c r="Z122">
        <v>547663</v>
      </c>
      <c r="AA122">
        <v>12.57</v>
      </c>
      <c r="AB122">
        <v>502216</v>
      </c>
      <c r="AC122">
        <v>11.53</v>
      </c>
      <c r="AD122">
        <v>105659</v>
      </c>
      <c r="AE122">
        <v>9028680</v>
      </c>
      <c r="AF122">
        <v>0.19289999999999999</v>
      </c>
      <c r="AG122">
        <v>212</v>
      </c>
      <c r="AH122">
        <v>11928000</v>
      </c>
      <c r="AI122">
        <v>2203</v>
      </c>
      <c r="AJ122">
        <v>556</v>
      </c>
      <c r="AK122" s="37" t="s">
        <v>1199</v>
      </c>
      <c r="AL122" s="37" t="s">
        <v>1200</v>
      </c>
      <c r="AM122" s="37" t="s">
        <v>1201</v>
      </c>
      <c r="AN122" s="37" t="s">
        <v>1202</v>
      </c>
      <c r="AO122" s="37" t="s">
        <v>593</v>
      </c>
      <c r="AP122">
        <v>6</v>
      </c>
      <c r="AQ122">
        <v>7</v>
      </c>
      <c r="AR122">
        <v>25</v>
      </c>
      <c r="AS122">
        <v>52</v>
      </c>
      <c r="AT122">
        <v>33</v>
      </c>
      <c r="AU122" s="115">
        <v>18073</v>
      </c>
      <c r="AV122" s="37" t="s">
        <v>704</v>
      </c>
      <c r="AW122" s="37"/>
      <c r="AX122" s="37"/>
      <c r="AY122" s="37"/>
      <c r="AZ122" s="37">
        <f>developmentdata2019[[#This Row],[NUMBER OF CURRENT APARTMENTS]]*5/2000</f>
        <v>2.8424999999999998</v>
      </c>
      <c r="BA122" s="37">
        <f>developmentdata2019[[#This Row],[Total]]*BA$1</f>
        <v>0.73904999999999998</v>
      </c>
      <c r="BB122" s="37">
        <f>developmentdata2019[[#This Row],[Trash (tons/day)]]*BB$1</f>
        <v>0.1404195</v>
      </c>
      <c r="BC122" s="37">
        <f>developmentdata2019[[#This Row],[MGP (tons/day)]]*BC$1</f>
        <v>9.8293650000000014E-3</v>
      </c>
      <c r="BD122" s="37">
        <f>developmentdata2019[[#This Row],[Cardboard (tons/day)]]*BD$1</f>
        <v>6.8805555000000021E-4</v>
      </c>
      <c r="BE122" s="37">
        <f>developmentdata2019[[#This Row],[Paper (tons/day)]]*BE$1</f>
        <v>2.2017777600000007E-4</v>
      </c>
      <c r="BF122" s="37">
        <f>developmentdata2019[[#This Row],[Organics (tons/day)]]*BF$1</f>
        <v>2.2017777600000009E-6</v>
      </c>
      <c r="BG122" s="37">
        <f>developmentdata2019[[#This Row],[E-Waste (tons/day)]]*BG$1</f>
        <v>1.7614222080000009E-7</v>
      </c>
      <c r="BH122" s="37">
        <f>developmentdata2019[[#This Row],[Trash (tons/day)]]*BH$1</f>
        <v>15.557002499999999</v>
      </c>
      <c r="BI122" s="37">
        <f>developmentdata2019[[#This Row],[MGP (tons/day)]]*BI$1</f>
        <v>2.5303593900000001</v>
      </c>
      <c r="BJ122" s="37">
        <f>developmentdata2019[[#This Row],[Cardboard (tons/day)]]*BJ$1</f>
        <v>0.26214916455000004</v>
      </c>
      <c r="BK122" s="37">
        <f>developmentdata2019[[#This Row],[Paper (tons/day)]]*BK$1</f>
        <v>4.2590638545000016E-3</v>
      </c>
      <c r="BL122" s="37">
        <f>developmentdata2019[[#This Row],[Organics (tons/day)]]*BL$1</f>
        <v>9.5116799232000042E-4</v>
      </c>
      <c r="BM122" s="37">
        <f>developmentdata2019[[#This Row],[E-Waste (tons/day)]]*BM$1</f>
        <v>1.2440044344000005E-5</v>
      </c>
      <c r="BN122" s="37">
        <f>developmentdata2019[[#This Row],[Textiles (tons/day)]]*BN$1</f>
        <v>2.3479758032640013E-6</v>
      </c>
      <c r="BO122" s="37">
        <f>developmentdata2019[[#This Row],[Trash (CY/day)]]*201.974</f>
        <v>3142.1100229349995</v>
      </c>
      <c r="BP122" s="37">
        <f>developmentdata2019[[#This Row],[MGP (CY/day)]]*201.974</f>
        <v>511.06680743585997</v>
      </c>
      <c r="BQ122" s="37">
        <f>developmentdata2019[[#This Row],[Cardboard (CY/day)]]*201.974</f>
        <v>52.947315360821705</v>
      </c>
      <c r="BR122" s="37">
        <f>developmentdata2019[[#This Row],[Paper  (CY/day)]]*201.974</f>
        <v>0.86022016294878323</v>
      </c>
      <c r="BS122" s="37">
        <f>developmentdata2019[[#This Row],[Organics (CY/day)]]*201.974</f>
        <v>0.19211120408083976</v>
      </c>
      <c r="BT122" s="37">
        <f>developmentdata2019[[#This Row],[E-Waste (CY/day)]]*201.974</f>
        <v>2.5125655163350568E-3</v>
      </c>
      <c r="BU122" s="37">
        <f>developmentdata2019[[#This Row],[Textiles (CY/day)]]*201.974</f>
        <v>4.7423006488844338E-4</v>
      </c>
    </row>
    <row r="123" spans="1:73" x14ac:dyDescent="0.2">
      <c r="A123" s="37" t="s">
        <v>1203</v>
      </c>
      <c r="B123" s="115">
        <v>43466</v>
      </c>
      <c r="C123" s="37" t="s">
        <v>1204</v>
      </c>
      <c r="D123">
        <v>281</v>
      </c>
      <c r="E123">
        <v>30</v>
      </c>
      <c r="F123">
        <v>507</v>
      </c>
      <c r="G123">
        <v>503</v>
      </c>
      <c r="H123" s="37" t="s">
        <v>1205</v>
      </c>
      <c r="I123" s="37" t="s">
        <v>577</v>
      </c>
      <c r="J123" s="37" t="s">
        <v>578</v>
      </c>
      <c r="K123" s="37" t="s">
        <v>597</v>
      </c>
      <c r="M123">
        <v>35</v>
      </c>
      <c r="N123">
        <v>35</v>
      </c>
      <c r="O123">
        <v>155.5</v>
      </c>
      <c r="P123">
        <v>4.4400000000000004</v>
      </c>
      <c r="R123">
        <v>67</v>
      </c>
      <c r="S123">
        <v>67</v>
      </c>
      <c r="T123">
        <v>8</v>
      </c>
      <c r="U123">
        <v>0.24199999999999999</v>
      </c>
      <c r="V123">
        <v>1</v>
      </c>
      <c r="W123">
        <v>0</v>
      </c>
      <c r="X123">
        <v>1</v>
      </c>
      <c r="Y123">
        <v>7</v>
      </c>
      <c r="Z123">
        <v>7144</v>
      </c>
      <c r="AA123">
        <v>0.16</v>
      </c>
      <c r="AB123">
        <v>7144</v>
      </c>
      <c r="AC123">
        <v>0.16</v>
      </c>
      <c r="AD123">
        <v>5000</v>
      </c>
      <c r="AE123">
        <v>377500</v>
      </c>
      <c r="AF123">
        <v>0.69989999999999997</v>
      </c>
      <c r="AG123">
        <v>419</v>
      </c>
      <c r="AH123">
        <v>817621</v>
      </c>
      <c r="AI123">
        <v>5094</v>
      </c>
      <c r="AJ123">
        <v>522</v>
      </c>
      <c r="AK123" s="37" t="s">
        <v>1206</v>
      </c>
      <c r="AL123" s="37" t="s">
        <v>605</v>
      </c>
      <c r="AM123" s="37"/>
      <c r="AN123" s="37"/>
      <c r="AO123" s="37" t="s">
        <v>608</v>
      </c>
      <c r="AP123">
        <v>10</v>
      </c>
      <c r="AQ123">
        <v>13</v>
      </c>
      <c r="AR123">
        <v>30</v>
      </c>
      <c r="AS123">
        <v>70</v>
      </c>
      <c r="AT123">
        <v>9</v>
      </c>
      <c r="AU123" s="115">
        <v>28262</v>
      </c>
      <c r="AV123" s="37"/>
      <c r="AW123" s="37"/>
      <c r="AX123" s="37" t="s">
        <v>621</v>
      </c>
      <c r="AY123" s="37"/>
      <c r="AZ123" s="37">
        <f>developmentdata2019[[#This Row],[NUMBER OF CURRENT APARTMENTS]]*5/2000</f>
        <v>8.7499999999999994E-2</v>
      </c>
      <c r="BA123" s="37">
        <f>developmentdata2019[[#This Row],[Total]]*BA$1</f>
        <v>2.2749999999999999E-2</v>
      </c>
      <c r="BB123" s="37">
        <f>developmentdata2019[[#This Row],[Trash (tons/day)]]*BB$1</f>
        <v>4.3225E-3</v>
      </c>
      <c r="BC123" s="37">
        <f>developmentdata2019[[#This Row],[MGP (tons/day)]]*BC$1</f>
        <v>3.0257500000000002E-4</v>
      </c>
      <c r="BD123" s="37">
        <f>developmentdata2019[[#This Row],[Cardboard (tons/day)]]*BD$1</f>
        <v>2.1180250000000004E-5</v>
      </c>
      <c r="BE123" s="37">
        <f>developmentdata2019[[#This Row],[Paper (tons/day)]]*BE$1</f>
        <v>6.7776800000000015E-6</v>
      </c>
      <c r="BF123" s="37">
        <f>developmentdata2019[[#This Row],[Organics (tons/day)]]*BF$1</f>
        <v>6.7776800000000014E-8</v>
      </c>
      <c r="BG123" s="37">
        <f>developmentdata2019[[#This Row],[E-Waste (tons/day)]]*BG$1</f>
        <v>5.4221440000000009E-9</v>
      </c>
      <c r="BH123" s="37">
        <f>developmentdata2019[[#This Row],[Trash (tons/day)]]*BH$1</f>
        <v>0.47888750000000002</v>
      </c>
      <c r="BI123" s="37">
        <f>developmentdata2019[[#This Row],[MGP (tons/day)]]*BI$1</f>
        <v>7.7891450000000001E-2</v>
      </c>
      <c r="BJ123" s="37">
        <f>developmentdata2019[[#This Row],[Cardboard (tons/day)]]*BJ$1</f>
        <v>8.0696752500000017E-3</v>
      </c>
      <c r="BK123" s="37">
        <f>developmentdata2019[[#This Row],[Paper (tons/day)]]*BK$1</f>
        <v>1.3110574750000003E-4</v>
      </c>
      <c r="BL123" s="37">
        <f>developmentdata2019[[#This Row],[Organics (tons/day)]]*BL$1</f>
        <v>2.9279577600000007E-5</v>
      </c>
      <c r="BM123" s="37">
        <f>developmentdata2019[[#This Row],[E-Waste (tons/day)]]*BM$1</f>
        <v>3.8293892000000012E-7</v>
      </c>
      <c r="BN123" s="37">
        <f>developmentdata2019[[#This Row],[Textiles (tons/day)]]*BN$1</f>
        <v>7.2277179520000018E-8</v>
      </c>
      <c r="BO123" s="37">
        <f>developmentdata2019[[#This Row],[Trash (CY/day)]]*201.974</f>
        <v>96.722823925</v>
      </c>
      <c r="BP123" s="37">
        <f>developmentdata2019[[#This Row],[MGP (CY/day)]]*201.974</f>
        <v>15.732047722299999</v>
      </c>
      <c r="BQ123" s="37">
        <f>developmentdata2019[[#This Row],[Cardboard (CY/day)]]*201.974</f>
        <v>1.6298645889435002</v>
      </c>
      <c r="BR123" s="37">
        <f>developmentdata2019[[#This Row],[Paper  (CY/day)]]*201.974</f>
        <v>2.6479952245565007E-2</v>
      </c>
      <c r="BS123" s="37">
        <f>developmentdata2019[[#This Row],[Organics (CY/day)]]*201.974</f>
        <v>5.9137134061824012E-3</v>
      </c>
      <c r="BT123" s="37">
        <f>developmentdata2019[[#This Row],[E-Waste (CY/day)]]*201.974</f>
        <v>7.7343705428080026E-5</v>
      </c>
      <c r="BU123" s="37">
        <f>developmentdata2019[[#This Row],[Textiles (CY/day)]]*201.974</f>
        <v>1.4598111056372482E-5</v>
      </c>
    </row>
    <row r="124" spans="1:73" x14ac:dyDescent="0.2">
      <c r="A124" s="37" t="s">
        <v>350</v>
      </c>
      <c r="B124" s="115">
        <v>43466</v>
      </c>
      <c r="C124" s="37" t="s">
        <v>1207</v>
      </c>
      <c r="D124">
        <v>87</v>
      </c>
      <c r="E124">
        <v>87</v>
      </c>
      <c r="F124">
        <v>232</v>
      </c>
      <c r="G124">
        <v>232</v>
      </c>
      <c r="H124" s="37" t="s">
        <v>1208</v>
      </c>
      <c r="I124" s="37" t="s">
        <v>577</v>
      </c>
      <c r="J124" s="37" t="s">
        <v>578</v>
      </c>
      <c r="K124" s="37" t="s">
        <v>579</v>
      </c>
      <c r="M124">
        <v>1939</v>
      </c>
      <c r="N124">
        <v>1940</v>
      </c>
      <c r="O124">
        <v>9133.5</v>
      </c>
      <c r="P124">
        <v>4.71</v>
      </c>
      <c r="R124">
        <v>4282</v>
      </c>
      <c r="S124">
        <v>4282</v>
      </c>
      <c r="T124">
        <v>741</v>
      </c>
      <c r="U124">
        <v>0.39</v>
      </c>
      <c r="V124">
        <v>9</v>
      </c>
      <c r="W124">
        <v>1</v>
      </c>
      <c r="X124">
        <v>10</v>
      </c>
      <c r="Y124" t="s">
        <v>1209</v>
      </c>
      <c r="Z124">
        <v>655681</v>
      </c>
      <c r="AA124">
        <v>15.05</v>
      </c>
      <c r="AB124">
        <v>655681</v>
      </c>
      <c r="AC124">
        <v>15.05</v>
      </c>
      <c r="AD124">
        <v>101477</v>
      </c>
      <c r="AE124">
        <v>16701596</v>
      </c>
      <c r="AF124">
        <v>0.15479999999999999</v>
      </c>
      <c r="AG124">
        <v>285</v>
      </c>
      <c r="AH124">
        <v>28783425</v>
      </c>
      <c r="AI124">
        <v>3150</v>
      </c>
      <c r="AJ124">
        <v>565</v>
      </c>
      <c r="AK124" s="37" t="s">
        <v>1210</v>
      </c>
      <c r="AL124" s="37" t="s">
        <v>1211</v>
      </c>
      <c r="AM124" s="37" t="s">
        <v>1212</v>
      </c>
      <c r="AN124" s="37" t="s">
        <v>1020</v>
      </c>
      <c r="AO124" s="37" t="s">
        <v>608</v>
      </c>
      <c r="AP124">
        <v>9</v>
      </c>
      <c r="AQ124">
        <v>13</v>
      </c>
      <c r="AR124">
        <v>30</v>
      </c>
      <c r="AS124">
        <v>69</v>
      </c>
      <c r="AT124">
        <v>7</v>
      </c>
      <c r="AU124" s="115">
        <v>21124</v>
      </c>
      <c r="AV124" s="37"/>
      <c r="AW124" s="37"/>
      <c r="AX124" s="37"/>
      <c r="AY124" s="37"/>
      <c r="AZ124" s="37">
        <f>developmentdata2019[[#This Row],[NUMBER OF CURRENT APARTMENTS]]*5/2000</f>
        <v>4.8475000000000001</v>
      </c>
      <c r="BA124" s="37">
        <f>developmentdata2019[[#This Row],[Total]]*BA$1</f>
        <v>1.2603500000000001</v>
      </c>
      <c r="BB124" s="37">
        <f>developmentdata2019[[#This Row],[Trash (tons/day)]]*BB$1</f>
        <v>0.23946650000000003</v>
      </c>
      <c r="BC124" s="37">
        <f>developmentdata2019[[#This Row],[MGP (tons/day)]]*BC$1</f>
        <v>1.6762655000000005E-2</v>
      </c>
      <c r="BD124" s="37">
        <f>developmentdata2019[[#This Row],[Cardboard (tons/day)]]*BD$1</f>
        <v>1.1733858500000004E-3</v>
      </c>
      <c r="BE124" s="37">
        <f>developmentdata2019[[#This Row],[Paper (tons/day)]]*BE$1</f>
        <v>3.7548347200000014E-4</v>
      </c>
      <c r="BF124" s="37">
        <f>developmentdata2019[[#This Row],[Organics (tons/day)]]*BF$1</f>
        <v>3.7548347200000015E-6</v>
      </c>
      <c r="BG124" s="37">
        <f>developmentdata2019[[#This Row],[E-Waste (tons/day)]]*BG$1</f>
        <v>3.0038677760000014E-7</v>
      </c>
      <c r="BH124" s="37">
        <f>developmentdata2019[[#This Row],[Trash (tons/day)]]*BH$1</f>
        <v>26.530367500000004</v>
      </c>
      <c r="BI124" s="37">
        <f>developmentdata2019[[#This Row],[MGP (tons/day)]]*BI$1</f>
        <v>4.3151863300000004</v>
      </c>
      <c r="BJ124" s="37">
        <f>developmentdata2019[[#This Row],[Cardboard (tons/day)]]*BJ$1</f>
        <v>0.44706000885000013</v>
      </c>
      <c r="BK124" s="37">
        <f>developmentdata2019[[#This Row],[Paper (tons/day)]]*BK$1</f>
        <v>7.2632584115000032E-3</v>
      </c>
      <c r="BL124" s="37">
        <f>developmentdata2019[[#This Row],[Organics (tons/day)]]*BL$1</f>
        <v>1.6220885990400008E-3</v>
      </c>
      <c r="BM124" s="37">
        <f>developmentdata2019[[#This Row],[E-Waste (tons/day)]]*BM$1</f>
        <v>2.1214816168000009E-5</v>
      </c>
      <c r="BN124" s="37">
        <f>developmentdata2019[[#This Row],[Textiles (tons/day)]]*BN$1</f>
        <v>4.0041557454080018E-6</v>
      </c>
      <c r="BO124" s="37">
        <f>developmentdata2019[[#This Row],[Trash (CY/day)]]*201.974</f>
        <v>5358.4444454450004</v>
      </c>
      <c r="BP124" s="37">
        <f>developmentdata2019[[#This Row],[MGP (CY/day)]]*201.974</f>
        <v>871.55544381542006</v>
      </c>
      <c r="BQ124" s="37">
        <f>developmentdata2019[[#This Row],[Cardboard (CY/day)]]*201.974</f>
        <v>90.294498227469916</v>
      </c>
      <c r="BR124" s="37">
        <f>developmentdata2019[[#This Row],[Paper  (CY/day)]]*201.974</f>
        <v>1.4669893544043016</v>
      </c>
      <c r="BS124" s="37">
        <f>developmentdata2019[[#This Row],[Organics (CY/day)]]*201.974</f>
        <v>0.32761972270250511</v>
      </c>
      <c r="BT124" s="37">
        <f>developmentdata2019[[#This Row],[E-Waste (CY/day)]]*201.974</f>
        <v>4.2848412807156341E-3</v>
      </c>
      <c r="BU124" s="37">
        <f>developmentdata2019[[#This Row],[Textiles (CY/day)]]*201.974</f>
        <v>8.0873535252303571E-4</v>
      </c>
    </row>
    <row r="125" spans="1:73" x14ac:dyDescent="0.2">
      <c r="A125" s="37" t="s">
        <v>1213</v>
      </c>
      <c r="B125" s="115">
        <v>43466</v>
      </c>
      <c r="C125" s="37" t="s">
        <v>974</v>
      </c>
      <c r="D125">
        <v>68</v>
      </c>
      <c r="E125">
        <v>172</v>
      </c>
      <c r="F125">
        <v>225</v>
      </c>
      <c r="G125">
        <v>225</v>
      </c>
      <c r="H125" s="37" t="s">
        <v>1214</v>
      </c>
      <c r="I125" s="37" t="s">
        <v>577</v>
      </c>
      <c r="J125" s="37" t="s">
        <v>578</v>
      </c>
      <c r="K125" s="37" t="s">
        <v>579</v>
      </c>
      <c r="M125">
        <v>627</v>
      </c>
      <c r="N125">
        <v>634</v>
      </c>
      <c r="O125">
        <v>2915.5</v>
      </c>
      <c r="P125">
        <v>4.6500000000000004</v>
      </c>
      <c r="R125">
        <v>1463</v>
      </c>
      <c r="S125">
        <v>1463</v>
      </c>
      <c r="T125">
        <v>217</v>
      </c>
      <c r="U125">
        <v>0.35099999999999998</v>
      </c>
      <c r="V125">
        <v>15</v>
      </c>
      <c r="W125">
        <v>0</v>
      </c>
      <c r="X125">
        <v>15</v>
      </c>
      <c r="Y125">
        <v>7</v>
      </c>
      <c r="Z125">
        <v>540725</v>
      </c>
      <c r="AA125">
        <v>12.41</v>
      </c>
      <c r="AB125">
        <v>540725</v>
      </c>
      <c r="AC125">
        <v>12.41</v>
      </c>
      <c r="AD125">
        <v>92855</v>
      </c>
      <c r="AE125">
        <v>5356500</v>
      </c>
      <c r="AF125">
        <v>0.17169999999999999</v>
      </c>
      <c r="AG125">
        <v>118</v>
      </c>
      <c r="AH125">
        <v>7927996</v>
      </c>
      <c r="AI125">
        <v>2687</v>
      </c>
      <c r="AJ125">
        <v>494</v>
      </c>
      <c r="AK125" s="37" t="s">
        <v>896</v>
      </c>
      <c r="AL125" s="37" t="s">
        <v>1215</v>
      </c>
      <c r="AM125" s="37" t="s">
        <v>1216</v>
      </c>
      <c r="AN125" s="37"/>
      <c r="AO125" s="37" t="s">
        <v>593</v>
      </c>
      <c r="AP125">
        <v>13</v>
      </c>
      <c r="AQ125">
        <v>8</v>
      </c>
      <c r="AR125">
        <v>23</v>
      </c>
      <c r="AS125">
        <v>46</v>
      </c>
      <c r="AT125">
        <v>47</v>
      </c>
      <c r="AU125" s="115">
        <v>19903</v>
      </c>
      <c r="AV125" s="37"/>
      <c r="AW125" s="37"/>
      <c r="AX125" s="37"/>
      <c r="AY125" s="37"/>
      <c r="AZ125" s="37">
        <f>developmentdata2019[[#This Row],[NUMBER OF CURRENT APARTMENTS]]*5/2000</f>
        <v>1.5674999999999999</v>
      </c>
      <c r="BA125" s="37">
        <f>developmentdata2019[[#This Row],[Total]]*BA$1</f>
        <v>0.40754999999999997</v>
      </c>
      <c r="BB125" s="37">
        <f>developmentdata2019[[#This Row],[Trash (tons/day)]]*BB$1</f>
        <v>7.7434499999999989E-2</v>
      </c>
      <c r="BC125" s="37">
        <f>developmentdata2019[[#This Row],[MGP (tons/day)]]*BC$1</f>
        <v>5.4204149999999996E-3</v>
      </c>
      <c r="BD125" s="37">
        <f>developmentdata2019[[#This Row],[Cardboard (tons/day)]]*BD$1</f>
        <v>3.7942904999999999E-4</v>
      </c>
      <c r="BE125" s="37">
        <f>developmentdata2019[[#This Row],[Paper (tons/day)]]*BE$1</f>
        <v>1.21417296E-4</v>
      </c>
      <c r="BF125" s="37">
        <f>developmentdata2019[[#This Row],[Organics (tons/day)]]*BF$1</f>
        <v>1.2141729600000001E-6</v>
      </c>
      <c r="BG125" s="37">
        <f>developmentdata2019[[#This Row],[E-Waste (tons/day)]]*BG$1</f>
        <v>9.7133836800000016E-8</v>
      </c>
      <c r="BH125" s="37">
        <f>developmentdata2019[[#This Row],[Trash (tons/day)]]*BH$1</f>
        <v>8.5789274999999989</v>
      </c>
      <c r="BI125" s="37">
        <f>developmentdata2019[[#This Row],[MGP (tons/day)]]*BI$1</f>
        <v>1.3953696899999999</v>
      </c>
      <c r="BJ125" s="37">
        <f>developmentdata2019[[#This Row],[Cardboard (tons/day)]]*BJ$1</f>
        <v>0.14456246805</v>
      </c>
      <c r="BK125" s="37">
        <f>developmentdata2019[[#This Row],[Paper (tons/day)]]*BK$1</f>
        <v>2.3486658195000002E-3</v>
      </c>
      <c r="BL125" s="37">
        <f>developmentdata2019[[#This Row],[Organics (tons/day)]]*BL$1</f>
        <v>5.2452271872E-4</v>
      </c>
      <c r="BM125" s="37">
        <f>developmentdata2019[[#This Row],[E-Waste (tons/day)]]*BM$1</f>
        <v>6.860077224000001E-6</v>
      </c>
      <c r="BN125" s="37">
        <f>developmentdata2019[[#This Row],[Textiles (tons/day)]]*BN$1</f>
        <v>1.2947940445440002E-6</v>
      </c>
      <c r="BO125" s="37">
        <f>developmentdata2019[[#This Row],[Trash (CY/day)]]*201.974</f>
        <v>1732.7203028849997</v>
      </c>
      <c r="BP125" s="37">
        <f>developmentdata2019[[#This Row],[MGP (CY/day)]]*201.974</f>
        <v>281.82839776805997</v>
      </c>
      <c r="BQ125" s="37">
        <f>developmentdata2019[[#This Row],[Cardboard (CY/day)]]*201.974</f>
        <v>29.1978599219307</v>
      </c>
      <c r="BR125" s="37">
        <f>developmentdata2019[[#This Row],[Paper  (CY/day)]]*201.974</f>
        <v>0.47436943022769301</v>
      </c>
      <c r="BS125" s="37">
        <f>developmentdata2019[[#This Row],[Organics (CY/day)]]*201.974</f>
        <v>0.10593995159075327</v>
      </c>
      <c r="BT125" s="37">
        <f>developmentdata2019[[#This Row],[E-Waste (CY/day)]]*201.974</f>
        <v>1.3855572372401762E-3</v>
      </c>
      <c r="BU125" s="37">
        <f>developmentdata2019[[#This Row],[Textiles (CY/day)]]*201.974</f>
        <v>2.6151473235272991E-4</v>
      </c>
    </row>
    <row r="126" spans="1:73" x14ac:dyDescent="0.2">
      <c r="A126" s="37" t="s">
        <v>432</v>
      </c>
      <c r="B126" s="115">
        <v>43466</v>
      </c>
      <c r="C126" s="37" t="s">
        <v>1217</v>
      </c>
      <c r="D126">
        <v>40</v>
      </c>
      <c r="E126">
        <v>40</v>
      </c>
      <c r="F126">
        <v>579</v>
      </c>
      <c r="G126">
        <v>579</v>
      </c>
      <c r="H126" s="37" t="s">
        <v>1218</v>
      </c>
      <c r="I126" s="37" t="s">
        <v>577</v>
      </c>
      <c r="J126" s="37" t="s">
        <v>578</v>
      </c>
      <c r="K126" s="37" t="s">
        <v>579</v>
      </c>
      <c r="M126">
        <v>732</v>
      </c>
      <c r="N126">
        <v>733</v>
      </c>
      <c r="O126">
        <v>3126</v>
      </c>
      <c r="P126">
        <v>4.2699999999999996</v>
      </c>
      <c r="R126">
        <v>1470</v>
      </c>
      <c r="S126">
        <v>1470</v>
      </c>
      <c r="T126">
        <v>283</v>
      </c>
      <c r="U126">
        <v>0.39100000000000001</v>
      </c>
      <c r="V126">
        <v>6</v>
      </c>
      <c r="W126">
        <v>0</v>
      </c>
      <c r="X126">
        <v>6</v>
      </c>
      <c r="Y126">
        <v>14</v>
      </c>
      <c r="Z126">
        <v>345256</v>
      </c>
      <c r="AA126">
        <v>7.93</v>
      </c>
      <c r="AB126">
        <v>314070</v>
      </c>
      <c r="AC126">
        <v>7.21</v>
      </c>
      <c r="AD126">
        <v>54684</v>
      </c>
      <c r="AE126">
        <v>6221645</v>
      </c>
      <c r="AF126">
        <v>0.15840000000000001</v>
      </c>
      <c r="AG126">
        <v>185</v>
      </c>
      <c r="AH126">
        <v>8709286</v>
      </c>
      <c r="AI126">
        <v>2784</v>
      </c>
      <c r="AJ126">
        <v>541</v>
      </c>
      <c r="AK126" s="37" t="s">
        <v>796</v>
      </c>
      <c r="AL126" s="37" t="s">
        <v>1219</v>
      </c>
      <c r="AM126" s="37" t="s">
        <v>1220</v>
      </c>
      <c r="AN126" s="37" t="s">
        <v>1221</v>
      </c>
      <c r="AO126" s="37" t="s">
        <v>584</v>
      </c>
      <c r="AP126">
        <v>12</v>
      </c>
      <c r="AQ126">
        <v>16</v>
      </c>
      <c r="AR126">
        <v>36</v>
      </c>
      <c r="AS126">
        <v>83</v>
      </c>
      <c r="AT126">
        <v>12</v>
      </c>
      <c r="AU126" s="115">
        <v>18597</v>
      </c>
      <c r="AV126" s="37" t="s">
        <v>1185</v>
      </c>
      <c r="AW126" s="37"/>
      <c r="AX126" s="37"/>
      <c r="AY126" s="37"/>
      <c r="AZ126" s="37">
        <f>developmentdata2019[[#This Row],[NUMBER OF CURRENT APARTMENTS]]*5/2000</f>
        <v>1.83</v>
      </c>
      <c r="BA126" s="37">
        <f>developmentdata2019[[#This Row],[Total]]*BA$1</f>
        <v>0.47580000000000006</v>
      </c>
      <c r="BB126" s="37">
        <f>developmentdata2019[[#This Row],[Trash (tons/day)]]*BB$1</f>
        <v>9.040200000000001E-2</v>
      </c>
      <c r="BC126" s="37">
        <f>developmentdata2019[[#This Row],[MGP (tons/day)]]*BC$1</f>
        <v>6.3281400000000012E-3</v>
      </c>
      <c r="BD126" s="37">
        <f>developmentdata2019[[#This Row],[Cardboard (tons/day)]]*BD$1</f>
        <v>4.4296980000000014E-4</v>
      </c>
      <c r="BE126" s="37">
        <f>developmentdata2019[[#This Row],[Paper (tons/day)]]*BE$1</f>
        <v>1.4175033600000004E-4</v>
      </c>
      <c r="BF126" s="37">
        <f>developmentdata2019[[#This Row],[Organics (tons/day)]]*BF$1</f>
        <v>1.4175033600000005E-6</v>
      </c>
      <c r="BG126" s="37">
        <f>developmentdata2019[[#This Row],[E-Waste (tons/day)]]*BG$1</f>
        <v>1.1340026880000004E-7</v>
      </c>
      <c r="BH126" s="37">
        <f>developmentdata2019[[#This Row],[Trash (tons/day)]]*BH$1</f>
        <v>10.015590000000001</v>
      </c>
      <c r="BI126" s="37">
        <f>developmentdata2019[[#This Row],[MGP (tons/day)]]*BI$1</f>
        <v>1.6290440400000001</v>
      </c>
      <c r="BJ126" s="37">
        <f>developmentdata2019[[#This Row],[Cardboard (tons/day)]]*BJ$1</f>
        <v>0.16877149380000003</v>
      </c>
      <c r="BK126" s="37">
        <f>developmentdata2019[[#This Row],[Paper (tons/day)]]*BK$1</f>
        <v>2.741983062000001E-3</v>
      </c>
      <c r="BL126" s="37">
        <f>developmentdata2019[[#This Row],[Organics (tons/day)]]*BL$1</f>
        <v>6.1236145152000028E-4</v>
      </c>
      <c r="BM126" s="37">
        <f>developmentdata2019[[#This Row],[E-Waste (tons/day)]]*BM$1</f>
        <v>8.0088939840000041E-6</v>
      </c>
      <c r="BN126" s="37">
        <f>developmentdata2019[[#This Row],[Textiles (tons/day)]]*BN$1</f>
        <v>1.5116255831040006E-6</v>
      </c>
      <c r="BO126" s="37">
        <f>developmentdata2019[[#This Row],[Trash (CY/day)]]*201.974</f>
        <v>2022.8887746600001</v>
      </c>
      <c r="BP126" s="37">
        <f>developmentdata2019[[#This Row],[MGP (CY/day)]]*201.974</f>
        <v>329.02454093495999</v>
      </c>
      <c r="BQ126" s="37">
        <f>developmentdata2019[[#This Row],[Cardboard (CY/day)]]*201.974</f>
        <v>34.087453688761208</v>
      </c>
      <c r="BR126" s="37">
        <f>developmentdata2019[[#This Row],[Paper  (CY/day)]]*201.974</f>
        <v>0.55380928696438814</v>
      </c>
      <c r="BS126" s="37">
        <f>developmentdata2019[[#This Row],[Organics (CY/day)]]*201.974</f>
        <v>0.12368109180930054</v>
      </c>
      <c r="BT126" s="37">
        <f>developmentdata2019[[#This Row],[E-Waste (CY/day)]]*201.974</f>
        <v>1.6175883535244167E-3</v>
      </c>
      <c r="BU126" s="37">
        <f>developmentdata2019[[#This Row],[Textiles (CY/day)]]*201.974</f>
        <v>3.0530906552184742E-4</v>
      </c>
    </row>
    <row r="127" spans="1:73" x14ac:dyDescent="0.2">
      <c r="A127" s="37" t="s">
        <v>1222</v>
      </c>
      <c r="B127" s="115">
        <v>43466</v>
      </c>
      <c r="C127" s="37" t="s">
        <v>892</v>
      </c>
      <c r="D127">
        <v>142</v>
      </c>
      <c r="E127">
        <v>166</v>
      </c>
      <c r="F127">
        <v>589</v>
      </c>
      <c r="G127">
        <v>589</v>
      </c>
      <c r="H127" s="37" t="s">
        <v>1223</v>
      </c>
      <c r="I127" s="37" t="s">
        <v>577</v>
      </c>
      <c r="J127" s="37" t="s">
        <v>578</v>
      </c>
      <c r="K127" s="37" t="s">
        <v>735</v>
      </c>
      <c r="M127">
        <v>380</v>
      </c>
      <c r="N127">
        <v>380</v>
      </c>
      <c r="O127">
        <v>1327</v>
      </c>
      <c r="P127">
        <v>3.49</v>
      </c>
      <c r="R127">
        <v>442</v>
      </c>
      <c r="S127">
        <v>442</v>
      </c>
      <c r="T127">
        <v>347</v>
      </c>
      <c r="U127">
        <v>0.92800000000000005</v>
      </c>
      <c r="V127">
        <v>3</v>
      </c>
      <c r="W127">
        <v>0</v>
      </c>
      <c r="X127">
        <v>3</v>
      </c>
      <c r="Y127">
        <v>14</v>
      </c>
      <c r="Z127">
        <v>134432</v>
      </c>
      <c r="AA127">
        <v>3.09</v>
      </c>
      <c r="AB127">
        <v>134432</v>
      </c>
      <c r="AC127">
        <v>3.09</v>
      </c>
      <c r="AD127">
        <v>23903</v>
      </c>
      <c r="AE127">
        <v>2547605</v>
      </c>
      <c r="AF127">
        <v>0.17780000000000001</v>
      </c>
      <c r="AG127">
        <v>143</v>
      </c>
      <c r="AH127">
        <v>7494000</v>
      </c>
      <c r="AI127">
        <v>5647</v>
      </c>
      <c r="AJ127">
        <v>295</v>
      </c>
      <c r="AK127" s="37" t="s">
        <v>895</v>
      </c>
      <c r="AL127" s="37" t="s">
        <v>898</v>
      </c>
      <c r="AM127" s="37" t="s">
        <v>1224</v>
      </c>
      <c r="AN127" s="37" t="s">
        <v>921</v>
      </c>
      <c r="AO127" s="37" t="s">
        <v>593</v>
      </c>
      <c r="AP127">
        <v>13</v>
      </c>
      <c r="AQ127">
        <v>8</v>
      </c>
      <c r="AR127">
        <v>23</v>
      </c>
      <c r="AS127">
        <v>46</v>
      </c>
      <c r="AT127">
        <v>47</v>
      </c>
      <c r="AU127" s="115">
        <v>23923</v>
      </c>
      <c r="AV127" s="37" t="s">
        <v>766</v>
      </c>
      <c r="AW127" s="37" t="s">
        <v>736</v>
      </c>
      <c r="AX127" s="37"/>
      <c r="AY127" s="37"/>
      <c r="AZ127" s="37">
        <f>developmentdata2019[[#This Row],[NUMBER OF CURRENT APARTMENTS]]*5/2000</f>
        <v>0.95</v>
      </c>
      <c r="BA127" s="37">
        <f>developmentdata2019[[#This Row],[Total]]*BA$1</f>
        <v>0.247</v>
      </c>
      <c r="BB127" s="37">
        <f>developmentdata2019[[#This Row],[Trash (tons/day)]]*BB$1</f>
        <v>4.6929999999999999E-2</v>
      </c>
      <c r="BC127" s="37">
        <f>developmentdata2019[[#This Row],[MGP (tons/day)]]*BC$1</f>
        <v>3.2851000000000004E-3</v>
      </c>
      <c r="BD127" s="37">
        <f>developmentdata2019[[#This Row],[Cardboard (tons/day)]]*BD$1</f>
        <v>2.2995700000000006E-4</v>
      </c>
      <c r="BE127" s="37">
        <f>developmentdata2019[[#This Row],[Paper (tons/day)]]*BE$1</f>
        <v>7.3586240000000027E-5</v>
      </c>
      <c r="BF127" s="37">
        <f>developmentdata2019[[#This Row],[Organics (tons/day)]]*BF$1</f>
        <v>7.3586240000000031E-7</v>
      </c>
      <c r="BG127" s="37">
        <f>developmentdata2019[[#This Row],[E-Waste (tons/day)]]*BG$1</f>
        <v>5.8868992000000026E-8</v>
      </c>
      <c r="BH127" s="37">
        <f>developmentdata2019[[#This Row],[Trash (tons/day)]]*BH$1</f>
        <v>5.1993499999999999</v>
      </c>
      <c r="BI127" s="37">
        <f>developmentdata2019[[#This Row],[MGP (tons/day)]]*BI$1</f>
        <v>0.84567859999999995</v>
      </c>
      <c r="BJ127" s="37">
        <f>developmentdata2019[[#This Row],[Cardboard (tons/day)]]*BJ$1</f>
        <v>8.7613617000000019E-2</v>
      </c>
      <c r="BK127" s="37">
        <f>developmentdata2019[[#This Row],[Paper (tons/day)]]*BK$1</f>
        <v>1.4234338300000006E-3</v>
      </c>
      <c r="BL127" s="37">
        <f>developmentdata2019[[#This Row],[Organics (tons/day)]]*BL$1</f>
        <v>3.1789255680000016E-4</v>
      </c>
      <c r="BM127" s="37">
        <f>developmentdata2019[[#This Row],[E-Waste (tons/day)]]*BM$1</f>
        <v>4.157622560000002E-6</v>
      </c>
      <c r="BN127" s="37">
        <f>developmentdata2019[[#This Row],[Textiles (tons/day)]]*BN$1</f>
        <v>7.8472366336000039E-7</v>
      </c>
      <c r="BO127" s="37">
        <f>developmentdata2019[[#This Row],[Trash (CY/day)]]*201.974</f>
        <v>1050.1335168999999</v>
      </c>
      <c r="BP127" s="37">
        <f>developmentdata2019[[#This Row],[MGP (CY/day)]]*201.974</f>
        <v>170.80508955639999</v>
      </c>
      <c r="BQ127" s="37">
        <f>developmentdata2019[[#This Row],[Cardboard (CY/day)]]*201.974</f>
        <v>17.695672679958001</v>
      </c>
      <c r="BR127" s="37">
        <f>developmentdata2019[[#This Row],[Paper  (CY/day)]]*201.974</f>
        <v>0.28749662438042012</v>
      </c>
      <c r="BS127" s="37">
        <f>developmentdata2019[[#This Row],[Organics (CY/day)]]*201.974</f>
        <v>6.4206031267123223E-2</v>
      </c>
      <c r="BT127" s="37">
        <f>developmentdata2019[[#This Row],[E-Waste (CY/day)]]*201.974</f>
        <v>8.3973165893344039E-4</v>
      </c>
      <c r="BU127" s="37">
        <f>developmentdata2019[[#This Row],[Textiles (CY/day)]]*201.974</f>
        <v>1.5849377718347272E-4</v>
      </c>
    </row>
    <row r="128" spans="1:73" x14ac:dyDescent="0.2">
      <c r="A128" s="37" t="s">
        <v>494</v>
      </c>
      <c r="B128" s="115">
        <v>43466</v>
      </c>
      <c r="C128" s="37" t="s">
        <v>899</v>
      </c>
      <c r="D128">
        <v>75</v>
      </c>
      <c r="E128">
        <v>75</v>
      </c>
      <c r="F128">
        <v>226</v>
      </c>
      <c r="G128">
        <v>226</v>
      </c>
      <c r="H128" s="37" t="s">
        <v>1225</v>
      </c>
      <c r="I128" s="37" t="s">
        <v>577</v>
      </c>
      <c r="J128" s="37" t="s">
        <v>578</v>
      </c>
      <c r="K128" s="37" t="s">
        <v>579</v>
      </c>
      <c r="M128">
        <v>710</v>
      </c>
      <c r="N128">
        <v>712</v>
      </c>
      <c r="O128">
        <v>3296</v>
      </c>
      <c r="P128">
        <v>4.6399999999999997</v>
      </c>
      <c r="R128">
        <v>1790</v>
      </c>
      <c r="S128">
        <v>1790</v>
      </c>
      <c r="T128">
        <v>212</v>
      </c>
      <c r="U128">
        <v>0.30199999999999999</v>
      </c>
      <c r="V128">
        <v>14</v>
      </c>
      <c r="W128">
        <v>0</v>
      </c>
      <c r="X128">
        <v>14</v>
      </c>
      <c r="Y128">
        <v>7</v>
      </c>
      <c r="Z128">
        <v>616678</v>
      </c>
      <c r="AA128">
        <v>14.16</v>
      </c>
      <c r="AB128">
        <v>572678</v>
      </c>
      <c r="AC128">
        <v>13.15</v>
      </c>
      <c r="AD128">
        <v>107706</v>
      </c>
      <c r="AE128">
        <v>5991153</v>
      </c>
      <c r="AF128">
        <v>0.17469999999999999</v>
      </c>
      <c r="AG128">
        <v>126</v>
      </c>
      <c r="AH128">
        <v>9618901</v>
      </c>
      <c r="AI128">
        <v>2909</v>
      </c>
      <c r="AJ128">
        <v>453</v>
      </c>
      <c r="AK128" s="37" t="s">
        <v>1226</v>
      </c>
      <c r="AL128" s="37" t="s">
        <v>1227</v>
      </c>
      <c r="AM128" s="37" t="s">
        <v>1228</v>
      </c>
      <c r="AN128" s="37" t="s">
        <v>1229</v>
      </c>
      <c r="AO128" s="37" t="s">
        <v>703</v>
      </c>
      <c r="AP128">
        <v>14</v>
      </c>
      <c r="AQ128">
        <v>5</v>
      </c>
      <c r="AR128">
        <v>10</v>
      </c>
      <c r="AS128">
        <v>31</v>
      </c>
      <c r="AT128">
        <v>31</v>
      </c>
      <c r="AU128" s="115">
        <v>20199</v>
      </c>
      <c r="AV128" s="37"/>
      <c r="AW128" s="37"/>
      <c r="AX128" s="37"/>
      <c r="AY128" s="37"/>
      <c r="AZ128" s="37">
        <f>developmentdata2019[[#This Row],[NUMBER OF CURRENT APARTMENTS]]*5/2000</f>
        <v>1.7749999999999999</v>
      </c>
      <c r="BA128" s="37">
        <f>developmentdata2019[[#This Row],[Total]]*BA$1</f>
        <v>0.46149999999999997</v>
      </c>
      <c r="BB128" s="37">
        <f>developmentdata2019[[#This Row],[Trash (tons/day)]]*BB$1</f>
        <v>8.7684999999999999E-2</v>
      </c>
      <c r="BC128" s="37">
        <f>developmentdata2019[[#This Row],[MGP (tons/day)]]*BC$1</f>
        <v>6.1379500000000005E-3</v>
      </c>
      <c r="BD128" s="37">
        <f>developmentdata2019[[#This Row],[Cardboard (tons/day)]]*BD$1</f>
        <v>4.2965650000000006E-4</v>
      </c>
      <c r="BE128" s="37">
        <f>developmentdata2019[[#This Row],[Paper (tons/day)]]*BE$1</f>
        <v>1.3749008000000002E-4</v>
      </c>
      <c r="BF128" s="37">
        <f>developmentdata2019[[#This Row],[Organics (tons/day)]]*BF$1</f>
        <v>1.3749008000000003E-6</v>
      </c>
      <c r="BG128" s="37">
        <f>developmentdata2019[[#This Row],[E-Waste (tons/day)]]*BG$1</f>
        <v>1.0999206400000003E-7</v>
      </c>
      <c r="BH128" s="37">
        <f>developmentdata2019[[#This Row],[Trash (tons/day)]]*BH$1</f>
        <v>9.714575</v>
      </c>
      <c r="BI128" s="37">
        <f>developmentdata2019[[#This Row],[MGP (tons/day)]]*BI$1</f>
        <v>1.5800836999999999</v>
      </c>
      <c r="BJ128" s="37">
        <f>developmentdata2019[[#This Row],[Cardboard (tons/day)]]*BJ$1</f>
        <v>0.16369912650000001</v>
      </c>
      <c r="BK128" s="37">
        <f>developmentdata2019[[#This Row],[Paper (tons/day)]]*BK$1</f>
        <v>2.6595737350000007E-3</v>
      </c>
      <c r="BL128" s="37">
        <f>developmentdata2019[[#This Row],[Organics (tons/day)]]*BL$1</f>
        <v>5.9395714560000015E-4</v>
      </c>
      <c r="BM128" s="37">
        <f>developmentdata2019[[#This Row],[E-Waste (tons/day)]]*BM$1</f>
        <v>7.7681895200000022E-6</v>
      </c>
      <c r="BN128" s="37">
        <f>developmentdata2019[[#This Row],[Textiles (tons/day)]]*BN$1</f>
        <v>1.4661942131200003E-6</v>
      </c>
      <c r="BO128" s="37">
        <f>developmentdata2019[[#This Row],[Trash (CY/day)]]*201.974</f>
        <v>1962.0915710499999</v>
      </c>
      <c r="BP128" s="37">
        <f>developmentdata2019[[#This Row],[MGP (CY/day)]]*201.974</f>
        <v>319.13582522379994</v>
      </c>
      <c r="BQ128" s="37">
        <f>developmentdata2019[[#This Row],[Cardboard (CY/day)]]*201.974</f>
        <v>33.062967375711004</v>
      </c>
      <c r="BR128" s="37">
        <f>developmentdata2019[[#This Row],[Paper  (CY/day)]]*201.974</f>
        <v>0.53716474555289007</v>
      </c>
      <c r="BS128" s="37">
        <f>developmentdata2019[[#This Row],[Organics (CY/day)]]*201.974</f>
        <v>0.11996390052541442</v>
      </c>
      <c r="BT128" s="37">
        <f>developmentdata2019[[#This Row],[E-Waste (CY/day)]]*201.974</f>
        <v>1.5689723101124805E-3</v>
      </c>
      <c r="BU128" s="37">
        <f>developmentdata2019[[#This Row],[Textiles (CY/day)]]*201.974</f>
        <v>2.9613311000069894E-4</v>
      </c>
    </row>
    <row r="129" spans="1:73" x14ac:dyDescent="0.2">
      <c r="A129" s="37" t="s">
        <v>339</v>
      </c>
      <c r="B129" s="115">
        <v>43466</v>
      </c>
      <c r="C129" s="37" t="s">
        <v>675</v>
      </c>
      <c r="D129">
        <v>262</v>
      </c>
      <c r="E129">
        <v>22</v>
      </c>
      <c r="F129">
        <v>377</v>
      </c>
      <c r="G129">
        <v>377</v>
      </c>
      <c r="H129" s="37" t="s">
        <v>1230</v>
      </c>
      <c r="I129" s="37" t="s">
        <v>577</v>
      </c>
      <c r="J129" s="37" t="s">
        <v>588</v>
      </c>
      <c r="K129" s="37" t="s">
        <v>579</v>
      </c>
      <c r="M129">
        <v>377</v>
      </c>
      <c r="N129">
        <v>377</v>
      </c>
      <c r="O129">
        <v>1493.5</v>
      </c>
      <c r="P129">
        <v>3.96</v>
      </c>
      <c r="R129">
        <v>648</v>
      </c>
      <c r="S129">
        <v>648</v>
      </c>
      <c r="T129">
        <v>241</v>
      </c>
      <c r="U129">
        <v>0.65</v>
      </c>
      <c r="V129">
        <v>2</v>
      </c>
      <c r="W129">
        <v>0</v>
      </c>
      <c r="X129">
        <v>2</v>
      </c>
      <c r="Y129" t="s">
        <v>1231</v>
      </c>
      <c r="Z129">
        <v>120497</v>
      </c>
      <c r="AA129">
        <v>2.77</v>
      </c>
      <c r="AB129">
        <v>120497</v>
      </c>
      <c r="AC129">
        <v>2.77</v>
      </c>
      <c r="AD129">
        <v>22666</v>
      </c>
      <c r="AE129">
        <v>3139759</v>
      </c>
      <c r="AF129">
        <v>0.18809999999999999</v>
      </c>
      <c r="AG129">
        <v>234</v>
      </c>
      <c r="AH129">
        <v>16721224</v>
      </c>
      <c r="AI129">
        <v>10911</v>
      </c>
      <c r="AJ129">
        <v>522</v>
      </c>
      <c r="AK129" s="37" t="s">
        <v>1232</v>
      </c>
      <c r="AL129" s="37" t="s">
        <v>1233</v>
      </c>
      <c r="AM129" s="37" t="s">
        <v>927</v>
      </c>
      <c r="AN129" s="37" t="s">
        <v>1234</v>
      </c>
      <c r="AO129" s="37" t="s">
        <v>608</v>
      </c>
      <c r="AP129">
        <v>4</v>
      </c>
      <c r="AQ129">
        <v>10</v>
      </c>
      <c r="AR129" t="s">
        <v>1093</v>
      </c>
      <c r="AS129">
        <v>67</v>
      </c>
      <c r="AT129">
        <v>6</v>
      </c>
      <c r="AU129" s="115">
        <v>28306</v>
      </c>
      <c r="AV129" s="37"/>
      <c r="AW129" s="37" t="s">
        <v>693</v>
      </c>
      <c r="AX129" s="37"/>
      <c r="AY129" s="37"/>
      <c r="AZ129" s="37">
        <f>developmentdata2019[[#This Row],[NUMBER OF CURRENT APARTMENTS]]*5/2000</f>
        <v>0.9425</v>
      </c>
      <c r="BA129" s="37">
        <f>developmentdata2019[[#This Row],[Total]]*BA$1</f>
        <v>0.24505000000000002</v>
      </c>
      <c r="BB129" s="37">
        <f>developmentdata2019[[#This Row],[Trash (tons/day)]]*BB$1</f>
        <v>4.6559500000000004E-2</v>
      </c>
      <c r="BC129" s="37">
        <f>developmentdata2019[[#This Row],[MGP (tons/day)]]*BC$1</f>
        <v>3.2591650000000005E-3</v>
      </c>
      <c r="BD129" s="37">
        <f>developmentdata2019[[#This Row],[Cardboard (tons/day)]]*BD$1</f>
        <v>2.2814155000000006E-4</v>
      </c>
      <c r="BE129" s="37">
        <f>developmentdata2019[[#This Row],[Paper (tons/day)]]*BE$1</f>
        <v>7.300529600000002E-5</v>
      </c>
      <c r="BF129" s="37">
        <f>developmentdata2019[[#This Row],[Organics (tons/day)]]*BF$1</f>
        <v>7.3005296000000026E-7</v>
      </c>
      <c r="BG129" s="37">
        <f>developmentdata2019[[#This Row],[E-Waste (tons/day)]]*BG$1</f>
        <v>5.8404236800000021E-8</v>
      </c>
      <c r="BH129" s="37">
        <f>developmentdata2019[[#This Row],[Trash (tons/day)]]*BH$1</f>
        <v>5.1583025000000005</v>
      </c>
      <c r="BI129" s="37">
        <f>developmentdata2019[[#This Row],[MGP (tons/day)]]*BI$1</f>
        <v>0.83900219000000009</v>
      </c>
      <c r="BJ129" s="37">
        <f>developmentdata2019[[#This Row],[Cardboard (tons/day)]]*BJ$1</f>
        <v>8.6921930550000012E-2</v>
      </c>
      <c r="BK129" s="37">
        <f>developmentdata2019[[#This Row],[Paper (tons/day)]]*BK$1</f>
        <v>1.4121961945000004E-3</v>
      </c>
      <c r="BL129" s="37">
        <f>developmentdata2019[[#This Row],[Organics (tons/day)]]*BL$1</f>
        <v>3.1538287872000009E-4</v>
      </c>
      <c r="BM129" s="37">
        <f>developmentdata2019[[#This Row],[E-Waste (tons/day)]]*BM$1</f>
        <v>4.1247992240000013E-6</v>
      </c>
      <c r="BN129" s="37">
        <f>developmentdata2019[[#This Row],[Textiles (tons/day)]]*BN$1</f>
        <v>7.7852847654400024E-7</v>
      </c>
      <c r="BO129" s="37">
        <f>developmentdata2019[[#This Row],[Trash (CY/day)]]*201.974</f>
        <v>1041.8429891349999</v>
      </c>
      <c r="BP129" s="37">
        <f>developmentdata2019[[#This Row],[MGP (CY/day)]]*201.974</f>
        <v>169.45662832306002</v>
      </c>
      <c r="BQ129" s="37">
        <f>developmentdata2019[[#This Row],[Cardboard (CY/day)]]*201.974</f>
        <v>17.555970000905702</v>
      </c>
      <c r="BR129" s="37">
        <f>developmentdata2019[[#This Row],[Paper  (CY/day)]]*201.974</f>
        <v>0.28522691418794305</v>
      </c>
      <c r="BS129" s="37">
        <f>developmentdata2019[[#This Row],[Organics (CY/day)]]*201.974</f>
        <v>6.3699141546593299E-2</v>
      </c>
      <c r="BT129" s="37">
        <f>developmentdata2019[[#This Row],[E-Waste (CY/day)]]*201.974</f>
        <v>8.331021984681762E-4</v>
      </c>
      <c r="BU129" s="37">
        <f>developmentdata2019[[#This Row],[Textiles (CY/day)]]*201.974</f>
        <v>1.5724251052149789E-4</v>
      </c>
    </row>
    <row r="130" spans="1:73" x14ac:dyDescent="0.2">
      <c r="A130" s="37" t="s">
        <v>356</v>
      </c>
      <c r="B130" s="115">
        <v>43466</v>
      </c>
      <c r="C130" s="37" t="s">
        <v>711</v>
      </c>
      <c r="D130">
        <v>3</v>
      </c>
      <c r="E130">
        <v>3</v>
      </c>
      <c r="F130">
        <v>201</v>
      </c>
      <c r="G130">
        <v>201</v>
      </c>
      <c r="H130" s="37" t="s">
        <v>1235</v>
      </c>
      <c r="I130" s="37" t="s">
        <v>577</v>
      </c>
      <c r="J130" s="37" t="s">
        <v>578</v>
      </c>
      <c r="K130" s="37" t="s">
        <v>579</v>
      </c>
      <c r="M130">
        <v>574</v>
      </c>
      <c r="N130">
        <v>577</v>
      </c>
      <c r="O130">
        <v>2231</v>
      </c>
      <c r="P130">
        <v>3.89</v>
      </c>
      <c r="R130">
        <v>1079</v>
      </c>
      <c r="S130">
        <v>1079</v>
      </c>
      <c r="T130">
        <v>181</v>
      </c>
      <c r="U130">
        <v>0.32300000000000001</v>
      </c>
      <c r="V130">
        <v>7</v>
      </c>
      <c r="W130">
        <v>0</v>
      </c>
      <c r="X130">
        <v>47</v>
      </c>
      <c r="Y130">
        <v>43560</v>
      </c>
      <c r="Z130">
        <v>322075</v>
      </c>
      <c r="AA130">
        <v>7.39</v>
      </c>
      <c r="AB130">
        <v>313137</v>
      </c>
      <c r="AC130">
        <v>7.19</v>
      </c>
      <c r="AD130">
        <v>103777</v>
      </c>
      <c r="AE130">
        <v>5237933</v>
      </c>
      <c r="AF130">
        <v>0.32219999999999999</v>
      </c>
      <c r="AG130">
        <v>146</v>
      </c>
      <c r="AH130">
        <v>4147782</v>
      </c>
      <c r="AI130">
        <v>2103</v>
      </c>
      <c r="AJ130">
        <v>548</v>
      </c>
      <c r="AK130" s="37" t="s">
        <v>1236</v>
      </c>
      <c r="AL130" s="37" t="s">
        <v>1237</v>
      </c>
      <c r="AM130" s="37" t="s">
        <v>1238</v>
      </c>
      <c r="AN130" s="37" t="s">
        <v>1239</v>
      </c>
      <c r="AO130" s="37" t="s">
        <v>608</v>
      </c>
      <c r="AP130">
        <v>10</v>
      </c>
      <c r="AQ130">
        <v>13</v>
      </c>
      <c r="AR130">
        <v>30</v>
      </c>
      <c r="AS130">
        <v>71</v>
      </c>
      <c r="AT130">
        <v>9</v>
      </c>
      <c r="AU130" s="115">
        <v>13789</v>
      </c>
      <c r="AV130" s="37"/>
      <c r="AW130" s="37"/>
      <c r="AX130" s="37"/>
      <c r="AY130" s="37"/>
      <c r="AZ130" s="37">
        <f>developmentdata2019[[#This Row],[NUMBER OF CURRENT APARTMENTS]]*5/2000</f>
        <v>1.4350000000000001</v>
      </c>
      <c r="BA130" s="37">
        <f>developmentdata2019[[#This Row],[Total]]*BA$1</f>
        <v>0.37310000000000004</v>
      </c>
      <c r="BB130" s="37">
        <f>developmentdata2019[[#This Row],[Trash (tons/day)]]*BB$1</f>
        <v>7.0889000000000008E-2</v>
      </c>
      <c r="BC130" s="37">
        <f>developmentdata2019[[#This Row],[MGP (tons/day)]]*BC$1</f>
        <v>4.9622300000000006E-3</v>
      </c>
      <c r="BD130" s="37">
        <f>developmentdata2019[[#This Row],[Cardboard (tons/day)]]*BD$1</f>
        <v>3.4735610000000009E-4</v>
      </c>
      <c r="BE130" s="37">
        <f>developmentdata2019[[#This Row],[Paper (tons/day)]]*BE$1</f>
        <v>1.1115395200000003E-4</v>
      </c>
      <c r="BF130" s="37">
        <f>developmentdata2019[[#This Row],[Organics (tons/day)]]*BF$1</f>
        <v>1.1115395200000003E-6</v>
      </c>
      <c r="BG130" s="37">
        <f>developmentdata2019[[#This Row],[E-Waste (tons/day)]]*BG$1</f>
        <v>8.892316160000002E-8</v>
      </c>
      <c r="BH130" s="37">
        <f>developmentdata2019[[#This Row],[Trash (tons/day)]]*BH$1</f>
        <v>7.8537550000000014</v>
      </c>
      <c r="BI130" s="37">
        <f>developmentdata2019[[#This Row],[MGP (tons/day)]]*BI$1</f>
        <v>1.27741978</v>
      </c>
      <c r="BJ130" s="37">
        <f>developmentdata2019[[#This Row],[Cardboard (tons/day)]]*BJ$1</f>
        <v>0.13234267410000003</v>
      </c>
      <c r="BK130" s="37">
        <f>developmentdata2019[[#This Row],[Paper (tons/day)]]*BK$1</f>
        <v>2.1501342590000009E-3</v>
      </c>
      <c r="BL130" s="37">
        <f>developmentdata2019[[#This Row],[Organics (tons/day)]]*BL$1</f>
        <v>4.8018507264000013E-4</v>
      </c>
      <c r="BM130" s="37">
        <f>developmentdata2019[[#This Row],[E-Waste (tons/day)]]*BM$1</f>
        <v>6.2801982880000019E-6</v>
      </c>
      <c r="BN130" s="37">
        <f>developmentdata2019[[#This Row],[Textiles (tons/day)]]*BN$1</f>
        <v>1.1853457441280003E-6</v>
      </c>
      <c r="BO130" s="37">
        <f>developmentdata2019[[#This Row],[Trash (CY/day)]]*201.974</f>
        <v>1586.2543123700002</v>
      </c>
      <c r="BP130" s="37">
        <f>developmentdata2019[[#This Row],[MGP (CY/day)]]*201.974</f>
        <v>258.00558264571998</v>
      </c>
      <c r="BQ130" s="37">
        <f>developmentdata2019[[#This Row],[Cardboard (CY/day)]]*201.974</f>
        <v>26.729779258673403</v>
      </c>
      <c r="BR130" s="37">
        <f>developmentdata2019[[#This Row],[Paper  (CY/day)]]*201.974</f>
        <v>0.43427121682726616</v>
      </c>
      <c r="BS130" s="37">
        <f>developmentdata2019[[#This Row],[Organics (CY/day)]]*201.974</f>
        <v>9.6984899861391388E-2</v>
      </c>
      <c r="BT130" s="37">
        <f>developmentdata2019[[#This Row],[E-Waste (CY/day)]]*201.974</f>
        <v>1.2684367690205124E-3</v>
      </c>
      <c r="BU130" s="37">
        <f>developmentdata2019[[#This Row],[Textiles (CY/day)]]*201.974</f>
        <v>2.3940902132450873E-4</v>
      </c>
    </row>
    <row r="131" spans="1:73" x14ac:dyDescent="0.2">
      <c r="A131" s="37" t="s">
        <v>357</v>
      </c>
      <c r="B131" s="115">
        <v>43466</v>
      </c>
      <c r="C131" s="37" t="s">
        <v>711</v>
      </c>
      <c r="D131">
        <v>147</v>
      </c>
      <c r="E131">
        <v>3</v>
      </c>
      <c r="F131">
        <v>256</v>
      </c>
      <c r="G131">
        <v>201</v>
      </c>
      <c r="H131" s="37" t="s">
        <v>1240</v>
      </c>
      <c r="I131" s="37" t="s">
        <v>577</v>
      </c>
      <c r="J131" s="37" t="s">
        <v>578</v>
      </c>
      <c r="K131" s="37" t="s">
        <v>579</v>
      </c>
      <c r="M131">
        <v>116</v>
      </c>
      <c r="N131">
        <v>116</v>
      </c>
      <c r="O131">
        <v>515</v>
      </c>
      <c r="P131">
        <v>4.4400000000000004</v>
      </c>
      <c r="R131">
        <v>272</v>
      </c>
      <c r="S131">
        <v>272</v>
      </c>
      <c r="T131">
        <v>40</v>
      </c>
      <c r="U131">
        <v>0.36</v>
      </c>
      <c r="V131">
        <v>1</v>
      </c>
      <c r="W131">
        <v>0</v>
      </c>
      <c r="X131">
        <v>1</v>
      </c>
      <c r="Y131">
        <v>15</v>
      </c>
      <c r="Z131">
        <v>28815</v>
      </c>
      <c r="AA131">
        <v>0.66</v>
      </c>
      <c r="AB131">
        <v>28815</v>
      </c>
      <c r="AC131">
        <v>0.66</v>
      </c>
      <c r="AD131">
        <v>7281</v>
      </c>
      <c r="AE131">
        <v>981227</v>
      </c>
      <c r="AF131">
        <v>0.25269999999999998</v>
      </c>
      <c r="AG131">
        <v>412</v>
      </c>
      <c r="AH131">
        <v>2605601</v>
      </c>
      <c r="AI131">
        <v>5059</v>
      </c>
      <c r="AJ131">
        <v>589</v>
      </c>
      <c r="AK131" s="37" t="s">
        <v>1038</v>
      </c>
      <c r="AL131" s="37" t="s">
        <v>1241</v>
      </c>
      <c r="AM131" s="37" t="s">
        <v>1236</v>
      </c>
      <c r="AN131" s="37" t="s">
        <v>1238</v>
      </c>
      <c r="AO131" s="37" t="s">
        <v>608</v>
      </c>
      <c r="AP131">
        <v>10</v>
      </c>
      <c r="AQ131">
        <v>13</v>
      </c>
      <c r="AR131">
        <v>30</v>
      </c>
      <c r="AS131">
        <v>71</v>
      </c>
      <c r="AT131">
        <v>9</v>
      </c>
      <c r="AU131" s="115">
        <v>24046</v>
      </c>
      <c r="AV131" s="37"/>
      <c r="AW131" s="37"/>
      <c r="AX131" s="37"/>
      <c r="AY131" s="37"/>
      <c r="AZ131" s="37">
        <f>developmentdata2019[[#This Row],[NUMBER OF CURRENT APARTMENTS]]*5/2000</f>
        <v>0.28999999999999998</v>
      </c>
      <c r="BA131" s="37">
        <f>developmentdata2019[[#This Row],[Total]]*BA$1</f>
        <v>7.5399999999999995E-2</v>
      </c>
      <c r="BB131" s="37">
        <f>developmentdata2019[[#This Row],[Trash (tons/day)]]*BB$1</f>
        <v>1.4325999999999998E-2</v>
      </c>
      <c r="BC131" s="37">
        <f>developmentdata2019[[#This Row],[MGP (tons/day)]]*BC$1</f>
        <v>1.00282E-3</v>
      </c>
      <c r="BD131" s="37">
        <f>developmentdata2019[[#This Row],[Cardboard (tons/day)]]*BD$1</f>
        <v>7.0197400000000007E-5</v>
      </c>
      <c r="BE131" s="37">
        <f>developmentdata2019[[#This Row],[Paper (tons/day)]]*BE$1</f>
        <v>2.2463168000000001E-5</v>
      </c>
      <c r="BF131" s="37">
        <f>developmentdata2019[[#This Row],[Organics (tons/day)]]*BF$1</f>
        <v>2.2463168000000003E-7</v>
      </c>
      <c r="BG131" s="37">
        <f>developmentdata2019[[#This Row],[E-Waste (tons/day)]]*BG$1</f>
        <v>1.7970534400000003E-8</v>
      </c>
      <c r="BH131" s="37">
        <f>developmentdata2019[[#This Row],[Trash (tons/day)]]*BH$1</f>
        <v>1.58717</v>
      </c>
      <c r="BI131" s="37">
        <f>developmentdata2019[[#This Row],[MGP (tons/day)]]*BI$1</f>
        <v>0.25815451999999994</v>
      </c>
      <c r="BJ131" s="37">
        <f>developmentdata2019[[#This Row],[Cardboard (tons/day)]]*BJ$1</f>
        <v>2.6745209400000001E-2</v>
      </c>
      <c r="BK131" s="37">
        <f>developmentdata2019[[#This Row],[Paper (tons/day)]]*BK$1</f>
        <v>4.3452190600000006E-4</v>
      </c>
      <c r="BL131" s="37">
        <f>developmentdata2019[[#This Row],[Organics (tons/day)]]*BL$1</f>
        <v>9.7040885760000007E-5</v>
      </c>
      <c r="BM131" s="37">
        <f>developmentdata2019[[#This Row],[E-Waste (tons/day)]]*BM$1</f>
        <v>1.2691689920000002E-6</v>
      </c>
      <c r="BN131" s="37">
        <f>developmentdata2019[[#This Row],[Textiles (tons/day)]]*BN$1</f>
        <v>2.3954722355200003E-7</v>
      </c>
      <c r="BO131" s="37">
        <f>developmentdata2019[[#This Row],[Trash (CY/day)]]*201.974</f>
        <v>320.56707358</v>
      </c>
      <c r="BP131" s="37">
        <f>developmentdata2019[[#This Row],[MGP (CY/day)]]*201.974</f>
        <v>52.140501022479988</v>
      </c>
      <c r="BQ131" s="37">
        <f>developmentdata2019[[#This Row],[Cardboard (CY/day)]]*201.974</f>
        <v>5.4018369233556003</v>
      </c>
      <c r="BR131" s="37">
        <f>developmentdata2019[[#This Row],[Paper  (CY/day)]]*201.974</f>
        <v>8.7762127442444007E-2</v>
      </c>
      <c r="BS131" s="37">
        <f>developmentdata2019[[#This Row],[Organics (CY/day)]]*201.974</f>
        <v>1.9599735860490242E-2</v>
      </c>
      <c r="BT131" s="37">
        <f>developmentdata2019[[#This Row],[E-Waste (CY/day)]]*201.974</f>
        <v>2.5633913799020803E-4</v>
      </c>
      <c r="BU131" s="37">
        <f>developmentdata2019[[#This Row],[Textiles (CY/day)]]*201.974</f>
        <v>4.8382310929691653E-5</v>
      </c>
    </row>
    <row r="132" spans="1:73" x14ac:dyDescent="0.2">
      <c r="A132" s="37" t="s">
        <v>1242</v>
      </c>
      <c r="B132" s="115">
        <v>43466</v>
      </c>
      <c r="C132" s="37" t="s">
        <v>1243</v>
      </c>
      <c r="D132">
        <v>347</v>
      </c>
      <c r="E132">
        <v>341</v>
      </c>
      <c r="F132">
        <v>772</v>
      </c>
      <c r="G132">
        <v>762</v>
      </c>
      <c r="H132" s="37" t="s">
        <v>1244</v>
      </c>
      <c r="I132" s="37" t="s">
        <v>577</v>
      </c>
      <c r="J132" s="37" t="s">
        <v>588</v>
      </c>
      <c r="K132" s="37" t="s">
        <v>597</v>
      </c>
      <c r="M132">
        <v>34</v>
      </c>
      <c r="N132">
        <v>34</v>
      </c>
      <c r="O132">
        <v>146</v>
      </c>
      <c r="P132">
        <v>4.29</v>
      </c>
      <c r="R132">
        <v>75</v>
      </c>
      <c r="S132">
        <v>75</v>
      </c>
      <c r="T132">
        <v>11</v>
      </c>
      <c r="U132">
        <v>0.32400000000000001</v>
      </c>
      <c r="V132">
        <v>1</v>
      </c>
      <c r="W132">
        <v>0</v>
      </c>
      <c r="X132">
        <v>1</v>
      </c>
      <c r="Y132">
        <v>5</v>
      </c>
      <c r="Z132">
        <v>9167</v>
      </c>
      <c r="AA132">
        <v>0.21</v>
      </c>
      <c r="AB132">
        <v>9167</v>
      </c>
      <c r="AC132">
        <v>0.21</v>
      </c>
      <c r="AD132">
        <v>6698</v>
      </c>
      <c r="AE132">
        <v>404958</v>
      </c>
      <c r="AF132">
        <v>0.73070000000000002</v>
      </c>
      <c r="AG132">
        <v>357</v>
      </c>
      <c r="AH132">
        <v>2368803</v>
      </c>
      <c r="AI132">
        <v>16225</v>
      </c>
      <c r="AJ132">
        <v>486</v>
      </c>
      <c r="AK132" s="37" t="s">
        <v>1245</v>
      </c>
      <c r="AL132" s="37" t="s">
        <v>1246</v>
      </c>
      <c r="AM132" s="37" t="s">
        <v>1247</v>
      </c>
      <c r="AN132" s="37" t="s">
        <v>1248</v>
      </c>
      <c r="AO132" s="37" t="s">
        <v>584</v>
      </c>
      <c r="AP132">
        <v>5</v>
      </c>
      <c r="AQ132">
        <v>15</v>
      </c>
      <c r="AR132">
        <v>29</v>
      </c>
      <c r="AS132">
        <v>86</v>
      </c>
      <c r="AT132">
        <v>14</v>
      </c>
      <c r="AU132" s="115">
        <v>31656</v>
      </c>
      <c r="AV132" s="37"/>
      <c r="AW132" s="37"/>
      <c r="AX132" s="37" t="s">
        <v>621</v>
      </c>
      <c r="AY132" s="37" t="s">
        <v>621</v>
      </c>
      <c r="AZ132" s="37">
        <f>developmentdata2019[[#This Row],[NUMBER OF CURRENT APARTMENTS]]*5/2000</f>
        <v>8.5000000000000006E-2</v>
      </c>
      <c r="BA132" s="37">
        <f>developmentdata2019[[#This Row],[Total]]*BA$1</f>
        <v>2.2100000000000002E-2</v>
      </c>
      <c r="BB132" s="37">
        <f>developmentdata2019[[#This Row],[Trash (tons/day)]]*BB$1</f>
        <v>4.1990000000000005E-3</v>
      </c>
      <c r="BC132" s="37">
        <f>developmentdata2019[[#This Row],[MGP (tons/day)]]*BC$1</f>
        <v>2.9393000000000008E-4</v>
      </c>
      <c r="BD132" s="37">
        <f>developmentdata2019[[#This Row],[Cardboard (tons/day)]]*BD$1</f>
        <v>2.0575100000000009E-5</v>
      </c>
      <c r="BE132" s="37">
        <f>developmentdata2019[[#This Row],[Paper (tons/day)]]*BE$1</f>
        <v>6.5840320000000034E-6</v>
      </c>
      <c r="BF132" s="37">
        <f>developmentdata2019[[#This Row],[Organics (tons/day)]]*BF$1</f>
        <v>6.5840320000000035E-8</v>
      </c>
      <c r="BG132" s="37">
        <f>developmentdata2019[[#This Row],[E-Waste (tons/day)]]*BG$1</f>
        <v>5.2672256000000025E-9</v>
      </c>
      <c r="BH132" s="37">
        <f>developmentdata2019[[#This Row],[Trash (tons/day)]]*BH$1</f>
        <v>0.46520500000000004</v>
      </c>
      <c r="BI132" s="37">
        <f>developmentdata2019[[#This Row],[MGP (tons/day)]]*BI$1</f>
        <v>7.5665980000000008E-2</v>
      </c>
      <c r="BJ132" s="37">
        <f>developmentdata2019[[#This Row],[Cardboard (tons/day)]]*BJ$1</f>
        <v>7.8391131000000031E-3</v>
      </c>
      <c r="BK132" s="37">
        <f>developmentdata2019[[#This Row],[Paper (tons/day)]]*BK$1</f>
        <v>1.2735986900000006E-4</v>
      </c>
      <c r="BL132" s="37">
        <f>developmentdata2019[[#This Row],[Organics (tons/day)]]*BL$1</f>
        <v>2.8443018240000017E-5</v>
      </c>
      <c r="BM132" s="37">
        <f>developmentdata2019[[#This Row],[E-Waste (tons/day)]]*BM$1</f>
        <v>3.719978080000002E-7</v>
      </c>
      <c r="BN132" s="37">
        <f>developmentdata2019[[#This Row],[Textiles (tons/day)]]*BN$1</f>
        <v>7.0212117248000032E-8</v>
      </c>
      <c r="BO132" s="37">
        <f>developmentdata2019[[#This Row],[Trash (CY/day)]]*201.974</f>
        <v>93.959314669999998</v>
      </c>
      <c r="BP132" s="37">
        <f>developmentdata2019[[#This Row],[MGP (CY/day)]]*201.974</f>
        <v>15.28256064452</v>
      </c>
      <c r="BQ132" s="37">
        <f>developmentdata2019[[#This Row],[Cardboard (CY/day)]]*201.974</f>
        <v>1.5832970292594006</v>
      </c>
      <c r="BR132" s="37">
        <f>developmentdata2019[[#This Row],[Paper  (CY/day)]]*201.974</f>
        <v>2.5723382181406011E-2</v>
      </c>
      <c r="BS132" s="37">
        <f>developmentdata2019[[#This Row],[Organics (CY/day)]]*201.974</f>
        <v>5.7447501660057628E-3</v>
      </c>
      <c r="BT132" s="37">
        <f>developmentdata2019[[#This Row],[E-Waste (CY/day)]]*201.974</f>
        <v>7.5133885272992039E-5</v>
      </c>
      <c r="BU132" s="37">
        <f>developmentdata2019[[#This Row],[Textiles (CY/day)]]*201.974</f>
        <v>1.4181022169047558E-5</v>
      </c>
    </row>
    <row r="133" spans="1:73" x14ac:dyDescent="0.2">
      <c r="A133" s="37" t="s">
        <v>1249</v>
      </c>
      <c r="B133" s="115">
        <v>43466</v>
      </c>
      <c r="C133" s="37" t="s">
        <v>1243</v>
      </c>
      <c r="D133">
        <v>547</v>
      </c>
      <c r="E133">
        <v>341</v>
      </c>
      <c r="F133">
        <v>773</v>
      </c>
      <c r="G133">
        <v>762</v>
      </c>
      <c r="H133" s="37" t="s">
        <v>1250</v>
      </c>
      <c r="I133" s="37" t="s">
        <v>577</v>
      </c>
      <c r="J133" s="37" t="s">
        <v>588</v>
      </c>
      <c r="K133" s="37" t="s">
        <v>597</v>
      </c>
      <c r="M133">
        <v>150</v>
      </c>
      <c r="N133">
        <v>150</v>
      </c>
      <c r="O133">
        <v>664</v>
      </c>
      <c r="P133">
        <v>4.43</v>
      </c>
      <c r="R133">
        <v>326</v>
      </c>
      <c r="S133">
        <v>326</v>
      </c>
      <c r="T133">
        <v>60</v>
      </c>
      <c r="U133">
        <v>0.40300000000000002</v>
      </c>
      <c r="V133">
        <v>4</v>
      </c>
      <c r="W133">
        <v>0</v>
      </c>
      <c r="X133">
        <v>4</v>
      </c>
      <c r="Y133">
        <v>43591</v>
      </c>
      <c r="Z133">
        <v>44753</v>
      </c>
      <c r="AA133">
        <v>1.03</v>
      </c>
      <c r="AB133">
        <v>44753</v>
      </c>
      <c r="AC133">
        <v>1.03</v>
      </c>
      <c r="AD133">
        <v>29954</v>
      </c>
      <c r="AE133">
        <v>1856310</v>
      </c>
      <c r="AF133">
        <v>0.66930000000000001</v>
      </c>
      <c r="AG133">
        <v>317</v>
      </c>
      <c r="AH133">
        <v>10059298</v>
      </c>
      <c r="AI133">
        <v>15150</v>
      </c>
      <c r="AJ133">
        <v>517</v>
      </c>
      <c r="AK133" s="37" t="s">
        <v>1251</v>
      </c>
      <c r="AL133" s="37" t="s">
        <v>1246</v>
      </c>
      <c r="AM133" s="37" t="s">
        <v>1247</v>
      </c>
      <c r="AN133" s="37" t="s">
        <v>1248</v>
      </c>
      <c r="AO133" s="37" t="s">
        <v>584</v>
      </c>
      <c r="AP133">
        <v>5</v>
      </c>
      <c r="AQ133">
        <v>15</v>
      </c>
      <c r="AR133">
        <v>29</v>
      </c>
      <c r="AS133">
        <v>86</v>
      </c>
      <c r="AT133">
        <v>14</v>
      </c>
      <c r="AU133" s="115">
        <v>31747</v>
      </c>
      <c r="AV133" s="37"/>
      <c r="AW133" s="37"/>
      <c r="AX133" s="37" t="s">
        <v>621</v>
      </c>
      <c r="AY133" s="37" t="s">
        <v>621</v>
      </c>
      <c r="AZ133" s="37">
        <f>developmentdata2019[[#This Row],[NUMBER OF CURRENT APARTMENTS]]*5/2000</f>
        <v>0.375</v>
      </c>
      <c r="BA133" s="37">
        <f>developmentdata2019[[#This Row],[Total]]*BA$1</f>
        <v>9.7500000000000003E-2</v>
      </c>
      <c r="BB133" s="37">
        <f>developmentdata2019[[#This Row],[Trash (tons/day)]]*BB$1</f>
        <v>1.8525E-2</v>
      </c>
      <c r="BC133" s="37">
        <f>developmentdata2019[[#This Row],[MGP (tons/day)]]*BC$1</f>
        <v>1.2967500000000002E-3</v>
      </c>
      <c r="BD133" s="37">
        <f>developmentdata2019[[#This Row],[Cardboard (tons/day)]]*BD$1</f>
        <v>9.0772500000000026E-5</v>
      </c>
      <c r="BE133" s="37">
        <f>developmentdata2019[[#This Row],[Paper (tons/day)]]*BE$1</f>
        <v>2.9047200000000009E-5</v>
      </c>
      <c r="BF133" s="37">
        <f>developmentdata2019[[#This Row],[Organics (tons/day)]]*BF$1</f>
        <v>2.9047200000000009E-7</v>
      </c>
      <c r="BG133" s="37">
        <f>developmentdata2019[[#This Row],[E-Waste (tons/day)]]*BG$1</f>
        <v>2.3237760000000009E-8</v>
      </c>
      <c r="BH133" s="37">
        <f>developmentdata2019[[#This Row],[Trash (tons/day)]]*BH$1</f>
        <v>2.0523750000000001</v>
      </c>
      <c r="BI133" s="37">
        <f>developmentdata2019[[#This Row],[MGP (tons/day)]]*BI$1</f>
        <v>0.33382049999999996</v>
      </c>
      <c r="BJ133" s="37">
        <f>developmentdata2019[[#This Row],[Cardboard (tons/day)]]*BJ$1</f>
        <v>3.4584322500000007E-2</v>
      </c>
      <c r="BK133" s="37">
        <f>developmentdata2019[[#This Row],[Paper (tons/day)]]*BK$1</f>
        <v>5.6188177500000023E-4</v>
      </c>
      <c r="BL133" s="37">
        <f>developmentdata2019[[#This Row],[Organics (tons/day)]]*BL$1</f>
        <v>1.2548390400000004E-4</v>
      </c>
      <c r="BM133" s="37">
        <f>developmentdata2019[[#This Row],[E-Waste (tons/day)]]*BM$1</f>
        <v>1.6411668000000005E-6</v>
      </c>
      <c r="BN133" s="37">
        <f>developmentdata2019[[#This Row],[Textiles (tons/day)]]*BN$1</f>
        <v>3.097593408000001E-7</v>
      </c>
      <c r="BO133" s="37">
        <f>developmentdata2019[[#This Row],[Trash (CY/day)]]*201.974</f>
        <v>414.52638824999997</v>
      </c>
      <c r="BP133" s="37">
        <f>developmentdata2019[[#This Row],[MGP (CY/day)]]*201.974</f>
        <v>67.423061666999985</v>
      </c>
      <c r="BQ133" s="37">
        <f>developmentdata2019[[#This Row],[Cardboard (CY/day)]]*201.974</f>
        <v>6.9851339526150014</v>
      </c>
      <c r="BR133" s="37">
        <f>developmentdata2019[[#This Row],[Paper  (CY/day)]]*201.974</f>
        <v>0.11348550962385004</v>
      </c>
      <c r="BS133" s="37">
        <f>developmentdata2019[[#This Row],[Organics (CY/day)]]*201.974</f>
        <v>2.5344486026496006E-2</v>
      </c>
      <c r="BT133" s="37">
        <f>developmentdata2019[[#This Row],[E-Waste (CY/day)]]*201.974</f>
        <v>3.3147302326320011E-4</v>
      </c>
      <c r="BU133" s="37">
        <f>developmentdata2019[[#This Row],[Textiles (CY/day)]]*201.974</f>
        <v>6.2563333098739215E-5</v>
      </c>
    </row>
    <row r="134" spans="1:73" x14ac:dyDescent="0.2">
      <c r="A134" s="37" t="s">
        <v>1252</v>
      </c>
      <c r="B134" s="115">
        <v>43466</v>
      </c>
      <c r="C134" s="37" t="s">
        <v>642</v>
      </c>
      <c r="D134">
        <v>184</v>
      </c>
      <c r="E134">
        <v>100</v>
      </c>
      <c r="F134">
        <v>286</v>
      </c>
      <c r="G134">
        <v>237</v>
      </c>
      <c r="H134" s="37" t="s">
        <v>1253</v>
      </c>
      <c r="I134" s="37" t="s">
        <v>577</v>
      </c>
      <c r="J134" s="37" t="s">
        <v>578</v>
      </c>
      <c r="K134" s="37" t="s">
        <v>579</v>
      </c>
      <c r="M134">
        <v>149</v>
      </c>
      <c r="N134">
        <v>149</v>
      </c>
      <c r="O134">
        <v>601.5</v>
      </c>
      <c r="P134">
        <v>4.04</v>
      </c>
      <c r="R134">
        <v>260</v>
      </c>
      <c r="S134">
        <v>260</v>
      </c>
      <c r="T134">
        <v>80</v>
      </c>
      <c r="U134">
        <v>0.54400000000000004</v>
      </c>
      <c r="V134">
        <v>1</v>
      </c>
      <c r="W134">
        <v>0</v>
      </c>
      <c r="X134">
        <v>1</v>
      </c>
      <c r="Y134">
        <v>17</v>
      </c>
      <c r="Z134">
        <v>44689</v>
      </c>
      <c r="AA134">
        <v>1.03</v>
      </c>
      <c r="AB134">
        <v>44689</v>
      </c>
      <c r="AC134">
        <v>1.03</v>
      </c>
      <c r="AD134">
        <v>13167</v>
      </c>
      <c r="AE134">
        <v>1293680</v>
      </c>
      <c r="AF134">
        <v>0.29459999999999997</v>
      </c>
      <c r="AG134">
        <v>252</v>
      </c>
      <c r="AH134">
        <v>3731491</v>
      </c>
      <c r="AI134">
        <v>6077</v>
      </c>
      <c r="AJ134">
        <v>524</v>
      </c>
      <c r="AK134" s="37" t="s">
        <v>645</v>
      </c>
      <c r="AL134" s="37" t="s">
        <v>1195</v>
      </c>
      <c r="AM134" s="37" t="s">
        <v>647</v>
      </c>
      <c r="AN134" s="37" t="s">
        <v>730</v>
      </c>
      <c r="AO134" s="37" t="s">
        <v>608</v>
      </c>
      <c r="AP134">
        <v>3</v>
      </c>
      <c r="AQ134">
        <v>7</v>
      </c>
      <c r="AR134">
        <v>26</v>
      </c>
      <c r="AS134">
        <v>65</v>
      </c>
      <c r="AT134">
        <v>1</v>
      </c>
      <c r="AU134" s="115">
        <v>26176</v>
      </c>
      <c r="AV134" s="37"/>
      <c r="AW134" s="37"/>
      <c r="AX134" s="37"/>
      <c r="AY134" s="37"/>
      <c r="AZ134" s="37">
        <f>developmentdata2019[[#This Row],[NUMBER OF CURRENT APARTMENTS]]*5/2000</f>
        <v>0.3725</v>
      </c>
      <c r="BA134" s="37">
        <f>developmentdata2019[[#This Row],[Total]]*BA$1</f>
        <v>9.6850000000000006E-2</v>
      </c>
      <c r="BB134" s="37">
        <f>developmentdata2019[[#This Row],[Trash (tons/day)]]*BB$1</f>
        <v>1.8401500000000001E-2</v>
      </c>
      <c r="BC134" s="37">
        <f>developmentdata2019[[#This Row],[MGP (tons/day)]]*BC$1</f>
        <v>1.2881050000000001E-3</v>
      </c>
      <c r="BD134" s="37">
        <f>developmentdata2019[[#This Row],[Cardboard (tons/day)]]*BD$1</f>
        <v>9.0167350000000017E-5</v>
      </c>
      <c r="BE134" s="37">
        <f>developmentdata2019[[#This Row],[Paper (tons/day)]]*BE$1</f>
        <v>2.8853552000000006E-5</v>
      </c>
      <c r="BF134" s="37">
        <f>developmentdata2019[[#This Row],[Organics (tons/day)]]*BF$1</f>
        <v>2.8853552000000007E-7</v>
      </c>
      <c r="BG134" s="37">
        <f>developmentdata2019[[#This Row],[E-Waste (tons/day)]]*BG$1</f>
        <v>2.3082841600000005E-8</v>
      </c>
      <c r="BH134" s="37">
        <f>developmentdata2019[[#This Row],[Trash (tons/day)]]*BH$1</f>
        <v>2.0386925000000002</v>
      </c>
      <c r="BI134" s="37">
        <f>developmentdata2019[[#This Row],[MGP (tons/day)]]*BI$1</f>
        <v>0.33159503000000001</v>
      </c>
      <c r="BJ134" s="37">
        <f>developmentdata2019[[#This Row],[Cardboard (tons/day)]]*BJ$1</f>
        <v>3.4353760350000005E-2</v>
      </c>
      <c r="BK134" s="37">
        <f>developmentdata2019[[#This Row],[Paper (tons/day)]]*BK$1</f>
        <v>5.5813589650000018E-4</v>
      </c>
      <c r="BL134" s="37">
        <f>developmentdata2019[[#This Row],[Organics (tons/day)]]*BL$1</f>
        <v>1.2464734464000002E-4</v>
      </c>
      <c r="BM134" s="37">
        <f>developmentdata2019[[#This Row],[E-Waste (tons/day)]]*BM$1</f>
        <v>1.6302256880000005E-6</v>
      </c>
      <c r="BN134" s="37">
        <f>developmentdata2019[[#This Row],[Textiles (tons/day)]]*BN$1</f>
        <v>3.0769427852800008E-7</v>
      </c>
      <c r="BO134" s="37">
        <f>developmentdata2019[[#This Row],[Trash (CY/day)]]*201.974</f>
        <v>411.76287899500005</v>
      </c>
      <c r="BP134" s="37">
        <f>developmentdata2019[[#This Row],[MGP (CY/day)]]*201.974</f>
        <v>66.973574589219993</v>
      </c>
      <c r="BQ134" s="37">
        <f>developmentdata2019[[#This Row],[Cardboard (CY/day)]]*201.974</f>
        <v>6.9385663929309009</v>
      </c>
      <c r="BR134" s="37">
        <f>developmentdata2019[[#This Row],[Paper  (CY/day)]]*201.974</f>
        <v>0.11272893955969103</v>
      </c>
      <c r="BS134" s="37">
        <f>developmentdata2019[[#This Row],[Organics (CY/day)]]*201.974</f>
        <v>2.5175522786319363E-2</v>
      </c>
      <c r="BT134" s="37">
        <f>developmentdata2019[[#This Row],[E-Waste (CY/day)]]*201.974</f>
        <v>3.2926320310811208E-4</v>
      </c>
      <c r="BU134" s="37">
        <f>developmentdata2019[[#This Row],[Textiles (CY/day)]]*201.974</f>
        <v>6.2146244211414286E-5</v>
      </c>
    </row>
    <row r="135" spans="1:73" x14ac:dyDescent="0.2">
      <c r="A135" s="37" t="s">
        <v>1254</v>
      </c>
      <c r="B135" s="115">
        <v>43466</v>
      </c>
      <c r="C135" s="37" t="s">
        <v>1255</v>
      </c>
      <c r="D135">
        <v>78</v>
      </c>
      <c r="E135">
        <v>78</v>
      </c>
      <c r="F135">
        <v>229</v>
      </c>
      <c r="G135">
        <v>229</v>
      </c>
      <c r="H135" s="37" t="s">
        <v>1256</v>
      </c>
      <c r="I135" s="37" t="s">
        <v>577</v>
      </c>
      <c r="J135" s="37" t="s">
        <v>578</v>
      </c>
      <c r="K135" s="37" t="s">
        <v>579</v>
      </c>
      <c r="M135">
        <v>700</v>
      </c>
      <c r="N135">
        <v>700</v>
      </c>
      <c r="O135">
        <v>3252</v>
      </c>
      <c r="P135">
        <v>4.6500000000000004</v>
      </c>
      <c r="R135">
        <v>1601</v>
      </c>
      <c r="S135">
        <v>1601</v>
      </c>
      <c r="T135">
        <v>256</v>
      </c>
      <c r="U135">
        <v>0.372</v>
      </c>
      <c r="V135">
        <v>6</v>
      </c>
      <c r="W135">
        <v>0</v>
      </c>
      <c r="X135">
        <v>6</v>
      </c>
      <c r="Y135" t="s">
        <v>672</v>
      </c>
      <c r="Z135">
        <v>496875</v>
      </c>
      <c r="AA135">
        <v>11.41</v>
      </c>
      <c r="AB135">
        <v>496875</v>
      </c>
      <c r="AC135">
        <v>11.41</v>
      </c>
      <c r="AD135">
        <v>55678</v>
      </c>
      <c r="AE135">
        <v>5837785</v>
      </c>
      <c r="AF135">
        <v>0.1012</v>
      </c>
      <c r="AG135">
        <v>140</v>
      </c>
      <c r="AH135">
        <v>7547875</v>
      </c>
      <c r="AI135">
        <v>2321</v>
      </c>
      <c r="AJ135">
        <v>521</v>
      </c>
      <c r="AK135" s="37" t="s">
        <v>1257</v>
      </c>
      <c r="AL135" s="37" t="s">
        <v>1258</v>
      </c>
      <c r="AM135" s="37" t="s">
        <v>1259</v>
      </c>
      <c r="AN135" s="37"/>
      <c r="AO135" s="37" t="s">
        <v>584</v>
      </c>
      <c r="AP135">
        <v>4</v>
      </c>
      <c r="AQ135">
        <v>15</v>
      </c>
      <c r="AR135">
        <v>29</v>
      </c>
      <c r="AS135">
        <v>77</v>
      </c>
      <c r="AT135">
        <v>16</v>
      </c>
      <c r="AU135" s="115">
        <v>19893</v>
      </c>
      <c r="AV135" s="37"/>
      <c r="AW135" s="37"/>
      <c r="AX135" s="37"/>
      <c r="AY135" s="37"/>
      <c r="AZ135" s="37">
        <f>developmentdata2019[[#This Row],[NUMBER OF CURRENT APARTMENTS]]*5/2000</f>
        <v>1.75</v>
      </c>
      <c r="BA135" s="37">
        <f>developmentdata2019[[#This Row],[Total]]*BA$1</f>
        <v>0.45500000000000002</v>
      </c>
      <c r="BB135" s="37">
        <f>developmentdata2019[[#This Row],[Trash (tons/day)]]*BB$1</f>
        <v>8.6449999999999999E-2</v>
      </c>
      <c r="BC135" s="37">
        <f>developmentdata2019[[#This Row],[MGP (tons/day)]]*BC$1</f>
        <v>6.0515000000000005E-3</v>
      </c>
      <c r="BD135" s="37">
        <f>developmentdata2019[[#This Row],[Cardboard (tons/day)]]*BD$1</f>
        <v>4.2360500000000008E-4</v>
      </c>
      <c r="BE135" s="37">
        <f>developmentdata2019[[#This Row],[Paper (tons/day)]]*BE$1</f>
        <v>1.3555360000000002E-4</v>
      </c>
      <c r="BF135" s="37">
        <f>developmentdata2019[[#This Row],[Organics (tons/day)]]*BF$1</f>
        <v>1.3555360000000003E-6</v>
      </c>
      <c r="BG135" s="37">
        <f>developmentdata2019[[#This Row],[E-Waste (tons/day)]]*BG$1</f>
        <v>1.0844288000000003E-7</v>
      </c>
      <c r="BH135" s="37">
        <f>developmentdata2019[[#This Row],[Trash (tons/day)]]*BH$1</f>
        <v>9.57775</v>
      </c>
      <c r="BI135" s="37">
        <f>developmentdata2019[[#This Row],[MGP (tons/day)]]*BI$1</f>
        <v>1.5578289999999999</v>
      </c>
      <c r="BJ135" s="37">
        <f>developmentdata2019[[#This Row],[Cardboard (tons/day)]]*BJ$1</f>
        <v>0.16139350500000002</v>
      </c>
      <c r="BK135" s="37">
        <f>developmentdata2019[[#This Row],[Paper (tons/day)]]*BK$1</f>
        <v>2.6221149500000006E-3</v>
      </c>
      <c r="BL135" s="37">
        <f>developmentdata2019[[#This Row],[Organics (tons/day)]]*BL$1</f>
        <v>5.8559155200000018E-4</v>
      </c>
      <c r="BM135" s="37">
        <f>developmentdata2019[[#This Row],[E-Waste (tons/day)]]*BM$1</f>
        <v>7.6587784000000032E-6</v>
      </c>
      <c r="BN135" s="37">
        <f>developmentdata2019[[#This Row],[Textiles (tons/day)]]*BN$1</f>
        <v>1.4455435904000004E-6</v>
      </c>
      <c r="BO135" s="37">
        <f>developmentdata2019[[#This Row],[Trash (CY/day)]]*201.974</f>
        <v>1934.4564785</v>
      </c>
      <c r="BP135" s="37">
        <f>developmentdata2019[[#This Row],[MGP (CY/day)]]*201.974</f>
        <v>314.64095444599997</v>
      </c>
      <c r="BQ135" s="37">
        <f>developmentdata2019[[#This Row],[Cardboard (CY/day)]]*201.974</f>
        <v>32.597291778870002</v>
      </c>
      <c r="BR135" s="37">
        <f>developmentdata2019[[#This Row],[Paper  (CY/day)]]*201.974</f>
        <v>0.52959904491130005</v>
      </c>
      <c r="BS135" s="37">
        <f>developmentdata2019[[#This Row],[Organics (CY/day)]]*201.974</f>
        <v>0.11827426812364802</v>
      </c>
      <c r="BT135" s="37">
        <f>developmentdata2019[[#This Row],[E-Waste (CY/day)]]*201.974</f>
        <v>1.5468741085616006E-3</v>
      </c>
      <c r="BU135" s="37">
        <f>developmentdata2019[[#This Row],[Textiles (CY/day)]]*201.974</f>
        <v>2.9196222112744968E-4</v>
      </c>
    </row>
    <row r="136" spans="1:73" x14ac:dyDescent="0.2">
      <c r="A136" s="37" t="s">
        <v>1260</v>
      </c>
      <c r="B136" s="115">
        <v>43466</v>
      </c>
      <c r="C136" s="37" t="s">
        <v>854</v>
      </c>
      <c r="D136">
        <v>215</v>
      </c>
      <c r="E136">
        <v>530</v>
      </c>
      <c r="F136">
        <v>333</v>
      </c>
      <c r="G136">
        <v>748</v>
      </c>
      <c r="H136" s="37" t="s">
        <v>1261</v>
      </c>
      <c r="I136" s="37" t="s">
        <v>577</v>
      </c>
      <c r="J136" s="37" t="s">
        <v>588</v>
      </c>
      <c r="K136" s="37" t="s">
        <v>579</v>
      </c>
      <c r="M136">
        <v>65</v>
      </c>
      <c r="N136">
        <v>65</v>
      </c>
      <c r="O136">
        <v>270.5</v>
      </c>
      <c r="P136">
        <v>4.16</v>
      </c>
      <c r="R136">
        <v>144</v>
      </c>
      <c r="S136">
        <v>144</v>
      </c>
      <c r="T136">
        <v>22</v>
      </c>
      <c r="U136">
        <v>0.34399999999999997</v>
      </c>
      <c r="V136">
        <v>1</v>
      </c>
      <c r="W136">
        <v>0</v>
      </c>
      <c r="X136">
        <v>1</v>
      </c>
      <c r="Y136">
        <v>6</v>
      </c>
      <c r="Z136">
        <v>22000</v>
      </c>
      <c r="AA136">
        <v>0.51</v>
      </c>
      <c r="AB136">
        <v>22000</v>
      </c>
      <c r="AC136">
        <v>0.51</v>
      </c>
      <c r="AD136">
        <v>9242</v>
      </c>
      <c r="AE136">
        <v>602580</v>
      </c>
      <c r="AF136">
        <v>0.42009999999999997</v>
      </c>
      <c r="AG136">
        <v>282</v>
      </c>
      <c r="AH136">
        <v>1583566</v>
      </c>
      <c r="AI136">
        <v>5801</v>
      </c>
      <c r="AJ136">
        <v>505</v>
      </c>
      <c r="AK136" s="37" t="s">
        <v>1061</v>
      </c>
      <c r="AL136" s="37" t="s">
        <v>856</v>
      </c>
      <c r="AM136" s="37" t="s">
        <v>838</v>
      </c>
      <c r="AN136" s="37" t="s">
        <v>857</v>
      </c>
      <c r="AO136" s="37" t="s">
        <v>584</v>
      </c>
      <c r="AP136">
        <v>3</v>
      </c>
      <c r="AQ136">
        <v>15</v>
      </c>
      <c r="AR136">
        <v>32</v>
      </c>
      <c r="AS136">
        <v>79</v>
      </c>
      <c r="AT136">
        <v>17</v>
      </c>
      <c r="AU136" s="115">
        <v>25933</v>
      </c>
      <c r="AV136" s="37"/>
      <c r="AW136" s="37"/>
      <c r="AX136" s="37"/>
      <c r="AY136" s="37" t="s">
        <v>621</v>
      </c>
      <c r="AZ136" s="37">
        <f>developmentdata2019[[#This Row],[NUMBER OF CURRENT APARTMENTS]]*5/2000</f>
        <v>0.16250000000000001</v>
      </c>
      <c r="BA136" s="37">
        <f>developmentdata2019[[#This Row],[Total]]*BA$1</f>
        <v>4.2250000000000003E-2</v>
      </c>
      <c r="BB136" s="37">
        <f>developmentdata2019[[#This Row],[Trash (tons/day)]]*BB$1</f>
        <v>8.0274999999999999E-3</v>
      </c>
      <c r="BC136" s="37">
        <f>developmentdata2019[[#This Row],[MGP (tons/day)]]*BC$1</f>
        <v>5.6192500000000001E-4</v>
      </c>
      <c r="BD136" s="37">
        <f>developmentdata2019[[#This Row],[Cardboard (tons/day)]]*BD$1</f>
        <v>3.9334750000000005E-5</v>
      </c>
      <c r="BE136" s="37">
        <f>developmentdata2019[[#This Row],[Paper (tons/day)]]*BE$1</f>
        <v>1.2587120000000002E-5</v>
      </c>
      <c r="BF136" s="37">
        <f>developmentdata2019[[#This Row],[Organics (tons/day)]]*BF$1</f>
        <v>1.2587120000000001E-7</v>
      </c>
      <c r="BG136" s="37">
        <f>developmentdata2019[[#This Row],[E-Waste (tons/day)]]*BG$1</f>
        <v>1.0069696000000001E-8</v>
      </c>
      <c r="BH136" s="37">
        <f>developmentdata2019[[#This Row],[Trash (tons/day)]]*BH$1</f>
        <v>0.88936250000000006</v>
      </c>
      <c r="BI136" s="37">
        <f>developmentdata2019[[#This Row],[MGP (tons/day)]]*BI$1</f>
        <v>0.14465554999999999</v>
      </c>
      <c r="BJ136" s="37">
        <f>developmentdata2019[[#This Row],[Cardboard (tons/day)]]*BJ$1</f>
        <v>1.4986539750000001E-2</v>
      </c>
      <c r="BK136" s="37">
        <f>developmentdata2019[[#This Row],[Paper (tons/day)]]*BK$1</f>
        <v>2.4348210250000005E-4</v>
      </c>
      <c r="BL136" s="37">
        <f>developmentdata2019[[#This Row],[Organics (tons/day)]]*BL$1</f>
        <v>5.4376358400000008E-5</v>
      </c>
      <c r="BM136" s="37">
        <f>developmentdata2019[[#This Row],[E-Waste (tons/day)]]*BM$1</f>
        <v>7.111722800000001E-7</v>
      </c>
      <c r="BN136" s="37">
        <f>developmentdata2019[[#This Row],[Textiles (tons/day)]]*BN$1</f>
        <v>1.3422904768000002E-7</v>
      </c>
      <c r="BO136" s="37">
        <f>developmentdata2019[[#This Row],[Trash (CY/day)]]*201.974</f>
        <v>179.62810157499999</v>
      </c>
      <c r="BP136" s="37">
        <f>developmentdata2019[[#This Row],[MGP (CY/day)]]*201.974</f>
        <v>29.216660055699997</v>
      </c>
      <c r="BQ136" s="37">
        <f>developmentdata2019[[#This Row],[Cardboard (CY/day)]]*201.974</f>
        <v>3.0268913794665</v>
      </c>
      <c r="BR136" s="37">
        <f>developmentdata2019[[#This Row],[Paper  (CY/day)]]*201.974</f>
        <v>4.9177054170335008E-2</v>
      </c>
      <c r="BS136" s="37">
        <f>developmentdata2019[[#This Row],[Organics (CY/day)]]*201.974</f>
        <v>1.0982610611481602E-2</v>
      </c>
      <c r="BT136" s="37">
        <f>developmentdata2019[[#This Row],[E-Waste (CY/day)]]*201.974</f>
        <v>1.4363831008072002E-4</v>
      </c>
      <c r="BU136" s="37">
        <f>developmentdata2019[[#This Row],[Textiles (CY/day)]]*201.974</f>
        <v>2.7110777676120325E-5</v>
      </c>
    </row>
    <row r="137" spans="1:73" x14ac:dyDescent="0.2">
      <c r="A137" s="37" t="s">
        <v>1262</v>
      </c>
      <c r="B137" s="115">
        <v>43466</v>
      </c>
      <c r="C137" s="37" t="s">
        <v>1263</v>
      </c>
      <c r="D137">
        <v>159</v>
      </c>
      <c r="E137">
        <v>139</v>
      </c>
      <c r="F137">
        <v>277</v>
      </c>
      <c r="G137">
        <v>253</v>
      </c>
      <c r="H137" s="37" t="s">
        <v>1264</v>
      </c>
      <c r="I137" s="37" t="s">
        <v>577</v>
      </c>
      <c r="J137" s="37" t="s">
        <v>578</v>
      </c>
      <c r="K137" s="37" t="s">
        <v>579</v>
      </c>
      <c r="M137">
        <v>536</v>
      </c>
      <c r="N137">
        <v>537</v>
      </c>
      <c r="O137">
        <v>2070</v>
      </c>
      <c r="P137">
        <v>3.86</v>
      </c>
      <c r="R137">
        <v>941</v>
      </c>
      <c r="S137">
        <v>941</v>
      </c>
      <c r="T137">
        <v>257</v>
      </c>
      <c r="U137">
        <v>0.48099999999999998</v>
      </c>
      <c r="V137">
        <v>2</v>
      </c>
      <c r="W137">
        <v>0</v>
      </c>
      <c r="X137">
        <v>2</v>
      </c>
      <c r="Y137">
        <v>25</v>
      </c>
      <c r="Z137">
        <v>122341</v>
      </c>
      <c r="AA137">
        <v>2.81</v>
      </c>
      <c r="AB137">
        <v>122341</v>
      </c>
      <c r="AC137">
        <v>2.81</v>
      </c>
      <c r="AD137">
        <v>19872</v>
      </c>
      <c r="AE137">
        <v>3893920</v>
      </c>
      <c r="AF137">
        <v>0.16239999999999999</v>
      </c>
      <c r="AG137">
        <v>335</v>
      </c>
      <c r="AH137">
        <v>10435545</v>
      </c>
      <c r="AI137">
        <v>4952</v>
      </c>
      <c r="AJ137">
        <v>511</v>
      </c>
      <c r="AK137" s="37" t="s">
        <v>633</v>
      </c>
      <c r="AL137" s="37" t="s">
        <v>1265</v>
      </c>
      <c r="AM137" s="37" t="s">
        <v>731</v>
      </c>
      <c r="AN137" s="37" t="s">
        <v>1266</v>
      </c>
      <c r="AO137" s="37" t="s">
        <v>608</v>
      </c>
      <c r="AP137">
        <v>8</v>
      </c>
      <c r="AQ137">
        <v>12</v>
      </c>
      <c r="AR137">
        <v>28</v>
      </c>
      <c r="AS137">
        <v>68</v>
      </c>
      <c r="AT137">
        <v>5</v>
      </c>
      <c r="AU137" s="115">
        <v>25323</v>
      </c>
      <c r="AV137" s="37"/>
      <c r="AW137" s="37"/>
      <c r="AX137" s="37"/>
      <c r="AY137" s="37"/>
      <c r="AZ137" s="37">
        <f>developmentdata2019[[#This Row],[NUMBER OF CURRENT APARTMENTS]]*5/2000</f>
        <v>1.34</v>
      </c>
      <c r="BA137" s="37">
        <f>developmentdata2019[[#This Row],[Total]]*BA$1</f>
        <v>0.34840000000000004</v>
      </c>
      <c r="BB137" s="37">
        <f>developmentdata2019[[#This Row],[Trash (tons/day)]]*BB$1</f>
        <v>6.6196000000000005E-2</v>
      </c>
      <c r="BC137" s="37">
        <f>developmentdata2019[[#This Row],[MGP (tons/day)]]*BC$1</f>
        <v>4.6337200000000009E-3</v>
      </c>
      <c r="BD137" s="37">
        <f>developmentdata2019[[#This Row],[Cardboard (tons/day)]]*BD$1</f>
        <v>3.2436040000000007E-4</v>
      </c>
      <c r="BE137" s="37">
        <f>developmentdata2019[[#This Row],[Paper (tons/day)]]*BE$1</f>
        <v>1.0379532800000002E-4</v>
      </c>
      <c r="BF137" s="37">
        <f>developmentdata2019[[#This Row],[Organics (tons/day)]]*BF$1</f>
        <v>1.0379532800000002E-6</v>
      </c>
      <c r="BG137" s="37">
        <f>developmentdata2019[[#This Row],[E-Waste (tons/day)]]*BG$1</f>
        <v>8.3036262400000021E-8</v>
      </c>
      <c r="BH137" s="37">
        <f>developmentdata2019[[#This Row],[Trash (tons/day)]]*BH$1</f>
        <v>7.3338200000000011</v>
      </c>
      <c r="BI137" s="37">
        <f>developmentdata2019[[#This Row],[MGP (tons/day)]]*BI$1</f>
        <v>1.1928519200000001</v>
      </c>
      <c r="BJ137" s="37">
        <f>developmentdata2019[[#This Row],[Cardboard (tons/day)]]*BJ$1</f>
        <v>0.12358131240000003</v>
      </c>
      <c r="BK137" s="37">
        <f>developmentdata2019[[#This Row],[Paper (tons/day)]]*BK$1</f>
        <v>2.0077908760000006E-3</v>
      </c>
      <c r="BL137" s="37">
        <f>developmentdata2019[[#This Row],[Organics (tons/day)]]*BL$1</f>
        <v>4.4839581696000012E-4</v>
      </c>
      <c r="BM137" s="37">
        <f>developmentdata2019[[#This Row],[E-Waste (tons/day)]]*BM$1</f>
        <v>5.8644360320000012E-6</v>
      </c>
      <c r="BN137" s="37">
        <f>developmentdata2019[[#This Row],[Textiles (tons/day)]]*BN$1</f>
        <v>1.1068733777920002E-6</v>
      </c>
      <c r="BO137" s="37">
        <f>developmentdata2019[[#This Row],[Trash (CY/day)]]*201.974</f>
        <v>1481.2409606800002</v>
      </c>
      <c r="BP137" s="37">
        <f>developmentdata2019[[#This Row],[MGP (CY/day)]]*201.974</f>
        <v>240.92507369008001</v>
      </c>
      <c r="BQ137" s="37">
        <f>developmentdata2019[[#This Row],[Cardboard (CY/day)]]*201.974</f>
        <v>24.960211990677607</v>
      </c>
      <c r="BR137" s="37">
        <f>developmentdata2019[[#This Row],[Paper  (CY/day)]]*201.974</f>
        <v>0.4055215543892241</v>
      </c>
      <c r="BS137" s="37">
        <f>developmentdata2019[[#This Row],[Organics (CY/day)]]*201.974</f>
        <v>9.0564296734679056E-2</v>
      </c>
      <c r="BT137" s="37">
        <f>developmentdata2019[[#This Row],[E-Waste (CY/day)]]*201.974</f>
        <v>1.1844636031271682E-3</v>
      </c>
      <c r="BU137" s="37">
        <f>developmentdata2019[[#This Row],[Textiles (CY/day)]]*201.974</f>
        <v>2.2355964360616144E-4</v>
      </c>
    </row>
    <row r="138" spans="1:73" x14ac:dyDescent="0.2">
      <c r="A138" s="37" t="s">
        <v>457</v>
      </c>
      <c r="B138" s="115">
        <v>43466</v>
      </c>
      <c r="C138" s="37" t="s">
        <v>865</v>
      </c>
      <c r="D138">
        <v>247</v>
      </c>
      <c r="E138">
        <v>247</v>
      </c>
      <c r="F138">
        <v>546</v>
      </c>
      <c r="G138">
        <v>546</v>
      </c>
      <c r="H138" s="37" t="s">
        <v>1267</v>
      </c>
      <c r="I138" s="37" t="s">
        <v>577</v>
      </c>
      <c r="J138" s="37" t="s">
        <v>578</v>
      </c>
      <c r="K138" s="37" t="s">
        <v>579</v>
      </c>
      <c r="M138">
        <v>323</v>
      </c>
      <c r="N138">
        <v>324</v>
      </c>
      <c r="O138">
        <v>1404.5</v>
      </c>
      <c r="P138">
        <v>4.3499999999999996</v>
      </c>
      <c r="R138">
        <v>696</v>
      </c>
      <c r="S138">
        <v>696</v>
      </c>
      <c r="T138">
        <v>176</v>
      </c>
      <c r="U138">
        <v>0.54700000000000004</v>
      </c>
      <c r="V138">
        <v>4</v>
      </c>
      <c r="W138">
        <v>1</v>
      </c>
      <c r="X138">
        <v>4</v>
      </c>
      <c r="Y138">
        <v>43660</v>
      </c>
      <c r="Z138">
        <v>202500</v>
      </c>
      <c r="AA138">
        <v>4.6500000000000004</v>
      </c>
      <c r="AB138">
        <v>202500</v>
      </c>
      <c r="AC138">
        <v>4.6500000000000004</v>
      </c>
      <c r="AD138">
        <v>41000</v>
      </c>
      <c r="AE138">
        <v>351600</v>
      </c>
      <c r="AF138">
        <v>0.20250000000000001</v>
      </c>
      <c r="AG138">
        <v>150</v>
      </c>
      <c r="AH138">
        <v>20632339</v>
      </c>
      <c r="AI138">
        <v>14504</v>
      </c>
      <c r="AJ138">
        <v>511</v>
      </c>
      <c r="AK138" s="37" t="s">
        <v>1268</v>
      </c>
      <c r="AL138" s="37" t="s">
        <v>876</v>
      </c>
      <c r="AM138" s="37" t="s">
        <v>1269</v>
      </c>
      <c r="AN138" s="37"/>
      <c r="AO138" s="37" t="s">
        <v>593</v>
      </c>
      <c r="AP138">
        <v>4</v>
      </c>
      <c r="AQ138">
        <v>7</v>
      </c>
      <c r="AR138">
        <v>18</v>
      </c>
      <c r="AS138">
        <v>53</v>
      </c>
      <c r="AT138">
        <v>37</v>
      </c>
      <c r="AU138" s="115">
        <v>29829</v>
      </c>
      <c r="AV138" s="37"/>
      <c r="AW138" s="37" t="s">
        <v>693</v>
      </c>
      <c r="AX138" s="37" t="s">
        <v>621</v>
      </c>
      <c r="AY138" s="37"/>
      <c r="AZ138" s="37">
        <f>developmentdata2019[[#This Row],[NUMBER OF CURRENT APARTMENTS]]*5/2000</f>
        <v>0.8075</v>
      </c>
      <c r="BA138" s="37">
        <f>developmentdata2019[[#This Row],[Total]]*BA$1</f>
        <v>0.20995</v>
      </c>
      <c r="BB138" s="37">
        <f>developmentdata2019[[#This Row],[Trash (tons/day)]]*BB$1</f>
        <v>3.9890500000000002E-2</v>
      </c>
      <c r="BC138" s="37">
        <f>developmentdata2019[[#This Row],[MGP (tons/day)]]*BC$1</f>
        <v>2.7923350000000004E-3</v>
      </c>
      <c r="BD138" s="37">
        <f>developmentdata2019[[#This Row],[Cardboard (tons/day)]]*BD$1</f>
        <v>1.9546345000000004E-4</v>
      </c>
      <c r="BE138" s="37">
        <f>developmentdata2019[[#This Row],[Paper (tons/day)]]*BE$1</f>
        <v>6.2548304000000017E-5</v>
      </c>
      <c r="BF138" s="37">
        <f>developmentdata2019[[#This Row],[Organics (tons/day)]]*BF$1</f>
        <v>6.2548304000000019E-7</v>
      </c>
      <c r="BG138" s="37">
        <f>developmentdata2019[[#This Row],[E-Waste (tons/day)]]*BG$1</f>
        <v>5.0038643200000014E-8</v>
      </c>
      <c r="BH138" s="37">
        <f>developmentdata2019[[#This Row],[Trash (tons/day)]]*BH$1</f>
        <v>4.4194475000000004</v>
      </c>
      <c r="BI138" s="37">
        <f>developmentdata2019[[#This Row],[MGP (tons/day)]]*BI$1</f>
        <v>0.71882681000000004</v>
      </c>
      <c r="BJ138" s="37">
        <f>developmentdata2019[[#This Row],[Cardboard (tons/day)]]*BJ$1</f>
        <v>7.4471574450000022E-2</v>
      </c>
      <c r="BK138" s="37">
        <f>developmentdata2019[[#This Row],[Paper (tons/day)]]*BK$1</f>
        <v>1.2099187555000004E-3</v>
      </c>
      <c r="BL138" s="37">
        <f>developmentdata2019[[#This Row],[Organics (tons/day)]]*BL$1</f>
        <v>2.7020867328000008E-4</v>
      </c>
      <c r="BM138" s="37">
        <f>developmentdata2019[[#This Row],[E-Waste (tons/day)]]*BM$1</f>
        <v>3.5339791760000011E-6</v>
      </c>
      <c r="BN138" s="37">
        <f>developmentdata2019[[#This Row],[Textiles (tons/day)]]*BN$1</f>
        <v>6.6701511385600017E-7</v>
      </c>
      <c r="BO138" s="37">
        <f>developmentdata2019[[#This Row],[Trash (CY/day)]]*201.974</f>
        <v>892.61348936500008</v>
      </c>
      <c r="BP138" s="37">
        <f>developmentdata2019[[#This Row],[MGP (CY/day)]]*201.974</f>
        <v>145.18432612294001</v>
      </c>
      <c r="BQ138" s="37">
        <f>developmentdata2019[[#This Row],[Cardboard (CY/day)]]*201.974</f>
        <v>15.041321777964304</v>
      </c>
      <c r="BR138" s="37">
        <f>developmentdata2019[[#This Row],[Paper  (CY/day)]]*201.974</f>
        <v>0.24437213072335706</v>
      </c>
      <c r="BS138" s="37">
        <f>developmentdata2019[[#This Row],[Organics (CY/day)]]*201.974</f>
        <v>5.4575126577054732E-2</v>
      </c>
      <c r="BT138" s="37">
        <f>developmentdata2019[[#This Row],[E-Waste (CY/day)]]*201.974</f>
        <v>7.1377191009342421E-4</v>
      </c>
      <c r="BU138" s="37">
        <f>developmentdata2019[[#This Row],[Textiles (CY/day)]]*201.974</f>
        <v>1.3471971060595176E-4</v>
      </c>
    </row>
    <row r="139" spans="1:73" x14ac:dyDescent="0.2">
      <c r="A139" s="37" t="s">
        <v>490</v>
      </c>
      <c r="B139" s="115">
        <v>43466</v>
      </c>
      <c r="C139" s="37" t="s">
        <v>1270</v>
      </c>
      <c r="D139">
        <v>72</v>
      </c>
      <c r="E139">
        <v>72</v>
      </c>
      <c r="F139">
        <v>568</v>
      </c>
      <c r="G139">
        <v>568</v>
      </c>
      <c r="H139" s="37" t="s">
        <v>1271</v>
      </c>
      <c r="I139" s="37" t="s">
        <v>577</v>
      </c>
      <c r="J139" s="37" t="s">
        <v>578</v>
      </c>
      <c r="K139" s="37" t="s">
        <v>579</v>
      </c>
      <c r="M139">
        <v>813</v>
      </c>
      <c r="N139">
        <v>815</v>
      </c>
      <c r="O139">
        <v>3699.5</v>
      </c>
      <c r="P139">
        <v>4.55</v>
      </c>
      <c r="R139">
        <v>1835</v>
      </c>
      <c r="S139">
        <v>1835</v>
      </c>
      <c r="T139">
        <v>279</v>
      </c>
      <c r="U139">
        <v>0.34799999999999998</v>
      </c>
      <c r="V139">
        <v>10</v>
      </c>
      <c r="W139">
        <v>0</v>
      </c>
      <c r="X139">
        <v>16</v>
      </c>
      <c r="Y139">
        <v>43659</v>
      </c>
      <c r="Z139">
        <v>664735</v>
      </c>
      <c r="AA139">
        <v>15.26</v>
      </c>
      <c r="AB139">
        <v>621176</v>
      </c>
      <c r="AC139">
        <v>14.26</v>
      </c>
      <c r="AD139">
        <v>87500</v>
      </c>
      <c r="AE139">
        <v>6943700</v>
      </c>
      <c r="AF139">
        <v>0.13159999999999999</v>
      </c>
      <c r="AG139">
        <v>120</v>
      </c>
      <c r="AH139">
        <v>11359000</v>
      </c>
      <c r="AI139">
        <v>3079</v>
      </c>
      <c r="AJ139">
        <v>504</v>
      </c>
      <c r="AK139" s="37" t="s">
        <v>1173</v>
      </c>
      <c r="AL139" s="37" t="s">
        <v>851</v>
      </c>
      <c r="AM139" s="37" t="s">
        <v>1146</v>
      </c>
      <c r="AN139" s="37" t="s">
        <v>852</v>
      </c>
      <c r="AO139" s="37" t="s">
        <v>593</v>
      </c>
      <c r="AP139">
        <v>16</v>
      </c>
      <c r="AQ139">
        <v>8</v>
      </c>
      <c r="AR139">
        <v>20</v>
      </c>
      <c r="AS139">
        <v>55</v>
      </c>
      <c r="AT139">
        <v>41</v>
      </c>
      <c r="AU139" s="115">
        <v>20453</v>
      </c>
      <c r="AV139" s="37" t="s">
        <v>1026</v>
      </c>
      <c r="AW139" s="37"/>
      <c r="AX139" s="37"/>
      <c r="AY139" s="37"/>
      <c r="AZ139" s="37">
        <f>developmentdata2019[[#This Row],[NUMBER OF CURRENT APARTMENTS]]*5/2000</f>
        <v>2.0325000000000002</v>
      </c>
      <c r="BA139" s="37">
        <f>developmentdata2019[[#This Row],[Total]]*BA$1</f>
        <v>0.52845000000000009</v>
      </c>
      <c r="BB139" s="37">
        <f>developmentdata2019[[#This Row],[Trash (tons/day)]]*BB$1</f>
        <v>0.10040550000000002</v>
      </c>
      <c r="BC139" s="37">
        <f>developmentdata2019[[#This Row],[MGP (tons/day)]]*BC$1</f>
        <v>7.0283850000000024E-3</v>
      </c>
      <c r="BD139" s="37">
        <f>developmentdata2019[[#This Row],[Cardboard (tons/day)]]*BD$1</f>
        <v>4.9198695000000024E-4</v>
      </c>
      <c r="BE139" s="37">
        <f>developmentdata2019[[#This Row],[Paper (tons/day)]]*BE$1</f>
        <v>1.5743582400000008E-4</v>
      </c>
      <c r="BF139" s="37">
        <f>developmentdata2019[[#This Row],[Organics (tons/day)]]*BF$1</f>
        <v>1.5743582400000009E-6</v>
      </c>
      <c r="BG139" s="37">
        <f>developmentdata2019[[#This Row],[E-Waste (tons/day)]]*BG$1</f>
        <v>1.2594865920000006E-7</v>
      </c>
      <c r="BH139" s="37">
        <f>developmentdata2019[[#This Row],[Trash (tons/day)]]*BH$1</f>
        <v>11.123872500000003</v>
      </c>
      <c r="BI139" s="37">
        <f>developmentdata2019[[#This Row],[MGP (tons/day)]]*BI$1</f>
        <v>1.8093071100000004</v>
      </c>
      <c r="BJ139" s="37">
        <f>developmentdata2019[[#This Row],[Cardboard (tons/day)]]*BJ$1</f>
        <v>0.18744702795000007</v>
      </c>
      <c r="BK139" s="37">
        <f>developmentdata2019[[#This Row],[Paper (tons/day)]]*BK$1</f>
        <v>3.0453992205000018E-3</v>
      </c>
      <c r="BL139" s="37">
        <f>developmentdata2019[[#This Row],[Organics (tons/day)]]*BL$1</f>
        <v>6.8012275968000035E-4</v>
      </c>
      <c r="BM139" s="37">
        <f>developmentdata2019[[#This Row],[E-Waste (tons/day)]]*BM$1</f>
        <v>8.8951240560000057E-6</v>
      </c>
      <c r="BN139" s="37">
        <f>developmentdata2019[[#This Row],[Textiles (tons/day)]]*BN$1</f>
        <v>1.6788956271360009E-6</v>
      </c>
      <c r="BO139" s="37">
        <f>developmentdata2019[[#This Row],[Trash (CY/day)]]*201.974</f>
        <v>2246.7330243150004</v>
      </c>
      <c r="BP139" s="37">
        <f>developmentdata2019[[#This Row],[MGP (CY/day)]]*201.974</f>
        <v>365.43299423514009</v>
      </c>
      <c r="BQ139" s="37">
        <f>developmentdata2019[[#This Row],[Cardboard (CY/day)]]*201.974</f>
        <v>37.859426023173313</v>
      </c>
      <c r="BR139" s="37">
        <f>developmentdata2019[[#This Row],[Paper  (CY/day)]]*201.974</f>
        <v>0.61509146216126731</v>
      </c>
      <c r="BS139" s="37">
        <f>developmentdata2019[[#This Row],[Organics (CY/day)]]*201.974</f>
        <v>0.13736711426360837</v>
      </c>
      <c r="BT139" s="37">
        <f>developmentdata2019[[#This Row],[E-Waste (CY/day)]]*201.974</f>
        <v>1.7965837860865451E-3</v>
      </c>
      <c r="BU139" s="37">
        <f>developmentdata2019[[#This Row],[Textiles (CY/day)]]*201.974</f>
        <v>3.3909326539516662E-4</v>
      </c>
    </row>
    <row r="140" spans="1:73" x14ac:dyDescent="0.2">
      <c r="A140" s="37" t="s">
        <v>1272</v>
      </c>
      <c r="B140" s="115">
        <v>43466</v>
      </c>
      <c r="C140" s="37" t="s">
        <v>999</v>
      </c>
      <c r="D140">
        <v>339</v>
      </c>
      <c r="E140">
        <v>351</v>
      </c>
      <c r="F140">
        <v>782</v>
      </c>
      <c r="G140">
        <v>765</v>
      </c>
      <c r="H140" s="37" t="s">
        <v>1273</v>
      </c>
      <c r="I140" s="37" t="s">
        <v>577</v>
      </c>
      <c r="J140" s="37" t="s">
        <v>588</v>
      </c>
      <c r="K140" s="37" t="s">
        <v>579</v>
      </c>
      <c r="M140">
        <v>148</v>
      </c>
      <c r="N140">
        <v>150</v>
      </c>
      <c r="O140">
        <v>669</v>
      </c>
      <c r="P140">
        <v>4.5199999999999996</v>
      </c>
      <c r="R140">
        <v>373</v>
      </c>
      <c r="S140">
        <v>373</v>
      </c>
      <c r="T140">
        <v>39</v>
      </c>
      <c r="U140">
        <v>0.26500000000000001</v>
      </c>
      <c r="V140">
        <v>5</v>
      </c>
      <c r="W140">
        <v>1</v>
      </c>
      <c r="X140">
        <v>25</v>
      </c>
      <c r="Y140">
        <v>3</v>
      </c>
      <c r="Z140">
        <v>132915</v>
      </c>
      <c r="AA140">
        <v>3.05</v>
      </c>
      <c r="AB140">
        <v>132915</v>
      </c>
      <c r="AC140">
        <v>3.05</v>
      </c>
      <c r="AD140">
        <v>50568</v>
      </c>
      <c r="AE140">
        <v>1536736</v>
      </c>
      <c r="AF140">
        <v>0.3805</v>
      </c>
      <c r="AG140">
        <v>122</v>
      </c>
      <c r="AH140">
        <v>11464557</v>
      </c>
      <c r="AI140">
        <v>15641</v>
      </c>
      <c r="AJ140">
        <v>663</v>
      </c>
      <c r="AK140" s="37" t="s">
        <v>1173</v>
      </c>
      <c r="AL140" s="37" t="s">
        <v>1274</v>
      </c>
      <c r="AM140" s="37" t="s">
        <v>591</v>
      </c>
      <c r="AN140" s="37" t="s">
        <v>589</v>
      </c>
      <c r="AO140" s="37" t="s">
        <v>593</v>
      </c>
      <c r="AP140">
        <v>16</v>
      </c>
      <c r="AQ140">
        <v>9</v>
      </c>
      <c r="AR140">
        <v>20</v>
      </c>
      <c r="AS140">
        <v>55</v>
      </c>
      <c r="AT140">
        <v>41</v>
      </c>
      <c r="AU140" s="115">
        <v>32356</v>
      </c>
      <c r="AV140" s="37"/>
      <c r="AW140" s="37"/>
      <c r="AX140" s="37" t="s">
        <v>621</v>
      </c>
      <c r="AY140" s="37"/>
      <c r="AZ140" s="37">
        <f>developmentdata2019[[#This Row],[NUMBER OF CURRENT APARTMENTS]]*5/2000</f>
        <v>0.37</v>
      </c>
      <c r="BA140" s="37">
        <f>developmentdata2019[[#This Row],[Total]]*BA$1</f>
        <v>9.6200000000000008E-2</v>
      </c>
      <c r="BB140" s="37">
        <f>developmentdata2019[[#This Row],[Trash (tons/day)]]*BB$1</f>
        <v>1.8278000000000003E-2</v>
      </c>
      <c r="BC140" s="37">
        <f>developmentdata2019[[#This Row],[MGP (tons/day)]]*BC$1</f>
        <v>1.2794600000000003E-3</v>
      </c>
      <c r="BD140" s="37">
        <f>developmentdata2019[[#This Row],[Cardboard (tons/day)]]*BD$1</f>
        <v>8.9562200000000021E-5</v>
      </c>
      <c r="BE140" s="37">
        <f>developmentdata2019[[#This Row],[Paper (tons/day)]]*BE$1</f>
        <v>2.8659904000000008E-5</v>
      </c>
      <c r="BF140" s="37">
        <f>developmentdata2019[[#This Row],[Organics (tons/day)]]*BF$1</f>
        <v>2.865990400000001E-7</v>
      </c>
      <c r="BG140" s="37">
        <f>developmentdata2019[[#This Row],[E-Waste (tons/day)]]*BG$1</f>
        <v>2.2927923200000007E-8</v>
      </c>
      <c r="BH140" s="37">
        <f>developmentdata2019[[#This Row],[Trash (tons/day)]]*BH$1</f>
        <v>2.0250100000000004</v>
      </c>
      <c r="BI140" s="37">
        <f>developmentdata2019[[#This Row],[MGP (tons/day)]]*BI$1</f>
        <v>0.32936956000000006</v>
      </c>
      <c r="BJ140" s="37">
        <f>developmentdata2019[[#This Row],[Cardboard (tons/day)]]*BJ$1</f>
        <v>3.412319820000001E-2</v>
      </c>
      <c r="BK140" s="37">
        <f>developmentdata2019[[#This Row],[Paper (tons/day)]]*BK$1</f>
        <v>5.5439001800000013E-4</v>
      </c>
      <c r="BL140" s="37">
        <f>developmentdata2019[[#This Row],[Organics (tons/day)]]*BL$1</f>
        <v>1.2381078528000004E-4</v>
      </c>
      <c r="BM140" s="37">
        <f>developmentdata2019[[#This Row],[E-Waste (tons/day)]]*BM$1</f>
        <v>1.6192845760000007E-6</v>
      </c>
      <c r="BN140" s="37">
        <f>developmentdata2019[[#This Row],[Textiles (tons/day)]]*BN$1</f>
        <v>3.0562921625600012E-7</v>
      </c>
      <c r="BO140" s="37">
        <f>developmentdata2019[[#This Row],[Trash (CY/day)]]*201.974</f>
        <v>408.99936974000008</v>
      </c>
      <c r="BP140" s="37">
        <f>developmentdata2019[[#This Row],[MGP (CY/day)]]*201.974</f>
        <v>66.524087511440015</v>
      </c>
      <c r="BQ140" s="37">
        <f>developmentdata2019[[#This Row],[Cardboard (CY/day)]]*201.974</f>
        <v>6.8919988332468014</v>
      </c>
      <c r="BR140" s="37">
        <f>developmentdata2019[[#This Row],[Paper  (CY/day)]]*201.974</f>
        <v>0.11197236949553202</v>
      </c>
      <c r="BS140" s="37">
        <f>developmentdata2019[[#This Row],[Organics (CY/day)]]*201.974</f>
        <v>2.5006559546142726E-2</v>
      </c>
      <c r="BT140" s="37">
        <f>developmentdata2019[[#This Row],[E-Waste (CY/day)]]*201.974</f>
        <v>3.2705338295302411E-4</v>
      </c>
      <c r="BU140" s="37">
        <f>developmentdata2019[[#This Row],[Textiles (CY/day)]]*201.974</f>
        <v>6.172915532408937E-5</v>
      </c>
    </row>
    <row r="141" spans="1:73" x14ac:dyDescent="0.2">
      <c r="A141" s="37" t="s">
        <v>1275</v>
      </c>
      <c r="B141" s="115">
        <v>43466</v>
      </c>
      <c r="C141" s="37" t="s">
        <v>999</v>
      </c>
      <c r="D141">
        <v>365</v>
      </c>
      <c r="E141">
        <v>351</v>
      </c>
      <c r="F141">
        <v>551</v>
      </c>
      <c r="G141">
        <v>551</v>
      </c>
      <c r="H141" s="37" t="s">
        <v>1276</v>
      </c>
      <c r="I141" s="37" t="s">
        <v>577</v>
      </c>
      <c r="J141" s="37" t="s">
        <v>588</v>
      </c>
      <c r="K141" s="37" t="s">
        <v>579</v>
      </c>
      <c r="M141">
        <v>155</v>
      </c>
      <c r="N141">
        <v>156</v>
      </c>
      <c r="O141">
        <v>776.5</v>
      </c>
      <c r="P141">
        <v>5.01</v>
      </c>
      <c r="R141">
        <v>449</v>
      </c>
      <c r="S141">
        <v>449</v>
      </c>
      <c r="T141">
        <v>28</v>
      </c>
      <c r="U141">
        <v>0.182</v>
      </c>
      <c r="V141">
        <v>8</v>
      </c>
      <c r="W141">
        <v>0</v>
      </c>
      <c r="X141">
        <v>159</v>
      </c>
      <c r="Y141">
        <v>3</v>
      </c>
      <c r="Z141">
        <v>197563</v>
      </c>
      <c r="AA141">
        <v>4.54</v>
      </c>
      <c r="AB141">
        <v>197563</v>
      </c>
      <c r="AC141">
        <v>4.54</v>
      </c>
      <c r="AD141">
        <v>54978</v>
      </c>
      <c r="AE141">
        <v>1657275</v>
      </c>
      <c r="AF141">
        <v>0.27829999999999999</v>
      </c>
      <c r="AG141">
        <v>99</v>
      </c>
      <c r="AH141">
        <v>15843706</v>
      </c>
      <c r="AI141">
        <v>20286</v>
      </c>
      <c r="AJ141">
        <v>700</v>
      </c>
      <c r="AK141" s="37" t="s">
        <v>1277</v>
      </c>
      <c r="AL141" s="37" t="s">
        <v>1278</v>
      </c>
      <c r="AM141" s="37" t="s">
        <v>845</v>
      </c>
      <c r="AN141" s="37" t="s">
        <v>1002</v>
      </c>
      <c r="AO141" s="37" t="s">
        <v>593</v>
      </c>
      <c r="AP141">
        <v>16</v>
      </c>
      <c r="AQ141">
        <v>9</v>
      </c>
      <c r="AR141" t="s">
        <v>1004</v>
      </c>
      <c r="AS141">
        <v>55</v>
      </c>
      <c r="AT141">
        <v>41</v>
      </c>
      <c r="AU141" s="115">
        <v>34577</v>
      </c>
      <c r="AV141" s="37"/>
      <c r="AW141" s="37"/>
      <c r="AX141" s="37" t="s">
        <v>621</v>
      </c>
      <c r="AY141" s="37"/>
      <c r="AZ141" s="37">
        <f>developmentdata2019[[#This Row],[NUMBER OF CURRENT APARTMENTS]]*5/2000</f>
        <v>0.38750000000000001</v>
      </c>
      <c r="BA141" s="37">
        <f>developmentdata2019[[#This Row],[Total]]*BA$1</f>
        <v>0.10075000000000001</v>
      </c>
      <c r="BB141" s="37">
        <f>developmentdata2019[[#This Row],[Trash (tons/day)]]*BB$1</f>
        <v>1.91425E-2</v>
      </c>
      <c r="BC141" s="37">
        <f>developmentdata2019[[#This Row],[MGP (tons/day)]]*BC$1</f>
        <v>1.3399750000000002E-3</v>
      </c>
      <c r="BD141" s="37">
        <f>developmentdata2019[[#This Row],[Cardboard (tons/day)]]*BD$1</f>
        <v>9.3798250000000016E-5</v>
      </c>
      <c r="BE141" s="37">
        <f>developmentdata2019[[#This Row],[Paper (tons/day)]]*BE$1</f>
        <v>3.0015440000000007E-5</v>
      </c>
      <c r="BF141" s="37">
        <f>developmentdata2019[[#This Row],[Organics (tons/day)]]*BF$1</f>
        <v>3.0015440000000008E-7</v>
      </c>
      <c r="BG141" s="37">
        <f>developmentdata2019[[#This Row],[E-Waste (tons/day)]]*BG$1</f>
        <v>2.4012352000000007E-8</v>
      </c>
      <c r="BH141" s="37">
        <f>developmentdata2019[[#This Row],[Trash (tons/day)]]*BH$1</f>
        <v>2.1207875</v>
      </c>
      <c r="BI141" s="37">
        <f>developmentdata2019[[#This Row],[MGP (tons/day)]]*BI$1</f>
        <v>0.34494785</v>
      </c>
      <c r="BJ141" s="37">
        <f>developmentdata2019[[#This Row],[Cardboard (tons/day)]]*BJ$1</f>
        <v>3.5737133250000004E-2</v>
      </c>
      <c r="BK141" s="37">
        <f>developmentdata2019[[#This Row],[Paper (tons/day)]]*BK$1</f>
        <v>5.8061116750000017E-4</v>
      </c>
      <c r="BL141" s="37">
        <f>developmentdata2019[[#This Row],[Organics (tons/day)]]*BL$1</f>
        <v>1.2966670080000005E-4</v>
      </c>
      <c r="BM141" s="37">
        <f>developmentdata2019[[#This Row],[E-Waste (tons/day)]]*BM$1</f>
        <v>1.6958723600000005E-6</v>
      </c>
      <c r="BN141" s="37">
        <f>developmentdata2019[[#This Row],[Textiles (tons/day)]]*BN$1</f>
        <v>3.2008465216000011E-7</v>
      </c>
      <c r="BO141" s="37">
        <f>developmentdata2019[[#This Row],[Trash (CY/day)]]*201.974</f>
        <v>428.34393452500001</v>
      </c>
      <c r="BP141" s="37">
        <f>developmentdata2019[[#This Row],[MGP (CY/day)]]*201.974</f>
        <v>69.6704970559</v>
      </c>
      <c r="BQ141" s="37">
        <f>developmentdata2019[[#This Row],[Cardboard (CY/day)]]*201.974</f>
        <v>7.2179717510355008</v>
      </c>
      <c r="BR141" s="37">
        <f>developmentdata2019[[#This Row],[Paper  (CY/day)]]*201.974</f>
        <v>0.11726835994464503</v>
      </c>
      <c r="BS141" s="37">
        <f>developmentdata2019[[#This Row],[Organics (CY/day)]]*201.974</f>
        <v>2.618930222737921E-2</v>
      </c>
      <c r="BT141" s="37">
        <f>developmentdata2019[[#This Row],[E-Waste (CY/day)]]*201.974</f>
        <v>3.4252212403864009E-4</v>
      </c>
      <c r="BU141" s="37">
        <f>developmentdata2019[[#This Row],[Textiles (CY/day)]]*201.974</f>
        <v>6.4648777535363861E-5</v>
      </c>
    </row>
    <row r="142" spans="1:73" x14ac:dyDescent="0.2">
      <c r="A142" s="37" t="s">
        <v>1279</v>
      </c>
      <c r="B142" s="115">
        <v>43466</v>
      </c>
      <c r="C142" s="37" t="s">
        <v>1280</v>
      </c>
      <c r="D142">
        <v>168</v>
      </c>
      <c r="E142">
        <v>168</v>
      </c>
      <c r="F142">
        <v>275</v>
      </c>
      <c r="G142">
        <v>275</v>
      </c>
      <c r="H142" s="37" t="s">
        <v>1281</v>
      </c>
      <c r="I142" s="37" t="s">
        <v>577</v>
      </c>
      <c r="J142" s="37" t="s">
        <v>578</v>
      </c>
      <c r="K142" s="37" t="s">
        <v>579</v>
      </c>
      <c r="M142">
        <v>509</v>
      </c>
      <c r="N142">
        <v>513</v>
      </c>
      <c r="O142">
        <v>2421.5</v>
      </c>
      <c r="P142">
        <v>4.76</v>
      </c>
      <c r="R142">
        <v>1366</v>
      </c>
      <c r="S142">
        <v>1366</v>
      </c>
      <c r="T142">
        <v>135</v>
      </c>
      <c r="U142">
        <v>0.26800000000000002</v>
      </c>
      <c r="V142">
        <v>3</v>
      </c>
      <c r="W142">
        <v>1</v>
      </c>
      <c r="X142">
        <v>4</v>
      </c>
      <c r="Y142">
        <v>22</v>
      </c>
      <c r="Z142">
        <v>241990</v>
      </c>
      <c r="AA142">
        <v>5.56</v>
      </c>
      <c r="AB142">
        <v>241990</v>
      </c>
      <c r="AC142">
        <v>5.56</v>
      </c>
      <c r="AD142">
        <v>23502</v>
      </c>
      <c r="AE142">
        <v>4599540</v>
      </c>
      <c r="AF142">
        <v>9.7100000000000006E-2</v>
      </c>
      <c r="AG142">
        <v>246</v>
      </c>
      <c r="AH142">
        <v>10288064</v>
      </c>
      <c r="AI142">
        <v>4201</v>
      </c>
      <c r="AJ142">
        <v>585</v>
      </c>
      <c r="AK142" s="37" t="s">
        <v>852</v>
      </c>
      <c r="AL142" s="37" t="s">
        <v>851</v>
      </c>
      <c r="AM142" s="37" t="s">
        <v>591</v>
      </c>
      <c r="AN142" s="37" t="s">
        <v>756</v>
      </c>
      <c r="AO142" s="37" t="s">
        <v>593</v>
      </c>
      <c r="AP142">
        <v>16</v>
      </c>
      <c r="AQ142">
        <v>9</v>
      </c>
      <c r="AR142">
        <v>20</v>
      </c>
      <c r="AS142">
        <v>55</v>
      </c>
      <c r="AT142">
        <v>41</v>
      </c>
      <c r="AU142" s="115">
        <v>25019</v>
      </c>
      <c r="AV142" s="37"/>
      <c r="AW142" s="37"/>
      <c r="AX142" s="37"/>
      <c r="AY142" s="37"/>
      <c r="AZ142" s="37">
        <f>developmentdata2019[[#This Row],[NUMBER OF CURRENT APARTMENTS]]*5/2000</f>
        <v>1.2725</v>
      </c>
      <c r="BA142" s="37">
        <f>developmentdata2019[[#This Row],[Total]]*BA$1</f>
        <v>0.33084999999999998</v>
      </c>
      <c r="BB142" s="37">
        <f>developmentdata2019[[#This Row],[Trash (tons/day)]]*BB$1</f>
        <v>6.2861500000000001E-2</v>
      </c>
      <c r="BC142" s="37">
        <f>developmentdata2019[[#This Row],[MGP (tons/day)]]*BC$1</f>
        <v>4.4003050000000002E-3</v>
      </c>
      <c r="BD142" s="37">
        <f>developmentdata2019[[#This Row],[Cardboard (tons/day)]]*BD$1</f>
        <v>3.0802135000000002E-4</v>
      </c>
      <c r="BE142" s="37">
        <f>developmentdata2019[[#This Row],[Paper (tons/day)]]*BE$1</f>
        <v>9.8566832000000014E-5</v>
      </c>
      <c r="BF142" s="37">
        <f>developmentdata2019[[#This Row],[Organics (tons/day)]]*BF$1</f>
        <v>9.8566832000000022E-7</v>
      </c>
      <c r="BG142" s="37">
        <f>developmentdata2019[[#This Row],[E-Waste (tons/day)]]*BG$1</f>
        <v>7.8853465600000014E-8</v>
      </c>
      <c r="BH142" s="37">
        <f>developmentdata2019[[#This Row],[Trash (tons/day)]]*BH$1</f>
        <v>6.9643924999999998</v>
      </c>
      <c r="BI142" s="37">
        <f>developmentdata2019[[#This Row],[MGP (tons/day)]]*BI$1</f>
        <v>1.13276423</v>
      </c>
      <c r="BJ142" s="37">
        <f>developmentdata2019[[#This Row],[Cardboard (tons/day)]]*BJ$1</f>
        <v>0.11735613435000002</v>
      </c>
      <c r="BK142" s="37">
        <f>developmentdata2019[[#This Row],[Paper (tons/day)]]*BK$1</f>
        <v>1.9066521565000002E-3</v>
      </c>
      <c r="BL142" s="37">
        <f>developmentdata2019[[#This Row],[Organics (tons/day)]]*BL$1</f>
        <v>4.2580871424000011E-4</v>
      </c>
      <c r="BM142" s="37">
        <f>developmentdata2019[[#This Row],[E-Waste (tons/day)]]*BM$1</f>
        <v>5.5690260080000016E-6</v>
      </c>
      <c r="BN142" s="37">
        <f>developmentdata2019[[#This Row],[Textiles (tons/day)]]*BN$1</f>
        <v>1.0511166964480002E-6</v>
      </c>
      <c r="BO142" s="37">
        <f>developmentdata2019[[#This Row],[Trash (CY/day)]]*201.974</f>
        <v>1406.6262107949999</v>
      </c>
      <c r="BP142" s="37">
        <f>developmentdata2019[[#This Row],[MGP (CY/day)]]*201.974</f>
        <v>228.78892259002001</v>
      </c>
      <c r="BQ142" s="37">
        <f>developmentdata2019[[#This Row],[Cardboard (CY/day)]]*201.974</f>
        <v>23.702887879206902</v>
      </c>
      <c r="BR142" s="37">
        <f>developmentdata2019[[#This Row],[Paper  (CY/day)]]*201.974</f>
        <v>0.38509416265693103</v>
      </c>
      <c r="BS142" s="37">
        <f>developmentdata2019[[#This Row],[Organics (CY/day)]]*201.974</f>
        <v>8.6002289249909783E-2</v>
      </c>
      <c r="BT142" s="37">
        <f>developmentdata2019[[#This Row],[E-Waste (CY/day)]]*201.974</f>
        <v>1.1247984589397922E-3</v>
      </c>
      <c r="BU142" s="37">
        <f>developmentdata2019[[#This Row],[Textiles (CY/day)]]*201.974</f>
        <v>2.1229824364838836E-4</v>
      </c>
    </row>
    <row r="143" spans="1:73" x14ac:dyDescent="0.2">
      <c r="A143" s="37" t="s">
        <v>1282</v>
      </c>
      <c r="B143" s="115">
        <v>43466</v>
      </c>
      <c r="C143" s="37" t="s">
        <v>854</v>
      </c>
      <c r="D143">
        <v>367</v>
      </c>
      <c r="E143">
        <v>530</v>
      </c>
      <c r="F143">
        <v>806</v>
      </c>
      <c r="G143">
        <v>748</v>
      </c>
      <c r="H143" s="37" t="s">
        <v>1283</v>
      </c>
      <c r="I143" s="37" t="s">
        <v>577</v>
      </c>
      <c r="J143" s="37" t="s">
        <v>588</v>
      </c>
      <c r="K143" s="37" t="s">
        <v>597</v>
      </c>
      <c r="M143">
        <v>131</v>
      </c>
      <c r="N143">
        <v>131</v>
      </c>
      <c r="O143">
        <v>605.5</v>
      </c>
      <c r="P143">
        <v>4.62</v>
      </c>
      <c r="R143">
        <v>314</v>
      </c>
      <c r="S143">
        <v>314</v>
      </c>
      <c r="T143">
        <v>35</v>
      </c>
      <c r="U143">
        <v>0.27300000000000002</v>
      </c>
      <c r="V143">
        <v>13</v>
      </c>
      <c r="W143">
        <v>0</v>
      </c>
      <c r="X143">
        <v>13</v>
      </c>
      <c r="Y143">
        <v>43560</v>
      </c>
      <c r="Z143">
        <v>58206</v>
      </c>
      <c r="AA143">
        <v>1.34</v>
      </c>
      <c r="AB143">
        <v>58206</v>
      </c>
      <c r="AC143">
        <v>1.34</v>
      </c>
      <c r="AD143">
        <v>35180</v>
      </c>
      <c r="AE143">
        <v>1540888</v>
      </c>
      <c r="AF143">
        <v>0.60440000000000005</v>
      </c>
      <c r="AG143">
        <v>234</v>
      </c>
      <c r="AH143">
        <v>13280604</v>
      </c>
      <c r="AI143">
        <v>21933</v>
      </c>
      <c r="AJ143">
        <v>568</v>
      </c>
      <c r="AK143" s="37" t="s">
        <v>911</v>
      </c>
      <c r="AL143" s="37" t="s">
        <v>1284</v>
      </c>
      <c r="AM143" s="37" t="s">
        <v>1285</v>
      </c>
      <c r="AN143" s="37" t="s">
        <v>1286</v>
      </c>
      <c r="AO143" s="37" t="s">
        <v>584</v>
      </c>
      <c r="AP143">
        <v>2</v>
      </c>
      <c r="AQ143">
        <v>15</v>
      </c>
      <c r="AR143" t="s">
        <v>1287</v>
      </c>
      <c r="AS143">
        <v>85</v>
      </c>
      <c r="AT143">
        <v>17</v>
      </c>
      <c r="AU143" s="115">
        <v>33572</v>
      </c>
      <c r="AV143" s="37"/>
      <c r="AW143" s="37"/>
      <c r="AX143" s="37" t="s">
        <v>621</v>
      </c>
      <c r="AY143" s="37" t="s">
        <v>621</v>
      </c>
      <c r="AZ143" s="37">
        <f>developmentdata2019[[#This Row],[NUMBER OF CURRENT APARTMENTS]]*5/2000</f>
        <v>0.32750000000000001</v>
      </c>
      <c r="BA143" s="37">
        <f>developmentdata2019[[#This Row],[Total]]*BA$1</f>
        <v>8.5150000000000003E-2</v>
      </c>
      <c r="BB143" s="37">
        <f>developmentdata2019[[#This Row],[Trash (tons/day)]]*BB$1</f>
        <v>1.6178500000000002E-2</v>
      </c>
      <c r="BC143" s="37">
        <f>developmentdata2019[[#This Row],[MGP (tons/day)]]*BC$1</f>
        <v>1.1324950000000003E-3</v>
      </c>
      <c r="BD143" s="37">
        <f>developmentdata2019[[#This Row],[Cardboard (tons/day)]]*BD$1</f>
        <v>7.9274650000000032E-5</v>
      </c>
      <c r="BE143" s="37">
        <f>developmentdata2019[[#This Row],[Paper (tons/day)]]*BE$1</f>
        <v>2.5367888000000012E-5</v>
      </c>
      <c r="BF143" s="37">
        <f>developmentdata2019[[#This Row],[Organics (tons/day)]]*BF$1</f>
        <v>2.5367888000000015E-7</v>
      </c>
      <c r="BG143" s="37">
        <f>developmentdata2019[[#This Row],[E-Waste (tons/day)]]*BG$1</f>
        <v>2.0294310400000013E-8</v>
      </c>
      <c r="BH143" s="37">
        <f>developmentdata2019[[#This Row],[Trash (tons/day)]]*BH$1</f>
        <v>1.7924075000000002</v>
      </c>
      <c r="BI143" s="37">
        <f>developmentdata2019[[#This Row],[MGP (tons/day)]]*BI$1</f>
        <v>0.29153657000000005</v>
      </c>
      <c r="BJ143" s="37">
        <f>developmentdata2019[[#This Row],[Cardboard (tons/day)]]*BJ$1</f>
        <v>3.0203641650000009E-2</v>
      </c>
      <c r="BK143" s="37">
        <f>developmentdata2019[[#This Row],[Paper (tons/day)]]*BK$1</f>
        <v>4.907100835000002E-4</v>
      </c>
      <c r="BL143" s="37">
        <f>developmentdata2019[[#This Row],[Organics (tons/day)]]*BL$1</f>
        <v>1.0958927616000006E-4</v>
      </c>
      <c r="BM143" s="37">
        <f>developmentdata2019[[#This Row],[E-Waste (tons/day)]]*BM$1</f>
        <v>1.4332856720000009E-6</v>
      </c>
      <c r="BN143" s="37">
        <f>developmentdata2019[[#This Row],[Textiles (tons/day)]]*BN$1</f>
        <v>2.7052315763200017E-7</v>
      </c>
      <c r="BO143" s="37">
        <f>developmentdata2019[[#This Row],[Trash (CY/day)]]*201.974</f>
        <v>362.01971240500001</v>
      </c>
      <c r="BP143" s="37">
        <f>developmentdata2019[[#This Row],[MGP (CY/day)]]*201.974</f>
        <v>58.882807189180006</v>
      </c>
      <c r="BQ143" s="37">
        <f>developmentdata2019[[#This Row],[Cardboard (CY/day)]]*201.974</f>
        <v>6.1003503186171013</v>
      </c>
      <c r="BR143" s="37">
        <f>developmentdata2019[[#This Row],[Paper  (CY/day)]]*201.974</f>
        <v>9.9110678404829039E-2</v>
      </c>
      <c r="BS143" s="37">
        <f>developmentdata2019[[#This Row],[Organics (CY/day)]]*201.974</f>
        <v>2.2134184463139851E-2</v>
      </c>
      <c r="BT143" s="37">
        <f>developmentdata2019[[#This Row],[E-Waste (CY/day)]]*201.974</f>
        <v>2.8948644031652818E-4</v>
      </c>
      <c r="BU143" s="37">
        <f>developmentdata2019[[#This Row],[Textiles (CY/day)]]*201.974</f>
        <v>5.4638644239565599E-5</v>
      </c>
    </row>
    <row r="144" spans="1:73" x14ac:dyDescent="0.2">
      <c r="A144" s="37" t="s">
        <v>1288</v>
      </c>
      <c r="B144" s="115">
        <v>43466</v>
      </c>
      <c r="C144" s="37" t="s">
        <v>1289</v>
      </c>
      <c r="D144">
        <v>109</v>
      </c>
      <c r="E144">
        <v>86</v>
      </c>
      <c r="F144">
        <v>680</v>
      </c>
      <c r="G144">
        <v>680</v>
      </c>
      <c r="H144" s="37" t="s">
        <v>1290</v>
      </c>
      <c r="I144" s="37" t="s">
        <v>577</v>
      </c>
      <c r="J144" s="37" t="s">
        <v>578</v>
      </c>
      <c r="K144" s="37" t="s">
        <v>579</v>
      </c>
      <c r="M144">
        <v>209</v>
      </c>
      <c r="N144">
        <v>209</v>
      </c>
      <c r="O144">
        <v>933.5</v>
      </c>
      <c r="P144">
        <v>4.47</v>
      </c>
      <c r="R144">
        <v>456</v>
      </c>
      <c r="S144">
        <v>456</v>
      </c>
      <c r="T144">
        <v>82</v>
      </c>
      <c r="U144">
        <v>0.39400000000000002</v>
      </c>
      <c r="V144">
        <v>1</v>
      </c>
      <c r="W144">
        <v>0</v>
      </c>
      <c r="X144">
        <v>1</v>
      </c>
      <c r="Y144">
        <v>19</v>
      </c>
      <c r="Z144">
        <v>77658</v>
      </c>
      <c r="AA144">
        <v>1.78</v>
      </c>
      <c r="AB144">
        <v>77658</v>
      </c>
      <c r="AC144">
        <v>1.78</v>
      </c>
      <c r="AD144">
        <v>11403</v>
      </c>
      <c r="AE144">
        <v>1878400</v>
      </c>
      <c r="AF144">
        <v>0.14680000000000001</v>
      </c>
      <c r="AG144">
        <v>256</v>
      </c>
      <c r="AH144">
        <v>3945608</v>
      </c>
      <c r="AI144">
        <v>4240</v>
      </c>
      <c r="AJ144">
        <v>573</v>
      </c>
      <c r="AK144" s="37" t="s">
        <v>862</v>
      </c>
      <c r="AL144" s="37" t="s">
        <v>790</v>
      </c>
      <c r="AM144" s="37" t="s">
        <v>791</v>
      </c>
      <c r="AN144" s="37" t="s">
        <v>786</v>
      </c>
      <c r="AO144" s="37" t="s">
        <v>593</v>
      </c>
      <c r="AP144">
        <v>1</v>
      </c>
      <c r="AQ144">
        <v>7</v>
      </c>
      <c r="AR144">
        <v>18</v>
      </c>
      <c r="AS144">
        <v>53</v>
      </c>
      <c r="AT144">
        <v>34</v>
      </c>
      <c r="AU144" s="115">
        <v>22097</v>
      </c>
      <c r="AV144" s="37" t="s">
        <v>715</v>
      </c>
      <c r="AW144" s="37"/>
      <c r="AX144" s="37"/>
      <c r="AY144" s="37"/>
      <c r="AZ144" s="37">
        <f>developmentdata2019[[#This Row],[NUMBER OF CURRENT APARTMENTS]]*5/2000</f>
        <v>0.52249999999999996</v>
      </c>
      <c r="BA144" s="37">
        <f>developmentdata2019[[#This Row],[Total]]*BA$1</f>
        <v>0.13585</v>
      </c>
      <c r="BB144" s="37">
        <f>developmentdata2019[[#This Row],[Trash (tons/day)]]*BB$1</f>
        <v>2.5811500000000001E-2</v>
      </c>
      <c r="BC144" s="37">
        <f>developmentdata2019[[#This Row],[MGP (tons/day)]]*BC$1</f>
        <v>1.8068050000000003E-3</v>
      </c>
      <c r="BD144" s="37">
        <f>developmentdata2019[[#This Row],[Cardboard (tons/day)]]*BD$1</f>
        <v>1.2647635000000002E-4</v>
      </c>
      <c r="BE144" s="37">
        <f>developmentdata2019[[#This Row],[Paper (tons/day)]]*BE$1</f>
        <v>4.047243200000001E-5</v>
      </c>
      <c r="BF144" s="37">
        <f>developmentdata2019[[#This Row],[Organics (tons/day)]]*BF$1</f>
        <v>4.0472432000000009E-7</v>
      </c>
      <c r="BG144" s="37">
        <f>developmentdata2019[[#This Row],[E-Waste (tons/day)]]*BG$1</f>
        <v>3.237794560000001E-8</v>
      </c>
      <c r="BH144" s="37">
        <f>developmentdata2019[[#This Row],[Trash (tons/day)]]*BH$1</f>
        <v>2.8596425000000001</v>
      </c>
      <c r="BI144" s="37">
        <f>developmentdata2019[[#This Row],[MGP (tons/day)]]*BI$1</f>
        <v>0.46512323</v>
      </c>
      <c r="BJ144" s="37">
        <f>developmentdata2019[[#This Row],[Cardboard (tons/day)]]*BJ$1</f>
        <v>4.8187489350000008E-2</v>
      </c>
      <c r="BK144" s="37">
        <f>developmentdata2019[[#This Row],[Paper (tons/day)]]*BK$1</f>
        <v>7.8288860650000021E-4</v>
      </c>
      <c r="BL144" s="37">
        <f>developmentdata2019[[#This Row],[Organics (tons/day)]]*BL$1</f>
        <v>1.7484090624000006E-4</v>
      </c>
      <c r="BM144" s="37">
        <f>developmentdata2019[[#This Row],[E-Waste (tons/day)]]*BM$1</f>
        <v>2.2866924080000005E-6</v>
      </c>
      <c r="BN144" s="37">
        <f>developmentdata2019[[#This Row],[Textiles (tons/day)]]*BN$1</f>
        <v>4.3159801484800012E-7</v>
      </c>
      <c r="BO144" s="37">
        <f>developmentdata2019[[#This Row],[Trash (CY/day)]]*201.974</f>
        <v>577.57343429499997</v>
      </c>
      <c r="BP144" s="37">
        <f>developmentdata2019[[#This Row],[MGP (CY/day)]]*201.974</f>
        <v>93.942799256019995</v>
      </c>
      <c r="BQ144" s="37">
        <f>developmentdata2019[[#This Row],[Cardboard (CY/day)]]*201.974</f>
        <v>9.7326199739769006</v>
      </c>
      <c r="BR144" s="37">
        <f>developmentdata2019[[#This Row],[Paper  (CY/day)]]*201.974</f>
        <v>0.15812314340923103</v>
      </c>
      <c r="BS144" s="37">
        <f>developmentdata2019[[#This Row],[Organics (CY/day)]]*201.974</f>
        <v>3.5313317196917771E-2</v>
      </c>
      <c r="BT144" s="37">
        <f>developmentdata2019[[#This Row],[E-Waste (CY/day)]]*201.974</f>
        <v>4.6185241241339207E-4</v>
      </c>
      <c r="BU144" s="37">
        <f>developmentdata2019[[#This Row],[Textiles (CY/day)]]*201.974</f>
        <v>8.7171577450909974E-5</v>
      </c>
    </row>
    <row r="145" spans="1:73" x14ac:dyDescent="0.2">
      <c r="A145" s="37" t="s">
        <v>1291</v>
      </c>
      <c r="B145" s="115">
        <v>43466</v>
      </c>
      <c r="C145" s="37" t="s">
        <v>1292</v>
      </c>
      <c r="D145">
        <v>140</v>
      </c>
      <c r="E145">
        <v>234</v>
      </c>
      <c r="F145">
        <v>442</v>
      </c>
      <c r="G145">
        <v>442</v>
      </c>
      <c r="H145" s="37" t="s">
        <v>1293</v>
      </c>
      <c r="I145" s="37" t="s">
        <v>638</v>
      </c>
      <c r="J145" s="37" t="s">
        <v>578</v>
      </c>
      <c r="K145" s="37" t="s">
        <v>579</v>
      </c>
      <c r="L145">
        <v>155</v>
      </c>
      <c r="M145">
        <v>741</v>
      </c>
      <c r="N145">
        <v>744</v>
      </c>
      <c r="O145">
        <v>3333.5</v>
      </c>
      <c r="P145">
        <v>4.5</v>
      </c>
      <c r="Q145">
        <v>354</v>
      </c>
      <c r="R145">
        <v>1360</v>
      </c>
      <c r="S145">
        <v>1714</v>
      </c>
      <c r="T145">
        <v>326</v>
      </c>
      <c r="U145">
        <v>0.44800000000000001</v>
      </c>
      <c r="V145">
        <v>6</v>
      </c>
      <c r="W145">
        <v>0</v>
      </c>
      <c r="X145">
        <v>6</v>
      </c>
      <c r="Y145">
        <v>21</v>
      </c>
      <c r="Z145">
        <v>232000</v>
      </c>
      <c r="AA145">
        <v>5.33</v>
      </c>
      <c r="AB145">
        <v>232000</v>
      </c>
      <c r="AC145">
        <v>5.33</v>
      </c>
      <c r="AD145">
        <v>44685</v>
      </c>
      <c r="AE145">
        <v>6457003</v>
      </c>
      <c r="AF145">
        <v>0.19259999999999999</v>
      </c>
      <c r="AG145">
        <v>322</v>
      </c>
      <c r="AH145">
        <v>14543000</v>
      </c>
      <c r="AI145">
        <v>4344</v>
      </c>
      <c r="AJ145">
        <v>470</v>
      </c>
      <c r="AK145" s="37" t="s">
        <v>1294</v>
      </c>
      <c r="AL145" s="37" t="s">
        <v>1295</v>
      </c>
      <c r="AM145" s="37" t="s">
        <v>772</v>
      </c>
      <c r="AN145" s="37" t="s">
        <v>691</v>
      </c>
      <c r="AO145" s="37" t="s">
        <v>593</v>
      </c>
      <c r="AP145">
        <v>1</v>
      </c>
      <c r="AQ145">
        <v>7</v>
      </c>
      <c r="AR145">
        <v>18</v>
      </c>
      <c r="AS145">
        <v>50</v>
      </c>
      <c r="AT145">
        <v>33</v>
      </c>
      <c r="AU145" s="115">
        <v>24046</v>
      </c>
      <c r="AV145" s="37"/>
      <c r="AW145" s="37"/>
      <c r="AX145" s="37"/>
      <c r="AY145" s="37"/>
      <c r="AZ145" s="37">
        <f>developmentdata2019[[#This Row],[NUMBER OF CURRENT APARTMENTS]]*5/2000</f>
        <v>1.8525</v>
      </c>
      <c r="BA145" s="37">
        <f>developmentdata2019[[#This Row],[Total]]*BA$1</f>
        <v>0.48165000000000002</v>
      </c>
      <c r="BB145" s="37">
        <f>developmentdata2019[[#This Row],[Trash (tons/day)]]*BB$1</f>
        <v>9.1513500000000012E-2</v>
      </c>
      <c r="BC145" s="37">
        <f>developmentdata2019[[#This Row],[MGP (tons/day)]]*BC$1</f>
        <v>6.4059450000000014E-3</v>
      </c>
      <c r="BD145" s="37">
        <f>developmentdata2019[[#This Row],[Cardboard (tons/day)]]*BD$1</f>
        <v>4.4841615000000014E-4</v>
      </c>
      <c r="BE145" s="37">
        <f>developmentdata2019[[#This Row],[Paper (tons/day)]]*BE$1</f>
        <v>1.4349316800000005E-4</v>
      </c>
      <c r="BF145" s="37">
        <f>developmentdata2019[[#This Row],[Organics (tons/day)]]*BF$1</f>
        <v>1.4349316800000006E-6</v>
      </c>
      <c r="BG145" s="37">
        <f>developmentdata2019[[#This Row],[E-Waste (tons/day)]]*BG$1</f>
        <v>1.1479453440000005E-7</v>
      </c>
      <c r="BH145" s="37">
        <f>developmentdata2019[[#This Row],[Trash (tons/day)]]*BH$1</f>
        <v>10.138732500000001</v>
      </c>
      <c r="BI145" s="37">
        <f>developmentdata2019[[#This Row],[MGP (tons/day)]]*BI$1</f>
        <v>1.6490732700000001</v>
      </c>
      <c r="BJ145" s="37">
        <f>developmentdata2019[[#This Row],[Cardboard (tons/day)]]*BJ$1</f>
        <v>0.17084655315000005</v>
      </c>
      <c r="BK145" s="37">
        <f>developmentdata2019[[#This Row],[Paper (tons/day)]]*BK$1</f>
        <v>2.775695968500001E-3</v>
      </c>
      <c r="BL145" s="37">
        <f>developmentdata2019[[#This Row],[Organics (tons/day)]]*BL$1</f>
        <v>6.1989048576000026E-4</v>
      </c>
      <c r="BM145" s="37">
        <f>developmentdata2019[[#This Row],[E-Waste (tons/day)]]*BM$1</f>
        <v>8.1073639920000037E-6</v>
      </c>
      <c r="BN145" s="37">
        <f>developmentdata2019[[#This Row],[Textiles (tons/day)]]*BN$1</f>
        <v>1.5302111435520006E-6</v>
      </c>
      <c r="BO145" s="37">
        <f>developmentdata2019[[#This Row],[Trash (CY/day)]]*201.974</f>
        <v>2047.7603579550002</v>
      </c>
      <c r="BP145" s="37">
        <f>developmentdata2019[[#This Row],[MGP (CY/day)]]*201.974</f>
        <v>333.06992463498</v>
      </c>
      <c r="BQ145" s="37">
        <f>developmentdata2019[[#This Row],[Cardboard (CY/day)]]*201.974</f>
        <v>34.506561725918111</v>
      </c>
      <c r="BR145" s="37">
        <f>developmentdata2019[[#This Row],[Paper  (CY/day)]]*201.974</f>
        <v>0.56061841754181918</v>
      </c>
      <c r="BS145" s="37">
        <f>developmentdata2019[[#This Row],[Organics (CY/day)]]*201.974</f>
        <v>0.12520176097089028</v>
      </c>
      <c r="BT145" s="37">
        <f>developmentdata2019[[#This Row],[E-Waste (CY/day)]]*201.974</f>
        <v>1.6374767349202086E-3</v>
      </c>
      <c r="BU145" s="37">
        <f>developmentdata2019[[#This Row],[Textiles (CY/day)]]*201.974</f>
        <v>3.0906286550777177E-4</v>
      </c>
    </row>
    <row r="146" spans="1:73" x14ac:dyDescent="0.2">
      <c r="A146" s="37" t="s">
        <v>441</v>
      </c>
      <c r="B146" s="115">
        <v>43466</v>
      </c>
      <c r="C146" s="37" t="s">
        <v>1296</v>
      </c>
      <c r="D146">
        <v>14</v>
      </c>
      <c r="E146">
        <v>14</v>
      </c>
      <c r="F146">
        <v>510</v>
      </c>
      <c r="G146">
        <v>510</v>
      </c>
      <c r="H146" s="37" t="s">
        <v>1297</v>
      </c>
      <c r="I146" s="37" t="s">
        <v>577</v>
      </c>
      <c r="J146" s="37" t="s">
        <v>578</v>
      </c>
      <c r="K146" s="37" t="s">
        <v>579</v>
      </c>
      <c r="M146">
        <v>1830</v>
      </c>
      <c r="N146">
        <v>1840</v>
      </c>
      <c r="O146">
        <v>8698</v>
      </c>
      <c r="P146">
        <v>4.75</v>
      </c>
      <c r="R146">
        <v>4198</v>
      </c>
      <c r="S146">
        <v>4198</v>
      </c>
      <c r="T146">
        <v>493</v>
      </c>
      <c r="U146">
        <v>0.29199999999999998</v>
      </c>
      <c r="V146">
        <v>20</v>
      </c>
      <c r="W146">
        <v>1</v>
      </c>
      <c r="X146">
        <v>46</v>
      </c>
      <c r="Y146">
        <v>43627</v>
      </c>
      <c r="Z146">
        <v>884521</v>
      </c>
      <c r="AA146">
        <v>20.309999999999999</v>
      </c>
      <c r="AB146">
        <v>812641</v>
      </c>
      <c r="AC146">
        <v>18.66</v>
      </c>
      <c r="AD146">
        <v>175748</v>
      </c>
      <c r="AE146">
        <v>10226288</v>
      </c>
      <c r="AF146">
        <v>0.1762</v>
      </c>
      <c r="AG146">
        <v>207</v>
      </c>
      <c r="AH146">
        <v>12236672</v>
      </c>
      <c r="AI146">
        <v>1681</v>
      </c>
      <c r="AJ146">
        <v>577</v>
      </c>
      <c r="AK146" s="37" t="s">
        <v>887</v>
      </c>
      <c r="AL146" s="37" t="s">
        <v>1298</v>
      </c>
      <c r="AM146" s="37" t="s">
        <v>627</v>
      </c>
      <c r="AN146" s="37" t="s">
        <v>779</v>
      </c>
      <c r="AO146" s="37" t="s">
        <v>593</v>
      </c>
      <c r="AP146">
        <v>2</v>
      </c>
      <c r="AQ146">
        <v>8</v>
      </c>
      <c r="AR146">
        <v>25</v>
      </c>
      <c r="AS146">
        <v>57</v>
      </c>
      <c r="AT146">
        <v>35</v>
      </c>
      <c r="AU146" s="115">
        <v>16126</v>
      </c>
      <c r="AV146" s="37" t="s">
        <v>704</v>
      </c>
      <c r="AW146" s="37"/>
      <c r="AX146" s="37"/>
      <c r="AY146" s="37"/>
      <c r="AZ146" s="37">
        <f>developmentdata2019[[#This Row],[NUMBER OF CURRENT APARTMENTS]]*5/2000</f>
        <v>4.5750000000000002</v>
      </c>
      <c r="BA146" s="37">
        <f>developmentdata2019[[#This Row],[Total]]*BA$1</f>
        <v>1.1895</v>
      </c>
      <c r="BB146" s="37">
        <f>developmentdata2019[[#This Row],[Trash (tons/day)]]*BB$1</f>
        <v>0.22600500000000001</v>
      </c>
      <c r="BC146" s="37">
        <f>developmentdata2019[[#This Row],[MGP (tons/day)]]*BC$1</f>
        <v>1.5820350000000004E-2</v>
      </c>
      <c r="BD146" s="37">
        <f>developmentdata2019[[#This Row],[Cardboard (tons/day)]]*BD$1</f>
        <v>1.1074245000000005E-3</v>
      </c>
      <c r="BE146" s="37">
        <f>developmentdata2019[[#This Row],[Paper (tons/day)]]*BE$1</f>
        <v>3.5437584000000015E-4</v>
      </c>
      <c r="BF146" s="37">
        <f>developmentdata2019[[#This Row],[Organics (tons/day)]]*BF$1</f>
        <v>3.5437584000000014E-6</v>
      </c>
      <c r="BG146" s="37">
        <f>developmentdata2019[[#This Row],[E-Waste (tons/day)]]*BG$1</f>
        <v>2.8350067200000013E-7</v>
      </c>
      <c r="BH146" s="37">
        <f>developmentdata2019[[#This Row],[Trash (tons/day)]]*BH$1</f>
        <v>25.038975000000001</v>
      </c>
      <c r="BI146" s="37">
        <f>developmentdata2019[[#This Row],[MGP (tons/day)]]*BI$1</f>
        <v>4.0726101000000003</v>
      </c>
      <c r="BJ146" s="37">
        <f>developmentdata2019[[#This Row],[Cardboard (tons/day)]]*BJ$1</f>
        <v>0.42192873450000012</v>
      </c>
      <c r="BK146" s="37">
        <f>developmentdata2019[[#This Row],[Paper (tons/day)]]*BK$1</f>
        <v>6.8549576550000031E-3</v>
      </c>
      <c r="BL146" s="37">
        <f>developmentdata2019[[#This Row],[Organics (tons/day)]]*BL$1</f>
        <v>1.5309036288000007E-3</v>
      </c>
      <c r="BM146" s="37">
        <f>developmentdata2019[[#This Row],[E-Waste (tons/day)]]*BM$1</f>
        <v>2.0022234960000009E-5</v>
      </c>
      <c r="BN146" s="37">
        <f>developmentdata2019[[#This Row],[Textiles (tons/day)]]*BN$1</f>
        <v>3.7790639577600015E-6</v>
      </c>
      <c r="BO146" s="37">
        <f>developmentdata2019[[#This Row],[Trash (CY/day)]]*201.974</f>
        <v>5057.2219366500003</v>
      </c>
      <c r="BP146" s="37">
        <f>developmentdata2019[[#This Row],[MGP (CY/day)]]*201.974</f>
        <v>822.56135233740008</v>
      </c>
      <c r="BQ146" s="37">
        <f>developmentdata2019[[#This Row],[Cardboard (CY/day)]]*201.974</f>
        <v>85.218634221903017</v>
      </c>
      <c r="BR146" s="37">
        <f>developmentdata2019[[#This Row],[Paper  (CY/day)]]*201.974</f>
        <v>1.3845232174109705</v>
      </c>
      <c r="BS146" s="37">
        <f>developmentdata2019[[#This Row],[Organics (CY/day)]]*201.974</f>
        <v>0.30920272952325134</v>
      </c>
      <c r="BT146" s="37">
        <f>developmentdata2019[[#This Row],[E-Waste (CY/day)]]*201.974</f>
        <v>4.0439708838110417E-3</v>
      </c>
      <c r="BU146" s="37">
        <f>developmentdata2019[[#This Row],[Textiles (CY/day)]]*201.974</f>
        <v>7.6327266380461854E-4</v>
      </c>
    </row>
    <row r="147" spans="1:73" x14ac:dyDescent="0.2">
      <c r="A147" s="37" t="s">
        <v>1299</v>
      </c>
      <c r="B147" s="115">
        <v>43466</v>
      </c>
      <c r="C147" s="37" t="s">
        <v>721</v>
      </c>
      <c r="D147">
        <v>316</v>
      </c>
      <c r="E147">
        <v>91</v>
      </c>
      <c r="F147">
        <v>296</v>
      </c>
      <c r="G147">
        <v>296</v>
      </c>
      <c r="H147" s="37" t="s">
        <v>1300</v>
      </c>
      <c r="I147" s="37" t="s">
        <v>577</v>
      </c>
      <c r="J147" s="37" t="s">
        <v>588</v>
      </c>
      <c r="K147" s="37" t="s">
        <v>735</v>
      </c>
      <c r="M147">
        <v>146</v>
      </c>
      <c r="N147">
        <v>159</v>
      </c>
      <c r="O147">
        <v>520</v>
      </c>
      <c r="P147">
        <v>3.56</v>
      </c>
      <c r="R147">
        <v>179</v>
      </c>
      <c r="S147">
        <v>179</v>
      </c>
      <c r="T147">
        <v>131</v>
      </c>
      <c r="U147">
        <v>0.90300000000000002</v>
      </c>
      <c r="V147">
        <v>1</v>
      </c>
      <c r="W147">
        <v>0</v>
      </c>
      <c r="X147">
        <v>1</v>
      </c>
      <c r="Y147">
        <v>10</v>
      </c>
      <c r="Z147">
        <v>42500</v>
      </c>
      <c r="AA147">
        <v>0.98</v>
      </c>
      <c r="AB147">
        <v>42500</v>
      </c>
      <c r="AC147">
        <v>0.98</v>
      </c>
      <c r="AD147">
        <v>12689</v>
      </c>
      <c r="AE147">
        <v>1126314</v>
      </c>
      <c r="AF147">
        <v>0.29859999999999998</v>
      </c>
      <c r="AG147">
        <v>183</v>
      </c>
      <c r="AH147">
        <v>10992764</v>
      </c>
      <c r="AI147">
        <v>19269</v>
      </c>
      <c r="AJ147">
        <v>383</v>
      </c>
      <c r="AK147" s="37" t="s">
        <v>983</v>
      </c>
      <c r="AL147" s="37" t="s">
        <v>1301</v>
      </c>
      <c r="AM147" s="37" t="s">
        <v>1302</v>
      </c>
      <c r="AN147" s="37" t="s">
        <v>985</v>
      </c>
      <c r="AO147" s="37" t="s">
        <v>703</v>
      </c>
      <c r="AP147">
        <v>12</v>
      </c>
      <c r="AQ147">
        <v>5</v>
      </c>
      <c r="AR147">
        <v>14</v>
      </c>
      <c r="AS147">
        <v>29</v>
      </c>
      <c r="AT147">
        <v>27</v>
      </c>
      <c r="AU147" s="115">
        <v>30467</v>
      </c>
      <c r="AV147" s="37"/>
      <c r="AW147" s="37" t="s">
        <v>736</v>
      </c>
      <c r="AX147" s="37" t="s">
        <v>621</v>
      </c>
      <c r="AY147" s="37"/>
      <c r="AZ147" s="37">
        <f>developmentdata2019[[#This Row],[NUMBER OF CURRENT APARTMENTS]]*5/2000</f>
        <v>0.36499999999999999</v>
      </c>
      <c r="BA147" s="37">
        <f>developmentdata2019[[#This Row],[Total]]*BA$1</f>
        <v>9.4899999999999998E-2</v>
      </c>
      <c r="BB147" s="37">
        <f>developmentdata2019[[#This Row],[Trash (tons/day)]]*BB$1</f>
        <v>1.8030999999999998E-2</v>
      </c>
      <c r="BC147" s="37">
        <f>developmentdata2019[[#This Row],[MGP (tons/day)]]*BC$1</f>
        <v>1.26217E-3</v>
      </c>
      <c r="BD147" s="37">
        <f>developmentdata2019[[#This Row],[Cardboard (tons/day)]]*BD$1</f>
        <v>8.8351900000000004E-5</v>
      </c>
      <c r="BE147" s="37">
        <f>developmentdata2019[[#This Row],[Paper (tons/day)]]*BE$1</f>
        <v>2.8272608000000003E-5</v>
      </c>
      <c r="BF147" s="37">
        <f>developmentdata2019[[#This Row],[Organics (tons/day)]]*BF$1</f>
        <v>2.8272608000000001E-7</v>
      </c>
      <c r="BG147" s="37">
        <f>developmentdata2019[[#This Row],[E-Waste (tons/day)]]*BG$1</f>
        <v>2.2618086400000002E-8</v>
      </c>
      <c r="BH147" s="37">
        <f>developmentdata2019[[#This Row],[Trash (tons/day)]]*BH$1</f>
        <v>1.9976450000000001</v>
      </c>
      <c r="BI147" s="37">
        <f>developmentdata2019[[#This Row],[MGP (tons/day)]]*BI$1</f>
        <v>0.32491861999999999</v>
      </c>
      <c r="BJ147" s="37">
        <f>developmentdata2019[[#This Row],[Cardboard (tons/day)]]*BJ$1</f>
        <v>3.3662073899999999E-2</v>
      </c>
      <c r="BK147" s="37">
        <f>developmentdata2019[[#This Row],[Paper (tons/day)]]*BK$1</f>
        <v>5.4689826100000002E-4</v>
      </c>
      <c r="BL147" s="37">
        <f>developmentdata2019[[#This Row],[Organics (tons/day)]]*BL$1</f>
        <v>1.2213766656000001E-4</v>
      </c>
      <c r="BM147" s="37">
        <f>developmentdata2019[[#This Row],[E-Waste (tons/day)]]*BM$1</f>
        <v>1.5974023520000002E-6</v>
      </c>
      <c r="BN147" s="37">
        <f>developmentdata2019[[#This Row],[Textiles (tons/day)]]*BN$1</f>
        <v>3.0149909171200004E-7</v>
      </c>
      <c r="BO147" s="37">
        <f>developmentdata2019[[#This Row],[Trash (CY/day)]]*201.974</f>
        <v>403.47235123000002</v>
      </c>
      <c r="BP147" s="37">
        <f>developmentdata2019[[#This Row],[MGP (CY/day)]]*201.974</f>
        <v>65.625113355879989</v>
      </c>
      <c r="BQ147" s="37">
        <f>developmentdata2019[[#This Row],[Cardboard (CY/day)]]*201.974</f>
        <v>6.7988637138785997</v>
      </c>
      <c r="BR147" s="37">
        <f>developmentdata2019[[#This Row],[Paper  (CY/day)]]*201.974</f>
        <v>0.110459229367214</v>
      </c>
      <c r="BS147" s="37">
        <f>developmentdata2019[[#This Row],[Organics (CY/day)]]*201.974</f>
        <v>2.4668633065789442E-2</v>
      </c>
      <c r="BT147" s="37">
        <f>developmentdata2019[[#This Row],[E-Waste (CY/day)]]*201.974</f>
        <v>3.22633742642848E-4</v>
      </c>
      <c r="BU147" s="37">
        <f>developmentdata2019[[#This Row],[Textiles (CY/day)]]*201.974</f>
        <v>6.0894977549439491E-5</v>
      </c>
    </row>
    <row r="148" spans="1:73" x14ac:dyDescent="0.2">
      <c r="A148" s="37" t="s">
        <v>346</v>
      </c>
      <c r="B148" s="115">
        <v>43466</v>
      </c>
      <c r="C148" s="37" t="s">
        <v>1263</v>
      </c>
      <c r="D148">
        <v>139</v>
      </c>
      <c r="E148">
        <v>139</v>
      </c>
      <c r="F148">
        <v>253</v>
      </c>
      <c r="G148">
        <v>253</v>
      </c>
      <c r="H148" s="37" t="s">
        <v>1303</v>
      </c>
      <c r="I148" s="37" t="s">
        <v>577</v>
      </c>
      <c r="J148" s="37" t="s">
        <v>578</v>
      </c>
      <c r="K148" s="37" t="s">
        <v>579</v>
      </c>
      <c r="M148">
        <v>634</v>
      </c>
      <c r="N148">
        <v>636</v>
      </c>
      <c r="O148">
        <v>2638</v>
      </c>
      <c r="P148">
        <v>4.16</v>
      </c>
      <c r="R148">
        <v>1250</v>
      </c>
      <c r="S148">
        <v>1250</v>
      </c>
      <c r="T148">
        <v>279</v>
      </c>
      <c r="U148">
        <v>0.441</v>
      </c>
      <c r="V148">
        <v>3</v>
      </c>
      <c r="W148">
        <v>1</v>
      </c>
      <c r="X148">
        <v>4</v>
      </c>
      <c r="Y148">
        <v>24</v>
      </c>
      <c r="Z148">
        <v>152173</v>
      </c>
      <c r="AA148">
        <v>3.49</v>
      </c>
      <c r="AB148">
        <v>152173</v>
      </c>
      <c r="AC148">
        <v>3.49</v>
      </c>
      <c r="AD148">
        <v>32645</v>
      </c>
      <c r="AE148">
        <v>4857894</v>
      </c>
      <c r="AF148">
        <v>0.2145</v>
      </c>
      <c r="AG148">
        <v>358</v>
      </c>
      <c r="AH148">
        <v>13251410</v>
      </c>
      <c r="AI148">
        <v>5009</v>
      </c>
      <c r="AJ148">
        <v>556</v>
      </c>
      <c r="AK148" s="37" t="s">
        <v>1304</v>
      </c>
      <c r="AL148" s="37" t="s">
        <v>633</v>
      </c>
      <c r="AM148" s="37" t="s">
        <v>731</v>
      </c>
      <c r="AN148" s="37"/>
      <c r="AO148" s="37" t="s">
        <v>608</v>
      </c>
      <c r="AP148">
        <v>8</v>
      </c>
      <c r="AQ148">
        <v>12</v>
      </c>
      <c r="AR148">
        <v>29</v>
      </c>
      <c r="AS148">
        <v>68</v>
      </c>
      <c r="AT148">
        <v>5</v>
      </c>
      <c r="AU148" s="115">
        <v>23954</v>
      </c>
      <c r="AV148" s="37"/>
      <c r="AW148" s="37"/>
      <c r="AX148" s="37"/>
      <c r="AY148" s="37"/>
      <c r="AZ148" s="37">
        <f>developmentdata2019[[#This Row],[NUMBER OF CURRENT APARTMENTS]]*5/2000</f>
        <v>1.585</v>
      </c>
      <c r="BA148" s="37">
        <f>developmentdata2019[[#This Row],[Total]]*BA$1</f>
        <v>0.41210000000000002</v>
      </c>
      <c r="BB148" s="37">
        <f>developmentdata2019[[#This Row],[Trash (tons/day)]]*BB$1</f>
        <v>7.8299000000000007E-2</v>
      </c>
      <c r="BC148" s="37">
        <f>developmentdata2019[[#This Row],[MGP (tons/day)]]*BC$1</f>
        <v>5.480930000000001E-3</v>
      </c>
      <c r="BD148" s="37">
        <f>developmentdata2019[[#This Row],[Cardboard (tons/day)]]*BD$1</f>
        <v>3.8366510000000014E-4</v>
      </c>
      <c r="BE148" s="37">
        <f>developmentdata2019[[#This Row],[Paper (tons/day)]]*BE$1</f>
        <v>1.2277283200000003E-4</v>
      </c>
      <c r="BF148" s="37">
        <f>developmentdata2019[[#This Row],[Organics (tons/day)]]*BF$1</f>
        <v>1.2277283200000004E-6</v>
      </c>
      <c r="BG148" s="37">
        <f>developmentdata2019[[#This Row],[E-Waste (tons/day)]]*BG$1</f>
        <v>9.8218265600000031E-8</v>
      </c>
      <c r="BH148" s="37">
        <f>developmentdata2019[[#This Row],[Trash (tons/day)]]*BH$1</f>
        <v>8.6747050000000012</v>
      </c>
      <c r="BI148" s="37">
        <f>developmentdata2019[[#This Row],[MGP (tons/day)]]*BI$1</f>
        <v>1.41094798</v>
      </c>
      <c r="BJ148" s="37">
        <f>developmentdata2019[[#This Row],[Cardboard (tons/day)]]*BJ$1</f>
        <v>0.14617640310000005</v>
      </c>
      <c r="BK148" s="37">
        <f>developmentdata2019[[#This Row],[Paper (tons/day)]]*BK$1</f>
        <v>2.374886969000001E-3</v>
      </c>
      <c r="BL148" s="37">
        <f>developmentdata2019[[#This Row],[Organics (tons/day)]]*BL$1</f>
        <v>5.3037863424000022E-4</v>
      </c>
      <c r="BM148" s="37">
        <f>developmentdata2019[[#This Row],[E-Waste (tons/day)]]*BM$1</f>
        <v>6.9366650080000027E-6</v>
      </c>
      <c r="BN148" s="37">
        <f>developmentdata2019[[#This Row],[Textiles (tons/day)]]*BN$1</f>
        <v>1.3092494804480004E-6</v>
      </c>
      <c r="BO148" s="37">
        <f>developmentdata2019[[#This Row],[Trash (CY/day)]]*201.974</f>
        <v>1752.0648676700002</v>
      </c>
      <c r="BP148" s="37">
        <f>developmentdata2019[[#This Row],[MGP (CY/day)]]*201.974</f>
        <v>284.97480731252</v>
      </c>
      <c r="BQ148" s="37">
        <f>developmentdata2019[[#This Row],[Cardboard (CY/day)]]*201.974</f>
        <v>29.523832839719407</v>
      </c>
      <c r="BR148" s="37">
        <f>developmentdata2019[[#This Row],[Paper  (CY/day)]]*201.974</f>
        <v>0.47966542067680618</v>
      </c>
      <c r="BS148" s="37">
        <f>developmentdata2019[[#This Row],[Organics (CY/day)]]*201.974</f>
        <v>0.1071226942719898</v>
      </c>
      <c r="BT148" s="37">
        <f>developmentdata2019[[#This Row],[E-Waste (CY/day)]]*201.974</f>
        <v>1.4010259783257925E-3</v>
      </c>
      <c r="BU148" s="37">
        <f>developmentdata2019[[#This Row],[Textiles (CY/day)]]*201.974</f>
        <v>2.6443435456400443E-4</v>
      </c>
    </row>
    <row r="149" spans="1:73" x14ac:dyDescent="0.2">
      <c r="A149" s="37" t="s">
        <v>386</v>
      </c>
      <c r="B149" s="115">
        <v>43466</v>
      </c>
      <c r="C149" s="37" t="s">
        <v>1305</v>
      </c>
      <c r="D149">
        <v>120</v>
      </c>
      <c r="E149">
        <v>267</v>
      </c>
      <c r="F149">
        <v>243</v>
      </c>
      <c r="G149">
        <v>243</v>
      </c>
      <c r="H149" s="37" t="s">
        <v>1306</v>
      </c>
      <c r="I149" s="37" t="s">
        <v>577</v>
      </c>
      <c r="J149" s="37" t="s">
        <v>578</v>
      </c>
      <c r="K149" s="37" t="s">
        <v>579</v>
      </c>
      <c r="M149">
        <v>868</v>
      </c>
      <c r="N149">
        <v>868</v>
      </c>
      <c r="O149">
        <v>4137</v>
      </c>
      <c r="P149">
        <v>4.7699999999999996</v>
      </c>
      <c r="R149">
        <v>2203</v>
      </c>
      <c r="S149">
        <v>2203</v>
      </c>
      <c r="T149">
        <v>289</v>
      </c>
      <c r="U149">
        <v>0.33800000000000002</v>
      </c>
      <c r="V149">
        <v>7</v>
      </c>
      <c r="W149">
        <v>1</v>
      </c>
      <c r="X149">
        <v>7</v>
      </c>
      <c r="Y149">
        <v>16</v>
      </c>
      <c r="Z149">
        <v>343403</v>
      </c>
      <c r="AA149">
        <v>7.88</v>
      </c>
      <c r="AB149">
        <v>343403</v>
      </c>
      <c r="AC149">
        <v>7.88</v>
      </c>
      <c r="AD149">
        <v>59552</v>
      </c>
      <c r="AE149">
        <v>7682714</v>
      </c>
      <c r="AF149">
        <v>0.1734</v>
      </c>
      <c r="AG149">
        <v>280</v>
      </c>
      <c r="AH149">
        <v>14850303</v>
      </c>
      <c r="AI149">
        <v>3590</v>
      </c>
      <c r="AJ149">
        <v>533</v>
      </c>
      <c r="AK149" s="37" t="s">
        <v>887</v>
      </c>
      <c r="AL149" s="37" t="s">
        <v>1055</v>
      </c>
      <c r="AM149" s="37" t="s">
        <v>1307</v>
      </c>
      <c r="AN149" s="37" t="s">
        <v>1308</v>
      </c>
      <c r="AO149" s="37" t="s">
        <v>584</v>
      </c>
      <c r="AP149">
        <v>1</v>
      </c>
      <c r="AQ149">
        <v>15</v>
      </c>
      <c r="AR149">
        <v>32</v>
      </c>
      <c r="AS149">
        <v>79</v>
      </c>
      <c r="AT149">
        <v>17</v>
      </c>
      <c r="AU149" s="115">
        <v>23223</v>
      </c>
      <c r="AV149" s="37"/>
      <c r="AW149" s="37"/>
      <c r="AX149" s="37"/>
      <c r="AY149" s="37"/>
      <c r="AZ149" s="37">
        <f>developmentdata2019[[#This Row],[NUMBER OF CURRENT APARTMENTS]]*5/2000</f>
        <v>2.17</v>
      </c>
      <c r="BA149" s="37">
        <f>developmentdata2019[[#This Row],[Total]]*BA$1</f>
        <v>0.56420000000000003</v>
      </c>
      <c r="BB149" s="37">
        <f>developmentdata2019[[#This Row],[Trash (tons/day)]]*BB$1</f>
        <v>0.107198</v>
      </c>
      <c r="BC149" s="37">
        <f>developmentdata2019[[#This Row],[MGP (tons/day)]]*BC$1</f>
        <v>7.5038600000000011E-3</v>
      </c>
      <c r="BD149" s="37">
        <f>developmentdata2019[[#This Row],[Cardboard (tons/day)]]*BD$1</f>
        <v>5.2527020000000017E-4</v>
      </c>
      <c r="BE149" s="37">
        <f>developmentdata2019[[#This Row],[Paper (tons/day)]]*BE$1</f>
        <v>1.6808646400000006E-4</v>
      </c>
      <c r="BF149" s="37">
        <f>developmentdata2019[[#This Row],[Organics (tons/day)]]*BF$1</f>
        <v>1.6808646400000006E-6</v>
      </c>
      <c r="BG149" s="37">
        <f>developmentdata2019[[#This Row],[E-Waste (tons/day)]]*BG$1</f>
        <v>1.3446917120000004E-7</v>
      </c>
      <c r="BH149" s="37">
        <f>developmentdata2019[[#This Row],[Trash (tons/day)]]*BH$1</f>
        <v>11.876410000000002</v>
      </c>
      <c r="BI149" s="37">
        <f>developmentdata2019[[#This Row],[MGP (tons/day)]]*BI$1</f>
        <v>1.93170796</v>
      </c>
      <c r="BJ149" s="37">
        <f>developmentdata2019[[#This Row],[Cardboard (tons/day)]]*BJ$1</f>
        <v>0.20012794620000005</v>
      </c>
      <c r="BK149" s="37">
        <f>developmentdata2019[[#This Row],[Paper (tons/day)]]*BK$1</f>
        <v>3.2514225380000012E-3</v>
      </c>
      <c r="BL149" s="37">
        <f>developmentdata2019[[#This Row],[Organics (tons/day)]]*BL$1</f>
        <v>7.2613352448000035E-4</v>
      </c>
      <c r="BM149" s="37">
        <f>developmentdata2019[[#This Row],[E-Waste (tons/day)]]*BM$1</f>
        <v>9.4968852160000045E-6</v>
      </c>
      <c r="BN149" s="37">
        <f>developmentdata2019[[#This Row],[Textiles (tons/day)]]*BN$1</f>
        <v>1.7924740520960005E-6</v>
      </c>
      <c r="BO149" s="37">
        <f>developmentdata2019[[#This Row],[Trash (CY/day)]]*201.974</f>
        <v>2398.7260333400004</v>
      </c>
      <c r="BP149" s="37">
        <f>developmentdata2019[[#This Row],[MGP (CY/day)]]*201.974</f>
        <v>390.15478351304</v>
      </c>
      <c r="BQ149" s="37">
        <f>developmentdata2019[[#This Row],[Cardboard (CY/day)]]*201.974</f>
        <v>40.420641805798809</v>
      </c>
      <c r="BR149" s="37">
        <f>developmentdata2019[[#This Row],[Paper  (CY/day)]]*201.974</f>
        <v>0.65670281569001221</v>
      </c>
      <c r="BS149" s="37">
        <f>developmentdata2019[[#This Row],[Organics (CY/day)]]*201.974</f>
        <v>0.14666009247332359</v>
      </c>
      <c r="BT149" s="37">
        <f>developmentdata2019[[#This Row],[E-Waste (CY/day)]]*201.974</f>
        <v>1.9181238946163848E-3</v>
      </c>
      <c r="BU149" s="37">
        <f>developmentdata2019[[#This Row],[Textiles (CY/day)]]*201.974</f>
        <v>3.6203315419803758E-4</v>
      </c>
    </row>
    <row r="150" spans="1:73" x14ac:dyDescent="0.2">
      <c r="A150" s="37" t="s">
        <v>366</v>
      </c>
      <c r="B150" s="115">
        <v>43466</v>
      </c>
      <c r="C150" s="37" t="s">
        <v>629</v>
      </c>
      <c r="D150">
        <v>64</v>
      </c>
      <c r="E150">
        <v>64</v>
      </c>
      <c r="F150">
        <v>219</v>
      </c>
      <c r="G150">
        <v>219</v>
      </c>
      <c r="H150" s="37" t="s">
        <v>1309</v>
      </c>
      <c r="I150" s="37" t="s">
        <v>577</v>
      </c>
      <c r="J150" s="37" t="s">
        <v>578</v>
      </c>
      <c r="K150" s="37" t="s">
        <v>579</v>
      </c>
      <c r="M150">
        <v>1486</v>
      </c>
      <c r="N150">
        <v>1493</v>
      </c>
      <c r="O150">
        <v>6945</v>
      </c>
      <c r="P150">
        <v>4.67</v>
      </c>
      <c r="R150">
        <v>3314</v>
      </c>
      <c r="S150">
        <v>3314</v>
      </c>
      <c r="T150">
        <v>570</v>
      </c>
      <c r="U150">
        <v>0.38700000000000001</v>
      </c>
      <c r="V150">
        <v>18</v>
      </c>
      <c r="W150">
        <v>1</v>
      </c>
      <c r="X150">
        <v>35</v>
      </c>
      <c r="Y150">
        <v>41833</v>
      </c>
      <c r="Z150">
        <v>757179</v>
      </c>
      <c r="AA150">
        <v>17.38</v>
      </c>
      <c r="AB150">
        <v>757179</v>
      </c>
      <c r="AC150">
        <v>17.38</v>
      </c>
      <c r="AD150">
        <v>149778</v>
      </c>
      <c r="AE150">
        <v>13032612</v>
      </c>
      <c r="AF150">
        <v>0.1978</v>
      </c>
      <c r="AG150">
        <v>191</v>
      </c>
      <c r="AH150">
        <v>26894981</v>
      </c>
      <c r="AI150">
        <v>3854</v>
      </c>
      <c r="AJ150">
        <v>565</v>
      </c>
      <c r="AK150" s="37" t="s">
        <v>634</v>
      </c>
      <c r="AL150" s="37" t="s">
        <v>600</v>
      </c>
      <c r="AM150" s="37" t="s">
        <v>1310</v>
      </c>
      <c r="AN150" s="37" t="s">
        <v>633</v>
      </c>
      <c r="AO150" s="37" t="s">
        <v>608</v>
      </c>
      <c r="AP150">
        <v>11</v>
      </c>
      <c r="AQ150">
        <v>13</v>
      </c>
      <c r="AR150">
        <v>30</v>
      </c>
      <c r="AS150">
        <v>68</v>
      </c>
      <c r="AT150">
        <v>8</v>
      </c>
      <c r="AU150" s="115">
        <v>21790</v>
      </c>
      <c r="AV150" s="37"/>
      <c r="AW150" s="37"/>
      <c r="AX150" s="37"/>
      <c r="AY150" s="37"/>
      <c r="AZ150" s="37">
        <f>developmentdata2019[[#This Row],[NUMBER OF CURRENT APARTMENTS]]*5/2000</f>
        <v>3.7149999999999999</v>
      </c>
      <c r="BA150" s="37">
        <f>developmentdata2019[[#This Row],[Total]]*BA$1</f>
        <v>0.96589999999999998</v>
      </c>
      <c r="BB150" s="37">
        <f>developmentdata2019[[#This Row],[Trash (tons/day)]]*BB$1</f>
        <v>0.18352099999999999</v>
      </c>
      <c r="BC150" s="37">
        <f>developmentdata2019[[#This Row],[MGP (tons/day)]]*BC$1</f>
        <v>1.284647E-2</v>
      </c>
      <c r="BD150" s="37">
        <f>developmentdata2019[[#This Row],[Cardboard (tons/day)]]*BD$1</f>
        <v>8.9925290000000011E-4</v>
      </c>
      <c r="BE150" s="37">
        <f>developmentdata2019[[#This Row],[Paper (tons/day)]]*BE$1</f>
        <v>2.8776092800000006E-4</v>
      </c>
      <c r="BF150" s="37">
        <f>developmentdata2019[[#This Row],[Organics (tons/day)]]*BF$1</f>
        <v>2.8776092800000008E-6</v>
      </c>
      <c r="BG150" s="37">
        <f>developmentdata2019[[#This Row],[E-Waste (tons/day)]]*BG$1</f>
        <v>2.3020874240000007E-7</v>
      </c>
      <c r="BH150" s="37">
        <f>developmentdata2019[[#This Row],[Trash (tons/day)]]*BH$1</f>
        <v>20.332194999999999</v>
      </c>
      <c r="BI150" s="37">
        <f>developmentdata2019[[#This Row],[MGP (tons/day)]]*BI$1</f>
        <v>3.3070484199999997</v>
      </c>
      <c r="BJ150" s="37">
        <f>developmentdata2019[[#This Row],[Cardboard (tons/day)]]*BJ$1</f>
        <v>0.34261535490000006</v>
      </c>
      <c r="BK150" s="37">
        <f>developmentdata2019[[#This Row],[Paper (tons/day)]]*BK$1</f>
        <v>5.5663754510000014E-3</v>
      </c>
      <c r="BL150" s="37">
        <f>developmentdata2019[[#This Row],[Organics (tons/day)]]*BL$1</f>
        <v>1.2431272089600002E-3</v>
      </c>
      <c r="BM150" s="37">
        <f>developmentdata2019[[#This Row],[E-Waste (tons/day)]]*BM$1</f>
        <v>1.6258492432000005E-5</v>
      </c>
      <c r="BN150" s="37">
        <f>developmentdata2019[[#This Row],[Textiles (tons/day)]]*BN$1</f>
        <v>3.0686825361920009E-6</v>
      </c>
      <c r="BO150" s="37">
        <f>developmentdata2019[[#This Row],[Trash (CY/day)]]*201.974</f>
        <v>4106.5747529299997</v>
      </c>
      <c r="BP150" s="37">
        <f>developmentdata2019[[#This Row],[MGP (CY/day)]]*201.974</f>
        <v>667.93779758107985</v>
      </c>
      <c r="BQ150" s="37">
        <f>developmentdata2019[[#This Row],[Cardboard (CY/day)]]*201.974</f>
        <v>69.199393690572606</v>
      </c>
      <c r="BR150" s="37">
        <f>developmentdata2019[[#This Row],[Paper  (CY/day)]]*201.974</f>
        <v>1.1242631153402742</v>
      </c>
      <c r="BS150" s="37">
        <f>developmentdata2019[[#This Row],[Organics (CY/day)]]*201.974</f>
        <v>0.25107937490248705</v>
      </c>
      <c r="BT150" s="37">
        <f>developmentdata2019[[#This Row],[E-Waste (CY/day)]]*201.974</f>
        <v>3.2837927504607688E-3</v>
      </c>
      <c r="BU150" s="37">
        <f>developmentdata2019[[#This Row],[Textiles (CY/day)]]*201.974</f>
        <v>6.1979408656484319E-4</v>
      </c>
    </row>
    <row r="151" spans="1:73" x14ac:dyDescent="0.2">
      <c r="A151" s="37" t="s">
        <v>367</v>
      </c>
      <c r="B151" s="115">
        <v>43466</v>
      </c>
      <c r="C151" s="37" t="s">
        <v>1311</v>
      </c>
      <c r="D151">
        <v>17</v>
      </c>
      <c r="E151">
        <v>17</v>
      </c>
      <c r="F151">
        <v>516</v>
      </c>
      <c r="G151">
        <v>516</v>
      </c>
      <c r="H151" s="37" t="s">
        <v>1312</v>
      </c>
      <c r="I151" s="37" t="s">
        <v>577</v>
      </c>
      <c r="J151" s="37" t="s">
        <v>578</v>
      </c>
      <c r="K151" s="37" t="s">
        <v>579</v>
      </c>
      <c r="M151">
        <v>1296</v>
      </c>
      <c r="N151">
        <v>1310</v>
      </c>
      <c r="O151">
        <v>6121</v>
      </c>
      <c r="P151">
        <v>4.72</v>
      </c>
      <c r="R151">
        <v>3076</v>
      </c>
      <c r="S151">
        <v>3076</v>
      </c>
      <c r="T151">
        <v>488</v>
      </c>
      <c r="U151">
        <v>0.38200000000000001</v>
      </c>
      <c r="V151">
        <v>10</v>
      </c>
      <c r="W151">
        <v>0</v>
      </c>
      <c r="X151">
        <v>17</v>
      </c>
      <c r="Y151">
        <v>14</v>
      </c>
      <c r="Z151">
        <v>517632</v>
      </c>
      <c r="AA151">
        <v>11.88</v>
      </c>
      <c r="AB151">
        <v>456630</v>
      </c>
      <c r="AC151">
        <v>10.48</v>
      </c>
      <c r="AD151">
        <v>97804</v>
      </c>
      <c r="AE151">
        <v>10582024</v>
      </c>
      <c r="AF151">
        <v>0.18890000000000001</v>
      </c>
      <c r="AG151">
        <v>259</v>
      </c>
      <c r="AH151">
        <v>14348000</v>
      </c>
      <c r="AI151">
        <v>2337</v>
      </c>
      <c r="AJ151">
        <v>573</v>
      </c>
      <c r="AK151" s="37" t="s">
        <v>634</v>
      </c>
      <c r="AL151" s="37" t="s">
        <v>1310</v>
      </c>
      <c r="AM151" s="37" t="s">
        <v>600</v>
      </c>
      <c r="AN151" s="37" t="s">
        <v>887</v>
      </c>
      <c r="AO151" s="37" t="s">
        <v>608</v>
      </c>
      <c r="AP151">
        <v>11</v>
      </c>
      <c r="AQ151">
        <v>13</v>
      </c>
      <c r="AR151">
        <v>30</v>
      </c>
      <c r="AS151">
        <v>68</v>
      </c>
      <c r="AT151">
        <v>8</v>
      </c>
      <c r="AU151" s="115">
        <v>17894</v>
      </c>
      <c r="AV151" s="37" t="s">
        <v>704</v>
      </c>
      <c r="AW151" s="37"/>
      <c r="AX151" s="37"/>
      <c r="AY151" s="37"/>
      <c r="AZ151" s="37">
        <f>developmentdata2019[[#This Row],[NUMBER OF CURRENT APARTMENTS]]*5/2000</f>
        <v>3.24</v>
      </c>
      <c r="BA151" s="37">
        <f>developmentdata2019[[#This Row],[Total]]*BA$1</f>
        <v>0.84240000000000004</v>
      </c>
      <c r="BB151" s="37">
        <f>developmentdata2019[[#This Row],[Trash (tons/day)]]*BB$1</f>
        <v>0.160056</v>
      </c>
      <c r="BC151" s="37">
        <f>developmentdata2019[[#This Row],[MGP (tons/day)]]*BC$1</f>
        <v>1.1203920000000001E-2</v>
      </c>
      <c r="BD151" s="37">
        <f>developmentdata2019[[#This Row],[Cardboard (tons/day)]]*BD$1</f>
        <v>7.8427440000000009E-4</v>
      </c>
      <c r="BE151" s="37">
        <f>developmentdata2019[[#This Row],[Paper (tons/day)]]*BE$1</f>
        <v>2.5096780800000002E-4</v>
      </c>
      <c r="BF151" s="37">
        <f>developmentdata2019[[#This Row],[Organics (tons/day)]]*BF$1</f>
        <v>2.5096780800000004E-6</v>
      </c>
      <c r="BG151" s="37">
        <f>developmentdata2019[[#This Row],[E-Waste (tons/day)]]*BG$1</f>
        <v>2.0077424640000005E-7</v>
      </c>
      <c r="BH151" s="37">
        <f>developmentdata2019[[#This Row],[Trash (tons/day)]]*BH$1</f>
        <v>17.732520000000001</v>
      </c>
      <c r="BI151" s="37">
        <f>developmentdata2019[[#This Row],[MGP (tons/day)]]*BI$1</f>
        <v>2.88420912</v>
      </c>
      <c r="BJ151" s="37">
        <f>developmentdata2019[[#This Row],[Cardboard (tons/day)]]*BJ$1</f>
        <v>0.29880854640000004</v>
      </c>
      <c r="BK151" s="37">
        <f>developmentdata2019[[#This Row],[Paper (tons/day)]]*BK$1</f>
        <v>4.8546585360000009E-3</v>
      </c>
      <c r="BL151" s="37">
        <f>developmentdata2019[[#This Row],[Organics (tons/day)]]*BL$1</f>
        <v>1.0841809305600001E-3</v>
      </c>
      <c r="BM151" s="37">
        <f>developmentdata2019[[#This Row],[E-Waste (tons/day)]]*BM$1</f>
        <v>1.4179681152000004E-5</v>
      </c>
      <c r="BN151" s="37">
        <f>developmentdata2019[[#This Row],[Textiles (tons/day)]]*BN$1</f>
        <v>2.6763207045120008E-6</v>
      </c>
      <c r="BO151" s="37">
        <f>developmentdata2019[[#This Row],[Trash (CY/day)]]*201.974</f>
        <v>3581.50799448</v>
      </c>
      <c r="BP151" s="37">
        <f>developmentdata2019[[#This Row],[MGP (CY/day)]]*201.974</f>
        <v>582.53525280288</v>
      </c>
      <c r="BQ151" s="37">
        <f>developmentdata2019[[#This Row],[Cardboard (CY/day)]]*201.974</f>
        <v>60.351557350593602</v>
      </c>
      <c r="BR151" s="37">
        <f>developmentdata2019[[#This Row],[Paper  (CY/day)]]*201.974</f>
        <v>0.98051480315006412</v>
      </c>
      <c r="BS151" s="37">
        <f>developmentdata2019[[#This Row],[Organics (CY/day)]]*201.974</f>
        <v>0.21897635926892545</v>
      </c>
      <c r="BT151" s="37">
        <f>developmentdata2019[[#This Row],[E-Waste (CY/day)]]*201.974</f>
        <v>2.8639269209940485E-3</v>
      </c>
      <c r="BU151" s="37">
        <f>developmentdata2019[[#This Row],[Textiles (CY/day)]]*201.974</f>
        <v>5.4054719797310682E-4</v>
      </c>
    </row>
    <row r="152" spans="1:73" x14ac:dyDescent="0.2">
      <c r="A152" s="37" t="s">
        <v>358</v>
      </c>
      <c r="B152" s="115">
        <v>43466</v>
      </c>
      <c r="C152" s="37" t="s">
        <v>1204</v>
      </c>
      <c r="D152">
        <v>30</v>
      </c>
      <c r="E152">
        <v>30</v>
      </c>
      <c r="F152">
        <v>518</v>
      </c>
      <c r="G152">
        <v>518</v>
      </c>
      <c r="H152" s="37" t="s">
        <v>1313</v>
      </c>
      <c r="I152" s="37" t="s">
        <v>577</v>
      </c>
      <c r="J152" s="37" t="s">
        <v>578</v>
      </c>
      <c r="K152" s="37" t="s">
        <v>579</v>
      </c>
      <c r="M152">
        <v>1377</v>
      </c>
      <c r="N152">
        <v>1379</v>
      </c>
      <c r="O152">
        <v>6342.5</v>
      </c>
      <c r="P152">
        <v>4.6100000000000003</v>
      </c>
      <c r="R152">
        <v>3013</v>
      </c>
      <c r="S152">
        <v>3013</v>
      </c>
      <c r="T152">
        <v>511</v>
      </c>
      <c r="U152">
        <v>0.375</v>
      </c>
      <c r="V152">
        <v>10</v>
      </c>
      <c r="W152">
        <v>0</v>
      </c>
      <c r="X152">
        <v>10</v>
      </c>
      <c r="Y152" t="s">
        <v>672</v>
      </c>
      <c r="Z152">
        <v>599120</v>
      </c>
      <c r="AA152">
        <v>13.75</v>
      </c>
      <c r="AB152">
        <v>555560</v>
      </c>
      <c r="AC152">
        <v>12.75</v>
      </c>
      <c r="AD152">
        <v>98822</v>
      </c>
      <c r="AE152">
        <v>11745000</v>
      </c>
      <c r="AF152">
        <v>0.16489999999999999</v>
      </c>
      <c r="AG152">
        <v>219</v>
      </c>
      <c r="AH152">
        <v>19859000</v>
      </c>
      <c r="AI152">
        <v>3135</v>
      </c>
      <c r="AJ152">
        <v>559</v>
      </c>
      <c r="AK152" s="37" t="s">
        <v>1314</v>
      </c>
      <c r="AL152" s="37" t="s">
        <v>1315</v>
      </c>
      <c r="AM152" s="37" t="s">
        <v>1316</v>
      </c>
      <c r="AN152" s="37" t="s">
        <v>1317</v>
      </c>
      <c r="AO152" s="37" t="s">
        <v>608</v>
      </c>
      <c r="AP152">
        <v>10</v>
      </c>
      <c r="AQ152">
        <v>13</v>
      </c>
      <c r="AR152">
        <v>30</v>
      </c>
      <c r="AS152">
        <v>68</v>
      </c>
      <c r="AT152">
        <v>9</v>
      </c>
      <c r="AU152" s="115">
        <v>20029</v>
      </c>
      <c r="AV152" s="37" t="s">
        <v>704</v>
      </c>
      <c r="AW152" s="37"/>
      <c r="AX152" s="37"/>
      <c r="AY152" s="37"/>
      <c r="AZ152" s="37">
        <f>developmentdata2019[[#This Row],[NUMBER OF CURRENT APARTMENTS]]*5/2000</f>
        <v>3.4424999999999999</v>
      </c>
      <c r="BA152" s="37">
        <f>developmentdata2019[[#This Row],[Total]]*BA$1</f>
        <v>0.89505000000000001</v>
      </c>
      <c r="BB152" s="37">
        <f>developmentdata2019[[#This Row],[Trash (tons/day)]]*BB$1</f>
        <v>0.1700595</v>
      </c>
      <c r="BC152" s="37">
        <f>developmentdata2019[[#This Row],[MGP (tons/day)]]*BC$1</f>
        <v>1.1904165000000001E-2</v>
      </c>
      <c r="BD152" s="37">
        <f>developmentdata2019[[#This Row],[Cardboard (tons/day)]]*BD$1</f>
        <v>8.3329155000000019E-4</v>
      </c>
      <c r="BE152" s="37">
        <f>developmentdata2019[[#This Row],[Paper (tons/day)]]*BE$1</f>
        <v>2.6665329600000006E-4</v>
      </c>
      <c r="BF152" s="37">
        <f>developmentdata2019[[#This Row],[Organics (tons/day)]]*BF$1</f>
        <v>2.6665329600000008E-6</v>
      </c>
      <c r="BG152" s="37">
        <f>developmentdata2019[[#This Row],[E-Waste (tons/day)]]*BG$1</f>
        <v>2.1332263680000005E-7</v>
      </c>
      <c r="BH152" s="37">
        <f>developmentdata2019[[#This Row],[Trash (tons/day)]]*BH$1</f>
        <v>18.840802500000002</v>
      </c>
      <c r="BI152" s="37">
        <f>developmentdata2019[[#This Row],[MGP (tons/day)]]*BI$1</f>
        <v>3.06447219</v>
      </c>
      <c r="BJ152" s="37">
        <f>developmentdata2019[[#This Row],[Cardboard (tons/day)]]*BJ$1</f>
        <v>0.31748408055000005</v>
      </c>
      <c r="BK152" s="37">
        <f>developmentdata2019[[#This Row],[Paper (tons/day)]]*BK$1</f>
        <v>5.1580746945000013E-3</v>
      </c>
      <c r="BL152" s="37">
        <f>developmentdata2019[[#This Row],[Organics (tons/day)]]*BL$1</f>
        <v>1.1519422387200003E-3</v>
      </c>
      <c r="BM152" s="37">
        <f>developmentdata2019[[#This Row],[E-Waste (tons/day)]]*BM$1</f>
        <v>1.5065911224000005E-5</v>
      </c>
      <c r="BN152" s="37">
        <f>developmentdata2019[[#This Row],[Textiles (tons/day)]]*BN$1</f>
        <v>2.8435907485440006E-6</v>
      </c>
      <c r="BO152" s="37">
        <f>developmentdata2019[[#This Row],[Trash (CY/day)]]*201.974</f>
        <v>3805.3522441350001</v>
      </c>
      <c r="BP152" s="37">
        <f>developmentdata2019[[#This Row],[MGP (CY/day)]]*201.974</f>
        <v>618.94370610305998</v>
      </c>
      <c r="BQ152" s="37">
        <f>developmentdata2019[[#This Row],[Cardboard (CY/day)]]*201.974</f>
        <v>64.123529685005707</v>
      </c>
      <c r="BR152" s="37">
        <f>developmentdata2019[[#This Row],[Paper  (CY/day)]]*201.974</f>
        <v>1.0417969783469432</v>
      </c>
      <c r="BS152" s="37">
        <f>developmentdata2019[[#This Row],[Organics (CY/day)]]*201.974</f>
        <v>0.23266238172323334</v>
      </c>
      <c r="BT152" s="37">
        <f>developmentdata2019[[#This Row],[E-Waste (CY/day)]]*201.974</f>
        <v>3.0429223535561769E-3</v>
      </c>
      <c r="BU152" s="37">
        <f>developmentdata2019[[#This Row],[Textiles (CY/day)]]*201.974</f>
        <v>5.7433139784642592E-4</v>
      </c>
    </row>
    <row r="153" spans="1:73" x14ac:dyDescent="0.2">
      <c r="A153" s="37" t="s">
        <v>1318</v>
      </c>
      <c r="B153" s="115">
        <v>43466</v>
      </c>
      <c r="C153" s="37" t="s">
        <v>1319</v>
      </c>
      <c r="D153">
        <v>10</v>
      </c>
      <c r="E153">
        <v>10</v>
      </c>
      <c r="F153">
        <v>205</v>
      </c>
      <c r="G153">
        <v>205</v>
      </c>
      <c r="H153" s="37" t="s">
        <v>1320</v>
      </c>
      <c r="I153" s="37" t="s">
        <v>577</v>
      </c>
      <c r="J153" s="37" t="s">
        <v>578</v>
      </c>
      <c r="K153" s="37" t="s">
        <v>579</v>
      </c>
      <c r="M153">
        <v>1154</v>
      </c>
      <c r="N153">
        <v>1165</v>
      </c>
      <c r="O153">
        <v>4711</v>
      </c>
      <c r="P153">
        <v>4.08</v>
      </c>
      <c r="R153">
        <v>2408</v>
      </c>
      <c r="S153">
        <v>2408</v>
      </c>
      <c r="T153">
        <v>409</v>
      </c>
      <c r="U153">
        <v>0.36499999999999999</v>
      </c>
      <c r="V153">
        <v>16</v>
      </c>
      <c r="W153">
        <v>0</v>
      </c>
      <c r="X153">
        <v>35</v>
      </c>
      <c r="Y153">
        <v>6</v>
      </c>
      <c r="Z153">
        <v>695544</v>
      </c>
      <c r="AA153">
        <v>15.97</v>
      </c>
      <c r="AB153">
        <v>665526</v>
      </c>
      <c r="AC153">
        <v>15.28</v>
      </c>
      <c r="AD153">
        <v>129189</v>
      </c>
      <c r="AE153">
        <v>8037853</v>
      </c>
      <c r="AF153">
        <v>0.1857</v>
      </c>
      <c r="AG153">
        <v>151</v>
      </c>
      <c r="AH153">
        <v>5175100</v>
      </c>
      <c r="AI153">
        <v>1107</v>
      </c>
      <c r="AJ153">
        <v>504</v>
      </c>
      <c r="AK153" s="37" t="s">
        <v>833</v>
      </c>
      <c r="AL153" s="37" t="s">
        <v>1321</v>
      </c>
      <c r="AM153" s="37" t="s">
        <v>673</v>
      </c>
      <c r="AN153" s="37" t="s">
        <v>1322</v>
      </c>
      <c r="AO153" s="37" t="s">
        <v>593</v>
      </c>
      <c r="AP153" t="s">
        <v>1323</v>
      </c>
      <c r="AQ153">
        <v>8</v>
      </c>
      <c r="AR153">
        <v>25</v>
      </c>
      <c r="AS153" t="s">
        <v>1005</v>
      </c>
      <c r="AT153">
        <v>41</v>
      </c>
      <c r="AU153" s="115">
        <v>15280</v>
      </c>
      <c r="AV153" s="37"/>
      <c r="AW153" s="37"/>
      <c r="AX153" s="37"/>
      <c r="AY153" s="37"/>
      <c r="AZ153" s="37">
        <f>developmentdata2019[[#This Row],[NUMBER OF CURRENT APARTMENTS]]*5/2000</f>
        <v>2.8849999999999998</v>
      </c>
      <c r="BA153" s="37">
        <f>developmentdata2019[[#This Row],[Total]]*BA$1</f>
        <v>0.75009999999999999</v>
      </c>
      <c r="BB153" s="37">
        <f>developmentdata2019[[#This Row],[Trash (tons/day)]]*BB$1</f>
        <v>0.14251900000000001</v>
      </c>
      <c r="BC153" s="37">
        <f>developmentdata2019[[#This Row],[MGP (tons/day)]]*BC$1</f>
        <v>9.976330000000002E-3</v>
      </c>
      <c r="BD153" s="37">
        <f>developmentdata2019[[#This Row],[Cardboard (tons/day)]]*BD$1</f>
        <v>6.9834310000000017E-4</v>
      </c>
      <c r="BE153" s="37">
        <f>developmentdata2019[[#This Row],[Paper (tons/day)]]*BE$1</f>
        <v>2.2346979200000007E-4</v>
      </c>
      <c r="BF153" s="37">
        <f>developmentdata2019[[#This Row],[Organics (tons/day)]]*BF$1</f>
        <v>2.2346979200000009E-6</v>
      </c>
      <c r="BG153" s="37">
        <f>developmentdata2019[[#This Row],[E-Waste (tons/day)]]*BG$1</f>
        <v>1.7877583360000006E-7</v>
      </c>
      <c r="BH153" s="37">
        <f>developmentdata2019[[#This Row],[Trash (tons/day)]]*BH$1</f>
        <v>15.789605</v>
      </c>
      <c r="BI153" s="37">
        <f>developmentdata2019[[#This Row],[MGP (tons/day)]]*BI$1</f>
        <v>2.5681923800000002</v>
      </c>
      <c r="BJ153" s="37">
        <f>developmentdata2019[[#This Row],[Cardboard (tons/day)]]*BJ$1</f>
        <v>0.26606872110000007</v>
      </c>
      <c r="BK153" s="37">
        <f>developmentdata2019[[#This Row],[Paper (tons/day)]]*BK$1</f>
        <v>4.3227437890000012E-3</v>
      </c>
      <c r="BL153" s="37">
        <f>developmentdata2019[[#This Row],[Organics (tons/day)]]*BL$1</f>
        <v>9.653895014400004E-4</v>
      </c>
      <c r="BM153" s="37">
        <f>developmentdata2019[[#This Row],[E-Waste (tons/day)]]*BM$1</f>
        <v>1.2626043248000005E-5</v>
      </c>
      <c r="BN153" s="37">
        <f>developmentdata2019[[#This Row],[Textiles (tons/day)]]*BN$1</f>
        <v>2.3830818618880008E-6</v>
      </c>
      <c r="BO153" s="37">
        <f>developmentdata2019[[#This Row],[Trash (CY/day)]]*201.974</f>
        <v>3189.0896802699999</v>
      </c>
      <c r="BP153" s="37">
        <f>developmentdata2019[[#This Row],[MGP (CY/day)]]*201.974</f>
        <v>518.70808775811997</v>
      </c>
      <c r="BQ153" s="37">
        <f>developmentdata2019[[#This Row],[Cardboard (CY/day)]]*201.974</f>
        <v>53.738963875451411</v>
      </c>
      <c r="BR153" s="37">
        <f>developmentdata2019[[#This Row],[Paper  (CY/day)]]*201.974</f>
        <v>0.87308185403948624</v>
      </c>
      <c r="BS153" s="37">
        <f>developmentdata2019[[#This Row],[Organics (CY/day)]]*201.974</f>
        <v>0.19498357916384262</v>
      </c>
      <c r="BT153" s="37">
        <f>developmentdata2019[[#This Row],[E-Waste (CY/day)]]*201.974</f>
        <v>2.5501324589715527E-3</v>
      </c>
      <c r="BU153" s="37">
        <f>developmentdata2019[[#This Row],[Textiles (CY/day)]]*201.974</f>
        <v>4.8132057597296705E-4</v>
      </c>
    </row>
    <row r="154" spans="1:73" x14ac:dyDescent="0.2">
      <c r="A154" s="37" t="s">
        <v>1324</v>
      </c>
      <c r="B154" s="115">
        <v>43466</v>
      </c>
      <c r="C154" s="37" t="s">
        <v>1319</v>
      </c>
      <c r="D154">
        <v>161</v>
      </c>
      <c r="E154">
        <v>10</v>
      </c>
      <c r="F154">
        <v>268</v>
      </c>
      <c r="G154">
        <v>205</v>
      </c>
      <c r="H154" s="37" t="s">
        <v>1325</v>
      </c>
      <c r="I154" s="37" t="s">
        <v>577</v>
      </c>
      <c r="J154" s="37" t="s">
        <v>578</v>
      </c>
      <c r="K154" s="37" t="s">
        <v>735</v>
      </c>
      <c r="M154">
        <v>182</v>
      </c>
      <c r="N154">
        <v>184</v>
      </c>
      <c r="O154">
        <v>637</v>
      </c>
      <c r="P154">
        <v>3.5</v>
      </c>
      <c r="R154">
        <v>203</v>
      </c>
      <c r="S154">
        <v>203</v>
      </c>
      <c r="T154">
        <v>168</v>
      </c>
      <c r="U154">
        <v>0.92800000000000005</v>
      </c>
      <c r="V154">
        <v>1</v>
      </c>
      <c r="W154">
        <v>0</v>
      </c>
      <c r="X154">
        <v>1</v>
      </c>
      <c r="Y154">
        <v>25</v>
      </c>
      <c r="Z154">
        <v>63254</v>
      </c>
      <c r="AA154">
        <v>1.45</v>
      </c>
      <c r="AB154">
        <v>63254</v>
      </c>
      <c r="AC154">
        <v>1.45</v>
      </c>
      <c r="AD154">
        <v>7110</v>
      </c>
      <c r="AE154">
        <v>1224082</v>
      </c>
      <c r="AF154">
        <v>0.1124</v>
      </c>
      <c r="AG154">
        <v>140</v>
      </c>
      <c r="AH154">
        <v>2986383</v>
      </c>
      <c r="AI154">
        <v>4637</v>
      </c>
      <c r="AJ154">
        <v>343</v>
      </c>
      <c r="AK154" s="37" t="s">
        <v>673</v>
      </c>
      <c r="AL154" s="37" t="s">
        <v>1321</v>
      </c>
      <c r="AM154" s="37" t="s">
        <v>1322</v>
      </c>
      <c r="AN154" s="37" t="s">
        <v>833</v>
      </c>
      <c r="AO154" s="37" t="s">
        <v>593</v>
      </c>
      <c r="AP154">
        <v>8</v>
      </c>
      <c r="AQ154">
        <v>8</v>
      </c>
      <c r="AR154">
        <v>25</v>
      </c>
      <c r="AS154">
        <v>56</v>
      </c>
      <c r="AT154">
        <v>41</v>
      </c>
      <c r="AU154" s="115">
        <v>24258</v>
      </c>
      <c r="AV154" s="37"/>
      <c r="AW154" s="37" t="s">
        <v>736</v>
      </c>
      <c r="AX154" s="37"/>
      <c r="AY154" s="37"/>
      <c r="AZ154" s="37">
        <f>developmentdata2019[[#This Row],[NUMBER OF CURRENT APARTMENTS]]*5/2000</f>
        <v>0.45500000000000002</v>
      </c>
      <c r="BA154" s="37">
        <f>developmentdata2019[[#This Row],[Total]]*BA$1</f>
        <v>0.1183</v>
      </c>
      <c r="BB154" s="37">
        <f>developmentdata2019[[#This Row],[Trash (tons/day)]]*BB$1</f>
        <v>2.2477E-2</v>
      </c>
      <c r="BC154" s="37">
        <f>developmentdata2019[[#This Row],[MGP (tons/day)]]*BC$1</f>
        <v>1.5733900000000002E-3</v>
      </c>
      <c r="BD154" s="37">
        <f>developmentdata2019[[#This Row],[Cardboard (tons/day)]]*BD$1</f>
        <v>1.1013730000000003E-4</v>
      </c>
      <c r="BE154" s="37">
        <f>developmentdata2019[[#This Row],[Paper (tons/day)]]*BE$1</f>
        <v>3.5243936000000008E-5</v>
      </c>
      <c r="BF154" s="37">
        <f>developmentdata2019[[#This Row],[Organics (tons/day)]]*BF$1</f>
        <v>3.5243936000000011E-7</v>
      </c>
      <c r="BG154" s="37">
        <f>developmentdata2019[[#This Row],[E-Waste (tons/day)]]*BG$1</f>
        <v>2.819514880000001E-8</v>
      </c>
      <c r="BH154" s="37">
        <f>developmentdata2019[[#This Row],[Trash (tons/day)]]*BH$1</f>
        <v>2.4902150000000001</v>
      </c>
      <c r="BI154" s="37">
        <f>developmentdata2019[[#This Row],[MGP (tons/day)]]*BI$1</f>
        <v>0.40503553999999997</v>
      </c>
      <c r="BJ154" s="37">
        <f>developmentdata2019[[#This Row],[Cardboard (tons/day)]]*BJ$1</f>
        <v>4.1962311300000006E-2</v>
      </c>
      <c r="BK154" s="37">
        <f>developmentdata2019[[#This Row],[Paper (tons/day)]]*BK$1</f>
        <v>6.8174988700000019E-4</v>
      </c>
      <c r="BL154" s="37">
        <f>developmentdata2019[[#This Row],[Organics (tons/day)]]*BL$1</f>
        <v>1.5225380352000006E-4</v>
      </c>
      <c r="BM154" s="37">
        <f>developmentdata2019[[#This Row],[E-Waste (tons/day)]]*BM$1</f>
        <v>1.9912823840000008E-6</v>
      </c>
      <c r="BN154" s="37">
        <f>developmentdata2019[[#This Row],[Textiles (tons/day)]]*BN$1</f>
        <v>3.7584133350400014E-7</v>
      </c>
      <c r="BO154" s="37">
        <f>developmentdata2019[[#This Row],[Trash (CY/day)]]*201.974</f>
        <v>502.95868440999999</v>
      </c>
      <c r="BP154" s="37">
        <f>developmentdata2019[[#This Row],[MGP (CY/day)]]*201.974</f>
        <v>81.806648155959991</v>
      </c>
      <c r="BQ154" s="37">
        <f>developmentdata2019[[#This Row],[Cardboard (CY/day)]]*201.974</f>
        <v>8.4752958625062007</v>
      </c>
      <c r="BR154" s="37">
        <f>developmentdata2019[[#This Row],[Paper  (CY/day)]]*201.974</f>
        <v>0.13769575167693804</v>
      </c>
      <c r="BS154" s="37">
        <f>developmentdata2019[[#This Row],[Organics (CY/day)]]*201.974</f>
        <v>3.075130971214849E-2</v>
      </c>
      <c r="BT154" s="37">
        <f>developmentdata2019[[#This Row],[E-Waste (CY/day)]]*201.974</f>
        <v>4.0218726822601614E-4</v>
      </c>
      <c r="BU154" s="37">
        <f>developmentdata2019[[#This Row],[Textiles (CY/day)]]*201.974</f>
        <v>7.5910177493136925E-5</v>
      </c>
    </row>
    <row r="155" spans="1:73" x14ac:dyDescent="0.2">
      <c r="A155" s="37" t="s">
        <v>327</v>
      </c>
      <c r="B155" s="115">
        <v>43466</v>
      </c>
      <c r="C155" s="37" t="s">
        <v>1326</v>
      </c>
      <c r="D155">
        <v>76</v>
      </c>
      <c r="E155">
        <v>76</v>
      </c>
      <c r="F155">
        <v>221</v>
      </c>
      <c r="G155">
        <v>221</v>
      </c>
      <c r="H155" s="37" t="s">
        <v>1327</v>
      </c>
      <c r="I155" s="37" t="s">
        <v>577</v>
      </c>
      <c r="J155" s="37" t="s">
        <v>578</v>
      </c>
      <c r="K155" s="37" t="s">
        <v>579</v>
      </c>
      <c r="M155">
        <v>1091</v>
      </c>
      <c r="N155">
        <v>1094</v>
      </c>
      <c r="O155">
        <v>5097.5</v>
      </c>
      <c r="P155">
        <v>4.67</v>
      </c>
      <c r="R155">
        <v>2458</v>
      </c>
      <c r="S155">
        <v>2458</v>
      </c>
      <c r="T155">
        <v>488</v>
      </c>
      <c r="U155">
        <v>0.45</v>
      </c>
      <c r="V155">
        <v>9</v>
      </c>
      <c r="W155">
        <v>0</v>
      </c>
      <c r="X155">
        <v>9</v>
      </c>
      <c r="Y155">
        <v>16</v>
      </c>
      <c r="Z155">
        <v>469672</v>
      </c>
      <c r="AA155">
        <v>10.78</v>
      </c>
      <c r="AB155">
        <v>415455</v>
      </c>
      <c r="AC155">
        <v>9.5399999999999991</v>
      </c>
      <c r="AD155">
        <v>63621</v>
      </c>
      <c r="AE155">
        <v>8909852</v>
      </c>
      <c r="AF155">
        <v>0.13550000000000001</v>
      </c>
      <c r="AG155">
        <v>228</v>
      </c>
      <c r="AH155">
        <v>17157591</v>
      </c>
      <c r="AI155">
        <v>3356</v>
      </c>
      <c r="AJ155">
        <v>585</v>
      </c>
      <c r="AK155" s="37" t="s">
        <v>1328</v>
      </c>
      <c r="AL155" s="37" t="s">
        <v>1329</v>
      </c>
      <c r="AM155" s="37" t="s">
        <v>1330</v>
      </c>
      <c r="AN155" s="37" t="s">
        <v>1331</v>
      </c>
      <c r="AO155" s="37" t="s">
        <v>608</v>
      </c>
      <c r="AP155">
        <v>3</v>
      </c>
      <c r="AQ155">
        <v>7</v>
      </c>
      <c r="AR155">
        <v>26</v>
      </c>
      <c r="AS155">
        <v>65</v>
      </c>
      <c r="AT155">
        <v>1</v>
      </c>
      <c r="AU155" s="115">
        <v>21040</v>
      </c>
      <c r="AV155" s="37"/>
      <c r="AW155" s="37"/>
      <c r="AX155" s="37"/>
      <c r="AY155" s="37"/>
      <c r="AZ155" s="37">
        <f>developmentdata2019[[#This Row],[NUMBER OF CURRENT APARTMENTS]]*5/2000</f>
        <v>2.7275</v>
      </c>
      <c r="BA155" s="37">
        <f>developmentdata2019[[#This Row],[Total]]*BA$1</f>
        <v>0.70915000000000006</v>
      </c>
      <c r="BB155" s="37">
        <f>developmentdata2019[[#This Row],[Trash (tons/day)]]*BB$1</f>
        <v>0.13473850000000001</v>
      </c>
      <c r="BC155" s="37">
        <f>developmentdata2019[[#This Row],[MGP (tons/day)]]*BC$1</f>
        <v>9.4316950000000021E-3</v>
      </c>
      <c r="BD155" s="37">
        <f>developmentdata2019[[#This Row],[Cardboard (tons/day)]]*BD$1</f>
        <v>6.6021865000000018E-4</v>
      </c>
      <c r="BE155" s="37">
        <f>developmentdata2019[[#This Row],[Paper (tons/day)]]*BE$1</f>
        <v>2.1126996800000008E-4</v>
      </c>
      <c r="BF155" s="37">
        <f>developmentdata2019[[#This Row],[Organics (tons/day)]]*BF$1</f>
        <v>2.1126996800000007E-6</v>
      </c>
      <c r="BG155" s="37">
        <f>developmentdata2019[[#This Row],[E-Waste (tons/day)]]*BG$1</f>
        <v>1.6901597440000005E-7</v>
      </c>
      <c r="BH155" s="37">
        <f>developmentdata2019[[#This Row],[Trash (tons/day)]]*BH$1</f>
        <v>14.927607500000002</v>
      </c>
      <c r="BI155" s="37">
        <f>developmentdata2019[[#This Row],[MGP (tons/day)]]*BI$1</f>
        <v>2.4279877700000001</v>
      </c>
      <c r="BJ155" s="37">
        <f>developmentdata2019[[#This Row],[Cardboard (tons/day)]]*BJ$1</f>
        <v>0.25154330565000005</v>
      </c>
      <c r="BK155" s="37">
        <f>developmentdata2019[[#This Row],[Paper (tons/day)]]*BK$1</f>
        <v>4.0867534435000017E-3</v>
      </c>
      <c r="BL155" s="37">
        <f>developmentdata2019[[#This Row],[Organics (tons/day)]]*BL$1</f>
        <v>9.126862617600004E-4</v>
      </c>
      <c r="BM155" s="37">
        <f>developmentdata2019[[#This Row],[E-Waste (tons/day)]]*BM$1</f>
        <v>1.1936753192000004E-5</v>
      </c>
      <c r="BN155" s="37">
        <f>developmentdata2019[[#This Row],[Textiles (tons/day)]]*BN$1</f>
        <v>2.2529829387520009E-6</v>
      </c>
      <c r="BO155" s="37">
        <f>developmentdata2019[[#This Row],[Trash (CY/day)]]*201.974</f>
        <v>3014.9885972050001</v>
      </c>
      <c r="BP155" s="37">
        <f>developmentdata2019[[#This Row],[MGP (CY/day)]]*201.974</f>
        <v>490.39040185798001</v>
      </c>
      <c r="BQ155" s="37">
        <f>developmentdata2019[[#This Row],[Cardboard (CY/day)]]*201.974</f>
        <v>50.805207615353105</v>
      </c>
      <c r="BR155" s="37">
        <f>developmentdata2019[[#This Row],[Paper  (CY/day)]]*201.974</f>
        <v>0.82541793999746926</v>
      </c>
      <c r="BS155" s="37">
        <f>developmentdata2019[[#This Row],[Organics (CY/day)]]*201.974</f>
        <v>0.18433889503271431</v>
      </c>
      <c r="BT155" s="37">
        <f>developmentdata2019[[#This Row],[E-Waste (CY/day)]]*201.974</f>
        <v>2.4109137892010086E-3</v>
      </c>
      <c r="BU155" s="37">
        <f>developmentdata2019[[#This Row],[Textiles (CY/day)]]*201.974</f>
        <v>4.550439760714966E-4</v>
      </c>
    </row>
    <row r="156" spans="1:73" x14ac:dyDescent="0.2">
      <c r="A156" s="37" t="s">
        <v>328</v>
      </c>
      <c r="B156" s="115">
        <v>43466</v>
      </c>
      <c r="C156" s="37" t="s">
        <v>1326</v>
      </c>
      <c r="D156">
        <v>152</v>
      </c>
      <c r="E156">
        <v>76</v>
      </c>
      <c r="F156">
        <v>262</v>
      </c>
      <c r="G156">
        <v>221</v>
      </c>
      <c r="H156" s="37" t="s">
        <v>1332</v>
      </c>
      <c r="I156" s="37" t="s">
        <v>577</v>
      </c>
      <c r="J156" s="37" t="s">
        <v>578</v>
      </c>
      <c r="K156" s="37" t="s">
        <v>735</v>
      </c>
      <c r="M156">
        <v>149</v>
      </c>
      <c r="N156">
        <v>150</v>
      </c>
      <c r="O156">
        <v>491.5</v>
      </c>
      <c r="P156">
        <v>3.3</v>
      </c>
      <c r="R156">
        <v>193</v>
      </c>
      <c r="S156">
        <v>193</v>
      </c>
      <c r="T156">
        <v>142</v>
      </c>
      <c r="U156">
        <v>0.95299999999999996</v>
      </c>
      <c r="V156">
        <v>1</v>
      </c>
      <c r="W156">
        <v>0</v>
      </c>
      <c r="X156">
        <v>1</v>
      </c>
      <c r="Y156">
        <v>16</v>
      </c>
      <c r="Z156">
        <v>26052</v>
      </c>
      <c r="AA156">
        <v>0.6</v>
      </c>
      <c r="AB156">
        <v>26052</v>
      </c>
      <c r="AC156">
        <v>0.6</v>
      </c>
      <c r="AD156">
        <v>5618</v>
      </c>
      <c r="AE156">
        <v>914382</v>
      </c>
      <c r="AF156">
        <v>0.21560000000000001</v>
      </c>
      <c r="AG156">
        <v>322</v>
      </c>
      <c r="AH156">
        <v>2876132</v>
      </c>
      <c r="AI156">
        <v>5645</v>
      </c>
      <c r="AJ156">
        <v>297</v>
      </c>
      <c r="AK156" s="37" t="s">
        <v>1331</v>
      </c>
      <c r="AL156" s="37" t="s">
        <v>1329</v>
      </c>
      <c r="AM156" s="37" t="s">
        <v>1328</v>
      </c>
      <c r="AN156" s="37" t="s">
        <v>1330</v>
      </c>
      <c r="AO156" s="37" t="s">
        <v>608</v>
      </c>
      <c r="AP156">
        <v>3</v>
      </c>
      <c r="AQ156">
        <v>7</v>
      </c>
      <c r="AR156">
        <v>26</v>
      </c>
      <c r="AS156">
        <v>65</v>
      </c>
      <c r="AT156">
        <v>1</v>
      </c>
      <c r="AU156" s="115">
        <v>23985</v>
      </c>
      <c r="AV156" s="37"/>
      <c r="AW156" s="37" t="s">
        <v>736</v>
      </c>
      <c r="AX156" s="37"/>
      <c r="AY156" s="37"/>
      <c r="AZ156" s="37">
        <f>developmentdata2019[[#This Row],[NUMBER OF CURRENT APARTMENTS]]*5/2000</f>
        <v>0.3725</v>
      </c>
      <c r="BA156" s="37">
        <f>developmentdata2019[[#This Row],[Total]]*BA$1</f>
        <v>9.6850000000000006E-2</v>
      </c>
      <c r="BB156" s="37">
        <f>developmentdata2019[[#This Row],[Trash (tons/day)]]*BB$1</f>
        <v>1.8401500000000001E-2</v>
      </c>
      <c r="BC156" s="37">
        <f>developmentdata2019[[#This Row],[MGP (tons/day)]]*BC$1</f>
        <v>1.2881050000000001E-3</v>
      </c>
      <c r="BD156" s="37">
        <f>developmentdata2019[[#This Row],[Cardboard (tons/day)]]*BD$1</f>
        <v>9.0167350000000017E-5</v>
      </c>
      <c r="BE156" s="37">
        <f>developmentdata2019[[#This Row],[Paper (tons/day)]]*BE$1</f>
        <v>2.8853552000000006E-5</v>
      </c>
      <c r="BF156" s="37">
        <f>developmentdata2019[[#This Row],[Organics (tons/day)]]*BF$1</f>
        <v>2.8853552000000007E-7</v>
      </c>
      <c r="BG156" s="37">
        <f>developmentdata2019[[#This Row],[E-Waste (tons/day)]]*BG$1</f>
        <v>2.3082841600000005E-8</v>
      </c>
      <c r="BH156" s="37">
        <f>developmentdata2019[[#This Row],[Trash (tons/day)]]*BH$1</f>
        <v>2.0386925000000002</v>
      </c>
      <c r="BI156" s="37">
        <f>developmentdata2019[[#This Row],[MGP (tons/day)]]*BI$1</f>
        <v>0.33159503000000001</v>
      </c>
      <c r="BJ156" s="37">
        <f>developmentdata2019[[#This Row],[Cardboard (tons/day)]]*BJ$1</f>
        <v>3.4353760350000005E-2</v>
      </c>
      <c r="BK156" s="37">
        <f>developmentdata2019[[#This Row],[Paper (tons/day)]]*BK$1</f>
        <v>5.5813589650000018E-4</v>
      </c>
      <c r="BL156" s="37">
        <f>developmentdata2019[[#This Row],[Organics (tons/day)]]*BL$1</f>
        <v>1.2464734464000002E-4</v>
      </c>
      <c r="BM156" s="37">
        <f>developmentdata2019[[#This Row],[E-Waste (tons/day)]]*BM$1</f>
        <v>1.6302256880000005E-6</v>
      </c>
      <c r="BN156" s="37">
        <f>developmentdata2019[[#This Row],[Textiles (tons/day)]]*BN$1</f>
        <v>3.0769427852800008E-7</v>
      </c>
      <c r="BO156" s="37">
        <f>developmentdata2019[[#This Row],[Trash (CY/day)]]*201.974</f>
        <v>411.76287899500005</v>
      </c>
      <c r="BP156" s="37">
        <f>developmentdata2019[[#This Row],[MGP (CY/day)]]*201.974</f>
        <v>66.973574589219993</v>
      </c>
      <c r="BQ156" s="37">
        <f>developmentdata2019[[#This Row],[Cardboard (CY/day)]]*201.974</f>
        <v>6.9385663929309009</v>
      </c>
      <c r="BR156" s="37">
        <f>developmentdata2019[[#This Row],[Paper  (CY/day)]]*201.974</f>
        <v>0.11272893955969103</v>
      </c>
      <c r="BS156" s="37">
        <f>developmentdata2019[[#This Row],[Organics (CY/day)]]*201.974</f>
        <v>2.5175522786319363E-2</v>
      </c>
      <c r="BT156" s="37">
        <f>developmentdata2019[[#This Row],[E-Waste (CY/day)]]*201.974</f>
        <v>3.2926320310811208E-4</v>
      </c>
      <c r="BU156" s="37">
        <f>developmentdata2019[[#This Row],[Textiles (CY/day)]]*201.974</f>
        <v>6.2146244211414286E-5</v>
      </c>
    </row>
    <row r="157" spans="1:73" x14ac:dyDescent="0.2">
      <c r="A157" s="37" t="s">
        <v>446</v>
      </c>
      <c r="B157" s="115">
        <v>43466</v>
      </c>
      <c r="C157" s="37" t="s">
        <v>1333</v>
      </c>
      <c r="D157">
        <v>122</v>
      </c>
      <c r="E157">
        <v>122</v>
      </c>
      <c r="F157">
        <v>247</v>
      </c>
      <c r="G157">
        <v>247</v>
      </c>
      <c r="H157" s="37" t="s">
        <v>1334</v>
      </c>
      <c r="I157" s="37" t="s">
        <v>577</v>
      </c>
      <c r="J157" s="37" t="s">
        <v>578</v>
      </c>
      <c r="K157" s="37" t="s">
        <v>579</v>
      </c>
      <c r="M157">
        <v>882</v>
      </c>
      <c r="N157">
        <v>882</v>
      </c>
      <c r="O157">
        <v>4385</v>
      </c>
      <c r="P157">
        <v>4.97</v>
      </c>
      <c r="R157">
        <v>2422</v>
      </c>
      <c r="S157">
        <v>2422</v>
      </c>
      <c r="T157">
        <v>286</v>
      </c>
      <c r="U157">
        <v>0.32700000000000001</v>
      </c>
      <c r="V157">
        <v>7</v>
      </c>
      <c r="W157">
        <v>0</v>
      </c>
      <c r="X157">
        <v>7</v>
      </c>
      <c r="Y157" t="s">
        <v>1335</v>
      </c>
      <c r="Z157">
        <v>334323</v>
      </c>
      <c r="AA157">
        <v>7.68</v>
      </c>
      <c r="AB157">
        <v>304776</v>
      </c>
      <c r="AC157">
        <v>7</v>
      </c>
      <c r="AD157">
        <v>58504</v>
      </c>
      <c r="AE157">
        <v>8369220</v>
      </c>
      <c r="AF157">
        <v>0.17499999999999999</v>
      </c>
      <c r="AG157">
        <v>315</v>
      </c>
      <c r="AH157">
        <v>14689766</v>
      </c>
      <c r="AI157">
        <v>3350</v>
      </c>
      <c r="AJ157">
        <v>609</v>
      </c>
      <c r="AK157" s="37" t="s">
        <v>911</v>
      </c>
      <c r="AL157" s="37" t="s">
        <v>1336</v>
      </c>
      <c r="AM157" s="37" t="s">
        <v>1337</v>
      </c>
      <c r="AN157" s="37" t="s">
        <v>1338</v>
      </c>
      <c r="AO157" s="37" t="s">
        <v>593</v>
      </c>
      <c r="AP157">
        <v>3</v>
      </c>
      <c r="AQ157">
        <v>8</v>
      </c>
      <c r="AR157">
        <v>25</v>
      </c>
      <c r="AS157">
        <v>57</v>
      </c>
      <c r="AT157">
        <v>35</v>
      </c>
      <c r="AU157" s="115">
        <v>22858</v>
      </c>
      <c r="AV157" s="37"/>
      <c r="AW157" s="37"/>
      <c r="AX157" s="37"/>
      <c r="AY157" s="37"/>
      <c r="AZ157" s="37">
        <f>developmentdata2019[[#This Row],[NUMBER OF CURRENT APARTMENTS]]*5/2000</f>
        <v>2.2050000000000001</v>
      </c>
      <c r="BA157" s="37">
        <f>developmentdata2019[[#This Row],[Total]]*BA$1</f>
        <v>0.57330000000000003</v>
      </c>
      <c r="BB157" s="37">
        <f>developmentdata2019[[#This Row],[Trash (tons/day)]]*BB$1</f>
        <v>0.10892700000000001</v>
      </c>
      <c r="BC157" s="37">
        <f>developmentdata2019[[#This Row],[MGP (tons/day)]]*BC$1</f>
        <v>7.6248900000000014E-3</v>
      </c>
      <c r="BD157" s="37">
        <f>developmentdata2019[[#This Row],[Cardboard (tons/day)]]*BD$1</f>
        <v>5.3374230000000013E-4</v>
      </c>
      <c r="BE157" s="37">
        <f>developmentdata2019[[#This Row],[Paper (tons/day)]]*BE$1</f>
        <v>1.7079753600000004E-4</v>
      </c>
      <c r="BF157" s="37">
        <f>developmentdata2019[[#This Row],[Organics (tons/day)]]*BF$1</f>
        <v>1.7079753600000004E-6</v>
      </c>
      <c r="BG157" s="37">
        <f>developmentdata2019[[#This Row],[E-Waste (tons/day)]]*BG$1</f>
        <v>1.3663802880000004E-7</v>
      </c>
      <c r="BH157" s="37">
        <f>developmentdata2019[[#This Row],[Trash (tons/day)]]*BH$1</f>
        <v>12.067965000000001</v>
      </c>
      <c r="BI157" s="37">
        <f>developmentdata2019[[#This Row],[MGP (tons/day)]]*BI$1</f>
        <v>1.9628645400000002</v>
      </c>
      <c r="BJ157" s="37">
        <f>developmentdata2019[[#This Row],[Cardboard (tons/day)]]*BJ$1</f>
        <v>0.20335581630000005</v>
      </c>
      <c r="BK157" s="37">
        <f>developmentdata2019[[#This Row],[Paper (tons/day)]]*BK$1</f>
        <v>3.3038648370000011E-3</v>
      </c>
      <c r="BL157" s="37">
        <f>developmentdata2019[[#This Row],[Organics (tons/day)]]*BL$1</f>
        <v>7.3784535552000026E-4</v>
      </c>
      <c r="BM157" s="37">
        <f>developmentdata2019[[#This Row],[E-Waste (tons/day)]]*BM$1</f>
        <v>9.6500607840000027E-6</v>
      </c>
      <c r="BN157" s="37">
        <f>developmentdata2019[[#This Row],[Textiles (tons/day)]]*BN$1</f>
        <v>1.8213849239040007E-6</v>
      </c>
      <c r="BO157" s="37">
        <f>developmentdata2019[[#This Row],[Trash (CY/day)]]*201.974</f>
        <v>2437.4151629100002</v>
      </c>
      <c r="BP157" s="37">
        <f>developmentdata2019[[#This Row],[MGP (CY/day)]]*201.974</f>
        <v>396.44760260196</v>
      </c>
      <c r="BQ157" s="37">
        <f>developmentdata2019[[#This Row],[Cardboard (CY/day)]]*201.974</f>
        <v>41.072587641376209</v>
      </c>
      <c r="BR157" s="37">
        <f>developmentdata2019[[#This Row],[Paper  (CY/day)]]*201.974</f>
        <v>0.6672947965882382</v>
      </c>
      <c r="BS157" s="37">
        <f>developmentdata2019[[#This Row],[Organics (CY/day)]]*201.974</f>
        <v>0.14902557783579654</v>
      </c>
      <c r="BT157" s="37">
        <f>developmentdata2019[[#This Row],[E-Waste (CY/day)]]*201.974</f>
        <v>1.9490613767876165E-3</v>
      </c>
      <c r="BU157" s="37">
        <f>developmentdata2019[[#This Row],[Textiles (CY/day)]]*201.974</f>
        <v>3.6787239862058662E-4</v>
      </c>
    </row>
    <row r="158" spans="1:73" x14ac:dyDescent="0.2">
      <c r="A158" s="37" t="s">
        <v>502</v>
      </c>
      <c r="B158" s="115">
        <v>43466</v>
      </c>
      <c r="C158" s="37" t="s">
        <v>776</v>
      </c>
      <c r="D158">
        <v>186</v>
      </c>
      <c r="E158">
        <v>186</v>
      </c>
      <c r="F158">
        <v>290</v>
      </c>
      <c r="G158">
        <v>290</v>
      </c>
      <c r="H158" s="37" t="s">
        <v>1339</v>
      </c>
      <c r="I158" s="37" t="s">
        <v>577</v>
      </c>
      <c r="J158" s="37" t="s">
        <v>578</v>
      </c>
      <c r="K158" s="37" t="s">
        <v>579</v>
      </c>
      <c r="M158">
        <v>423</v>
      </c>
      <c r="N158">
        <v>423</v>
      </c>
      <c r="O158">
        <v>1708.5</v>
      </c>
      <c r="P158">
        <v>4.04</v>
      </c>
      <c r="R158">
        <v>792</v>
      </c>
      <c r="S158">
        <v>792</v>
      </c>
      <c r="T158">
        <v>217</v>
      </c>
      <c r="U158">
        <v>0.51300000000000001</v>
      </c>
      <c r="V158">
        <v>4</v>
      </c>
      <c r="W158">
        <v>0</v>
      </c>
      <c r="X158">
        <v>4</v>
      </c>
      <c r="Y158">
        <v>10</v>
      </c>
      <c r="Z158">
        <v>167134</v>
      </c>
      <c r="AA158">
        <v>3.84</v>
      </c>
      <c r="AB158">
        <v>167134</v>
      </c>
      <c r="AC158">
        <v>3.84</v>
      </c>
      <c r="AD158">
        <v>40077</v>
      </c>
      <c r="AE158">
        <v>3430247</v>
      </c>
      <c r="AF158">
        <v>0.23980000000000001</v>
      </c>
      <c r="AG158">
        <v>206</v>
      </c>
      <c r="AH158">
        <v>9310959</v>
      </c>
      <c r="AI158">
        <v>5442</v>
      </c>
      <c r="AJ158">
        <v>526</v>
      </c>
      <c r="AK158" s="37" t="s">
        <v>1340</v>
      </c>
      <c r="AL158" s="37" t="s">
        <v>1341</v>
      </c>
      <c r="AM158" s="37" t="s">
        <v>1342</v>
      </c>
      <c r="AN158" s="37" t="s">
        <v>1343</v>
      </c>
      <c r="AO158" s="37" t="s">
        <v>703</v>
      </c>
      <c r="AP158">
        <v>7</v>
      </c>
      <c r="AQ158">
        <v>6</v>
      </c>
      <c r="AR158">
        <v>11</v>
      </c>
      <c r="AS158">
        <v>40</v>
      </c>
      <c r="AT158">
        <v>20</v>
      </c>
      <c r="AU158" s="115">
        <v>25841</v>
      </c>
      <c r="AV158" s="37"/>
      <c r="AW158" s="37"/>
      <c r="AX158" s="37"/>
      <c r="AY158" s="37"/>
      <c r="AZ158" s="37">
        <f>developmentdata2019[[#This Row],[NUMBER OF CURRENT APARTMENTS]]*5/2000</f>
        <v>1.0575000000000001</v>
      </c>
      <c r="BA158" s="37">
        <f>developmentdata2019[[#This Row],[Total]]*BA$1</f>
        <v>0.27495000000000003</v>
      </c>
      <c r="BB158" s="37">
        <f>developmentdata2019[[#This Row],[Trash (tons/day)]]*BB$1</f>
        <v>5.2240500000000009E-2</v>
      </c>
      <c r="BC158" s="37">
        <f>developmentdata2019[[#This Row],[MGP (tons/day)]]*BC$1</f>
        <v>3.6568350000000011E-3</v>
      </c>
      <c r="BD158" s="37">
        <f>developmentdata2019[[#This Row],[Cardboard (tons/day)]]*BD$1</f>
        <v>2.5597845000000012E-4</v>
      </c>
      <c r="BE158" s="37">
        <f>developmentdata2019[[#This Row],[Paper (tons/day)]]*BE$1</f>
        <v>8.1913104000000045E-5</v>
      </c>
      <c r="BF158" s="37">
        <f>developmentdata2019[[#This Row],[Organics (tons/day)]]*BF$1</f>
        <v>8.1913104000000049E-7</v>
      </c>
      <c r="BG158" s="37">
        <f>developmentdata2019[[#This Row],[E-Waste (tons/day)]]*BG$1</f>
        <v>6.553048320000004E-8</v>
      </c>
      <c r="BH158" s="37">
        <f>developmentdata2019[[#This Row],[Trash (tons/day)]]*BH$1</f>
        <v>5.787697500000001</v>
      </c>
      <c r="BI158" s="37">
        <f>developmentdata2019[[#This Row],[MGP (tons/day)]]*BI$1</f>
        <v>0.94137381000000009</v>
      </c>
      <c r="BJ158" s="37">
        <f>developmentdata2019[[#This Row],[Cardboard (tons/day)]]*BJ$1</f>
        <v>9.7527789450000041E-2</v>
      </c>
      <c r="BK158" s="37">
        <f>developmentdata2019[[#This Row],[Paper (tons/day)]]*BK$1</f>
        <v>1.5845066055000009E-3</v>
      </c>
      <c r="BL158" s="37">
        <f>developmentdata2019[[#This Row],[Organics (tons/day)]]*BL$1</f>
        <v>3.5386460928000022E-4</v>
      </c>
      <c r="BM158" s="37">
        <f>developmentdata2019[[#This Row],[E-Waste (tons/day)]]*BM$1</f>
        <v>4.628090376000003E-6</v>
      </c>
      <c r="BN158" s="37">
        <f>developmentdata2019[[#This Row],[Textiles (tons/day)]]*BN$1</f>
        <v>8.7352134105600052E-7</v>
      </c>
      <c r="BO158" s="37">
        <f>developmentdata2019[[#This Row],[Trash (CY/day)]]*201.974</f>
        <v>1168.9644148650002</v>
      </c>
      <c r="BP158" s="37">
        <f>developmentdata2019[[#This Row],[MGP (CY/day)]]*201.974</f>
        <v>190.13303390094001</v>
      </c>
      <c r="BQ158" s="37">
        <f>developmentdata2019[[#This Row],[Cardboard (CY/day)]]*201.974</f>
        <v>19.698077746374306</v>
      </c>
      <c r="BR158" s="37">
        <f>developmentdata2019[[#This Row],[Paper  (CY/day)]]*201.974</f>
        <v>0.32002913713925718</v>
      </c>
      <c r="BS158" s="37">
        <f>developmentdata2019[[#This Row],[Organics (CY/day)]]*201.974</f>
        <v>7.1471450594718766E-2</v>
      </c>
      <c r="BT158" s="37">
        <f>developmentdata2019[[#This Row],[E-Waste (CY/day)]]*201.974</f>
        <v>9.347539256022245E-4</v>
      </c>
      <c r="BU158" s="37">
        <f>developmentdata2019[[#This Row],[Textiles (CY/day)]]*201.974</f>
        <v>1.7642859933844464E-4</v>
      </c>
    </row>
    <row r="159" spans="1:73" x14ac:dyDescent="0.2">
      <c r="A159" s="37" t="s">
        <v>1344</v>
      </c>
      <c r="B159" s="115">
        <v>43466</v>
      </c>
      <c r="C159" s="37" t="s">
        <v>1345</v>
      </c>
      <c r="D159">
        <v>310</v>
      </c>
      <c r="E159">
        <v>310</v>
      </c>
      <c r="F159">
        <v>578</v>
      </c>
      <c r="G159">
        <v>578</v>
      </c>
      <c r="H159" s="37" t="s">
        <v>1346</v>
      </c>
      <c r="I159" s="37" t="s">
        <v>577</v>
      </c>
      <c r="J159" s="37" t="s">
        <v>578</v>
      </c>
      <c r="K159" s="37" t="s">
        <v>597</v>
      </c>
      <c r="M159">
        <v>95</v>
      </c>
      <c r="N159">
        <v>104</v>
      </c>
      <c r="O159">
        <v>391.5</v>
      </c>
      <c r="P159">
        <v>4.12</v>
      </c>
      <c r="V159">
        <v>1</v>
      </c>
      <c r="X159">
        <v>6</v>
      </c>
      <c r="Y159">
        <v>6</v>
      </c>
      <c r="Z159">
        <v>23032</v>
      </c>
      <c r="AA159">
        <v>0.53</v>
      </c>
      <c r="AB159">
        <v>23032</v>
      </c>
      <c r="AC159">
        <v>0.53</v>
      </c>
      <c r="AD159">
        <v>12882</v>
      </c>
      <c r="AE159">
        <v>937200</v>
      </c>
      <c r="AF159">
        <v>0.55930000000000002</v>
      </c>
      <c r="AH159">
        <v>5742000</v>
      </c>
      <c r="AI159">
        <v>12903</v>
      </c>
      <c r="AK159" s="37" t="s">
        <v>730</v>
      </c>
      <c r="AL159" s="37" t="s">
        <v>1347</v>
      </c>
      <c r="AM159" s="37" t="s">
        <v>1348</v>
      </c>
      <c r="AN159" s="37" t="s">
        <v>1349</v>
      </c>
      <c r="AO159" s="37" t="s">
        <v>608</v>
      </c>
      <c r="AP159">
        <v>3</v>
      </c>
      <c r="AQ159">
        <v>7</v>
      </c>
      <c r="AR159">
        <v>26</v>
      </c>
      <c r="AS159">
        <v>74</v>
      </c>
      <c r="AT159">
        <v>2</v>
      </c>
      <c r="AU159" s="115">
        <v>30951</v>
      </c>
      <c r="AV159" s="37"/>
      <c r="AW159" s="37"/>
      <c r="AX159" s="37"/>
      <c r="AY159" s="37"/>
      <c r="AZ159" s="37">
        <f>developmentdata2019[[#This Row],[NUMBER OF CURRENT APARTMENTS]]*5/2000</f>
        <v>0.23749999999999999</v>
      </c>
      <c r="BA159" s="37">
        <f>developmentdata2019[[#This Row],[Total]]*BA$1</f>
        <v>6.1749999999999999E-2</v>
      </c>
      <c r="BB159" s="37">
        <f>developmentdata2019[[#This Row],[Trash (tons/day)]]*BB$1</f>
        <v>1.17325E-2</v>
      </c>
      <c r="BC159" s="37">
        <f>developmentdata2019[[#This Row],[MGP (tons/day)]]*BC$1</f>
        <v>8.2127500000000011E-4</v>
      </c>
      <c r="BD159" s="37">
        <f>developmentdata2019[[#This Row],[Cardboard (tons/day)]]*BD$1</f>
        <v>5.7489250000000015E-5</v>
      </c>
      <c r="BE159" s="37">
        <f>developmentdata2019[[#This Row],[Paper (tons/day)]]*BE$1</f>
        <v>1.8396560000000007E-5</v>
      </c>
      <c r="BF159" s="37">
        <f>developmentdata2019[[#This Row],[Organics (tons/day)]]*BF$1</f>
        <v>1.8396560000000008E-7</v>
      </c>
      <c r="BG159" s="37">
        <f>developmentdata2019[[#This Row],[E-Waste (tons/day)]]*BG$1</f>
        <v>1.4717248000000007E-8</v>
      </c>
      <c r="BH159" s="37">
        <f>developmentdata2019[[#This Row],[Trash (tons/day)]]*BH$1</f>
        <v>1.2998375</v>
      </c>
      <c r="BI159" s="37">
        <f>developmentdata2019[[#This Row],[MGP (tons/day)]]*BI$1</f>
        <v>0.21141964999999999</v>
      </c>
      <c r="BJ159" s="37">
        <f>developmentdata2019[[#This Row],[Cardboard (tons/day)]]*BJ$1</f>
        <v>2.1903404250000005E-2</v>
      </c>
      <c r="BK159" s="37">
        <f>developmentdata2019[[#This Row],[Paper (tons/day)]]*BK$1</f>
        <v>3.5585845750000014E-4</v>
      </c>
      <c r="BL159" s="37">
        <f>developmentdata2019[[#This Row],[Organics (tons/day)]]*BL$1</f>
        <v>7.947313920000004E-5</v>
      </c>
      <c r="BM159" s="37">
        <f>developmentdata2019[[#This Row],[E-Waste (tons/day)]]*BM$1</f>
        <v>1.0394056400000005E-6</v>
      </c>
      <c r="BN159" s="37">
        <f>developmentdata2019[[#This Row],[Textiles (tons/day)]]*BN$1</f>
        <v>1.961809158400001E-7</v>
      </c>
      <c r="BO159" s="37">
        <f>developmentdata2019[[#This Row],[Trash (CY/day)]]*201.974</f>
        <v>262.53337922499998</v>
      </c>
      <c r="BP159" s="37">
        <f>developmentdata2019[[#This Row],[MGP (CY/day)]]*201.974</f>
        <v>42.701272389099998</v>
      </c>
      <c r="BQ159" s="37">
        <f>developmentdata2019[[#This Row],[Cardboard (CY/day)]]*201.974</f>
        <v>4.4239181699895003</v>
      </c>
      <c r="BR159" s="37">
        <f>developmentdata2019[[#This Row],[Paper  (CY/day)]]*201.974</f>
        <v>7.187415609510503E-2</v>
      </c>
      <c r="BS159" s="37">
        <f>developmentdata2019[[#This Row],[Organics (CY/day)]]*201.974</f>
        <v>1.6051507816780806E-2</v>
      </c>
      <c r="BT159" s="37">
        <f>developmentdata2019[[#This Row],[E-Waste (CY/day)]]*201.974</f>
        <v>2.099329147333601E-4</v>
      </c>
      <c r="BU159" s="37">
        <f>developmentdata2019[[#This Row],[Textiles (CY/day)]]*201.974</f>
        <v>3.9623444295868179E-5</v>
      </c>
    </row>
    <row r="160" spans="1:73" x14ac:dyDescent="0.2">
      <c r="A160" s="37" t="s">
        <v>1350</v>
      </c>
      <c r="B160" s="115">
        <v>43466</v>
      </c>
      <c r="C160" s="37" t="s">
        <v>776</v>
      </c>
      <c r="D160">
        <v>201</v>
      </c>
      <c r="E160">
        <v>186</v>
      </c>
      <c r="F160">
        <v>386</v>
      </c>
      <c r="G160">
        <v>290</v>
      </c>
      <c r="H160" s="37" t="s">
        <v>1351</v>
      </c>
      <c r="I160" s="37" t="s">
        <v>577</v>
      </c>
      <c r="J160" s="37" t="s">
        <v>588</v>
      </c>
      <c r="K160" s="37" t="s">
        <v>735</v>
      </c>
      <c r="M160">
        <v>83</v>
      </c>
      <c r="N160">
        <v>83</v>
      </c>
      <c r="O160">
        <v>272.5</v>
      </c>
      <c r="P160">
        <v>3.28</v>
      </c>
      <c r="R160">
        <v>104</v>
      </c>
      <c r="S160">
        <v>104</v>
      </c>
      <c r="T160">
        <v>76</v>
      </c>
      <c r="U160">
        <v>0.91600000000000004</v>
      </c>
      <c r="V160">
        <v>1</v>
      </c>
      <c r="W160">
        <v>0</v>
      </c>
      <c r="X160">
        <v>1</v>
      </c>
      <c r="Y160">
        <v>6</v>
      </c>
      <c r="Z160">
        <v>20013</v>
      </c>
      <c r="AA160">
        <v>0.46</v>
      </c>
      <c r="AB160">
        <v>20013</v>
      </c>
      <c r="AC160">
        <v>0.46</v>
      </c>
      <c r="AD160">
        <v>8465</v>
      </c>
      <c r="AE160">
        <v>571608</v>
      </c>
      <c r="AF160">
        <v>0.42299999999999999</v>
      </c>
      <c r="AG160">
        <v>226</v>
      </c>
      <c r="AH160">
        <v>2606744</v>
      </c>
      <c r="AI160">
        <v>9244</v>
      </c>
      <c r="AJ160">
        <v>309</v>
      </c>
      <c r="AK160" s="37" t="s">
        <v>1342</v>
      </c>
      <c r="AL160" s="37" t="s">
        <v>590</v>
      </c>
      <c r="AM160" s="37" t="s">
        <v>1352</v>
      </c>
      <c r="AN160" s="37" t="s">
        <v>1353</v>
      </c>
      <c r="AO160" s="37" t="s">
        <v>703</v>
      </c>
      <c r="AP160">
        <v>7</v>
      </c>
      <c r="AQ160">
        <v>6</v>
      </c>
      <c r="AR160">
        <v>11</v>
      </c>
      <c r="AS160">
        <v>40</v>
      </c>
      <c r="AT160">
        <v>20</v>
      </c>
      <c r="AU160" s="115">
        <v>27333</v>
      </c>
      <c r="AV160" s="37"/>
      <c r="AW160" s="37" t="s">
        <v>736</v>
      </c>
      <c r="AX160" s="37"/>
      <c r="AY160" s="37"/>
      <c r="AZ160" s="37">
        <f>developmentdata2019[[#This Row],[NUMBER OF CURRENT APARTMENTS]]*5/2000</f>
        <v>0.20749999999999999</v>
      </c>
      <c r="BA160" s="37">
        <f>developmentdata2019[[#This Row],[Total]]*BA$1</f>
        <v>5.3949999999999998E-2</v>
      </c>
      <c r="BB160" s="37">
        <f>developmentdata2019[[#This Row],[Trash (tons/day)]]*BB$1</f>
        <v>1.0250499999999999E-2</v>
      </c>
      <c r="BC160" s="37">
        <f>developmentdata2019[[#This Row],[MGP (tons/day)]]*BC$1</f>
        <v>7.1753500000000005E-4</v>
      </c>
      <c r="BD160" s="37">
        <f>developmentdata2019[[#This Row],[Cardboard (tons/day)]]*BD$1</f>
        <v>5.022745000000001E-5</v>
      </c>
      <c r="BE160" s="37">
        <f>developmentdata2019[[#This Row],[Paper (tons/day)]]*BE$1</f>
        <v>1.6072784000000003E-5</v>
      </c>
      <c r="BF160" s="37">
        <f>developmentdata2019[[#This Row],[Organics (tons/day)]]*BF$1</f>
        <v>1.6072784000000004E-7</v>
      </c>
      <c r="BG160" s="37">
        <f>developmentdata2019[[#This Row],[E-Waste (tons/day)]]*BG$1</f>
        <v>1.2858227200000003E-8</v>
      </c>
      <c r="BH160" s="37">
        <f>developmentdata2019[[#This Row],[Trash (tons/day)]]*BH$1</f>
        <v>1.1356474999999999</v>
      </c>
      <c r="BI160" s="37">
        <f>developmentdata2019[[#This Row],[MGP (tons/day)]]*BI$1</f>
        <v>0.18471400999999998</v>
      </c>
      <c r="BJ160" s="37">
        <f>developmentdata2019[[#This Row],[Cardboard (tons/day)]]*BJ$1</f>
        <v>1.9136658450000003E-2</v>
      </c>
      <c r="BK160" s="37">
        <f>developmentdata2019[[#This Row],[Paper (tons/day)]]*BK$1</f>
        <v>3.1090791550000011E-4</v>
      </c>
      <c r="BL160" s="37">
        <f>developmentdata2019[[#This Row],[Organics (tons/day)]]*BL$1</f>
        <v>6.9434426880000017E-5</v>
      </c>
      <c r="BM160" s="37">
        <f>developmentdata2019[[#This Row],[E-Waste (tons/day)]]*BM$1</f>
        <v>9.0811229600000028E-7</v>
      </c>
      <c r="BN160" s="37">
        <f>developmentdata2019[[#This Row],[Textiles (tons/day)]]*BN$1</f>
        <v>1.7140016857600005E-7</v>
      </c>
      <c r="BO160" s="37">
        <f>developmentdata2019[[#This Row],[Trash (CY/day)]]*201.974</f>
        <v>229.37126816499998</v>
      </c>
      <c r="BP160" s="37">
        <f>developmentdata2019[[#This Row],[MGP (CY/day)]]*201.974</f>
        <v>37.307427455739997</v>
      </c>
      <c r="BQ160" s="37">
        <f>developmentdata2019[[#This Row],[Cardboard (CY/day)]]*201.974</f>
        <v>3.8651074537803005</v>
      </c>
      <c r="BR160" s="37">
        <f>developmentdata2019[[#This Row],[Paper  (CY/day)]]*201.974</f>
        <v>6.2795315325197013E-2</v>
      </c>
      <c r="BS160" s="37">
        <f>developmentdata2019[[#This Row],[Organics (CY/day)]]*201.974</f>
        <v>1.4023948934661122E-2</v>
      </c>
      <c r="BT160" s="37">
        <f>developmentdata2019[[#This Row],[E-Waste (CY/day)]]*201.974</f>
        <v>1.8341507287230403E-4</v>
      </c>
      <c r="BU160" s="37">
        <f>developmentdata2019[[#This Row],[Textiles (CY/day)]]*201.974</f>
        <v>3.4618377647969035E-5</v>
      </c>
    </row>
    <row r="161" spans="1:73" x14ac:dyDescent="0.2">
      <c r="A161" s="37" t="s">
        <v>368</v>
      </c>
      <c r="B161" s="115">
        <v>43466</v>
      </c>
      <c r="C161" s="37" t="s">
        <v>1354</v>
      </c>
      <c r="D161">
        <v>101</v>
      </c>
      <c r="E161">
        <v>101</v>
      </c>
      <c r="F161">
        <v>238</v>
      </c>
      <c r="G161">
        <v>238</v>
      </c>
      <c r="H161" s="37" t="s">
        <v>1355</v>
      </c>
      <c r="I161" s="37" t="s">
        <v>577</v>
      </c>
      <c r="J161" s="37" t="s">
        <v>578</v>
      </c>
      <c r="K161" s="37" t="s">
        <v>579</v>
      </c>
      <c r="M161">
        <v>617</v>
      </c>
      <c r="N161">
        <v>622</v>
      </c>
      <c r="O161">
        <v>2893.5</v>
      </c>
      <c r="P161">
        <v>4.6900000000000004</v>
      </c>
      <c r="R161">
        <v>1477</v>
      </c>
      <c r="S161">
        <v>1477</v>
      </c>
      <c r="T161">
        <v>237</v>
      </c>
      <c r="U161">
        <v>0.38500000000000001</v>
      </c>
      <c r="V161">
        <v>4</v>
      </c>
      <c r="W161">
        <v>1</v>
      </c>
      <c r="X161">
        <v>5</v>
      </c>
      <c r="Y161">
        <v>20</v>
      </c>
      <c r="Z161">
        <v>177426</v>
      </c>
      <c r="AA161">
        <v>4.07</v>
      </c>
      <c r="AB161">
        <v>177426</v>
      </c>
      <c r="AC161">
        <v>4.07</v>
      </c>
      <c r="AD161">
        <v>28904</v>
      </c>
      <c r="AE161">
        <v>5367611</v>
      </c>
      <c r="AF161">
        <v>0.16289999999999999</v>
      </c>
      <c r="AG161">
        <v>363</v>
      </c>
      <c r="AH161">
        <v>11549370</v>
      </c>
      <c r="AI161">
        <v>3959</v>
      </c>
      <c r="AJ161">
        <v>558</v>
      </c>
      <c r="AK161" s="37" t="s">
        <v>877</v>
      </c>
      <c r="AL161" s="37" t="s">
        <v>887</v>
      </c>
      <c r="AM161" s="37" t="s">
        <v>906</v>
      </c>
      <c r="AN161" s="37" t="s">
        <v>959</v>
      </c>
      <c r="AO161" s="37" t="s">
        <v>608</v>
      </c>
      <c r="AP161">
        <v>11</v>
      </c>
      <c r="AQ161">
        <v>13</v>
      </c>
      <c r="AR161">
        <v>30</v>
      </c>
      <c r="AS161">
        <v>68</v>
      </c>
      <c r="AT161">
        <v>8</v>
      </c>
      <c r="AU161" s="115">
        <v>23345</v>
      </c>
      <c r="AV161" s="37"/>
      <c r="AW161" s="37"/>
      <c r="AX161" s="37"/>
      <c r="AY161" s="37"/>
      <c r="AZ161" s="37">
        <f>developmentdata2019[[#This Row],[NUMBER OF CURRENT APARTMENTS]]*5/2000</f>
        <v>1.5425</v>
      </c>
      <c r="BA161" s="37">
        <f>developmentdata2019[[#This Row],[Total]]*BA$1</f>
        <v>0.40105000000000002</v>
      </c>
      <c r="BB161" s="37">
        <f>developmentdata2019[[#This Row],[Trash (tons/day)]]*BB$1</f>
        <v>7.6199500000000003E-2</v>
      </c>
      <c r="BC161" s="37">
        <f>developmentdata2019[[#This Row],[MGP (tons/day)]]*BC$1</f>
        <v>5.3339650000000004E-3</v>
      </c>
      <c r="BD161" s="37">
        <f>developmentdata2019[[#This Row],[Cardboard (tons/day)]]*BD$1</f>
        <v>3.7337755000000007E-4</v>
      </c>
      <c r="BE161" s="37">
        <f>developmentdata2019[[#This Row],[Paper (tons/day)]]*BE$1</f>
        <v>1.1948081600000002E-4</v>
      </c>
      <c r="BF161" s="37">
        <f>developmentdata2019[[#This Row],[Organics (tons/day)]]*BF$1</f>
        <v>1.1948081600000001E-6</v>
      </c>
      <c r="BG161" s="37">
        <f>developmentdata2019[[#This Row],[E-Waste (tons/day)]]*BG$1</f>
        <v>9.5584652800000014E-8</v>
      </c>
      <c r="BH161" s="37">
        <f>developmentdata2019[[#This Row],[Trash (tons/day)]]*BH$1</f>
        <v>8.4421025000000007</v>
      </c>
      <c r="BI161" s="37">
        <f>developmentdata2019[[#This Row],[MGP (tons/day)]]*BI$1</f>
        <v>1.3731149899999999</v>
      </c>
      <c r="BJ161" s="37">
        <f>developmentdata2019[[#This Row],[Cardboard (tons/day)]]*BJ$1</f>
        <v>0.14225684655000001</v>
      </c>
      <c r="BK161" s="37">
        <f>developmentdata2019[[#This Row],[Paper (tons/day)]]*BK$1</f>
        <v>2.3112070345000005E-3</v>
      </c>
      <c r="BL161" s="37">
        <f>developmentdata2019[[#This Row],[Organics (tons/day)]]*BL$1</f>
        <v>5.1615712512000013E-4</v>
      </c>
      <c r="BM161" s="37">
        <f>developmentdata2019[[#This Row],[E-Waste (tons/day)]]*BM$1</f>
        <v>6.7506661040000011E-6</v>
      </c>
      <c r="BN161" s="37">
        <f>developmentdata2019[[#This Row],[Textiles (tons/day)]]*BN$1</f>
        <v>1.2741434218240003E-6</v>
      </c>
      <c r="BO161" s="37">
        <f>developmentdata2019[[#This Row],[Trash (CY/day)]]*201.974</f>
        <v>1705.0852103350001</v>
      </c>
      <c r="BP161" s="37">
        <f>developmentdata2019[[#This Row],[MGP (CY/day)]]*201.974</f>
        <v>277.33352699026</v>
      </c>
      <c r="BQ161" s="37">
        <f>developmentdata2019[[#This Row],[Cardboard (CY/day)]]*201.974</f>
        <v>28.732184325089701</v>
      </c>
      <c r="BR161" s="37">
        <f>developmentdata2019[[#This Row],[Paper  (CY/day)]]*201.974</f>
        <v>0.46680372958610306</v>
      </c>
      <c r="BS161" s="37">
        <f>developmentdata2019[[#This Row],[Organics (CY/day)]]*201.974</f>
        <v>0.1042503191889869</v>
      </c>
      <c r="BT161" s="37">
        <f>developmentdata2019[[#This Row],[E-Waste (CY/day)]]*201.974</f>
        <v>1.3634590356892962E-3</v>
      </c>
      <c r="BU161" s="37">
        <f>developmentdata2019[[#This Row],[Textiles (CY/day)]]*201.974</f>
        <v>2.5734384347948064E-4</v>
      </c>
    </row>
    <row r="162" spans="1:73" x14ac:dyDescent="0.2">
      <c r="A162" s="37" t="s">
        <v>1356</v>
      </c>
      <c r="B162" s="115">
        <v>43466</v>
      </c>
      <c r="C162" s="37" t="s">
        <v>586</v>
      </c>
      <c r="D162">
        <v>348</v>
      </c>
      <c r="E162">
        <v>167</v>
      </c>
      <c r="F162">
        <v>763</v>
      </c>
      <c r="G162">
        <v>763</v>
      </c>
      <c r="H162" s="37" t="s">
        <v>1357</v>
      </c>
      <c r="I162" s="37" t="s">
        <v>577</v>
      </c>
      <c r="J162" s="37" t="s">
        <v>588</v>
      </c>
      <c r="K162" s="37" t="s">
        <v>597</v>
      </c>
      <c r="M162">
        <v>74</v>
      </c>
      <c r="N162">
        <v>74</v>
      </c>
      <c r="O162">
        <v>327</v>
      </c>
      <c r="P162">
        <v>4.42</v>
      </c>
      <c r="R162">
        <v>166</v>
      </c>
      <c r="S162">
        <v>166</v>
      </c>
      <c r="T162">
        <v>18</v>
      </c>
      <c r="U162">
        <v>0.24299999999999999</v>
      </c>
      <c r="V162">
        <v>3</v>
      </c>
      <c r="W162">
        <v>0</v>
      </c>
      <c r="X162">
        <v>3</v>
      </c>
      <c r="Y162">
        <v>4</v>
      </c>
      <c r="Z162">
        <v>24000</v>
      </c>
      <c r="AA162">
        <v>0.55000000000000004</v>
      </c>
      <c r="AB162">
        <v>24000</v>
      </c>
      <c r="AC162">
        <v>0.55000000000000004</v>
      </c>
      <c r="AD162">
        <v>18791</v>
      </c>
      <c r="AE162">
        <v>943450</v>
      </c>
      <c r="AF162">
        <v>0.78300000000000003</v>
      </c>
      <c r="AG162">
        <v>302</v>
      </c>
      <c r="AH162">
        <v>4669919</v>
      </c>
      <c r="AI162">
        <v>14281</v>
      </c>
      <c r="AJ162">
        <v>627</v>
      </c>
      <c r="AK162" s="37" t="s">
        <v>1358</v>
      </c>
      <c r="AL162" s="37" t="s">
        <v>1359</v>
      </c>
      <c r="AM162" s="37" t="s">
        <v>1360</v>
      </c>
      <c r="AN162" s="37" t="s">
        <v>1361</v>
      </c>
      <c r="AO162" s="37" t="s">
        <v>593</v>
      </c>
      <c r="AP162">
        <v>17</v>
      </c>
      <c r="AQ162">
        <v>9</v>
      </c>
      <c r="AR162">
        <v>20</v>
      </c>
      <c r="AS162" t="s">
        <v>1362</v>
      </c>
      <c r="AT162">
        <v>41</v>
      </c>
      <c r="AU162" s="115">
        <v>31291</v>
      </c>
      <c r="AV162" s="37"/>
      <c r="AW162" s="37"/>
      <c r="AX162" s="37" t="s">
        <v>621</v>
      </c>
      <c r="AY162" s="37"/>
      <c r="AZ162" s="37">
        <f>developmentdata2019[[#This Row],[NUMBER OF CURRENT APARTMENTS]]*5/2000</f>
        <v>0.185</v>
      </c>
      <c r="BA162" s="37">
        <f>developmentdata2019[[#This Row],[Total]]*BA$1</f>
        <v>4.8100000000000004E-2</v>
      </c>
      <c r="BB162" s="37">
        <f>developmentdata2019[[#This Row],[Trash (tons/day)]]*BB$1</f>
        <v>9.1390000000000013E-3</v>
      </c>
      <c r="BC162" s="37">
        <f>developmentdata2019[[#This Row],[MGP (tons/day)]]*BC$1</f>
        <v>6.3973000000000014E-4</v>
      </c>
      <c r="BD162" s="37">
        <f>developmentdata2019[[#This Row],[Cardboard (tons/day)]]*BD$1</f>
        <v>4.4781100000000011E-5</v>
      </c>
      <c r="BE162" s="37">
        <f>developmentdata2019[[#This Row],[Paper (tons/day)]]*BE$1</f>
        <v>1.4329952000000004E-5</v>
      </c>
      <c r="BF162" s="37">
        <f>developmentdata2019[[#This Row],[Organics (tons/day)]]*BF$1</f>
        <v>1.4329952000000005E-7</v>
      </c>
      <c r="BG162" s="37">
        <f>developmentdata2019[[#This Row],[E-Waste (tons/day)]]*BG$1</f>
        <v>1.1463961600000004E-8</v>
      </c>
      <c r="BH162" s="37">
        <f>developmentdata2019[[#This Row],[Trash (tons/day)]]*BH$1</f>
        <v>1.0125050000000002</v>
      </c>
      <c r="BI162" s="37">
        <f>developmentdata2019[[#This Row],[MGP (tons/day)]]*BI$1</f>
        <v>0.16468478000000003</v>
      </c>
      <c r="BJ162" s="37">
        <f>developmentdata2019[[#This Row],[Cardboard (tons/day)]]*BJ$1</f>
        <v>1.7061599100000005E-2</v>
      </c>
      <c r="BK162" s="37">
        <f>developmentdata2019[[#This Row],[Paper (tons/day)]]*BK$1</f>
        <v>2.7719500900000006E-4</v>
      </c>
      <c r="BL162" s="37">
        <f>developmentdata2019[[#This Row],[Organics (tons/day)]]*BL$1</f>
        <v>6.1905392640000019E-5</v>
      </c>
      <c r="BM162" s="37">
        <f>developmentdata2019[[#This Row],[E-Waste (tons/day)]]*BM$1</f>
        <v>8.0964228800000035E-7</v>
      </c>
      <c r="BN162" s="37">
        <f>developmentdata2019[[#This Row],[Textiles (tons/day)]]*BN$1</f>
        <v>1.5281460812800006E-7</v>
      </c>
      <c r="BO162" s="37">
        <f>developmentdata2019[[#This Row],[Trash (CY/day)]]*201.974</f>
        <v>204.49968487000004</v>
      </c>
      <c r="BP162" s="37">
        <f>developmentdata2019[[#This Row],[MGP (CY/day)]]*201.974</f>
        <v>33.262043755720008</v>
      </c>
      <c r="BQ162" s="37">
        <f>developmentdata2019[[#This Row],[Cardboard (CY/day)]]*201.974</f>
        <v>3.4459994166234007</v>
      </c>
      <c r="BR162" s="37">
        <f>developmentdata2019[[#This Row],[Paper  (CY/day)]]*201.974</f>
        <v>5.598618474776601E-2</v>
      </c>
      <c r="BS162" s="37">
        <f>developmentdata2019[[#This Row],[Organics (CY/day)]]*201.974</f>
        <v>1.2503279773071363E-2</v>
      </c>
      <c r="BT162" s="37">
        <f>developmentdata2019[[#This Row],[E-Waste (CY/day)]]*201.974</f>
        <v>1.6352669147651206E-4</v>
      </c>
      <c r="BU162" s="37">
        <f>developmentdata2019[[#This Row],[Textiles (CY/day)]]*201.974</f>
        <v>3.0864577662044685E-5</v>
      </c>
    </row>
    <row r="163" spans="1:73" x14ac:dyDescent="0.2">
      <c r="A163" s="37" t="s">
        <v>1363</v>
      </c>
      <c r="B163" s="115">
        <v>43466</v>
      </c>
      <c r="C163" s="37" t="s">
        <v>1364</v>
      </c>
      <c r="D163">
        <v>50</v>
      </c>
      <c r="E163">
        <v>62</v>
      </c>
      <c r="F163">
        <v>374</v>
      </c>
      <c r="G163">
        <v>217</v>
      </c>
      <c r="H163" s="37" t="s">
        <v>1365</v>
      </c>
      <c r="I163" s="37" t="s">
        <v>577</v>
      </c>
      <c r="J163" s="37" t="s">
        <v>578</v>
      </c>
      <c r="K163" s="37" t="s">
        <v>579</v>
      </c>
      <c r="M163">
        <v>448</v>
      </c>
      <c r="N163">
        <v>448</v>
      </c>
      <c r="O163">
        <v>1901</v>
      </c>
      <c r="P163">
        <v>4.24</v>
      </c>
      <c r="R163">
        <v>817</v>
      </c>
      <c r="S163">
        <v>817</v>
      </c>
      <c r="T163">
        <v>209</v>
      </c>
      <c r="U163">
        <v>0.47099999999999997</v>
      </c>
      <c r="V163">
        <v>4</v>
      </c>
      <c r="W163">
        <v>0</v>
      </c>
      <c r="X163">
        <v>4</v>
      </c>
      <c r="Y163">
        <v>14</v>
      </c>
      <c r="Z163">
        <v>151467</v>
      </c>
      <c r="AA163">
        <v>3.48</v>
      </c>
      <c r="AB163">
        <v>151467</v>
      </c>
      <c r="AC163">
        <v>3.48</v>
      </c>
      <c r="AD163">
        <v>35222</v>
      </c>
      <c r="AE163">
        <v>3879000</v>
      </c>
      <c r="AF163">
        <v>0.23250000000000001</v>
      </c>
      <c r="AG163">
        <v>235</v>
      </c>
      <c r="AH163">
        <v>4780152</v>
      </c>
      <c r="AI163">
        <v>2515</v>
      </c>
      <c r="AJ163">
        <v>548</v>
      </c>
      <c r="AK163" s="37" t="s">
        <v>1359</v>
      </c>
      <c r="AL163" s="37" t="s">
        <v>600</v>
      </c>
      <c r="AM163" s="37" t="s">
        <v>905</v>
      </c>
      <c r="AN163" s="37" t="s">
        <v>887</v>
      </c>
      <c r="AO163" s="37" t="s">
        <v>608</v>
      </c>
      <c r="AP163">
        <v>11</v>
      </c>
      <c r="AQ163">
        <v>13</v>
      </c>
      <c r="AR163">
        <v>30</v>
      </c>
      <c r="AS163">
        <v>68</v>
      </c>
      <c r="AT163">
        <v>5</v>
      </c>
      <c r="AU163" s="115">
        <v>18703</v>
      </c>
      <c r="AV163" s="37" t="s">
        <v>1044</v>
      </c>
      <c r="AW163" s="37"/>
      <c r="AX163" s="37"/>
      <c r="AY163" s="37"/>
      <c r="AZ163" s="37">
        <f>developmentdata2019[[#This Row],[NUMBER OF CURRENT APARTMENTS]]*5/2000</f>
        <v>1.1200000000000001</v>
      </c>
      <c r="BA163" s="37">
        <f>developmentdata2019[[#This Row],[Total]]*BA$1</f>
        <v>0.29120000000000001</v>
      </c>
      <c r="BB163" s="37">
        <f>developmentdata2019[[#This Row],[Trash (tons/day)]]*BB$1</f>
        <v>5.5328000000000002E-2</v>
      </c>
      <c r="BC163" s="37">
        <f>developmentdata2019[[#This Row],[MGP (tons/day)]]*BC$1</f>
        <v>3.8729600000000004E-3</v>
      </c>
      <c r="BD163" s="37">
        <f>developmentdata2019[[#This Row],[Cardboard (tons/day)]]*BD$1</f>
        <v>2.7110720000000005E-4</v>
      </c>
      <c r="BE163" s="37">
        <f>developmentdata2019[[#This Row],[Paper (tons/day)]]*BE$1</f>
        <v>8.6754304000000022E-5</v>
      </c>
      <c r="BF163" s="37">
        <f>developmentdata2019[[#This Row],[Organics (tons/day)]]*BF$1</f>
        <v>8.6754304000000023E-7</v>
      </c>
      <c r="BG163" s="37">
        <f>developmentdata2019[[#This Row],[E-Waste (tons/day)]]*BG$1</f>
        <v>6.9403443200000025E-8</v>
      </c>
      <c r="BH163" s="37">
        <f>developmentdata2019[[#This Row],[Trash (tons/day)]]*BH$1</f>
        <v>6.1297600000000001</v>
      </c>
      <c r="BI163" s="37">
        <f>developmentdata2019[[#This Row],[MGP (tons/day)]]*BI$1</f>
        <v>0.99701055999999999</v>
      </c>
      <c r="BJ163" s="37">
        <f>developmentdata2019[[#This Row],[Cardboard (tons/day)]]*BJ$1</f>
        <v>0.10329184320000001</v>
      </c>
      <c r="BK163" s="37">
        <f>developmentdata2019[[#This Row],[Paper (tons/day)]]*BK$1</f>
        <v>1.6781535680000005E-3</v>
      </c>
      <c r="BL163" s="37">
        <f>developmentdata2019[[#This Row],[Organics (tons/day)]]*BL$1</f>
        <v>3.7477859328000014E-4</v>
      </c>
      <c r="BM163" s="37">
        <f>developmentdata2019[[#This Row],[E-Waste (tons/day)]]*BM$1</f>
        <v>4.9016181760000014E-6</v>
      </c>
      <c r="BN163" s="37">
        <f>developmentdata2019[[#This Row],[Textiles (tons/day)]]*BN$1</f>
        <v>9.2514789785600032E-7</v>
      </c>
      <c r="BO163" s="37">
        <f>developmentdata2019[[#This Row],[Trash (CY/day)]]*201.974</f>
        <v>1238.05214624</v>
      </c>
      <c r="BP163" s="37">
        <f>developmentdata2019[[#This Row],[MGP (CY/day)]]*201.974</f>
        <v>201.37021084544</v>
      </c>
      <c r="BQ163" s="37">
        <f>developmentdata2019[[#This Row],[Cardboard (CY/day)]]*201.974</f>
        <v>20.862266738476801</v>
      </c>
      <c r="BR163" s="37">
        <f>developmentdata2019[[#This Row],[Paper  (CY/day)]]*201.974</f>
        <v>0.3389433887432321</v>
      </c>
      <c r="BS163" s="37">
        <f>developmentdata2019[[#This Row],[Organics (CY/day)]]*201.974</f>
        <v>7.5695531599134738E-2</v>
      </c>
      <c r="BT163" s="37">
        <f>developmentdata2019[[#This Row],[E-Waste (CY/day)]]*201.974</f>
        <v>9.8999942947942412E-4</v>
      </c>
      <c r="BU163" s="37">
        <f>developmentdata2019[[#This Row],[Textiles (CY/day)]]*201.974</f>
        <v>1.868558215215678E-4</v>
      </c>
    </row>
    <row r="164" spans="1:73" x14ac:dyDescent="0.2">
      <c r="A164" s="37" t="s">
        <v>369</v>
      </c>
      <c r="B164" s="115">
        <v>43466</v>
      </c>
      <c r="C164" s="37" t="s">
        <v>1366</v>
      </c>
      <c r="D164">
        <v>20</v>
      </c>
      <c r="E164">
        <v>20</v>
      </c>
      <c r="F164">
        <v>513</v>
      </c>
      <c r="G164">
        <v>513</v>
      </c>
      <c r="H164" s="37" t="s">
        <v>1367</v>
      </c>
      <c r="I164" s="37" t="s">
        <v>577</v>
      </c>
      <c r="J164" s="37" t="s">
        <v>578</v>
      </c>
      <c r="K164" s="37" t="s">
        <v>579</v>
      </c>
      <c r="M164">
        <v>1280</v>
      </c>
      <c r="N164">
        <v>1286</v>
      </c>
      <c r="O164">
        <v>6099</v>
      </c>
      <c r="P164">
        <v>4.76</v>
      </c>
      <c r="R164">
        <v>2986</v>
      </c>
      <c r="S164">
        <v>2986</v>
      </c>
      <c r="T164">
        <v>429</v>
      </c>
      <c r="U164">
        <v>0.33900000000000002</v>
      </c>
      <c r="V164">
        <v>14</v>
      </c>
      <c r="W164">
        <v>0</v>
      </c>
      <c r="X164">
        <v>20</v>
      </c>
      <c r="Y164">
        <v>43630</v>
      </c>
      <c r="Z164">
        <v>551740</v>
      </c>
      <c r="AA164">
        <v>12.67</v>
      </c>
      <c r="AB164">
        <v>508561</v>
      </c>
      <c r="AC164">
        <v>11.67</v>
      </c>
      <c r="AD164">
        <v>106738</v>
      </c>
      <c r="AE164">
        <v>10743035</v>
      </c>
      <c r="AF164">
        <v>0.19350000000000001</v>
      </c>
      <c r="AG164">
        <v>236</v>
      </c>
      <c r="AH164">
        <v>14324000</v>
      </c>
      <c r="AI164">
        <v>2358</v>
      </c>
      <c r="AJ164">
        <v>517</v>
      </c>
      <c r="AK164" s="37" t="s">
        <v>1368</v>
      </c>
      <c r="AL164" s="37" t="s">
        <v>1369</v>
      </c>
      <c r="AM164" s="37" t="s">
        <v>1317</v>
      </c>
      <c r="AN164" s="37" t="s">
        <v>887</v>
      </c>
      <c r="AO164" s="37" t="s">
        <v>608</v>
      </c>
      <c r="AP164">
        <v>11</v>
      </c>
      <c r="AQ164">
        <v>13</v>
      </c>
      <c r="AR164">
        <v>30</v>
      </c>
      <c r="AS164">
        <v>70</v>
      </c>
      <c r="AT164">
        <v>9</v>
      </c>
      <c r="AU164" s="115">
        <v>17896</v>
      </c>
      <c r="AV164" s="37" t="s">
        <v>704</v>
      </c>
      <c r="AW164" s="37"/>
      <c r="AX164" s="37"/>
      <c r="AY164" s="37"/>
      <c r="AZ164" s="37">
        <f>developmentdata2019[[#This Row],[NUMBER OF CURRENT APARTMENTS]]*5/2000</f>
        <v>3.2</v>
      </c>
      <c r="BA164" s="37">
        <f>developmentdata2019[[#This Row],[Total]]*BA$1</f>
        <v>0.83200000000000007</v>
      </c>
      <c r="BB164" s="37">
        <f>developmentdata2019[[#This Row],[Trash (tons/day)]]*BB$1</f>
        <v>0.15808000000000003</v>
      </c>
      <c r="BC164" s="37">
        <f>developmentdata2019[[#This Row],[MGP (tons/day)]]*BC$1</f>
        <v>1.1065600000000004E-2</v>
      </c>
      <c r="BD164" s="37">
        <f>developmentdata2019[[#This Row],[Cardboard (tons/day)]]*BD$1</f>
        <v>7.7459200000000027E-4</v>
      </c>
      <c r="BE164" s="37">
        <f>developmentdata2019[[#This Row],[Paper (tons/day)]]*BE$1</f>
        <v>2.4786944000000009E-4</v>
      </c>
      <c r="BF164" s="37">
        <f>developmentdata2019[[#This Row],[Organics (tons/day)]]*BF$1</f>
        <v>2.4786944000000009E-6</v>
      </c>
      <c r="BG164" s="37">
        <f>developmentdata2019[[#This Row],[E-Waste (tons/day)]]*BG$1</f>
        <v>1.9829555200000009E-7</v>
      </c>
      <c r="BH164" s="37">
        <f>developmentdata2019[[#This Row],[Trash (tons/day)]]*BH$1</f>
        <v>17.513600000000004</v>
      </c>
      <c r="BI164" s="37">
        <f>developmentdata2019[[#This Row],[MGP (tons/day)]]*BI$1</f>
        <v>2.8486016000000003</v>
      </c>
      <c r="BJ164" s="37">
        <f>developmentdata2019[[#This Row],[Cardboard (tons/day)]]*BJ$1</f>
        <v>0.29511955200000012</v>
      </c>
      <c r="BK164" s="37">
        <f>developmentdata2019[[#This Row],[Paper (tons/day)]]*BK$1</f>
        <v>4.7947244800000018E-3</v>
      </c>
      <c r="BL164" s="37">
        <f>developmentdata2019[[#This Row],[Organics (tons/day)]]*BL$1</f>
        <v>1.0707959808000005E-3</v>
      </c>
      <c r="BM164" s="37">
        <f>developmentdata2019[[#This Row],[E-Waste (tons/day)]]*BM$1</f>
        <v>1.4004623360000007E-5</v>
      </c>
      <c r="BN164" s="37">
        <f>developmentdata2019[[#This Row],[Textiles (tons/day)]]*BN$1</f>
        <v>2.643279708160001E-6</v>
      </c>
      <c r="BO164" s="37">
        <f>developmentdata2019[[#This Row],[Trash (CY/day)]]*201.974</f>
        <v>3537.2918464000004</v>
      </c>
      <c r="BP164" s="37">
        <f>developmentdata2019[[#This Row],[MGP (CY/day)]]*201.974</f>
        <v>575.34345955840001</v>
      </c>
      <c r="BQ164" s="37">
        <f>developmentdata2019[[#This Row],[Cardboard (CY/day)]]*201.974</f>
        <v>59.606476395648023</v>
      </c>
      <c r="BR164" s="37">
        <f>developmentdata2019[[#This Row],[Paper  (CY/day)]]*201.974</f>
        <v>0.9684096821235203</v>
      </c>
      <c r="BS164" s="37">
        <f>developmentdata2019[[#This Row],[Organics (CY/day)]]*201.974</f>
        <v>0.21627294742609929</v>
      </c>
      <c r="BT164" s="37">
        <f>developmentdata2019[[#This Row],[E-Waste (CY/day)]]*201.974</f>
        <v>2.8285697985126414E-3</v>
      </c>
      <c r="BU164" s="37">
        <f>developmentdata2019[[#This Row],[Textiles (CY/day)]]*201.974</f>
        <v>5.3387377577590806E-4</v>
      </c>
    </row>
    <row r="165" spans="1:73" x14ac:dyDescent="0.2">
      <c r="A165" s="37" t="s">
        <v>462</v>
      </c>
      <c r="B165" s="115">
        <v>43466</v>
      </c>
      <c r="C165" s="37" t="s">
        <v>1370</v>
      </c>
      <c r="D165">
        <v>95</v>
      </c>
      <c r="E165">
        <v>95</v>
      </c>
      <c r="F165">
        <v>672</v>
      </c>
      <c r="G165">
        <v>672</v>
      </c>
      <c r="H165" s="37" t="s">
        <v>1371</v>
      </c>
      <c r="I165" s="37" t="s">
        <v>638</v>
      </c>
      <c r="J165" s="37" t="s">
        <v>578</v>
      </c>
      <c r="K165" s="37" t="s">
        <v>579</v>
      </c>
      <c r="L165">
        <v>474</v>
      </c>
      <c r="M165">
        <v>1586</v>
      </c>
      <c r="N165">
        <v>1586</v>
      </c>
      <c r="O165">
        <v>7311</v>
      </c>
      <c r="P165">
        <v>4.6100000000000003</v>
      </c>
      <c r="Q165">
        <v>1298</v>
      </c>
      <c r="R165">
        <v>2313</v>
      </c>
      <c r="S165">
        <v>3611</v>
      </c>
      <c r="T165">
        <v>582</v>
      </c>
      <c r="U165">
        <v>0.379</v>
      </c>
      <c r="V165">
        <v>19</v>
      </c>
      <c r="W165">
        <v>2</v>
      </c>
      <c r="X165">
        <v>21</v>
      </c>
      <c r="Y165">
        <v>43691</v>
      </c>
      <c r="Z165">
        <v>1299426</v>
      </c>
      <c r="AA165">
        <v>29.83</v>
      </c>
      <c r="AB165">
        <v>1299426</v>
      </c>
      <c r="AC165">
        <v>29.83</v>
      </c>
      <c r="AD165">
        <v>173020</v>
      </c>
      <c r="AE165">
        <v>14333039</v>
      </c>
      <c r="AF165">
        <v>0.13059999999999999</v>
      </c>
      <c r="AG165">
        <v>121</v>
      </c>
      <c r="AH165">
        <v>20230969</v>
      </c>
      <c r="AI165">
        <v>2767</v>
      </c>
      <c r="AJ165">
        <v>563</v>
      </c>
      <c r="AK165" s="37" t="s">
        <v>1372</v>
      </c>
      <c r="AL165" s="37" t="s">
        <v>825</v>
      </c>
      <c r="AM165" s="37" t="s">
        <v>809</v>
      </c>
      <c r="AN165" s="37" t="s">
        <v>1373</v>
      </c>
      <c r="AO165" s="37" t="s">
        <v>593</v>
      </c>
      <c r="AP165">
        <v>5</v>
      </c>
      <c r="AQ165">
        <v>8</v>
      </c>
      <c r="AR165">
        <v>19</v>
      </c>
      <c r="AS165">
        <v>60</v>
      </c>
      <c r="AT165">
        <v>42</v>
      </c>
      <c r="AU165" s="115">
        <v>21383</v>
      </c>
      <c r="AV165" s="37"/>
      <c r="AW165" s="37"/>
      <c r="AX165" s="37"/>
      <c r="AY165" s="37"/>
      <c r="AZ165" s="37">
        <f>developmentdata2019[[#This Row],[NUMBER OF CURRENT APARTMENTS]]*5/2000</f>
        <v>3.9649999999999999</v>
      </c>
      <c r="BA165" s="37">
        <f>developmentdata2019[[#This Row],[Total]]*BA$1</f>
        <v>1.0308999999999999</v>
      </c>
      <c r="BB165" s="37">
        <f>developmentdata2019[[#This Row],[Trash (tons/day)]]*BB$1</f>
        <v>0.19587099999999999</v>
      </c>
      <c r="BC165" s="37">
        <f>developmentdata2019[[#This Row],[MGP (tons/day)]]*BC$1</f>
        <v>1.3710970000000001E-2</v>
      </c>
      <c r="BD165" s="37">
        <f>developmentdata2019[[#This Row],[Cardboard (tons/day)]]*BD$1</f>
        <v>9.5976790000000013E-4</v>
      </c>
      <c r="BE165" s="37">
        <f>developmentdata2019[[#This Row],[Paper (tons/day)]]*BE$1</f>
        <v>3.0712572800000007E-4</v>
      </c>
      <c r="BF165" s="37">
        <f>developmentdata2019[[#This Row],[Organics (tons/day)]]*BF$1</f>
        <v>3.0712572800000006E-6</v>
      </c>
      <c r="BG165" s="37">
        <f>developmentdata2019[[#This Row],[E-Waste (tons/day)]]*BG$1</f>
        <v>2.4570058240000006E-7</v>
      </c>
      <c r="BH165" s="37">
        <f>developmentdata2019[[#This Row],[Trash (tons/day)]]*BH$1</f>
        <v>21.700444999999998</v>
      </c>
      <c r="BI165" s="37">
        <f>developmentdata2019[[#This Row],[MGP (tons/day)]]*BI$1</f>
        <v>3.5295954199999997</v>
      </c>
      <c r="BJ165" s="37">
        <f>developmentdata2019[[#This Row],[Cardboard (tons/day)]]*BJ$1</f>
        <v>0.36567156990000005</v>
      </c>
      <c r="BK165" s="37">
        <f>developmentdata2019[[#This Row],[Paper (tons/day)]]*BK$1</f>
        <v>5.9409633010000015E-3</v>
      </c>
      <c r="BL165" s="37">
        <f>developmentdata2019[[#This Row],[Organics (tons/day)]]*BL$1</f>
        <v>1.3267831449600004E-3</v>
      </c>
      <c r="BM165" s="37">
        <f>developmentdata2019[[#This Row],[E-Waste (tons/day)]]*BM$1</f>
        <v>1.7352603632000005E-5</v>
      </c>
      <c r="BN165" s="37">
        <f>developmentdata2019[[#This Row],[Textiles (tons/day)]]*BN$1</f>
        <v>3.2751887633920009E-6</v>
      </c>
      <c r="BO165" s="37">
        <f>developmentdata2019[[#This Row],[Trash (CY/day)]]*201.974</f>
        <v>4382.9256784299996</v>
      </c>
      <c r="BP165" s="37">
        <f>developmentdata2019[[#This Row],[MGP (CY/day)]]*201.974</f>
        <v>712.88650535907993</v>
      </c>
      <c r="BQ165" s="37">
        <f>developmentdata2019[[#This Row],[Cardboard (CY/day)]]*201.974</f>
        <v>73.856149658982602</v>
      </c>
      <c r="BR165" s="37">
        <f>developmentdata2019[[#This Row],[Paper  (CY/day)]]*201.974</f>
        <v>1.1999201217561741</v>
      </c>
      <c r="BS165" s="37">
        <f>developmentdata2019[[#This Row],[Organics (CY/day)]]*201.974</f>
        <v>0.26797569892015111</v>
      </c>
      <c r="BT165" s="37">
        <f>developmentdata2019[[#This Row],[E-Waste (CY/day)]]*201.974</f>
        <v>3.504774765969569E-3</v>
      </c>
      <c r="BU165" s="37">
        <f>developmentdata2019[[#This Row],[Textiles (CY/day)]]*201.974</f>
        <v>6.6150297529733596E-4</v>
      </c>
    </row>
    <row r="166" spans="1:73" x14ac:dyDescent="0.2">
      <c r="A166" s="37" t="s">
        <v>1374</v>
      </c>
      <c r="B166" s="115">
        <v>43466</v>
      </c>
      <c r="C166" s="37" t="s">
        <v>1142</v>
      </c>
      <c r="D166">
        <v>276</v>
      </c>
      <c r="E166">
        <v>261</v>
      </c>
      <c r="F166">
        <v>502</v>
      </c>
      <c r="G166">
        <v>375</v>
      </c>
      <c r="H166" s="37" t="s">
        <v>1375</v>
      </c>
      <c r="I166" s="37" t="s">
        <v>577</v>
      </c>
      <c r="J166" s="37" t="s">
        <v>578</v>
      </c>
      <c r="K166" s="37" t="s">
        <v>597</v>
      </c>
      <c r="M166">
        <v>229</v>
      </c>
      <c r="N166">
        <v>232</v>
      </c>
      <c r="O166">
        <v>1039.5</v>
      </c>
      <c r="P166">
        <v>4.54</v>
      </c>
      <c r="R166">
        <v>526</v>
      </c>
      <c r="S166">
        <v>526</v>
      </c>
      <c r="T166">
        <v>63</v>
      </c>
      <c r="U166">
        <v>0.28299999999999997</v>
      </c>
      <c r="V166">
        <v>4</v>
      </c>
      <c r="W166">
        <v>0</v>
      </c>
      <c r="X166">
        <v>4</v>
      </c>
      <c r="Y166">
        <v>6</v>
      </c>
      <c r="Z166">
        <v>78700</v>
      </c>
      <c r="AA166">
        <v>1.81</v>
      </c>
      <c r="AB166">
        <v>78700</v>
      </c>
      <c r="AC166">
        <v>1.81</v>
      </c>
      <c r="AD166">
        <v>37700</v>
      </c>
      <c r="AE166">
        <v>2490500</v>
      </c>
      <c r="AF166">
        <v>0.47899999999999998</v>
      </c>
      <c r="AG166">
        <v>291</v>
      </c>
      <c r="AH166">
        <v>11627063</v>
      </c>
      <c r="AI166">
        <v>11010</v>
      </c>
      <c r="AJ166">
        <v>540</v>
      </c>
      <c r="AK166" s="37" t="s">
        <v>591</v>
      </c>
      <c r="AL166" s="37" t="s">
        <v>1376</v>
      </c>
      <c r="AM166" s="37" t="s">
        <v>850</v>
      </c>
      <c r="AN166" s="37" t="s">
        <v>1377</v>
      </c>
      <c r="AO166" s="37" t="s">
        <v>593</v>
      </c>
      <c r="AP166">
        <v>5</v>
      </c>
      <c r="AQ166">
        <v>8</v>
      </c>
      <c r="AR166">
        <v>19</v>
      </c>
      <c r="AS166">
        <v>60</v>
      </c>
      <c r="AT166">
        <v>42</v>
      </c>
      <c r="AU166" s="115">
        <v>29767</v>
      </c>
      <c r="AV166" s="37"/>
      <c r="AW166" s="37"/>
      <c r="AX166" s="37" t="s">
        <v>621</v>
      </c>
      <c r="AY166" s="37"/>
      <c r="AZ166" s="37">
        <f>developmentdata2019[[#This Row],[NUMBER OF CURRENT APARTMENTS]]*5/2000</f>
        <v>0.57250000000000001</v>
      </c>
      <c r="BA166" s="37">
        <f>developmentdata2019[[#This Row],[Total]]*BA$1</f>
        <v>0.14885000000000001</v>
      </c>
      <c r="BB166" s="37">
        <f>developmentdata2019[[#This Row],[Trash (tons/day)]]*BB$1</f>
        <v>2.8281500000000001E-2</v>
      </c>
      <c r="BC166" s="37">
        <f>developmentdata2019[[#This Row],[MGP (tons/day)]]*BC$1</f>
        <v>1.9797050000000004E-3</v>
      </c>
      <c r="BD166" s="37">
        <f>developmentdata2019[[#This Row],[Cardboard (tons/day)]]*BD$1</f>
        <v>1.3857935000000004E-4</v>
      </c>
      <c r="BE166" s="37">
        <f>developmentdata2019[[#This Row],[Paper (tons/day)]]*BE$1</f>
        <v>4.4345392000000016E-5</v>
      </c>
      <c r="BF166" s="37">
        <f>developmentdata2019[[#This Row],[Organics (tons/day)]]*BF$1</f>
        <v>4.4345392000000015E-7</v>
      </c>
      <c r="BG166" s="37">
        <f>developmentdata2019[[#This Row],[E-Waste (tons/day)]]*BG$1</f>
        <v>3.5476313600000013E-8</v>
      </c>
      <c r="BH166" s="37">
        <f>developmentdata2019[[#This Row],[Trash (tons/day)]]*BH$1</f>
        <v>3.1332925000000005</v>
      </c>
      <c r="BI166" s="37">
        <f>developmentdata2019[[#This Row],[MGP (tons/day)]]*BI$1</f>
        <v>0.50963263000000003</v>
      </c>
      <c r="BJ166" s="37">
        <f>developmentdata2019[[#This Row],[Cardboard (tons/day)]]*BJ$1</f>
        <v>5.2798732350000016E-2</v>
      </c>
      <c r="BK166" s="37">
        <f>developmentdata2019[[#This Row],[Paper (tons/day)]]*BK$1</f>
        <v>8.5780617650000029E-4</v>
      </c>
      <c r="BL166" s="37">
        <f>developmentdata2019[[#This Row],[Organics (tons/day)]]*BL$1</f>
        <v>1.9157209344000008E-4</v>
      </c>
      <c r="BM166" s="37">
        <f>developmentdata2019[[#This Row],[E-Waste (tons/day)]]*BM$1</f>
        <v>2.505514648000001E-6</v>
      </c>
      <c r="BN166" s="37">
        <f>developmentdata2019[[#This Row],[Textiles (tons/day)]]*BN$1</f>
        <v>4.7289926028800017E-7</v>
      </c>
      <c r="BO166" s="37">
        <f>developmentdata2019[[#This Row],[Trash (CY/day)]]*201.974</f>
        <v>632.84361939500002</v>
      </c>
      <c r="BP166" s="37">
        <f>developmentdata2019[[#This Row],[MGP (CY/day)]]*201.974</f>
        <v>102.93254081162</v>
      </c>
      <c r="BQ166" s="37">
        <f>developmentdata2019[[#This Row],[Cardboard (CY/day)]]*201.974</f>
        <v>10.663971167658902</v>
      </c>
      <c r="BR166" s="37">
        <f>developmentdata2019[[#This Row],[Paper  (CY/day)]]*201.974</f>
        <v>0.17325454469241106</v>
      </c>
      <c r="BS166" s="37">
        <f>developmentdata2019[[#This Row],[Organics (CY/day)]]*201.974</f>
        <v>3.8692582000450573E-2</v>
      </c>
      <c r="BT166" s="37">
        <f>developmentdata2019[[#This Row],[E-Waste (CY/day)]]*201.974</f>
        <v>5.060488155151522E-4</v>
      </c>
      <c r="BU166" s="37">
        <f>developmentdata2019[[#This Row],[Textiles (CY/day)]]*201.974</f>
        <v>9.5513355197408546E-5</v>
      </c>
    </row>
    <row r="167" spans="1:73" x14ac:dyDescent="0.2">
      <c r="A167" s="37" t="s">
        <v>1378</v>
      </c>
      <c r="B167" s="115">
        <v>43466</v>
      </c>
      <c r="C167" s="37" t="s">
        <v>854</v>
      </c>
      <c r="D167">
        <v>362</v>
      </c>
      <c r="E167">
        <v>530</v>
      </c>
      <c r="F167">
        <v>794</v>
      </c>
      <c r="G167">
        <v>748</v>
      </c>
      <c r="H167" s="37" t="s">
        <v>1379</v>
      </c>
      <c r="I167" s="37" t="s">
        <v>577</v>
      </c>
      <c r="J167" s="37" t="s">
        <v>588</v>
      </c>
      <c r="K167" s="37" t="s">
        <v>597</v>
      </c>
      <c r="M167">
        <v>75</v>
      </c>
      <c r="N167">
        <v>75</v>
      </c>
      <c r="O167">
        <v>412.5</v>
      </c>
      <c r="P167">
        <v>5.5</v>
      </c>
      <c r="R167">
        <v>278</v>
      </c>
      <c r="S167">
        <v>278</v>
      </c>
      <c r="T167">
        <v>7</v>
      </c>
      <c r="U167">
        <v>9.5000000000000001E-2</v>
      </c>
      <c r="V167">
        <v>2</v>
      </c>
      <c r="W167">
        <v>0</v>
      </c>
      <c r="X167">
        <v>2</v>
      </c>
      <c r="Y167">
        <v>5</v>
      </c>
      <c r="Z167">
        <v>26724</v>
      </c>
      <c r="AA167">
        <v>0.61</v>
      </c>
      <c r="AB167">
        <v>26724</v>
      </c>
      <c r="AC167">
        <v>0.61</v>
      </c>
      <c r="AD167">
        <v>16773</v>
      </c>
      <c r="AE167">
        <v>1060415</v>
      </c>
      <c r="AF167">
        <v>0.62760000000000005</v>
      </c>
      <c r="AG167">
        <v>456</v>
      </c>
      <c r="AH167">
        <v>7044209</v>
      </c>
      <c r="AI167">
        <v>17077</v>
      </c>
      <c r="AJ167">
        <v>666</v>
      </c>
      <c r="AK167" s="37" t="s">
        <v>662</v>
      </c>
      <c r="AL167" s="37" t="s">
        <v>1380</v>
      </c>
      <c r="AM167" s="37" t="s">
        <v>940</v>
      </c>
      <c r="AN167" s="37" t="s">
        <v>581</v>
      </c>
      <c r="AO167" s="37" t="s">
        <v>584</v>
      </c>
      <c r="AP167">
        <v>2</v>
      </c>
      <c r="AQ167">
        <v>15</v>
      </c>
      <c r="AR167">
        <v>32</v>
      </c>
      <c r="AS167">
        <v>85</v>
      </c>
      <c r="AT167">
        <v>17</v>
      </c>
      <c r="AU167" s="115">
        <v>33177</v>
      </c>
      <c r="AV167" s="37"/>
      <c r="AW167" s="37"/>
      <c r="AX167" s="37" t="s">
        <v>621</v>
      </c>
      <c r="AY167" s="37" t="s">
        <v>621</v>
      </c>
      <c r="AZ167" s="37">
        <f>developmentdata2019[[#This Row],[NUMBER OF CURRENT APARTMENTS]]*5/2000</f>
        <v>0.1875</v>
      </c>
      <c r="BA167" s="37">
        <f>developmentdata2019[[#This Row],[Total]]*BA$1</f>
        <v>4.8750000000000002E-2</v>
      </c>
      <c r="BB167" s="37">
        <f>developmentdata2019[[#This Row],[Trash (tons/day)]]*BB$1</f>
        <v>9.2624999999999999E-3</v>
      </c>
      <c r="BC167" s="37">
        <f>developmentdata2019[[#This Row],[MGP (tons/day)]]*BC$1</f>
        <v>6.4837500000000008E-4</v>
      </c>
      <c r="BD167" s="37">
        <f>developmentdata2019[[#This Row],[Cardboard (tons/day)]]*BD$1</f>
        <v>4.5386250000000013E-5</v>
      </c>
      <c r="BE167" s="37">
        <f>developmentdata2019[[#This Row],[Paper (tons/day)]]*BE$1</f>
        <v>1.4523600000000004E-5</v>
      </c>
      <c r="BF167" s="37">
        <f>developmentdata2019[[#This Row],[Organics (tons/day)]]*BF$1</f>
        <v>1.4523600000000004E-7</v>
      </c>
      <c r="BG167" s="37">
        <f>developmentdata2019[[#This Row],[E-Waste (tons/day)]]*BG$1</f>
        <v>1.1618880000000004E-8</v>
      </c>
      <c r="BH167" s="37">
        <f>developmentdata2019[[#This Row],[Trash (tons/day)]]*BH$1</f>
        <v>1.0261875</v>
      </c>
      <c r="BI167" s="37">
        <f>developmentdata2019[[#This Row],[MGP (tons/day)]]*BI$1</f>
        <v>0.16691024999999998</v>
      </c>
      <c r="BJ167" s="37">
        <f>developmentdata2019[[#This Row],[Cardboard (tons/day)]]*BJ$1</f>
        <v>1.7292161250000004E-2</v>
      </c>
      <c r="BK167" s="37">
        <f>developmentdata2019[[#This Row],[Paper (tons/day)]]*BK$1</f>
        <v>2.8094088750000012E-4</v>
      </c>
      <c r="BL167" s="37">
        <f>developmentdata2019[[#This Row],[Organics (tons/day)]]*BL$1</f>
        <v>6.2741952000000019E-5</v>
      </c>
      <c r="BM167" s="37">
        <f>developmentdata2019[[#This Row],[E-Waste (tons/day)]]*BM$1</f>
        <v>8.2058340000000027E-7</v>
      </c>
      <c r="BN167" s="37">
        <f>developmentdata2019[[#This Row],[Textiles (tons/day)]]*BN$1</f>
        <v>1.5487967040000005E-7</v>
      </c>
      <c r="BO167" s="37">
        <f>developmentdata2019[[#This Row],[Trash (CY/day)]]*201.974</f>
        <v>207.26319412499998</v>
      </c>
      <c r="BP167" s="37">
        <f>developmentdata2019[[#This Row],[MGP (CY/day)]]*201.974</f>
        <v>33.711530833499992</v>
      </c>
      <c r="BQ167" s="37">
        <f>developmentdata2019[[#This Row],[Cardboard (CY/day)]]*201.974</f>
        <v>3.4925669763075007</v>
      </c>
      <c r="BR167" s="37">
        <f>developmentdata2019[[#This Row],[Paper  (CY/day)]]*201.974</f>
        <v>5.674275481192502E-2</v>
      </c>
      <c r="BS167" s="37">
        <f>developmentdata2019[[#This Row],[Organics (CY/day)]]*201.974</f>
        <v>1.2672243013248003E-2</v>
      </c>
      <c r="BT167" s="37">
        <f>developmentdata2019[[#This Row],[E-Waste (CY/day)]]*201.974</f>
        <v>1.6573651163160006E-4</v>
      </c>
      <c r="BU167" s="37">
        <f>developmentdata2019[[#This Row],[Textiles (CY/day)]]*201.974</f>
        <v>3.1281666549369607E-5</v>
      </c>
    </row>
    <row r="168" spans="1:73" x14ac:dyDescent="0.2">
      <c r="A168" s="37" t="s">
        <v>1381</v>
      </c>
      <c r="B168" s="115">
        <v>43466</v>
      </c>
      <c r="C168" s="37" t="s">
        <v>1181</v>
      </c>
      <c r="D168">
        <v>169</v>
      </c>
      <c r="E168">
        <v>169</v>
      </c>
      <c r="F168">
        <v>276</v>
      </c>
      <c r="G168">
        <v>276</v>
      </c>
      <c r="H168" s="37" t="s">
        <v>1382</v>
      </c>
      <c r="I168" s="37" t="s">
        <v>577</v>
      </c>
      <c r="J168" s="37" t="s">
        <v>578</v>
      </c>
      <c r="K168" s="37" t="s">
        <v>579</v>
      </c>
      <c r="M168">
        <v>534</v>
      </c>
      <c r="N168">
        <v>536</v>
      </c>
      <c r="O168">
        <v>2542</v>
      </c>
      <c r="P168">
        <v>4.76</v>
      </c>
      <c r="R168">
        <v>1358</v>
      </c>
      <c r="S168">
        <v>1358</v>
      </c>
      <c r="T168">
        <v>156</v>
      </c>
      <c r="U168">
        <v>0.29699999999999999</v>
      </c>
      <c r="V168">
        <v>4</v>
      </c>
      <c r="W168">
        <v>0</v>
      </c>
      <c r="X168">
        <v>4</v>
      </c>
      <c r="Y168" t="s">
        <v>1383</v>
      </c>
      <c r="Z168">
        <v>256459</v>
      </c>
      <c r="AA168">
        <v>5.89</v>
      </c>
      <c r="AB168">
        <v>256459</v>
      </c>
      <c r="AC168">
        <v>5.89</v>
      </c>
      <c r="AD168">
        <v>45163</v>
      </c>
      <c r="AE168">
        <v>4802466</v>
      </c>
      <c r="AF168">
        <v>0.17610000000000001</v>
      </c>
      <c r="AG168">
        <v>231</v>
      </c>
      <c r="AH168">
        <v>10312262</v>
      </c>
      <c r="AI168">
        <v>4052</v>
      </c>
      <c r="AJ168">
        <v>507</v>
      </c>
      <c r="AK168" s="37" t="s">
        <v>1384</v>
      </c>
      <c r="AL168" s="37" t="s">
        <v>1184</v>
      </c>
      <c r="AM168" s="37" t="s">
        <v>1385</v>
      </c>
      <c r="AN168" s="37" t="s">
        <v>1146</v>
      </c>
      <c r="AO168" s="37" t="s">
        <v>593</v>
      </c>
      <c r="AP168">
        <v>16</v>
      </c>
      <c r="AQ168">
        <v>8</v>
      </c>
      <c r="AR168" t="s">
        <v>1386</v>
      </c>
      <c r="AS168">
        <v>55</v>
      </c>
      <c r="AT168">
        <v>41</v>
      </c>
      <c r="AU168" s="115">
        <v>24837</v>
      </c>
      <c r="AV168" s="37"/>
      <c r="AW168" s="37"/>
      <c r="AX168" s="37"/>
      <c r="AY168" s="37"/>
      <c r="AZ168" s="37">
        <f>developmentdata2019[[#This Row],[NUMBER OF CURRENT APARTMENTS]]*5/2000</f>
        <v>1.335</v>
      </c>
      <c r="BA168" s="37">
        <f>developmentdata2019[[#This Row],[Total]]*BA$1</f>
        <v>0.34710000000000002</v>
      </c>
      <c r="BB168" s="37">
        <f>developmentdata2019[[#This Row],[Trash (tons/day)]]*BB$1</f>
        <v>6.5949000000000008E-2</v>
      </c>
      <c r="BC168" s="37">
        <f>developmentdata2019[[#This Row],[MGP (tons/day)]]*BC$1</f>
        <v>4.6164300000000012E-3</v>
      </c>
      <c r="BD168" s="37">
        <f>developmentdata2019[[#This Row],[Cardboard (tons/day)]]*BD$1</f>
        <v>3.2315010000000011E-4</v>
      </c>
      <c r="BE168" s="37">
        <f>developmentdata2019[[#This Row],[Paper (tons/day)]]*BE$1</f>
        <v>1.0340803200000003E-4</v>
      </c>
      <c r="BF168" s="37">
        <f>developmentdata2019[[#This Row],[Organics (tons/day)]]*BF$1</f>
        <v>1.0340803200000004E-6</v>
      </c>
      <c r="BG168" s="37">
        <f>developmentdata2019[[#This Row],[E-Waste (tons/day)]]*BG$1</f>
        <v>8.2726425600000026E-8</v>
      </c>
      <c r="BH168" s="37">
        <f>developmentdata2019[[#This Row],[Trash (tons/day)]]*BH$1</f>
        <v>7.3064550000000006</v>
      </c>
      <c r="BI168" s="37">
        <f>developmentdata2019[[#This Row],[MGP (tons/day)]]*BI$1</f>
        <v>1.1884009800000002</v>
      </c>
      <c r="BJ168" s="37">
        <f>developmentdata2019[[#This Row],[Cardboard (tons/day)]]*BJ$1</f>
        <v>0.12312018810000004</v>
      </c>
      <c r="BK168" s="37">
        <f>developmentdata2019[[#This Row],[Paper (tons/day)]]*BK$1</f>
        <v>2.0002991190000009E-3</v>
      </c>
      <c r="BL168" s="37">
        <f>developmentdata2019[[#This Row],[Organics (tons/day)]]*BL$1</f>
        <v>4.4672269824000014E-4</v>
      </c>
      <c r="BM168" s="37">
        <f>developmentdata2019[[#This Row],[E-Waste (tons/day)]]*BM$1</f>
        <v>5.8425538080000025E-6</v>
      </c>
      <c r="BN168" s="37">
        <f>developmentdata2019[[#This Row],[Textiles (tons/day)]]*BN$1</f>
        <v>1.1027432532480004E-6</v>
      </c>
      <c r="BO168" s="37">
        <f>developmentdata2019[[#This Row],[Trash (CY/day)]]*201.974</f>
        <v>1475.7139421700001</v>
      </c>
      <c r="BP168" s="37">
        <f>developmentdata2019[[#This Row],[MGP (CY/day)]]*201.974</f>
        <v>240.02609953452003</v>
      </c>
      <c r="BQ168" s="37">
        <f>developmentdata2019[[#This Row],[Cardboard (CY/day)]]*201.974</f>
        <v>24.867076871309408</v>
      </c>
      <c r="BR168" s="37">
        <f>developmentdata2019[[#This Row],[Paper  (CY/day)]]*201.974</f>
        <v>0.40400841426090617</v>
      </c>
      <c r="BS168" s="37">
        <f>developmentdata2019[[#This Row],[Organics (CY/day)]]*201.974</f>
        <v>9.0226370254325783E-2</v>
      </c>
      <c r="BT168" s="37">
        <f>developmentdata2019[[#This Row],[E-Waste (CY/day)]]*201.974</f>
        <v>1.1800439628169923E-3</v>
      </c>
      <c r="BU168" s="37">
        <f>developmentdata2019[[#This Row],[Textiles (CY/day)]]*201.974</f>
        <v>2.2272546583151161E-4</v>
      </c>
    </row>
    <row r="169" spans="1:73" x14ac:dyDescent="0.2">
      <c r="A169" s="37" t="s">
        <v>1387</v>
      </c>
      <c r="B169" s="115">
        <v>43466</v>
      </c>
      <c r="C169" s="37" t="s">
        <v>642</v>
      </c>
      <c r="D169">
        <v>326</v>
      </c>
      <c r="E169">
        <v>100</v>
      </c>
      <c r="F169">
        <v>784</v>
      </c>
      <c r="G169">
        <v>784</v>
      </c>
      <c r="H169" s="37" t="s">
        <v>1388</v>
      </c>
      <c r="I169" s="37" t="s">
        <v>577</v>
      </c>
      <c r="J169" s="37" t="s">
        <v>588</v>
      </c>
      <c r="K169" s="37" t="s">
        <v>579</v>
      </c>
      <c r="M169">
        <v>189</v>
      </c>
      <c r="N169">
        <v>189</v>
      </c>
      <c r="O169">
        <v>777.5</v>
      </c>
      <c r="P169">
        <v>4.1100000000000003</v>
      </c>
      <c r="R169">
        <v>361</v>
      </c>
      <c r="S169">
        <v>361</v>
      </c>
      <c r="T169">
        <v>105</v>
      </c>
      <c r="U169">
        <v>0.56799999999999995</v>
      </c>
      <c r="V169">
        <v>5</v>
      </c>
      <c r="W169">
        <v>0</v>
      </c>
      <c r="X169">
        <v>15</v>
      </c>
      <c r="Y169">
        <v>43564</v>
      </c>
      <c r="Z169">
        <v>86078</v>
      </c>
      <c r="AA169">
        <v>1.98</v>
      </c>
      <c r="AB169">
        <v>86078</v>
      </c>
      <c r="AC169">
        <v>1.98</v>
      </c>
      <c r="AD169">
        <v>37227</v>
      </c>
      <c r="AE169">
        <v>1657278</v>
      </c>
      <c r="AF169">
        <v>0.4325</v>
      </c>
      <c r="AG169">
        <v>182</v>
      </c>
      <c r="AH169">
        <v>14369576</v>
      </c>
      <c r="AI169">
        <v>18482</v>
      </c>
      <c r="AJ169">
        <v>512</v>
      </c>
      <c r="AK169" s="37" t="s">
        <v>732</v>
      </c>
      <c r="AL169" s="37" t="s">
        <v>1389</v>
      </c>
      <c r="AM169" s="37" t="s">
        <v>1390</v>
      </c>
      <c r="AN169" s="37" t="s">
        <v>647</v>
      </c>
      <c r="AO169" s="37" t="s">
        <v>608</v>
      </c>
      <c r="AP169">
        <v>3</v>
      </c>
      <c r="AQ169">
        <v>7</v>
      </c>
      <c r="AR169">
        <v>26</v>
      </c>
      <c r="AS169">
        <v>65</v>
      </c>
      <c r="AT169">
        <v>1</v>
      </c>
      <c r="AU169" s="115">
        <v>32295</v>
      </c>
      <c r="AV169" s="37"/>
      <c r="AW169" s="37" t="s">
        <v>693</v>
      </c>
      <c r="AX169" s="37" t="s">
        <v>621</v>
      </c>
      <c r="AY169" s="37"/>
      <c r="AZ169" s="37">
        <f>developmentdata2019[[#This Row],[NUMBER OF CURRENT APARTMENTS]]*5/2000</f>
        <v>0.47249999999999998</v>
      </c>
      <c r="BA169" s="37">
        <f>developmentdata2019[[#This Row],[Total]]*BA$1</f>
        <v>0.12285</v>
      </c>
      <c r="BB169" s="37">
        <f>developmentdata2019[[#This Row],[Trash (tons/day)]]*BB$1</f>
        <v>2.3341500000000001E-2</v>
      </c>
      <c r="BC169" s="37">
        <f>developmentdata2019[[#This Row],[MGP (tons/day)]]*BC$1</f>
        <v>1.6339050000000002E-3</v>
      </c>
      <c r="BD169" s="37">
        <f>developmentdata2019[[#This Row],[Cardboard (tons/day)]]*BD$1</f>
        <v>1.1437335000000002E-4</v>
      </c>
      <c r="BE169" s="37">
        <f>developmentdata2019[[#This Row],[Paper (tons/day)]]*BE$1</f>
        <v>3.6599472000000011E-5</v>
      </c>
      <c r="BF169" s="37">
        <f>developmentdata2019[[#This Row],[Organics (tons/day)]]*BF$1</f>
        <v>3.6599472000000014E-7</v>
      </c>
      <c r="BG169" s="37">
        <f>developmentdata2019[[#This Row],[E-Waste (tons/day)]]*BG$1</f>
        <v>2.9279577600000012E-8</v>
      </c>
      <c r="BH169" s="37">
        <f>developmentdata2019[[#This Row],[Trash (tons/day)]]*BH$1</f>
        <v>2.5859925000000001</v>
      </c>
      <c r="BI169" s="37">
        <f>developmentdata2019[[#This Row],[MGP (tons/day)]]*BI$1</f>
        <v>0.42061383000000002</v>
      </c>
      <c r="BJ169" s="37">
        <f>developmentdata2019[[#This Row],[Cardboard (tons/day)]]*BJ$1</f>
        <v>4.3576246350000007E-2</v>
      </c>
      <c r="BK169" s="37">
        <f>developmentdata2019[[#This Row],[Paper (tons/day)]]*BK$1</f>
        <v>7.0797103650000013E-4</v>
      </c>
      <c r="BL169" s="37">
        <f>developmentdata2019[[#This Row],[Organics (tons/day)]]*BL$1</f>
        <v>1.5810971904000007E-4</v>
      </c>
      <c r="BM169" s="37">
        <f>developmentdata2019[[#This Row],[E-Waste (tons/day)]]*BM$1</f>
        <v>2.0678701680000008E-6</v>
      </c>
      <c r="BN169" s="37">
        <f>developmentdata2019[[#This Row],[Textiles (tons/day)]]*BN$1</f>
        <v>3.9029676940800018E-7</v>
      </c>
      <c r="BO169" s="37">
        <f>developmentdata2019[[#This Row],[Trash (CY/day)]]*201.974</f>
        <v>522.30324919500003</v>
      </c>
      <c r="BP169" s="37">
        <f>developmentdata2019[[#This Row],[MGP (CY/day)]]*201.974</f>
        <v>84.953057700420004</v>
      </c>
      <c r="BQ169" s="37">
        <f>developmentdata2019[[#This Row],[Cardboard (CY/day)]]*201.974</f>
        <v>8.801268780294901</v>
      </c>
      <c r="BR169" s="37">
        <f>developmentdata2019[[#This Row],[Paper  (CY/day)]]*201.974</f>
        <v>0.14299174212605101</v>
      </c>
      <c r="BS169" s="37">
        <f>developmentdata2019[[#This Row],[Organics (CY/day)]]*201.974</f>
        <v>3.1934052393384975E-2</v>
      </c>
      <c r="BT169" s="37">
        <f>developmentdata2019[[#This Row],[E-Waste (CY/day)]]*201.974</f>
        <v>4.1765600931163211E-4</v>
      </c>
      <c r="BU169" s="37">
        <f>developmentdata2019[[#This Row],[Textiles (CY/day)]]*201.974</f>
        <v>7.8829799704411429E-5</v>
      </c>
    </row>
    <row r="170" spans="1:73" x14ac:dyDescent="0.2">
      <c r="A170" s="37" t="s">
        <v>1391</v>
      </c>
      <c r="B170" s="115">
        <v>43466</v>
      </c>
      <c r="C170" s="37" t="s">
        <v>817</v>
      </c>
      <c r="D170">
        <v>337</v>
      </c>
      <c r="E170">
        <v>337</v>
      </c>
      <c r="F170">
        <v>783</v>
      </c>
      <c r="G170">
        <v>555</v>
      </c>
      <c r="H170" s="37" t="s">
        <v>1392</v>
      </c>
      <c r="I170" s="37" t="s">
        <v>577</v>
      </c>
      <c r="J170" s="37" t="s">
        <v>588</v>
      </c>
      <c r="K170" s="37" t="s">
        <v>579</v>
      </c>
      <c r="M170">
        <v>188</v>
      </c>
      <c r="N170">
        <v>188</v>
      </c>
      <c r="O170">
        <v>848</v>
      </c>
      <c r="P170">
        <v>4.51</v>
      </c>
      <c r="R170">
        <v>433</v>
      </c>
      <c r="S170">
        <v>433</v>
      </c>
      <c r="T170">
        <v>74</v>
      </c>
      <c r="U170">
        <v>0.4</v>
      </c>
      <c r="V170">
        <v>4</v>
      </c>
      <c r="W170">
        <v>1</v>
      </c>
      <c r="X170">
        <v>32</v>
      </c>
      <c r="Y170">
        <v>3</v>
      </c>
      <c r="Z170">
        <v>167568</v>
      </c>
      <c r="AA170">
        <v>3.85</v>
      </c>
      <c r="AB170">
        <v>167568</v>
      </c>
      <c r="AC170">
        <v>3.85</v>
      </c>
      <c r="AD170">
        <v>59808</v>
      </c>
      <c r="AE170">
        <v>1622292</v>
      </c>
      <c r="AF170">
        <v>0.3569</v>
      </c>
      <c r="AG170">
        <v>112</v>
      </c>
      <c r="AH170">
        <v>14709271</v>
      </c>
      <c r="AI170">
        <v>17346</v>
      </c>
      <c r="AJ170">
        <v>554</v>
      </c>
      <c r="AK170" s="37" t="s">
        <v>1393</v>
      </c>
      <c r="AL170" s="37" t="s">
        <v>1394</v>
      </c>
      <c r="AM170" s="37" t="s">
        <v>1395</v>
      </c>
      <c r="AN170" s="37" t="s">
        <v>1396</v>
      </c>
      <c r="AO170" s="37" t="s">
        <v>608</v>
      </c>
      <c r="AP170">
        <v>3</v>
      </c>
      <c r="AQ170">
        <v>12</v>
      </c>
      <c r="AR170">
        <v>26</v>
      </c>
      <c r="AS170">
        <v>74</v>
      </c>
      <c r="AT170">
        <v>2</v>
      </c>
      <c r="AU170" s="115">
        <v>32448</v>
      </c>
      <c r="AV170" s="37"/>
      <c r="AW170" s="37"/>
      <c r="AX170" s="37" t="s">
        <v>621</v>
      </c>
      <c r="AY170" s="37"/>
      <c r="AZ170" s="37">
        <f>developmentdata2019[[#This Row],[NUMBER OF CURRENT APARTMENTS]]*5/2000</f>
        <v>0.47</v>
      </c>
      <c r="BA170" s="37">
        <f>developmentdata2019[[#This Row],[Total]]*BA$1</f>
        <v>0.1222</v>
      </c>
      <c r="BB170" s="37">
        <f>developmentdata2019[[#This Row],[Trash (tons/day)]]*BB$1</f>
        <v>2.3218000000000003E-2</v>
      </c>
      <c r="BC170" s="37">
        <f>developmentdata2019[[#This Row],[MGP (tons/day)]]*BC$1</f>
        <v>1.6252600000000003E-3</v>
      </c>
      <c r="BD170" s="37">
        <f>developmentdata2019[[#This Row],[Cardboard (tons/day)]]*BD$1</f>
        <v>1.1376820000000004E-4</v>
      </c>
      <c r="BE170" s="37">
        <f>developmentdata2019[[#This Row],[Paper (tons/day)]]*BE$1</f>
        <v>3.6405824000000016E-5</v>
      </c>
      <c r="BF170" s="37">
        <f>developmentdata2019[[#This Row],[Organics (tons/day)]]*BF$1</f>
        <v>3.6405824000000017E-7</v>
      </c>
      <c r="BG170" s="37">
        <f>developmentdata2019[[#This Row],[E-Waste (tons/day)]]*BG$1</f>
        <v>2.9124659200000015E-8</v>
      </c>
      <c r="BH170" s="37">
        <f>developmentdata2019[[#This Row],[Trash (tons/day)]]*BH$1</f>
        <v>2.5723100000000003</v>
      </c>
      <c r="BI170" s="37">
        <f>developmentdata2019[[#This Row],[MGP (tons/day)]]*BI$1</f>
        <v>0.41838836000000001</v>
      </c>
      <c r="BJ170" s="37">
        <f>developmentdata2019[[#This Row],[Cardboard (tons/day)]]*BJ$1</f>
        <v>4.3345684200000012E-2</v>
      </c>
      <c r="BK170" s="37">
        <f>developmentdata2019[[#This Row],[Paper (tons/day)]]*BK$1</f>
        <v>7.0422515800000029E-4</v>
      </c>
      <c r="BL170" s="37">
        <f>developmentdata2019[[#This Row],[Organics (tons/day)]]*BL$1</f>
        <v>1.5727315968000008E-4</v>
      </c>
      <c r="BM170" s="37">
        <f>developmentdata2019[[#This Row],[E-Waste (tons/day)]]*BM$1</f>
        <v>2.056929056000001E-6</v>
      </c>
      <c r="BN170" s="37">
        <f>developmentdata2019[[#This Row],[Textiles (tons/day)]]*BN$1</f>
        <v>3.8823170713600022E-7</v>
      </c>
      <c r="BO170" s="37">
        <f>developmentdata2019[[#This Row],[Trash (CY/day)]]*201.974</f>
        <v>519.53973994</v>
      </c>
      <c r="BP170" s="37">
        <f>developmentdata2019[[#This Row],[MGP (CY/day)]]*201.974</f>
        <v>84.503570622639998</v>
      </c>
      <c r="BQ170" s="37">
        <f>developmentdata2019[[#This Row],[Cardboard (CY/day)]]*201.974</f>
        <v>8.7547012206108015</v>
      </c>
      <c r="BR170" s="37">
        <f>developmentdata2019[[#This Row],[Paper  (CY/day)]]*201.974</f>
        <v>0.14223517206189204</v>
      </c>
      <c r="BS170" s="37">
        <f>developmentdata2019[[#This Row],[Organics (CY/day)]]*201.974</f>
        <v>3.1765089153208338E-2</v>
      </c>
      <c r="BT170" s="37">
        <f>developmentdata2019[[#This Row],[E-Waste (CY/day)]]*201.974</f>
        <v>4.1544618915654419E-4</v>
      </c>
      <c r="BU170" s="37">
        <f>developmentdata2019[[#This Row],[Textiles (CY/day)]]*201.974</f>
        <v>7.84127108170865E-5</v>
      </c>
    </row>
    <row r="171" spans="1:73" x14ac:dyDescent="0.2">
      <c r="A171" s="37" t="s">
        <v>1397</v>
      </c>
      <c r="B171" s="115">
        <v>43466</v>
      </c>
      <c r="C171" s="37" t="s">
        <v>616</v>
      </c>
      <c r="D171">
        <v>364</v>
      </c>
      <c r="E171">
        <v>359</v>
      </c>
      <c r="F171">
        <v>548</v>
      </c>
      <c r="G171">
        <v>840</v>
      </c>
      <c r="H171" s="37" t="s">
        <v>1398</v>
      </c>
      <c r="I171" s="37" t="s">
        <v>577</v>
      </c>
      <c r="J171" s="37" t="s">
        <v>588</v>
      </c>
      <c r="K171" s="37" t="s">
        <v>579</v>
      </c>
      <c r="M171">
        <v>56</v>
      </c>
      <c r="N171">
        <v>56</v>
      </c>
      <c r="O171">
        <v>280</v>
      </c>
      <c r="P171">
        <v>5</v>
      </c>
      <c r="R171">
        <v>173</v>
      </c>
      <c r="S171">
        <v>173</v>
      </c>
      <c r="T171">
        <v>15</v>
      </c>
      <c r="U171">
        <v>0.26800000000000002</v>
      </c>
      <c r="V171">
        <v>2</v>
      </c>
      <c r="W171">
        <v>1</v>
      </c>
      <c r="X171">
        <v>3</v>
      </c>
      <c r="Y171">
        <v>4</v>
      </c>
      <c r="Z171">
        <v>42733</v>
      </c>
      <c r="AA171">
        <v>0.98</v>
      </c>
      <c r="AB171">
        <v>42733</v>
      </c>
      <c r="AC171">
        <v>0.98</v>
      </c>
      <c r="AD171">
        <v>22801</v>
      </c>
      <c r="AE171">
        <v>596573</v>
      </c>
      <c r="AF171">
        <v>0.53359999999999996</v>
      </c>
      <c r="AG171">
        <v>177</v>
      </c>
      <c r="AH171">
        <v>7324340</v>
      </c>
      <c r="AI171">
        <v>26158</v>
      </c>
      <c r="AJ171">
        <v>705</v>
      </c>
      <c r="AK171" s="37" t="s">
        <v>1399</v>
      </c>
      <c r="AL171" s="37" t="s">
        <v>1396</v>
      </c>
      <c r="AM171" s="37" t="s">
        <v>1400</v>
      </c>
      <c r="AN171" s="37" t="s">
        <v>820</v>
      </c>
      <c r="AO171" s="37" t="s">
        <v>608</v>
      </c>
      <c r="AP171">
        <v>3</v>
      </c>
      <c r="AQ171">
        <v>12</v>
      </c>
      <c r="AR171">
        <v>27</v>
      </c>
      <c r="AS171">
        <v>74</v>
      </c>
      <c r="AT171">
        <v>2</v>
      </c>
      <c r="AU171" s="115">
        <v>35550</v>
      </c>
      <c r="AV171" s="37"/>
      <c r="AW171" s="37"/>
      <c r="AX171" s="37" t="s">
        <v>621</v>
      </c>
      <c r="AY171" s="37" t="s">
        <v>621</v>
      </c>
      <c r="AZ171" s="37">
        <f>developmentdata2019[[#This Row],[NUMBER OF CURRENT APARTMENTS]]*5/2000</f>
        <v>0.14000000000000001</v>
      </c>
      <c r="BA171" s="37">
        <f>developmentdata2019[[#This Row],[Total]]*BA$1</f>
        <v>3.6400000000000002E-2</v>
      </c>
      <c r="BB171" s="37">
        <f>developmentdata2019[[#This Row],[Trash (tons/day)]]*BB$1</f>
        <v>6.9160000000000003E-3</v>
      </c>
      <c r="BC171" s="37">
        <f>developmentdata2019[[#This Row],[MGP (tons/day)]]*BC$1</f>
        <v>4.8412000000000005E-4</v>
      </c>
      <c r="BD171" s="37">
        <f>developmentdata2019[[#This Row],[Cardboard (tons/day)]]*BD$1</f>
        <v>3.3888400000000006E-5</v>
      </c>
      <c r="BE171" s="37">
        <f>developmentdata2019[[#This Row],[Paper (tons/day)]]*BE$1</f>
        <v>1.0844288000000003E-5</v>
      </c>
      <c r="BF171" s="37">
        <f>developmentdata2019[[#This Row],[Organics (tons/day)]]*BF$1</f>
        <v>1.0844288000000003E-7</v>
      </c>
      <c r="BG171" s="37">
        <f>developmentdata2019[[#This Row],[E-Waste (tons/day)]]*BG$1</f>
        <v>8.6754304000000031E-9</v>
      </c>
      <c r="BH171" s="37">
        <f>developmentdata2019[[#This Row],[Trash (tons/day)]]*BH$1</f>
        <v>0.76622000000000001</v>
      </c>
      <c r="BI171" s="37">
        <f>developmentdata2019[[#This Row],[MGP (tons/day)]]*BI$1</f>
        <v>0.12462632</v>
      </c>
      <c r="BJ171" s="37">
        <f>developmentdata2019[[#This Row],[Cardboard (tons/day)]]*BJ$1</f>
        <v>1.2911480400000001E-2</v>
      </c>
      <c r="BK171" s="37">
        <f>developmentdata2019[[#This Row],[Paper (tons/day)]]*BK$1</f>
        <v>2.0976919600000006E-4</v>
      </c>
      <c r="BL171" s="37">
        <f>developmentdata2019[[#This Row],[Organics (tons/day)]]*BL$1</f>
        <v>4.6847324160000018E-5</v>
      </c>
      <c r="BM171" s="37">
        <f>developmentdata2019[[#This Row],[E-Waste (tons/day)]]*BM$1</f>
        <v>6.1270227200000017E-7</v>
      </c>
      <c r="BN171" s="37">
        <f>developmentdata2019[[#This Row],[Textiles (tons/day)]]*BN$1</f>
        <v>1.1564348723200004E-7</v>
      </c>
      <c r="BO171" s="37">
        <f>developmentdata2019[[#This Row],[Trash (CY/day)]]*201.974</f>
        <v>154.75651827999999</v>
      </c>
      <c r="BP171" s="37">
        <f>developmentdata2019[[#This Row],[MGP (CY/day)]]*201.974</f>
        <v>25.17127635568</v>
      </c>
      <c r="BQ171" s="37">
        <f>developmentdata2019[[#This Row],[Cardboard (CY/day)]]*201.974</f>
        <v>2.6077833423096002</v>
      </c>
      <c r="BR171" s="37">
        <f>developmentdata2019[[#This Row],[Paper  (CY/day)]]*201.974</f>
        <v>4.2367923592904012E-2</v>
      </c>
      <c r="BS171" s="37">
        <f>developmentdata2019[[#This Row],[Organics (CY/day)]]*201.974</f>
        <v>9.4619414498918423E-3</v>
      </c>
      <c r="BT171" s="37">
        <f>developmentdata2019[[#This Row],[E-Waste (CY/day)]]*201.974</f>
        <v>1.2374992868492801E-4</v>
      </c>
      <c r="BU171" s="37">
        <f>developmentdata2019[[#This Row],[Textiles (CY/day)]]*201.974</f>
        <v>2.3356977690195975E-5</v>
      </c>
    </row>
    <row r="172" spans="1:73" x14ac:dyDescent="0.2">
      <c r="A172" s="37" t="s">
        <v>1401</v>
      </c>
      <c r="B172" s="115">
        <v>43466</v>
      </c>
      <c r="C172" s="37" t="s">
        <v>817</v>
      </c>
      <c r="D172">
        <v>292</v>
      </c>
      <c r="E172">
        <v>337</v>
      </c>
      <c r="F172">
        <v>555</v>
      </c>
      <c r="G172">
        <v>555</v>
      </c>
      <c r="H172" s="37" t="s">
        <v>1402</v>
      </c>
      <c r="I172" s="37" t="s">
        <v>577</v>
      </c>
      <c r="J172" s="37" t="s">
        <v>588</v>
      </c>
      <c r="K172" s="37" t="s">
        <v>597</v>
      </c>
      <c r="M172">
        <v>55</v>
      </c>
      <c r="N172">
        <v>55</v>
      </c>
      <c r="O172">
        <v>229.5</v>
      </c>
      <c r="P172">
        <v>4.17</v>
      </c>
      <c r="R172">
        <v>119</v>
      </c>
      <c r="S172">
        <v>119</v>
      </c>
      <c r="T172">
        <v>17</v>
      </c>
      <c r="U172">
        <v>0.309</v>
      </c>
      <c r="V172">
        <v>2</v>
      </c>
      <c r="W172">
        <v>0</v>
      </c>
      <c r="X172">
        <v>2</v>
      </c>
      <c r="Y172">
        <v>6</v>
      </c>
      <c r="Z172">
        <v>17872</v>
      </c>
      <c r="AA172">
        <v>0.41</v>
      </c>
      <c r="AB172">
        <v>17872</v>
      </c>
      <c r="AC172">
        <v>0.41</v>
      </c>
      <c r="AD172">
        <v>10275</v>
      </c>
      <c r="AE172">
        <v>490400</v>
      </c>
      <c r="AF172">
        <v>0.57489999999999997</v>
      </c>
      <c r="AG172">
        <v>290</v>
      </c>
      <c r="AH172">
        <v>4322735</v>
      </c>
      <c r="AI172">
        <v>18795</v>
      </c>
      <c r="AJ172">
        <v>643</v>
      </c>
      <c r="AK172" s="37" t="s">
        <v>820</v>
      </c>
      <c r="AL172" s="37" t="s">
        <v>1394</v>
      </c>
      <c r="AM172" s="37" t="s">
        <v>1403</v>
      </c>
      <c r="AN172" s="37"/>
      <c r="AO172" s="37" t="s">
        <v>608</v>
      </c>
      <c r="AP172">
        <v>3</v>
      </c>
      <c r="AQ172">
        <v>12</v>
      </c>
      <c r="AR172">
        <v>27</v>
      </c>
      <c r="AS172">
        <v>74</v>
      </c>
      <c r="AT172">
        <v>2</v>
      </c>
      <c r="AU172" s="115">
        <v>31747</v>
      </c>
      <c r="AV172" s="37"/>
      <c r="AW172" s="37"/>
      <c r="AX172" s="37" t="s">
        <v>621</v>
      </c>
      <c r="AY172" s="37"/>
      <c r="AZ172" s="37">
        <f>developmentdata2019[[#This Row],[NUMBER OF CURRENT APARTMENTS]]*5/2000</f>
        <v>0.13750000000000001</v>
      </c>
      <c r="BA172" s="37">
        <f>developmentdata2019[[#This Row],[Total]]*BA$1</f>
        <v>3.5750000000000004E-2</v>
      </c>
      <c r="BB172" s="37">
        <f>developmentdata2019[[#This Row],[Trash (tons/day)]]*BB$1</f>
        <v>6.7925000000000008E-3</v>
      </c>
      <c r="BC172" s="37">
        <f>developmentdata2019[[#This Row],[MGP (tons/day)]]*BC$1</f>
        <v>4.7547500000000011E-4</v>
      </c>
      <c r="BD172" s="37">
        <f>developmentdata2019[[#This Row],[Cardboard (tons/day)]]*BD$1</f>
        <v>3.328325000000001E-5</v>
      </c>
      <c r="BE172" s="37">
        <f>developmentdata2019[[#This Row],[Paper (tons/day)]]*BE$1</f>
        <v>1.0650640000000004E-5</v>
      </c>
      <c r="BF172" s="37">
        <f>developmentdata2019[[#This Row],[Organics (tons/day)]]*BF$1</f>
        <v>1.0650640000000004E-7</v>
      </c>
      <c r="BG172" s="37">
        <f>developmentdata2019[[#This Row],[E-Waste (tons/day)]]*BG$1</f>
        <v>8.5205120000000023E-9</v>
      </c>
      <c r="BH172" s="37">
        <f>developmentdata2019[[#This Row],[Trash (tons/day)]]*BH$1</f>
        <v>0.75253750000000008</v>
      </c>
      <c r="BI172" s="37">
        <f>developmentdata2019[[#This Row],[MGP (tons/day)]]*BI$1</f>
        <v>0.12240085000000001</v>
      </c>
      <c r="BJ172" s="37">
        <f>developmentdata2019[[#This Row],[Cardboard (tons/day)]]*BJ$1</f>
        <v>1.2680918250000004E-2</v>
      </c>
      <c r="BK172" s="37">
        <f>developmentdata2019[[#This Row],[Paper (tons/day)]]*BK$1</f>
        <v>2.0602331750000009E-4</v>
      </c>
      <c r="BL172" s="37">
        <f>developmentdata2019[[#This Row],[Organics (tons/day)]]*BL$1</f>
        <v>4.6010764800000018E-5</v>
      </c>
      <c r="BM172" s="37">
        <f>developmentdata2019[[#This Row],[E-Waste (tons/day)]]*BM$1</f>
        <v>6.0176116000000025E-7</v>
      </c>
      <c r="BN172" s="37">
        <f>developmentdata2019[[#This Row],[Textiles (tons/day)]]*BN$1</f>
        <v>1.1357842496000003E-7</v>
      </c>
      <c r="BO172" s="37">
        <f>developmentdata2019[[#This Row],[Trash (CY/day)]]*201.974</f>
        <v>151.99300902500002</v>
      </c>
      <c r="BP172" s="37">
        <f>developmentdata2019[[#This Row],[MGP (CY/day)]]*201.974</f>
        <v>24.721789277900001</v>
      </c>
      <c r="BQ172" s="37">
        <f>developmentdata2019[[#This Row],[Cardboard (CY/day)]]*201.974</f>
        <v>2.5612157826255006</v>
      </c>
      <c r="BR172" s="37">
        <f>developmentdata2019[[#This Row],[Paper  (CY/day)]]*201.974</f>
        <v>4.1611353528745017E-2</v>
      </c>
      <c r="BS172" s="37">
        <f>developmentdata2019[[#This Row],[Organics (CY/day)]]*201.974</f>
        <v>9.2929782097152039E-3</v>
      </c>
      <c r="BT172" s="37">
        <f>developmentdata2019[[#This Row],[E-Waste (CY/day)]]*201.974</f>
        <v>1.2154010852984004E-4</v>
      </c>
      <c r="BU172" s="37">
        <f>developmentdata2019[[#This Row],[Textiles (CY/day)]]*201.974</f>
        <v>2.2939888802871046E-5</v>
      </c>
    </row>
    <row r="173" spans="1:73" x14ac:dyDescent="0.2">
      <c r="A173" s="37" t="s">
        <v>351</v>
      </c>
      <c r="B173" s="115">
        <v>43466</v>
      </c>
      <c r="C173" s="37" t="s">
        <v>1404</v>
      </c>
      <c r="D173">
        <v>81</v>
      </c>
      <c r="E173">
        <v>81</v>
      </c>
      <c r="F173">
        <v>429</v>
      </c>
      <c r="G173">
        <v>429</v>
      </c>
      <c r="H173" s="37" t="s">
        <v>1405</v>
      </c>
      <c r="I173" s="37" t="s">
        <v>683</v>
      </c>
      <c r="J173" s="37" t="s">
        <v>578</v>
      </c>
      <c r="K173" s="37" t="s">
        <v>579</v>
      </c>
      <c r="L173">
        <v>204</v>
      </c>
      <c r="M173">
        <v>1272</v>
      </c>
      <c r="N173">
        <v>1272</v>
      </c>
      <c r="O173">
        <v>6004</v>
      </c>
      <c r="P173">
        <v>4.72</v>
      </c>
      <c r="Q173">
        <v>576</v>
      </c>
      <c r="R173">
        <v>2405</v>
      </c>
      <c r="S173">
        <v>2981</v>
      </c>
      <c r="T173">
        <v>494</v>
      </c>
      <c r="U173">
        <v>0.39500000000000002</v>
      </c>
      <c r="V173">
        <v>6</v>
      </c>
      <c r="W173">
        <v>0</v>
      </c>
      <c r="X173">
        <v>6</v>
      </c>
      <c r="Y173">
        <v>20</v>
      </c>
      <c r="Z173">
        <v>538367</v>
      </c>
      <c r="AA173">
        <v>12.36</v>
      </c>
      <c r="AB173">
        <v>538367</v>
      </c>
      <c r="AC173">
        <v>12.36</v>
      </c>
      <c r="AD173">
        <v>83754</v>
      </c>
      <c r="AE173">
        <v>11967873</v>
      </c>
      <c r="AF173">
        <v>0.15559999999999999</v>
      </c>
      <c r="AG173">
        <v>241</v>
      </c>
      <c r="AH173">
        <v>25774000</v>
      </c>
      <c r="AI173">
        <v>4306</v>
      </c>
      <c r="AJ173">
        <v>550</v>
      </c>
      <c r="AK173" s="37" t="s">
        <v>1406</v>
      </c>
      <c r="AL173" s="37" t="s">
        <v>1020</v>
      </c>
      <c r="AM173" s="37" t="s">
        <v>618</v>
      </c>
      <c r="AN173" s="37" t="s">
        <v>1407</v>
      </c>
      <c r="AO173" s="37" t="s">
        <v>608</v>
      </c>
      <c r="AP173">
        <v>9</v>
      </c>
      <c r="AQ173">
        <v>13</v>
      </c>
      <c r="AR173" t="s">
        <v>1408</v>
      </c>
      <c r="AS173">
        <v>70</v>
      </c>
      <c r="AT173">
        <v>7</v>
      </c>
      <c r="AU173" s="115">
        <v>22462</v>
      </c>
      <c r="AV173" s="37"/>
      <c r="AW173" s="37"/>
      <c r="AX173" s="37"/>
      <c r="AY173" s="37"/>
      <c r="AZ173" s="37">
        <f>developmentdata2019[[#This Row],[NUMBER OF CURRENT APARTMENTS]]*5/2000</f>
        <v>3.18</v>
      </c>
      <c r="BA173" s="37">
        <f>developmentdata2019[[#This Row],[Total]]*BA$1</f>
        <v>0.82680000000000009</v>
      </c>
      <c r="BB173" s="37">
        <f>developmentdata2019[[#This Row],[Trash (tons/day)]]*BB$1</f>
        <v>0.15709200000000001</v>
      </c>
      <c r="BC173" s="37">
        <f>developmentdata2019[[#This Row],[MGP (tons/day)]]*BC$1</f>
        <v>1.0996440000000001E-2</v>
      </c>
      <c r="BD173" s="37">
        <f>developmentdata2019[[#This Row],[Cardboard (tons/day)]]*BD$1</f>
        <v>7.697508000000002E-4</v>
      </c>
      <c r="BE173" s="37">
        <f>developmentdata2019[[#This Row],[Paper (tons/day)]]*BE$1</f>
        <v>2.4632025600000007E-4</v>
      </c>
      <c r="BF173" s="37">
        <f>developmentdata2019[[#This Row],[Organics (tons/day)]]*BF$1</f>
        <v>2.4632025600000008E-6</v>
      </c>
      <c r="BG173" s="37">
        <f>developmentdata2019[[#This Row],[E-Waste (tons/day)]]*BG$1</f>
        <v>1.9705620480000008E-7</v>
      </c>
      <c r="BH173" s="37">
        <f>developmentdata2019[[#This Row],[Trash (tons/day)]]*BH$1</f>
        <v>17.404140000000002</v>
      </c>
      <c r="BI173" s="37">
        <f>developmentdata2019[[#This Row],[MGP (tons/day)]]*BI$1</f>
        <v>2.8307978400000002</v>
      </c>
      <c r="BJ173" s="37">
        <f>developmentdata2019[[#This Row],[Cardboard (tons/day)]]*BJ$1</f>
        <v>0.29327505480000005</v>
      </c>
      <c r="BK173" s="37">
        <f>developmentdata2019[[#This Row],[Paper (tons/day)]]*BK$1</f>
        <v>4.7647574520000013E-3</v>
      </c>
      <c r="BL173" s="37">
        <f>developmentdata2019[[#This Row],[Organics (tons/day)]]*BL$1</f>
        <v>1.0641035059200004E-3</v>
      </c>
      <c r="BM173" s="37">
        <f>developmentdata2019[[#This Row],[E-Waste (tons/day)]]*BM$1</f>
        <v>1.3917094464000005E-5</v>
      </c>
      <c r="BN173" s="37">
        <f>developmentdata2019[[#This Row],[Textiles (tons/day)]]*BN$1</f>
        <v>2.6267592099840013E-6</v>
      </c>
      <c r="BO173" s="37">
        <f>developmentdata2019[[#This Row],[Trash (CY/day)]]*201.974</f>
        <v>3515.1837723600001</v>
      </c>
      <c r="BP173" s="37">
        <f>developmentdata2019[[#This Row],[MGP (CY/day)]]*201.974</f>
        <v>571.74756293615997</v>
      </c>
      <c r="BQ173" s="37">
        <f>developmentdata2019[[#This Row],[Cardboard (CY/day)]]*201.974</f>
        <v>59.233935918175206</v>
      </c>
      <c r="BR173" s="37">
        <f>developmentdata2019[[#This Row],[Paper  (CY/day)]]*201.974</f>
        <v>0.96235712161024822</v>
      </c>
      <c r="BS173" s="37">
        <f>developmentdata2019[[#This Row],[Organics (CY/day)]]*201.974</f>
        <v>0.21492124150468614</v>
      </c>
      <c r="BT173" s="37">
        <f>developmentdata2019[[#This Row],[E-Waste (CY/day)]]*201.974</f>
        <v>2.8108912372719367E-3</v>
      </c>
      <c r="BU173" s="37">
        <f>developmentdata2019[[#This Row],[Textiles (CY/day)]]*201.974</f>
        <v>5.3053706467730863E-4</v>
      </c>
    </row>
    <row r="174" spans="1:73" x14ac:dyDescent="0.2">
      <c r="A174" s="37" t="s">
        <v>352</v>
      </c>
      <c r="B174" s="115">
        <v>43466</v>
      </c>
      <c r="C174" s="37" t="s">
        <v>1409</v>
      </c>
      <c r="D174">
        <v>296</v>
      </c>
      <c r="E174">
        <v>81</v>
      </c>
      <c r="F174">
        <v>557</v>
      </c>
      <c r="G174">
        <v>558</v>
      </c>
      <c r="H174" s="37" t="s">
        <v>1410</v>
      </c>
      <c r="I174" s="37" t="s">
        <v>577</v>
      </c>
      <c r="J174" s="37" t="s">
        <v>578</v>
      </c>
      <c r="K174" s="37" t="s">
        <v>597</v>
      </c>
      <c r="M174">
        <v>46</v>
      </c>
      <c r="N174">
        <v>46</v>
      </c>
      <c r="O174">
        <v>187</v>
      </c>
      <c r="P174">
        <v>4.07</v>
      </c>
      <c r="R174">
        <v>87</v>
      </c>
      <c r="S174">
        <v>87</v>
      </c>
      <c r="T174">
        <v>21</v>
      </c>
      <c r="U174">
        <v>0.45700000000000002</v>
      </c>
      <c r="V174">
        <v>3</v>
      </c>
      <c r="W174">
        <v>0</v>
      </c>
      <c r="X174">
        <v>3</v>
      </c>
      <c r="Y174">
        <v>43591</v>
      </c>
      <c r="Z174">
        <v>11843</v>
      </c>
      <c r="AA174">
        <v>0.27</v>
      </c>
      <c r="AB174">
        <v>11843</v>
      </c>
      <c r="AC174">
        <v>0.27</v>
      </c>
      <c r="AD174">
        <v>8099</v>
      </c>
      <c r="AE174">
        <v>434570</v>
      </c>
      <c r="AF174">
        <v>0.68389999999999995</v>
      </c>
      <c r="AG174">
        <v>322</v>
      </c>
      <c r="AH174">
        <v>6002000</v>
      </c>
      <c r="AI174">
        <v>32096</v>
      </c>
      <c r="AJ174">
        <v>599</v>
      </c>
      <c r="AK174" s="37" t="s">
        <v>1020</v>
      </c>
      <c r="AL174" s="37" t="s">
        <v>1411</v>
      </c>
      <c r="AM174" s="37" t="s">
        <v>618</v>
      </c>
      <c r="AN174" s="37" t="s">
        <v>1412</v>
      </c>
      <c r="AO174" s="37" t="s">
        <v>608</v>
      </c>
      <c r="AP174">
        <v>9</v>
      </c>
      <c r="AQ174">
        <v>13</v>
      </c>
      <c r="AR174">
        <v>31</v>
      </c>
      <c r="AS174">
        <v>70</v>
      </c>
      <c r="AT174">
        <v>7</v>
      </c>
      <c r="AU174" s="115">
        <v>32448</v>
      </c>
      <c r="AV174" s="37"/>
      <c r="AW174" s="37"/>
      <c r="AX174" s="37" t="s">
        <v>621</v>
      </c>
      <c r="AY174" s="37"/>
      <c r="AZ174" s="37">
        <f>developmentdata2019[[#This Row],[NUMBER OF CURRENT APARTMENTS]]*5/2000</f>
        <v>0.115</v>
      </c>
      <c r="BA174" s="37">
        <f>developmentdata2019[[#This Row],[Total]]*BA$1</f>
        <v>2.9900000000000003E-2</v>
      </c>
      <c r="BB174" s="37">
        <f>developmentdata2019[[#This Row],[Trash (tons/day)]]*BB$1</f>
        <v>5.6810000000000003E-3</v>
      </c>
      <c r="BC174" s="37">
        <f>developmentdata2019[[#This Row],[MGP (tons/day)]]*BC$1</f>
        <v>3.9767000000000003E-4</v>
      </c>
      <c r="BD174" s="37">
        <f>developmentdata2019[[#This Row],[Cardboard (tons/day)]]*BD$1</f>
        <v>2.7836900000000004E-5</v>
      </c>
      <c r="BE174" s="37">
        <f>developmentdata2019[[#This Row],[Paper (tons/day)]]*BE$1</f>
        <v>8.9078080000000016E-6</v>
      </c>
      <c r="BF174" s="37">
        <f>developmentdata2019[[#This Row],[Organics (tons/day)]]*BF$1</f>
        <v>8.9078080000000024E-8</v>
      </c>
      <c r="BG174" s="37">
        <f>developmentdata2019[[#This Row],[E-Waste (tons/day)]]*BG$1</f>
        <v>7.126246400000002E-9</v>
      </c>
      <c r="BH174" s="37">
        <f>developmentdata2019[[#This Row],[Trash (tons/day)]]*BH$1</f>
        <v>0.62939500000000004</v>
      </c>
      <c r="BI174" s="37">
        <f>developmentdata2019[[#This Row],[MGP (tons/day)]]*BI$1</f>
        <v>0.10237162</v>
      </c>
      <c r="BJ174" s="37">
        <f>developmentdata2019[[#This Row],[Cardboard (tons/day)]]*BJ$1</f>
        <v>1.0605858900000001E-2</v>
      </c>
      <c r="BK174" s="37">
        <f>developmentdata2019[[#This Row],[Paper (tons/day)]]*BK$1</f>
        <v>1.7231041100000005E-4</v>
      </c>
      <c r="BL174" s="37">
        <f>developmentdata2019[[#This Row],[Organics (tons/day)]]*BL$1</f>
        <v>3.8481730560000007E-5</v>
      </c>
      <c r="BM174" s="37">
        <f>developmentdata2019[[#This Row],[E-Waste (tons/day)]]*BM$1</f>
        <v>5.0329115200000021E-7</v>
      </c>
      <c r="BN174" s="37">
        <f>developmentdata2019[[#This Row],[Textiles (tons/day)]]*BN$1</f>
        <v>9.4992864512000029E-8</v>
      </c>
      <c r="BO174" s="37">
        <f>developmentdata2019[[#This Row],[Trash (CY/day)]]*201.974</f>
        <v>127.12142573</v>
      </c>
      <c r="BP174" s="37">
        <f>developmentdata2019[[#This Row],[MGP (CY/day)]]*201.974</f>
        <v>20.676405577879997</v>
      </c>
      <c r="BQ174" s="37">
        <f>developmentdata2019[[#This Row],[Cardboard (CY/day)]]*201.974</f>
        <v>2.1421077454685999</v>
      </c>
      <c r="BR174" s="37">
        <f>developmentdata2019[[#This Row],[Paper  (CY/day)]]*201.974</f>
        <v>3.4802222951314007E-2</v>
      </c>
      <c r="BS174" s="37">
        <f>developmentdata2019[[#This Row],[Organics (CY/day)]]*201.974</f>
        <v>7.7723090481254409E-3</v>
      </c>
      <c r="BT174" s="37">
        <f>developmentdata2019[[#This Row],[E-Waste (CY/day)]]*201.974</f>
        <v>1.0165172713404803E-4</v>
      </c>
      <c r="BU174" s="37">
        <f>developmentdata2019[[#This Row],[Textiles (CY/day)]]*201.974</f>
        <v>1.9186088816946692E-5</v>
      </c>
    </row>
    <row r="175" spans="1:73" x14ac:dyDescent="0.2">
      <c r="A175" s="37" t="s">
        <v>353</v>
      </c>
      <c r="B175" s="115">
        <v>43466</v>
      </c>
      <c r="C175" s="37" t="s">
        <v>1409</v>
      </c>
      <c r="D175">
        <v>297</v>
      </c>
      <c r="E175">
        <v>81</v>
      </c>
      <c r="F175">
        <v>558</v>
      </c>
      <c r="G175">
        <v>558</v>
      </c>
      <c r="H175" s="37" t="s">
        <v>1413</v>
      </c>
      <c r="I175" s="37" t="s">
        <v>577</v>
      </c>
      <c r="J175" s="37" t="s">
        <v>578</v>
      </c>
      <c r="K175" s="37" t="s">
        <v>597</v>
      </c>
      <c r="M175">
        <v>51</v>
      </c>
      <c r="N175">
        <v>51</v>
      </c>
      <c r="O175">
        <v>220.5</v>
      </c>
      <c r="P175">
        <v>4.32</v>
      </c>
      <c r="R175">
        <v>115</v>
      </c>
      <c r="S175">
        <v>115</v>
      </c>
      <c r="T175">
        <v>17</v>
      </c>
      <c r="U175">
        <v>0.33300000000000002</v>
      </c>
      <c r="V175">
        <v>2</v>
      </c>
      <c r="W175">
        <v>0</v>
      </c>
      <c r="X175">
        <v>2</v>
      </c>
      <c r="Y175">
        <v>43591</v>
      </c>
      <c r="Z175">
        <v>13988</v>
      </c>
      <c r="AA175">
        <v>0.32</v>
      </c>
      <c r="AB175">
        <v>13988</v>
      </c>
      <c r="AC175">
        <v>0.32</v>
      </c>
      <c r="AD175">
        <v>9930</v>
      </c>
      <c r="AE175">
        <v>547624</v>
      </c>
      <c r="AF175">
        <v>0.70989999999999998</v>
      </c>
      <c r="AG175">
        <v>359</v>
      </c>
      <c r="AH175">
        <v>3652758</v>
      </c>
      <c r="AI175">
        <v>16603</v>
      </c>
      <c r="AJ175">
        <v>453</v>
      </c>
      <c r="AK175" s="37" t="s">
        <v>1020</v>
      </c>
      <c r="AL175" s="37" t="s">
        <v>1406</v>
      </c>
      <c r="AM175" s="37" t="s">
        <v>618</v>
      </c>
      <c r="AN175" s="37" t="s">
        <v>1411</v>
      </c>
      <c r="AO175" s="37" t="s">
        <v>608</v>
      </c>
      <c r="AP175">
        <v>9</v>
      </c>
      <c r="AQ175">
        <v>13</v>
      </c>
      <c r="AR175">
        <v>31</v>
      </c>
      <c r="AS175">
        <v>70</v>
      </c>
      <c r="AT175">
        <v>7</v>
      </c>
      <c r="AU175" s="115">
        <v>30589</v>
      </c>
      <c r="AV175" s="37"/>
      <c r="AW175" s="37"/>
      <c r="AX175" s="37" t="s">
        <v>621</v>
      </c>
      <c r="AY175" s="37"/>
      <c r="AZ175" s="37">
        <f>developmentdata2019[[#This Row],[NUMBER OF CURRENT APARTMENTS]]*5/2000</f>
        <v>0.1275</v>
      </c>
      <c r="BA175" s="37">
        <f>developmentdata2019[[#This Row],[Total]]*BA$1</f>
        <v>3.3149999999999999E-2</v>
      </c>
      <c r="BB175" s="37">
        <f>developmentdata2019[[#This Row],[Trash (tons/day)]]*BB$1</f>
        <v>6.2985000000000003E-3</v>
      </c>
      <c r="BC175" s="37">
        <f>developmentdata2019[[#This Row],[MGP (tons/day)]]*BC$1</f>
        <v>4.4089500000000007E-4</v>
      </c>
      <c r="BD175" s="37">
        <f>developmentdata2019[[#This Row],[Cardboard (tons/day)]]*BD$1</f>
        <v>3.0862650000000009E-5</v>
      </c>
      <c r="BE175" s="37">
        <f>developmentdata2019[[#This Row],[Paper (tons/day)]]*BE$1</f>
        <v>9.876048000000003E-6</v>
      </c>
      <c r="BF175" s="37">
        <f>developmentdata2019[[#This Row],[Organics (tons/day)]]*BF$1</f>
        <v>9.8760480000000026E-8</v>
      </c>
      <c r="BG175" s="37">
        <f>developmentdata2019[[#This Row],[E-Waste (tons/day)]]*BG$1</f>
        <v>7.9008384000000022E-9</v>
      </c>
      <c r="BH175" s="37">
        <f>developmentdata2019[[#This Row],[Trash (tons/day)]]*BH$1</f>
        <v>0.69780750000000002</v>
      </c>
      <c r="BI175" s="37">
        <f>developmentdata2019[[#This Row],[MGP (tons/day)]]*BI$1</f>
        <v>0.11349897</v>
      </c>
      <c r="BJ175" s="37">
        <f>developmentdata2019[[#This Row],[Cardboard (tons/day)]]*BJ$1</f>
        <v>1.1758669650000003E-2</v>
      </c>
      <c r="BK175" s="37">
        <f>developmentdata2019[[#This Row],[Paper (tons/day)]]*BK$1</f>
        <v>1.9103980350000007E-4</v>
      </c>
      <c r="BL175" s="37">
        <f>developmentdata2019[[#This Row],[Organics (tons/day)]]*BL$1</f>
        <v>4.2664527360000012E-5</v>
      </c>
      <c r="BM175" s="37">
        <f>developmentdata2019[[#This Row],[E-Waste (tons/day)]]*BM$1</f>
        <v>5.5799671200000014E-7</v>
      </c>
      <c r="BN175" s="37">
        <f>developmentdata2019[[#This Row],[Textiles (tons/day)]]*BN$1</f>
        <v>1.0531817587200003E-7</v>
      </c>
      <c r="BO175" s="37">
        <f>developmentdata2019[[#This Row],[Trash (CY/day)]]*201.974</f>
        <v>140.93897200500001</v>
      </c>
      <c r="BP175" s="37">
        <f>developmentdata2019[[#This Row],[MGP (CY/day)]]*201.974</f>
        <v>22.923840966779998</v>
      </c>
      <c r="BQ175" s="37">
        <f>developmentdata2019[[#This Row],[Cardboard (CY/day)]]*201.974</f>
        <v>2.3749455438891003</v>
      </c>
      <c r="BR175" s="37">
        <f>developmentdata2019[[#This Row],[Paper  (CY/day)]]*201.974</f>
        <v>3.8585073272109013E-2</v>
      </c>
      <c r="BS175" s="37">
        <f>developmentdata2019[[#This Row],[Organics (CY/day)]]*201.974</f>
        <v>8.6171252490086416E-3</v>
      </c>
      <c r="BT175" s="37">
        <f>developmentdata2019[[#This Row],[E-Waste (CY/day)]]*201.974</f>
        <v>1.1270082790948802E-4</v>
      </c>
      <c r="BU175" s="37">
        <f>developmentdata2019[[#This Row],[Textiles (CY/day)]]*201.974</f>
        <v>2.1271533253571332E-5</v>
      </c>
    </row>
    <row r="176" spans="1:73" x14ac:dyDescent="0.2">
      <c r="A176" s="37" t="s">
        <v>417</v>
      </c>
      <c r="B176" s="115">
        <v>43466</v>
      </c>
      <c r="C176" s="37" t="s">
        <v>1414</v>
      </c>
      <c r="D176">
        <v>49</v>
      </c>
      <c r="E176">
        <v>49</v>
      </c>
      <c r="F176">
        <v>638</v>
      </c>
      <c r="G176">
        <v>638</v>
      </c>
      <c r="H176" s="37" t="s">
        <v>1415</v>
      </c>
      <c r="I176" s="37" t="s">
        <v>683</v>
      </c>
      <c r="J176" s="37" t="s">
        <v>578</v>
      </c>
      <c r="K176" s="37" t="s">
        <v>579</v>
      </c>
      <c r="L176">
        <v>257</v>
      </c>
      <c r="M176">
        <v>1680</v>
      </c>
      <c r="N176">
        <v>1682</v>
      </c>
      <c r="O176">
        <v>7112</v>
      </c>
      <c r="P176">
        <v>4.2300000000000004</v>
      </c>
      <c r="Q176">
        <v>548</v>
      </c>
      <c r="R176">
        <v>2713</v>
      </c>
      <c r="S176">
        <v>3261</v>
      </c>
      <c r="T176">
        <v>737</v>
      </c>
      <c r="U176">
        <v>0.44500000000000001</v>
      </c>
      <c r="V176">
        <v>11</v>
      </c>
      <c r="W176">
        <v>1</v>
      </c>
      <c r="X176">
        <v>12</v>
      </c>
      <c r="Y176" t="s">
        <v>1231</v>
      </c>
      <c r="Z176">
        <v>724809</v>
      </c>
      <c r="AA176">
        <v>16.64</v>
      </c>
      <c r="AB176">
        <v>652495</v>
      </c>
      <c r="AC176">
        <v>14.98</v>
      </c>
      <c r="AD176">
        <v>111631</v>
      </c>
      <c r="AE176">
        <v>13300359</v>
      </c>
      <c r="AF176">
        <v>0.154</v>
      </c>
      <c r="AG176">
        <v>196</v>
      </c>
      <c r="AH176">
        <v>17882055</v>
      </c>
      <c r="AI176">
        <v>2539</v>
      </c>
      <c r="AJ176">
        <v>517</v>
      </c>
      <c r="AK176" s="37" t="s">
        <v>1416</v>
      </c>
      <c r="AL176" s="37" t="s">
        <v>1417</v>
      </c>
      <c r="AM176" s="37" t="s">
        <v>1020</v>
      </c>
      <c r="AN176" s="37" t="s">
        <v>1418</v>
      </c>
      <c r="AO176" s="37" t="s">
        <v>584</v>
      </c>
      <c r="AP176">
        <v>8</v>
      </c>
      <c r="AQ176">
        <v>13</v>
      </c>
      <c r="AR176" t="s">
        <v>1419</v>
      </c>
      <c r="AS176" t="s">
        <v>1420</v>
      </c>
      <c r="AT176" t="s">
        <v>1421</v>
      </c>
      <c r="AU176" s="115">
        <v>19059</v>
      </c>
      <c r="AV176" s="37"/>
      <c r="AW176" s="37"/>
      <c r="AX176" s="37"/>
      <c r="AY176" s="37"/>
      <c r="AZ176" s="37">
        <f>developmentdata2019[[#This Row],[NUMBER OF CURRENT APARTMENTS]]*5/2000</f>
        <v>4.2</v>
      </c>
      <c r="BA176" s="37">
        <f>developmentdata2019[[#This Row],[Total]]*BA$1</f>
        <v>1.0920000000000001</v>
      </c>
      <c r="BB176" s="37">
        <f>developmentdata2019[[#This Row],[Trash (tons/day)]]*BB$1</f>
        <v>0.20748000000000003</v>
      </c>
      <c r="BC176" s="37">
        <f>developmentdata2019[[#This Row],[MGP (tons/day)]]*BC$1</f>
        <v>1.4523600000000003E-2</v>
      </c>
      <c r="BD176" s="37">
        <f>developmentdata2019[[#This Row],[Cardboard (tons/day)]]*BD$1</f>
        <v>1.0166520000000003E-3</v>
      </c>
      <c r="BE176" s="37">
        <f>developmentdata2019[[#This Row],[Paper (tons/day)]]*BE$1</f>
        <v>3.253286400000001E-4</v>
      </c>
      <c r="BF176" s="37">
        <f>developmentdata2019[[#This Row],[Organics (tons/day)]]*BF$1</f>
        <v>3.2532864000000009E-6</v>
      </c>
      <c r="BG176" s="37">
        <f>developmentdata2019[[#This Row],[E-Waste (tons/day)]]*BG$1</f>
        <v>2.6026291200000006E-7</v>
      </c>
      <c r="BH176" s="37">
        <f>developmentdata2019[[#This Row],[Trash (tons/day)]]*BH$1</f>
        <v>22.986600000000003</v>
      </c>
      <c r="BI176" s="37">
        <f>developmentdata2019[[#This Row],[MGP (tons/day)]]*BI$1</f>
        <v>3.7387896000000005</v>
      </c>
      <c r="BJ176" s="37">
        <f>developmentdata2019[[#This Row],[Cardboard (tons/day)]]*BJ$1</f>
        <v>0.38734441200000008</v>
      </c>
      <c r="BK176" s="37">
        <f>developmentdata2019[[#This Row],[Paper (tons/day)]]*BK$1</f>
        <v>6.2930758800000021E-3</v>
      </c>
      <c r="BL176" s="37">
        <f>developmentdata2019[[#This Row],[Organics (tons/day)]]*BL$1</f>
        <v>1.4054197248000006E-3</v>
      </c>
      <c r="BM176" s="37">
        <f>developmentdata2019[[#This Row],[E-Waste (tons/day)]]*BM$1</f>
        <v>1.8381068160000006E-5</v>
      </c>
      <c r="BN176" s="37">
        <f>developmentdata2019[[#This Row],[Textiles (tons/day)]]*BN$1</f>
        <v>3.4693046169600007E-6</v>
      </c>
      <c r="BO176" s="37">
        <f>developmentdata2019[[#This Row],[Trash (CY/day)]]*201.974</f>
        <v>4642.6955484</v>
      </c>
      <c r="BP176" s="37">
        <f>developmentdata2019[[#This Row],[MGP (CY/day)]]*201.974</f>
        <v>755.13829067040001</v>
      </c>
      <c r="BQ176" s="37">
        <f>developmentdata2019[[#This Row],[Cardboard (CY/day)]]*201.974</f>
        <v>78.233500269288015</v>
      </c>
      <c r="BR176" s="37">
        <f>developmentdata2019[[#This Row],[Paper  (CY/day)]]*201.974</f>
        <v>1.2710377077871204</v>
      </c>
      <c r="BS176" s="37">
        <f>developmentdata2019[[#This Row],[Organics (CY/day)]]*201.974</f>
        <v>0.28385824349675531</v>
      </c>
      <c r="BT176" s="37">
        <f>developmentdata2019[[#This Row],[E-Waste (CY/day)]]*201.974</f>
        <v>3.7124978605478408E-3</v>
      </c>
      <c r="BU176" s="37">
        <f>developmentdata2019[[#This Row],[Textiles (CY/day)]]*201.974</f>
        <v>7.0070933070587912E-4</v>
      </c>
    </row>
    <row r="177" spans="1:73" x14ac:dyDescent="0.2">
      <c r="A177" s="37" t="s">
        <v>447</v>
      </c>
      <c r="B177" s="115">
        <v>43466</v>
      </c>
      <c r="C177" s="37" t="s">
        <v>1422</v>
      </c>
      <c r="D177">
        <v>21</v>
      </c>
      <c r="E177">
        <v>21</v>
      </c>
      <c r="F177">
        <v>514</v>
      </c>
      <c r="G177">
        <v>514</v>
      </c>
      <c r="H177" s="37" t="s">
        <v>1423</v>
      </c>
      <c r="I177" s="37" t="s">
        <v>577</v>
      </c>
      <c r="J177" s="37" t="s">
        <v>578</v>
      </c>
      <c r="K177" s="37" t="s">
        <v>579</v>
      </c>
      <c r="M177">
        <v>1716</v>
      </c>
      <c r="N177">
        <v>1717</v>
      </c>
      <c r="O177">
        <v>8268</v>
      </c>
      <c r="P177">
        <v>4.82</v>
      </c>
      <c r="R177">
        <v>4147</v>
      </c>
      <c r="S177">
        <v>4147</v>
      </c>
      <c r="T177">
        <v>607</v>
      </c>
      <c r="U177">
        <v>0.35799999999999998</v>
      </c>
      <c r="V177">
        <v>27</v>
      </c>
      <c r="W177">
        <v>1</v>
      </c>
      <c r="X177">
        <v>71</v>
      </c>
      <c r="Y177">
        <v>6</v>
      </c>
      <c r="Z177">
        <v>1241000</v>
      </c>
      <c r="AA177">
        <v>28.49</v>
      </c>
      <c r="AB177">
        <v>1101547</v>
      </c>
      <c r="AC177">
        <v>25.29</v>
      </c>
      <c r="AD177">
        <v>240198</v>
      </c>
      <c r="AE177">
        <v>13741160</v>
      </c>
      <c r="AF177">
        <v>0.19359999999999999</v>
      </c>
      <c r="AG177">
        <v>146</v>
      </c>
      <c r="AH177">
        <v>19420000</v>
      </c>
      <c r="AI177">
        <v>2347</v>
      </c>
      <c r="AJ177">
        <v>560</v>
      </c>
      <c r="AK177" s="37" t="s">
        <v>863</v>
      </c>
      <c r="AL177" s="37" t="s">
        <v>689</v>
      </c>
      <c r="AM177" s="37" t="s">
        <v>1104</v>
      </c>
      <c r="AN177" s="37" t="s">
        <v>627</v>
      </c>
      <c r="AO177" s="37" t="s">
        <v>593</v>
      </c>
      <c r="AP177">
        <v>3</v>
      </c>
      <c r="AQ177">
        <v>7</v>
      </c>
      <c r="AR177">
        <v>18</v>
      </c>
      <c r="AS177">
        <v>56</v>
      </c>
      <c r="AT177">
        <v>36</v>
      </c>
      <c r="AU177" s="115">
        <v>17917</v>
      </c>
      <c r="AV177" s="37" t="s">
        <v>704</v>
      </c>
      <c r="AW177" s="37"/>
      <c r="AX177" s="37"/>
      <c r="AY177" s="37"/>
      <c r="AZ177" s="37">
        <f>developmentdata2019[[#This Row],[NUMBER OF CURRENT APARTMENTS]]*5/2000</f>
        <v>4.29</v>
      </c>
      <c r="BA177" s="37">
        <f>developmentdata2019[[#This Row],[Total]]*BA$1</f>
        <v>1.1153999999999999</v>
      </c>
      <c r="BB177" s="37">
        <f>developmentdata2019[[#This Row],[Trash (tons/day)]]*BB$1</f>
        <v>0.211926</v>
      </c>
      <c r="BC177" s="37">
        <f>developmentdata2019[[#This Row],[MGP (tons/day)]]*BC$1</f>
        <v>1.4834820000000002E-2</v>
      </c>
      <c r="BD177" s="37">
        <f>developmentdata2019[[#This Row],[Cardboard (tons/day)]]*BD$1</f>
        <v>1.0384374000000003E-3</v>
      </c>
      <c r="BE177" s="37">
        <f>developmentdata2019[[#This Row],[Paper (tons/day)]]*BE$1</f>
        <v>3.3229996800000007E-4</v>
      </c>
      <c r="BF177" s="37">
        <f>developmentdata2019[[#This Row],[Organics (tons/day)]]*BF$1</f>
        <v>3.3229996800000007E-6</v>
      </c>
      <c r="BG177" s="37">
        <f>developmentdata2019[[#This Row],[E-Waste (tons/day)]]*BG$1</f>
        <v>2.6583997440000005E-7</v>
      </c>
      <c r="BH177" s="37">
        <f>developmentdata2019[[#This Row],[Trash (tons/day)]]*BH$1</f>
        <v>23.47917</v>
      </c>
      <c r="BI177" s="37">
        <f>developmentdata2019[[#This Row],[MGP (tons/day)]]*BI$1</f>
        <v>3.8189065200000001</v>
      </c>
      <c r="BJ177" s="37">
        <f>developmentdata2019[[#This Row],[Cardboard (tons/day)]]*BJ$1</f>
        <v>0.3956446494000001</v>
      </c>
      <c r="BK177" s="37">
        <f>developmentdata2019[[#This Row],[Paper (tons/day)]]*BK$1</f>
        <v>6.4279275060000023E-3</v>
      </c>
      <c r="BL177" s="37">
        <f>developmentdata2019[[#This Row],[Organics (tons/day)]]*BL$1</f>
        <v>1.4355358617600003E-3</v>
      </c>
      <c r="BM177" s="37">
        <f>developmentdata2019[[#This Row],[E-Waste (tons/day)]]*BM$1</f>
        <v>1.8774948192000004E-5</v>
      </c>
      <c r="BN177" s="37">
        <f>developmentdata2019[[#This Row],[Textiles (tons/day)]]*BN$1</f>
        <v>3.5436468587520007E-6</v>
      </c>
      <c r="BO177" s="37">
        <f>developmentdata2019[[#This Row],[Trash (CY/day)]]*201.974</f>
        <v>4742.1818815799998</v>
      </c>
      <c r="BP177" s="37">
        <f>developmentdata2019[[#This Row],[MGP (CY/day)]]*201.974</f>
        <v>771.31982547047994</v>
      </c>
      <c r="BQ177" s="37">
        <f>developmentdata2019[[#This Row],[Cardboard (CY/day)]]*201.974</f>
        <v>79.909932417915613</v>
      </c>
      <c r="BR177" s="37">
        <f>developmentdata2019[[#This Row],[Paper  (CY/day)]]*201.974</f>
        <v>1.2982742300968444</v>
      </c>
      <c r="BS177" s="37">
        <f>developmentdata2019[[#This Row],[Organics (CY/day)]]*201.974</f>
        <v>0.28994092014311429</v>
      </c>
      <c r="BT177" s="37">
        <f>developmentdata2019[[#This Row],[E-Waste (CY/day)]]*201.974</f>
        <v>3.7920513861310085E-3</v>
      </c>
      <c r="BU177" s="37">
        <f>developmentdata2019[[#This Row],[Textiles (CY/day)]]*201.974</f>
        <v>7.1572453064957652E-4</v>
      </c>
    </row>
    <row r="178" spans="1:73" x14ac:dyDescent="0.2">
      <c r="A178" s="37" t="s">
        <v>1424</v>
      </c>
      <c r="B178" s="115">
        <v>43466</v>
      </c>
      <c r="C178" s="37" t="s">
        <v>616</v>
      </c>
      <c r="D178">
        <v>363</v>
      </c>
      <c r="E178">
        <v>359</v>
      </c>
      <c r="F178">
        <v>803</v>
      </c>
      <c r="G178">
        <v>840</v>
      </c>
      <c r="H178" s="37" t="s">
        <v>1425</v>
      </c>
      <c r="I178" s="37" t="s">
        <v>577</v>
      </c>
      <c r="J178" s="37" t="s">
        <v>588</v>
      </c>
      <c r="K178" s="37" t="s">
        <v>579</v>
      </c>
      <c r="M178">
        <v>48</v>
      </c>
      <c r="N178">
        <v>48</v>
      </c>
      <c r="O178">
        <v>231</v>
      </c>
      <c r="P178">
        <v>4.8099999999999996</v>
      </c>
      <c r="R178">
        <v>123</v>
      </c>
      <c r="S178">
        <v>123</v>
      </c>
      <c r="T178">
        <v>13</v>
      </c>
      <c r="U178">
        <v>0.27700000000000002</v>
      </c>
      <c r="V178">
        <v>2</v>
      </c>
      <c r="W178">
        <v>0</v>
      </c>
      <c r="X178">
        <v>7</v>
      </c>
      <c r="Y178">
        <v>3</v>
      </c>
      <c r="Z178">
        <v>51104</v>
      </c>
      <c r="AA178">
        <v>1.17</v>
      </c>
      <c r="AB178">
        <v>51104</v>
      </c>
      <c r="AC178">
        <v>1.17</v>
      </c>
      <c r="AD178">
        <v>16354</v>
      </c>
      <c r="AE178">
        <v>434689</v>
      </c>
      <c r="AF178">
        <v>0.32</v>
      </c>
      <c r="AG178">
        <v>105</v>
      </c>
      <c r="AH178">
        <v>5042549</v>
      </c>
      <c r="AI178">
        <v>21829</v>
      </c>
      <c r="AJ178">
        <v>505</v>
      </c>
      <c r="AK178" s="37" t="s">
        <v>696</v>
      </c>
      <c r="AL178" s="37" t="s">
        <v>689</v>
      </c>
      <c r="AM178" s="37" t="s">
        <v>1104</v>
      </c>
      <c r="AN178" s="37" t="s">
        <v>1426</v>
      </c>
      <c r="AO178" s="37" t="s">
        <v>593</v>
      </c>
      <c r="AP178">
        <v>3</v>
      </c>
      <c r="AQ178">
        <v>8</v>
      </c>
      <c r="AR178">
        <v>25</v>
      </c>
      <c r="AS178">
        <v>56</v>
      </c>
      <c r="AT178">
        <v>36</v>
      </c>
      <c r="AU178" s="115">
        <v>35611</v>
      </c>
      <c r="AV178" s="37"/>
      <c r="AW178" s="37"/>
      <c r="AX178" s="37" t="s">
        <v>621</v>
      </c>
      <c r="AY178" s="37" t="s">
        <v>621</v>
      </c>
      <c r="AZ178" s="37">
        <f>developmentdata2019[[#This Row],[NUMBER OF CURRENT APARTMENTS]]*5/2000</f>
        <v>0.12</v>
      </c>
      <c r="BA178" s="37">
        <f>developmentdata2019[[#This Row],[Total]]*BA$1</f>
        <v>3.1199999999999999E-2</v>
      </c>
      <c r="BB178" s="37">
        <f>developmentdata2019[[#This Row],[Trash (tons/day)]]*BB$1</f>
        <v>5.9280000000000001E-3</v>
      </c>
      <c r="BC178" s="37">
        <f>developmentdata2019[[#This Row],[MGP (tons/day)]]*BC$1</f>
        <v>4.1496000000000003E-4</v>
      </c>
      <c r="BD178" s="37">
        <f>developmentdata2019[[#This Row],[Cardboard (tons/day)]]*BD$1</f>
        <v>2.9047200000000005E-5</v>
      </c>
      <c r="BE178" s="37">
        <f>developmentdata2019[[#This Row],[Paper (tons/day)]]*BE$1</f>
        <v>9.2951040000000011E-6</v>
      </c>
      <c r="BF178" s="37">
        <f>developmentdata2019[[#This Row],[Organics (tons/day)]]*BF$1</f>
        <v>9.2951040000000009E-8</v>
      </c>
      <c r="BG178" s="37">
        <f>developmentdata2019[[#This Row],[E-Waste (tons/day)]]*BG$1</f>
        <v>7.4360832000000013E-9</v>
      </c>
      <c r="BH178" s="37">
        <f>developmentdata2019[[#This Row],[Trash (tons/day)]]*BH$1</f>
        <v>0.65676000000000001</v>
      </c>
      <c r="BI178" s="37">
        <f>developmentdata2019[[#This Row],[MGP (tons/day)]]*BI$1</f>
        <v>0.10682256</v>
      </c>
      <c r="BJ178" s="37">
        <f>developmentdata2019[[#This Row],[Cardboard (tons/day)]]*BJ$1</f>
        <v>1.1066983200000002E-2</v>
      </c>
      <c r="BK178" s="37">
        <f>developmentdata2019[[#This Row],[Paper (tons/day)]]*BK$1</f>
        <v>1.7980216800000004E-4</v>
      </c>
      <c r="BL178" s="37">
        <f>developmentdata2019[[#This Row],[Organics (tons/day)]]*BL$1</f>
        <v>4.0154849280000006E-5</v>
      </c>
      <c r="BM178" s="37">
        <f>developmentdata2019[[#This Row],[E-Waste (tons/day)]]*BM$1</f>
        <v>5.2517337600000005E-7</v>
      </c>
      <c r="BN178" s="37">
        <f>developmentdata2019[[#This Row],[Textiles (tons/day)]]*BN$1</f>
        <v>9.9122989056000015E-8</v>
      </c>
      <c r="BO178" s="37">
        <f>developmentdata2019[[#This Row],[Trash (CY/day)]]*201.974</f>
        <v>132.64844424</v>
      </c>
      <c r="BP178" s="37">
        <f>developmentdata2019[[#This Row],[MGP (CY/day)]]*201.974</f>
        <v>21.575379733439998</v>
      </c>
      <c r="BQ178" s="37">
        <f>developmentdata2019[[#This Row],[Cardboard (CY/day)]]*201.974</f>
        <v>2.2352428648368003</v>
      </c>
      <c r="BR178" s="37">
        <f>developmentdata2019[[#This Row],[Paper  (CY/day)]]*201.974</f>
        <v>3.6315363079632006E-2</v>
      </c>
      <c r="BS178" s="37">
        <f>developmentdata2019[[#This Row],[Organics (CY/day)]]*201.974</f>
        <v>8.1102355284787212E-3</v>
      </c>
      <c r="BT178" s="37">
        <f>developmentdata2019[[#This Row],[E-Waste (CY/day)]]*201.974</f>
        <v>1.0607136744422401E-4</v>
      </c>
      <c r="BU178" s="37">
        <f>developmentdata2019[[#This Row],[Textiles (CY/day)]]*201.974</f>
        <v>2.0020266591596548E-5</v>
      </c>
    </row>
    <row r="179" spans="1:73" x14ac:dyDescent="0.2">
      <c r="A179" s="37" t="s">
        <v>1427</v>
      </c>
      <c r="B179" s="115">
        <v>43466</v>
      </c>
      <c r="C179" s="37" t="s">
        <v>616</v>
      </c>
      <c r="D179">
        <v>358</v>
      </c>
      <c r="E179">
        <v>359</v>
      </c>
      <c r="F179">
        <v>804</v>
      </c>
      <c r="G179">
        <v>840</v>
      </c>
      <c r="H179" s="37" t="s">
        <v>1428</v>
      </c>
      <c r="I179" s="37" t="s">
        <v>577</v>
      </c>
      <c r="J179" s="37" t="s">
        <v>588</v>
      </c>
      <c r="K179" s="37" t="s">
        <v>579</v>
      </c>
      <c r="M179">
        <v>30</v>
      </c>
      <c r="N179">
        <v>30</v>
      </c>
      <c r="O179">
        <v>145</v>
      </c>
      <c r="P179">
        <v>4.83</v>
      </c>
      <c r="R179">
        <v>76</v>
      </c>
      <c r="S179">
        <v>76</v>
      </c>
      <c r="T179">
        <v>8</v>
      </c>
      <c r="U179">
        <v>0.26700000000000002</v>
      </c>
      <c r="V179">
        <v>1</v>
      </c>
      <c r="W179">
        <v>0</v>
      </c>
      <c r="X179">
        <v>5</v>
      </c>
      <c r="Y179">
        <v>3</v>
      </c>
      <c r="Z179">
        <v>36926</v>
      </c>
      <c r="AA179">
        <v>0.85</v>
      </c>
      <c r="AB179">
        <v>36926</v>
      </c>
      <c r="AC179">
        <v>0.85</v>
      </c>
      <c r="AD179">
        <v>10081</v>
      </c>
      <c r="AE179">
        <v>267953</v>
      </c>
      <c r="AF179">
        <v>0.27300000000000002</v>
      </c>
      <c r="AG179">
        <v>89</v>
      </c>
      <c r="AH179">
        <v>3168261</v>
      </c>
      <c r="AI179">
        <v>21850</v>
      </c>
      <c r="AJ179">
        <v>582</v>
      </c>
      <c r="AK179" s="37" t="s">
        <v>696</v>
      </c>
      <c r="AL179" s="37" t="s">
        <v>689</v>
      </c>
      <c r="AM179" s="37" t="s">
        <v>1104</v>
      </c>
      <c r="AN179" s="37" t="s">
        <v>1426</v>
      </c>
      <c r="AO179" s="37" t="s">
        <v>593</v>
      </c>
      <c r="AP179">
        <v>3</v>
      </c>
      <c r="AQ179">
        <v>8</v>
      </c>
      <c r="AR179">
        <v>25</v>
      </c>
      <c r="AS179">
        <v>56</v>
      </c>
      <c r="AT179">
        <v>36</v>
      </c>
      <c r="AU179" s="115">
        <v>35611</v>
      </c>
      <c r="AV179" s="37"/>
      <c r="AW179" s="37"/>
      <c r="AX179" s="37" t="s">
        <v>621</v>
      </c>
      <c r="AY179" s="37" t="s">
        <v>621</v>
      </c>
      <c r="AZ179" s="37">
        <f>developmentdata2019[[#This Row],[NUMBER OF CURRENT APARTMENTS]]*5/2000</f>
        <v>7.4999999999999997E-2</v>
      </c>
      <c r="BA179" s="37">
        <f>developmentdata2019[[#This Row],[Total]]*BA$1</f>
        <v>1.95E-2</v>
      </c>
      <c r="BB179" s="37">
        <f>developmentdata2019[[#This Row],[Trash (tons/day)]]*BB$1</f>
        <v>3.705E-3</v>
      </c>
      <c r="BC179" s="37">
        <f>developmentdata2019[[#This Row],[MGP (tons/day)]]*BC$1</f>
        <v>2.5935000000000004E-4</v>
      </c>
      <c r="BD179" s="37">
        <f>developmentdata2019[[#This Row],[Cardboard (tons/day)]]*BD$1</f>
        <v>1.8154500000000004E-5</v>
      </c>
      <c r="BE179" s="37">
        <f>developmentdata2019[[#This Row],[Paper (tons/day)]]*BE$1</f>
        <v>5.8094400000000018E-6</v>
      </c>
      <c r="BF179" s="37">
        <f>developmentdata2019[[#This Row],[Organics (tons/day)]]*BF$1</f>
        <v>5.8094400000000019E-8</v>
      </c>
      <c r="BG179" s="37">
        <f>developmentdata2019[[#This Row],[E-Waste (tons/day)]]*BG$1</f>
        <v>4.6475520000000016E-9</v>
      </c>
      <c r="BH179" s="37">
        <f>developmentdata2019[[#This Row],[Trash (tons/day)]]*BH$1</f>
        <v>0.41047500000000003</v>
      </c>
      <c r="BI179" s="37">
        <f>developmentdata2019[[#This Row],[MGP (tons/day)]]*BI$1</f>
        <v>6.6764099999999993E-2</v>
      </c>
      <c r="BJ179" s="37">
        <f>developmentdata2019[[#This Row],[Cardboard (tons/day)]]*BJ$1</f>
        <v>6.9168645000000015E-3</v>
      </c>
      <c r="BK179" s="37">
        <f>developmentdata2019[[#This Row],[Paper (tons/day)]]*BK$1</f>
        <v>1.1237635500000003E-4</v>
      </c>
      <c r="BL179" s="37">
        <f>developmentdata2019[[#This Row],[Organics (tons/day)]]*BL$1</f>
        <v>2.5096780800000008E-5</v>
      </c>
      <c r="BM179" s="37">
        <f>developmentdata2019[[#This Row],[E-Waste (tons/day)]]*BM$1</f>
        <v>3.2823336000000014E-7</v>
      </c>
      <c r="BN179" s="37">
        <f>developmentdata2019[[#This Row],[Textiles (tons/day)]]*BN$1</f>
        <v>6.1951868160000019E-8</v>
      </c>
      <c r="BO179" s="37">
        <f>developmentdata2019[[#This Row],[Trash (CY/day)]]*201.974</f>
        <v>82.905277650000002</v>
      </c>
      <c r="BP179" s="37">
        <f>developmentdata2019[[#This Row],[MGP (CY/day)]]*201.974</f>
        <v>13.484612333399998</v>
      </c>
      <c r="BQ179" s="37">
        <f>developmentdata2019[[#This Row],[Cardboard (CY/day)]]*201.974</f>
        <v>1.3970267905230003</v>
      </c>
      <c r="BR179" s="37">
        <f>developmentdata2019[[#This Row],[Paper  (CY/day)]]*201.974</f>
        <v>2.2697101924770004E-2</v>
      </c>
      <c r="BS179" s="37">
        <f>developmentdata2019[[#This Row],[Organics (CY/day)]]*201.974</f>
        <v>5.0688972052992014E-3</v>
      </c>
      <c r="BT179" s="37">
        <f>developmentdata2019[[#This Row],[E-Waste (CY/day)]]*201.974</f>
        <v>6.6294604652640022E-5</v>
      </c>
      <c r="BU179" s="37">
        <f>developmentdata2019[[#This Row],[Textiles (CY/day)]]*201.974</f>
        <v>1.2512666619747843E-5</v>
      </c>
    </row>
    <row r="180" spans="1:73" x14ac:dyDescent="0.2">
      <c r="A180" s="37" t="s">
        <v>515</v>
      </c>
      <c r="B180" s="115">
        <v>43466</v>
      </c>
      <c r="C180" s="37" t="s">
        <v>1429</v>
      </c>
      <c r="D180">
        <v>77</v>
      </c>
      <c r="E180">
        <v>77</v>
      </c>
      <c r="F180">
        <v>228</v>
      </c>
      <c r="G180">
        <v>228</v>
      </c>
      <c r="H180" s="37" t="s">
        <v>1430</v>
      </c>
      <c r="I180" s="37" t="s">
        <v>577</v>
      </c>
      <c r="J180" s="37" t="s">
        <v>578</v>
      </c>
      <c r="K180" s="37" t="s">
        <v>579</v>
      </c>
      <c r="M180">
        <v>606</v>
      </c>
      <c r="N180">
        <v>607</v>
      </c>
      <c r="O180">
        <v>2853</v>
      </c>
      <c r="P180">
        <v>4.71</v>
      </c>
      <c r="R180">
        <v>1515</v>
      </c>
      <c r="S180">
        <v>1515</v>
      </c>
      <c r="T180">
        <v>146</v>
      </c>
      <c r="U180">
        <v>0.24299999999999999</v>
      </c>
      <c r="V180">
        <v>22</v>
      </c>
      <c r="W180">
        <v>0</v>
      </c>
      <c r="X180">
        <v>32</v>
      </c>
      <c r="Y180">
        <v>43530</v>
      </c>
      <c r="Z180">
        <v>947622</v>
      </c>
      <c r="AA180">
        <v>21.75</v>
      </c>
      <c r="AB180">
        <v>816256</v>
      </c>
      <c r="AC180">
        <v>18.739999999999998</v>
      </c>
      <c r="AD180">
        <v>124890</v>
      </c>
      <c r="AE180">
        <v>5691790</v>
      </c>
      <c r="AF180">
        <v>0.1318</v>
      </c>
      <c r="AG180">
        <v>70</v>
      </c>
      <c r="AH180">
        <v>8072855</v>
      </c>
      <c r="AI180">
        <v>2826</v>
      </c>
      <c r="AJ180">
        <v>488</v>
      </c>
      <c r="AK180" s="37" t="s">
        <v>1431</v>
      </c>
      <c r="AL180" s="37" t="s">
        <v>1432</v>
      </c>
      <c r="AM180" s="37" t="s">
        <v>1433</v>
      </c>
      <c r="AN180" s="37" t="s">
        <v>1434</v>
      </c>
      <c r="AO180" s="37" t="s">
        <v>765</v>
      </c>
      <c r="AP180">
        <v>1</v>
      </c>
      <c r="AQ180">
        <v>11</v>
      </c>
      <c r="AR180">
        <v>23</v>
      </c>
      <c r="AS180">
        <v>63</v>
      </c>
      <c r="AT180">
        <v>49</v>
      </c>
      <c r="AU180" s="115">
        <v>19970</v>
      </c>
      <c r="AV180" s="37"/>
      <c r="AW180" s="37"/>
      <c r="AX180" s="37"/>
      <c r="AY180" s="37"/>
      <c r="AZ180" s="37">
        <f>developmentdata2019[[#This Row],[NUMBER OF CURRENT APARTMENTS]]*5/2000</f>
        <v>1.5149999999999999</v>
      </c>
      <c r="BA180" s="37">
        <f>developmentdata2019[[#This Row],[Total]]*BA$1</f>
        <v>0.39389999999999997</v>
      </c>
      <c r="BB180" s="37">
        <f>developmentdata2019[[#This Row],[Trash (tons/day)]]*BB$1</f>
        <v>7.4840999999999991E-2</v>
      </c>
      <c r="BC180" s="37">
        <f>developmentdata2019[[#This Row],[MGP (tons/day)]]*BC$1</f>
        <v>5.2388699999999996E-3</v>
      </c>
      <c r="BD180" s="37">
        <f>developmentdata2019[[#This Row],[Cardboard (tons/day)]]*BD$1</f>
        <v>3.6672089999999999E-4</v>
      </c>
      <c r="BE180" s="37">
        <f>developmentdata2019[[#This Row],[Paper (tons/day)]]*BE$1</f>
        <v>1.1735068799999999E-4</v>
      </c>
      <c r="BF180" s="37">
        <f>developmentdata2019[[#This Row],[Organics (tons/day)]]*BF$1</f>
        <v>1.17350688E-6</v>
      </c>
      <c r="BG180" s="37">
        <f>developmentdata2019[[#This Row],[E-Waste (tons/day)]]*BG$1</f>
        <v>9.3880550400000008E-8</v>
      </c>
      <c r="BH180" s="37">
        <f>developmentdata2019[[#This Row],[Trash (tons/day)]]*BH$1</f>
        <v>8.2915949999999992</v>
      </c>
      <c r="BI180" s="37">
        <f>developmentdata2019[[#This Row],[MGP (tons/day)]]*BI$1</f>
        <v>1.3486348199999998</v>
      </c>
      <c r="BJ180" s="37">
        <f>developmentdata2019[[#This Row],[Cardboard (tons/day)]]*BJ$1</f>
        <v>0.13972066289999999</v>
      </c>
      <c r="BK180" s="37">
        <f>developmentdata2019[[#This Row],[Paper (tons/day)]]*BK$1</f>
        <v>2.2700023709999999E-3</v>
      </c>
      <c r="BL180" s="37">
        <f>developmentdata2019[[#This Row],[Organics (tons/day)]]*BL$1</f>
        <v>5.0695497215999996E-4</v>
      </c>
      <c r="BM180" s="37">
        <f>developmentdata2019[[#This Row],[E-Waste (tons/day)]]*BM$1</f>
        <v>6.6303138720000011E-6</v>
      </c>
      <c r="BN180" s="37">
        <f>developmentdata2019[[#This Row],[Textiles (tons/day)]]*BN$1</f>
        <v>1.251427736832E-6</v>
      </c>
      <c r="BO180" s="37">
        <f>developmentdata2019[[#This Row],[Trash (CY/day)]]*201.974</f>
        <v>1674.6866085299998</v>
      </c>
      <c r="BP180" s="37">
        <f>developmentdata2019[[#This Row],[MGP (CY/day)]]*201.974</f>
        <v>272.38916913467995</v>
      </c>
      <c r="BQ180" s="37">
        <f>developmentdata2019[[#This Row],[Cardboard (CY/day)]]*201.974</f>
        <v>28.219941168564596</v>
      </c>
      <c r="BR180" s="37">
        <f>developmentdata2019[[#This Row],[Paper  (CY/day)]]*201.974</f>
        <v>0.45848145888035396</v>
      </c>
      <c r="BS180" s="37">
        <f>developmentdata2019[[#This Row],[Organics (CY/day)]]*201.974</f>
        <v>0.10239172354704383</v>
      </c>
      <c r="BT180" s="37">
        <f>developmentdata2019[[#This Row],[E-Waste (CY/day)]]*201.974</f>
        <v>1.3391510139833282E-3</v>
      </c>
      <c r="BU180" s="37">
        <f>developmentdata2019[[#This Row],[Textiles (CY/day)]]*201.974</f>
        <v>2.5275586571890635E-4</v>
      </c>
    </row>
    <row r="181" spans="1:73" x14ac:dyDescent="0.2">
      <c r="A181" s="37" t="s">
        <v>476</v>
      </c>
      <c r="B181" s="115">
        <v>43466</v>
      </c>
      <c r="C181" s="37" t="s">
        <v>1435</v>
      </c>
      <c r="D181">
        <v>83</v>
      </c>
      <c r="E181">
        <v>83</v>
      </c>
      <c r="F181">
        <v>426</v>
      </c>
      <c r="G181">
        <v>426</v>
      </c>
      <c r="H181" s="37" t="s">
        <v>1436</v>
      </c>
      <c r="I181" s="37" t="s">
        <v>683</v>
      </c>
      <c r="J181" s="37" t="s">
        <v>578</v>
      </c>
      <c r="K181" s="37" t="s">
        <v>579</v>
      </c>
      <c r="L181">
        <v>348</v>
      </c>
      <c r="M181">
        <v>1764</v>
      </c>
      <c r="N181">
        <v>1765</v>
      </c>
      <c r="O181">
        <v>8248</v>
      </c>
      <c r="P181">
        <v>4.68</v>
      </c>
      <c r="Q181">
        <v>861</v>
      </c>
      <c r="R181">
        <v>3251</v>
      </c>
      <c r="S181">
        <v>4112</v>
      </c>
      <c r="T181">
        <v>671</v>
      </c>
      <c r="U181">
        <v>0.38700000000000001</v>
      </c>
      <c r="V181">
        <v>28</v>
      </c>
      <c r="W181">
        <v>2</v>
      </c>
      <c r="X181">
        <v>30</v>
      </c>
      <c r="Y181">
        <v>43662</v>
      </c>
      <c r="Z181">
        <v>1518505</v>
      </c>
      <c r="AA181">
        <v>34.86</v>
      </c>
      <c r="AB181">
        <v>1471805</v>
      </c>
      <c r="AC181">
        <v>33.79</v>
      </c>
      <c r="AD181">
        <v>202426</v>
      </c>
      <c r="AE181">
        <v>15183887</v>
      </c>
      <c r="AF181">
        <v>0.1333</v>
      </c>
      <c r="AG181">
        <v>118</v>
      </c>
      <c r="AH181">
        <v>22429000</v>
      </c>
      <c r="AI181">
        <v>2783</v>
      </c>
      <c r="AJ181">
        <v>551</v>
      </c>
      <c r="AK181" s="37" t="s">
        <v>1437</v>
      </c>
      <c r="AL181" s="37" t="s">
        <v>1438</v>
      </c>
      <c r="AM181" s="37" t="s">
        <v>1439</v>
      </c>
      <c r="AN181" s="37" t="s">
        <v>1440</v>
      </c>
      <c r="AO181" s="37" t="s">
        <v>593</v>
      </c>
      <c r="AP181">
        <v>13</v>
      </c>
      <c r="AQ181">
        <v>11</v>
      </c>
      <c r="AR181">
        <v>23</v>
      </c>
      <c r="AS181" t="s">
        <v>1441</v>
      </c>
      <c r="AT181">
        <v>47</v>
      </c>
      <c r="AU181" s="115">
        <v>21243</v>
      </c>
      <c r="AV181" s="37"/>
      <c r="AW181" s="37"/>
      <c r="AX181" s="37"/>
      <c r="AY181" s="37"/>
      <c r="AZ181" s="37">
        <f>developmentdata2019[[#This Row],[NUMBER OF CURRENT APARTMENTS]]*5/2000</f>
        <v>4.41</v>
      </c>
      <c r="BA181" s="37">
        <f>developmentdata2019[[#This Row],[Total]]*BA$1</f>
        <v>1.1466000000000001</v>
      </c>
      <c r="BB181" s="37">
        <f>developmentdata2019[[#This Row],[Trash (tons/day)]]*BB$1</f>
        <v>0.21785400000000002</v>
      </c>
      <c r="BC181" s="37">
        <f>developmentdata2019[[#This Row],[MGP (tons/day)]]*BC$1</f>
        <v>1.5249780000000003E-2</v>
      </c>
      <c r="BD181" s="37">
        <f>developmentdata2019[[#This Row],[Cardboard (tons/day)]]*BD$1</f>
        <v>1.0674846000000003E-3</v>
      </c>
      <c r="BE181" s="37">
        <f>developmentdata2019[[#This Row],[Paper (tons/day)]]*BE$1</f>
        <v>3.4159507200000008E-4</v>
      </c>
      <c r="BF181" s="37">
        <f>developmentdata2019[[#This Row],[Organics (tons/day)]]*BF$1</f>
        <v>3.4159507200000008E-6</v>
      </c>
      <c r="BG181" s="37">
        <f>developmentdata2019[[#This Row],[E-Waste (tons/day)]]*BG$1</f>
        <v>2.7327605760000009E-7</v>
      </c>
      <c r="BH181" s="37">
        <f>developmentdata2019[[#This Row],[Trash (tons/day)]]*BH$1</f>
        <v>24.135930000000002</v>
      </c>
      <c r="BI181" s="37">
        <f>developmentdata2019[[#This Row],[MGP (tons/day)]]*BI$1</f>
        <v>3.9257290800000004</v>
      </c>
      <c r="BJ181" s="37">
        <f>developmentdata2019[[#This Row],[Cardboard (tons/day)]]*BJ$1</f>
        <v>0.40671163260000009</v>
      </c>
      <c r="BK181" s="37">
        <f>developmentdata2019[[#This Row],[Paper (tons/day)]]*BK$1</f>
        <v>6.6077296740000022E-3</v>
      </c>
      <c r="BL181" s="37">
        <f>developmentdata2019[[#This Row],[Organics (tons/day)]]*BL$1</f>
        <v>1.4756907110400005E-3</v>
      </c>
      <c r="BM181" s="37">
        <f>developmentdata2019[[#This Row],[E-Waste (tons/day)]]*BM$1</f>
        <v>1.9300121568000005E-5</v>
      </c>
      <c r="BN181" s="37">
        <f>developmentdata2019[[#This Row],[Textiles (tons/day)]]*BN$1</f>
        <v>3.6427698478080013E-6</v>
      </c>
      <c r="BO181" s="37">
        <f>developmentdata2019[[#This Row],[Trash (CY/day)]]*201.974</f>
        <v>4874.8303258200003</v>
      </c>
      <c r="BP181" s="37">
        <f>developmentdata2019[[#This Row],[MGP (CY/day)]]*201.974</f>
        <v>792.89520520392</v>
      </c>
      <c r="BQ181" s="37">
        <f>developmentdata2019[[#This Row],[Cardboard (CY/day)]]*201.974</f>
        <v>82.145175282752419</v>
      </c>
      <c r="BR181" s="37">
        <f>developmentdata2019[[#This Row],[Paper  (CY/day)]]*201.974</f>
        <v>1.3345895931764764</v>
      </c>
      <c r="BS181" s="37">
        <f>developmentdata2019[[#This Row],[Organics (CY/day)]]*201.974</f>
        <v>0.29805115567159307</v>
      </c>
      <c r="BT181" s="37">
        <f>developmentdata2019[[#This Row],[E-Waste (CY/day)]]*201.974</f>
        <v>3.898122753575233E-3</v>
      </c>
      <c r="BU181" s="37">
        <f>developmentdata2019[[#This Row],[Textiles (CY/day)]]*201.974</f>
        <v>7.3574479724117323E-4</v>
      </c>
    </row>
    <row r="182" spans="1:73" x14ac:dyDescent="0.2">
      <c r="A182" s="37" t="s">
        <v>1442</v>
      </c>
      <c r="B182" s="115">
        <v>43466</v>
      </c>
      <c r="C182" s="37" t="s">
        <v>711</v>
      </c>
      <c r="D182">
        <v>344</v>
      </c>
      <c r="E182">
        <v>3</v>
      </c>
      <c r="F182">
        <v>754</v>
      </c>
      <c r="G182">
        <v>754</v>
      </c>
      <c r="H182" s="37" t="s">
        <v>1443</v>
      </c>
      <c r="I182" s="37" t="s">
        <v>577</v>
      </c>
      <c r="J182" s="37" t="s">
        <v>588</v>
      </c>
      <c r="K182" s="37" t="s">
        <v>735</v>
      </c>
      <c r="M182">
        <v>180</v>
      </c>
      <c r="N182">
        <v>180</v>
      </c>
      <c r="O182">
        <v>630</v>
      </c>
      <c r="P182">
        <v>3.5</v>
      </c>
      <c r="R182">
        <v>207</v>
      </c>
      <c r="S182">
        <v>207</v>
      </c>
      <c r="T182">
        <v>154</v>
      </c>
      <c r="U182">
        <v>0.89</v>
      </c>
      <c r="V182">
        <v>1</v>
      </c>
      <c r="W182">
        <v>0</v>
      </c>
      <c r="X182">
        <v>1</v>
      </c>
      <c r="Y182">
        <v>13</v>
      </c>
      <c r="Z182">
        <v>20083</v>
      </c>
      <c r="AA182">
        <v>0.46</v>
      </c>
      <c r="AB182">
        <v>20083</v>
      </c>
      <c r="AC182">
        <v>0.46</v>
      </c>
      <c r="AD182">
        <v>10354</v>
      </c>
      <c r="AE182">
        <v>1181481</v>
      </c>
      <c r="AF182">
        <v>0.51559999999999995</v>
      </c>
      <c r="AG182">
        <v>450</v>
      </c>
      <c r="AH182">
        <v>12233985</v>
      </c>
      <c r="AI182">
        <v>19419</v>
      </c>
      <c r="AJ182">
        <v>307</v>
      </c>
      <c r="AK182" s="37" t="s">
        <v>1020</v>
      </c>
      <c r="AL182" s="37" t="s">
        <v>1444</v>
      </c>
      <c r="AM182" s="37" t="s">
        <v>618</v>
      </c>
      <c r="AN182" s="37" t="s">
        <v>1445</v>
      </c>
      <c r="AO182" s="37" t="s">
        <v>608</v>
      </c>
      <c r="AP182">
        <v>12</v>
      </c>
      <c r="AQ182">
        <v>13</v>
      </c>
      <c r="AR182">
        <v>31</v>
      </c>
      <c r="AS182">
        <v>71</v>
      </c>
      <c r="AT182">
        <v>7</v>
      </c>
      <c r="AU182" s="115">
        <v>31593</v>
      </c>
      <c r="AV182" s="37"/>
      <c r="AW182" s="37" t="s">
        <v>736</v>
      </c>
      <c r="AX182" s="37" t="s">
        <v>621</v>
      </c>
      <c r="AY182" s="37"/>
      <c r="AZ182" s="37">
        <f>developmentdata2019[[#This Row],[NUMBER OF CURRENT APARTMENTS]]*5/2000</f>
        <v>0.45</v>
      </c>
      <c r="BA182" s="37">
        <f>developmentdata2019[[#This Row],[Total]]*BA$1</f>
        <v>0.11700000000000001</v>
      </c>
      <c r="BB182" s="37">
        <f>developmentdata2019[[#This Row],[Trash (tons/day)]]*BB$1</f>
        <v>2.2230000000000003E-2</v>
      </c>
      <c r="BC182" s="37">
        <f>developmentdata2019[[#This Row],[MGP (tons/day)]]*BC$1</f>
        <v>1.5561000000000004E-3</v>
      </c>
      <c r="BD182" s="37">
        <f>developmentdata2019[[#This Row],[Cardboard (tons/day)]]*BD$1</f>
        <v>1.0892700000000004E-4</v>
      </c>
      <c r="BE182" s="37">
        <f>developmentdata2019[[#This Row],[Paper (tons/day)]]*BE$1</f>
        <v>3.4856640000000011E-5</v>
      </c>
      <c r="BF182" s="37">
        <f>developmentdata2019[[#This Row],[Organics (tons/day)]]*BF$1</f>
        <v>3.4856640000000013E-7</v>
      </c>
      <c r="BG182" s="37">
        <f>developmentdata2019[[#This Row],[E-Waste (tons/day)]]*BG$1</f>
        <v>2.7885312000000011E-8</v>
      </c>
      <c r="BH182" s="37">
        <f>developmentdata2019[[#This Row],[Trash (tons/day)]]*BH$1</f>
        <v>2.4628500000000004</v>
      </c>
      <c r="BI182" s="37">
        <f>developmentdata2019[[#This Row],[MGP (tons/day)]]*BI$1</f>
        <v>0.40058460000000007</v>
      </c>
      <c r="BJ182" s="37">
        <f>developmentdata2019[[#This Row],[Cardboard (tons/day)]]*BJ$1</f>
        <v>4.1501187000000016E-2</v>
      </c>
      <c r="BK182" s="37">
        <f>developmentdata2019[[#This Row],[Paper (tons/day)]]*BK$1</f>
        <v>6.742581300000003E-4</v>
      </c>
      <c r="BL182" s="37">
        <f>developmentdata2019[[#This Row],[Organics (tons/day)]]*BL$1</f>
        <v>1.5058068480000006E-4</v>
      </c>
      <c r="BM182" s="37">
        <f>developmentdata2019[[#This Row],[E-Waste (tons/day)]]*BM$1</f>
        <v>1.9694001600000007E-6</v>
      </c>
      <c r="BN182" s="37">
        <f>developmentdata2019[[#This Row],[Textiles (tons/day)]]*BN$1</f>
        <v>3.7171120896000017E-7</v>
      </c>
      <c r="BO182" s="37">
        <f>developmentdata2019[[#This Row],[Trash (CY/day)]]*201.974</f>
        <v>497.43166590000004</v>
      </c>
      <c r="BP182" s="37">
        <f>developmentdata2019[[#This Row],[MGP (CY/day)]]*201.974</f>
        <v>80.907674000400007</v>
      </c>
      <c r="BQ182" s="37">
        <f>developmentdata2019[[#This Row],[Cardboard (CY/day)]]*201.974</f>
        <v>8.3821607431380034</v>
      </c>
      <c r="BR182" s="37">
        <f>developmentdata2019[[#This Row],[Paper  (CY/day)]]*201.974</f>
        <v>0.13618261154862005</v>
      </c>
      <c r="BS182" s="37">
        <f>developmentdata2019[[#This Row],[Organics (CY/day)]]*201.974</f>
        <v>3.041338323179521E-2</v>
      </c>
      <c r="BT182" s="37">
        <f>developmentdata2019[[#This Row],[E-Waste (CY/day)]]*201.974</f>
        <v>3.9776762791584013E-4</v>
      </c>
      <c r="BU182" s="37">
        <f>developmentdata2019[[#This Row],[Textiles (CY/day)]]*201.974</f>
        <v>7.5075999718487066E-5</v>
      </c>
    </row>
    <row r="183" spans="1:73" x14ac:dyDescent="0.2">
      <c r="A183" s="37" t="s">
        <v>401</v>
      </c>
      <c r="B183" s="115">
        <v>43466</v>
      </c>
      <c r="C183" s="37" t="s">
        <v>1046</v>
      </c>
      <c r="D183">
        <v>103</v>
      </c>
      <c r="E183">
        <v>59</v>
      </c>
      <c r="F183">
        <v>236</v>
      </c>
      <c r="G183">
        <v>236</v>
      </c>
      <c r="H183" s="37" t="s">
        <v>1446</v>
      </c>
      <c r="I183" s="37" t="s">
        <v>577</v>
      </c>
      <c r="J183" s="37" t="s">
        <v>578</v>
      </c>
      <c r="K183" s="37" t="s">
        <v>579</v>
      </c>
      <c r="M183">
        <v>615</v>
      </c>
      <c r="N183">
        <v>619</v>
      </c>
      <c r="O183">
        <v>2928.5</v>
      </c>
      <c r="P183">
        <v>4.76</v>
      </c>
      <c r="R183">
        <v>1441</v>
      </c>
      <c r="S183">
        <v>1441</v>
      </c>
      <c r="T183">
        <v>220</v>
      </c>
      <c r="U183">
        <v>0.35799999999999998</v>
      </c>
      <c r="V183">
        <v>5</v>
      </c>
      <c r="W183">
        <v>1</v>
      </c>
      <c r="X183">
        <v>5</v>
      </c>
      <c r="Y183">
        <v>16</v>
      </c>
      <c r="Z183">
        <v>289985</v>
      </c>
      <c r="AA183">
        <v>6.66</v>
      </c>
      <c r="AB183">
        <v>233735</v>
      </c>
      <c r="AC183">
        <v>5.37</v>
      </c>
      <c r="AD183">
        <v>41286</v>
      </c>
      <c r="AE183">
        <v>5580675</v>
      </c>
      <c r="AF183">
        <v>0.1424</v>
      </c>
      <c r="AG183">
        <v>216</v>
      </c>
      <c r="AH183">
        <v>10418410</v>
      </c>
      <c r="AI183">
        <v>3535</v>
      </c>
      <c r="AJ183">
        <v>528</v>
      </c>
      <c r="AK183" s="37" t="s">
        <v>1050</v>
      </c>
      <c r="AL183" s="37" t="s">
        <v>1049</v>
      </c>
      <c r="AM183" s="37" t="s">
        <v>1153</v>
      </c>
      <c r="AN183" s="37" t="s">
        <v>1248</v>
      </c>
      <c r="AO183" s="37" t="s">
        <v>584</v>
      </c>
      <c r="AP183">
        <v>3</v>
      </c>
      <c r="AQ183">
        <v>15</v>
      </c>
      <c r="AR183">
        <v>32</v>
      </c>
      <c r="AS183">
        <v>79</v>
      </c>
      <c r="AT183">
        <v>16</v>
      </c>
      <c r="AU183" s="115">
        <v>22858</v>
      </c>
      <c r="AV183" s="37"/>
      <c r="AW183" s="37"/>
      <c r="AX183" s="37"/>
      <c r="AY183" s="37"/>
      <c r="AZ183" s="37">
        <f>developmentdata2019[[#This Row],[NUMBER OF CURRENT APARTMENTS]]*5/2000</f>
        <v>1.5375000000000001</v>
      </c>
      <c r="BA183" s="37">
        <f>developmentdata2019[[#This Row],[Total]]*BA$1</f>
        <v>0.39975000000000005</v>
      </c>
      <c r="BB183" s="37">
        <f>developmentdata2019[[#This Row],[Trash (tons/day)]]*BB$1</f>
        <v>7.5952500000000006E-2</v>
      </c>
      <c r="BC183" s="37">
        <f>developmentdata2019[[#This Row],[MGP (tons/day)]]*BC$1</f>
        <v>5.3166750000000007E-3</v>
      </c>
      <c r="BD183" s="37">
        <f>developmentdata2019[[#This Row],[Cardboard (tons/day)]]*BD$1</f>
        <v>3.721672500000001E-4</v>
      </c>
      <c r="BE183" s="37">
        <f>developmentdata2019[[#This Row],[Paper (tons/day)]]*BE$1</f>
        <v>1.1909352000000003E-4</v>
      </c>
      <c r="BF183" s="37">
        <f>developmentdata2019[[#This Row],[Organics (tons/day)]]*BF$1</f>
        <v>1.1909352000000003E-6</v>
      </c>
      <c r="BG183" s="37">
        <f>developmentdata2019[[#This Row],[E-Waste (tons/day)]]*BG$1</f>
        <v>9.5274816000000032E-8</v>
      </c>
      <c r="BH183" s="37">
        <f>developmentdata2019[[#This Row],[Trash (tons/day)]]*BH$1</f>
        <v>8.4147375000000011</v>
      </c>
      <c r="BI183" s="37">
        <f>developmentdata2019[[#This Row],[MGP (tons/day)]]*BI$1</f>
        <v>1.36866405</v>
      </c>
      <c r="BJ183" s="37">
        <f>developmentdata2019[[#This Row],[Cardboard (tons/day)]]*BJ$1</f>
        <v>0.14179572225000003</v>
      </c>
      <c r="BK183" s="37">
        <f>developmentdata2019[[#This Row],[Paper (tons/day)]]*BK$1</f>
        <v>2.3037152775000009E-3</v>
      </c>
      <c r="BL183" s="37">
        <f>developmentdata2019[[#This Row],[Organics (tons/day)]]*BL$1</f>
        <v>5.1448400640000016E-4</v>
      </c>
      <c r="BM183" s="37">
        <f>developmentdata2019[[#This Row],[E-Waste (tons/day)]]*BM$1</f>
        <v>6.7287838800000024E-6</v>
      </c>
      <c r="BN183" s="37">
        <f>developmentdata2019[[#This Row],[Textiles (tons/day)]]*BN$1</f>
        <v>1.2700132972800005E-6</v>
      </c>
      <c r="BO183" s="37">
        <f>developmentdata2019[[#This Row],[Trash (CY/day)]]*201.974</f>
        <v>1699.5581918250002</v>
      </c>
      <c r="BP183" s="37">
        <f>developmentdata2019[[#This Row],[MGP (CY/day)]]*201.974</f>
        <v>276.43455283470001</v>
      </c>
      <c r="BQ183" s="37">
        <f>developmentdata2019[[#This Row],[Cardboard (CY/day)]]*201.974</f>
        <v>28.639049205721506</v>
      </c>
      <c r="BR183" s="37">
        <f>developmentdata2019[[#This Row],[Paper  (CY/day)]]*201.974</f>
        <v>0.46529058945778518</v>
      </c>
      <c r="BS183" s="37">
        <f>developmentdata2019[[#This Row],[Organics (CY/day)]]*201.974</f>
        <v>0.10391239270863363</v>
      </c>
      <c r="BT183" s="37">
        <f>developmentdata2019[[#This Row],[E-Waste (CY/day)]]*201.974</f>
        <v>1.3590393953791203E-3</v>
      </c>
      <c r="BU183" s="37">
        <f>developmentdata2019[[#This Row],[Textiles (CY/day)]]*201.974</f>
        <v>2.5650966570483081E-4</v>
      </c>
    </row>
    <row r="184" spans="1:73" x14ac:dyDescent="0.2">
      <c r="A184" s="37" t="s">
        <v>394</v>
      </c>
      <c r="B184" s="115">
        <v>43466</v>
      </c>
      <c r="C184" s="37" t="s">
        <v>1051</v>
      </c>
      <c r="D184">
        <v>28</v>
      </c>
      <c r="E184">
        <v>28</v>
      </c>
      <c r="F184">
        <v>523</v>
      </c>
      <c r="G184">
        <v>523</v>
      </c>
      <c r="H184" s="37" t="s">
        <v>1447</v>
      </c>
      <c r="I184" s="37" t="s">
        <v>577</v>
      </c>
      <c r="J184" s="37" t="s">
        <v>578</v>
      </c>
      <c r="K184" s="37" t="s">
        <v>579</v>
      </c>
      <c r="M184">
        <v>1021</v>
      </c>
      <c r="N184">
        <v>1023</v>
      </c>
      <c r="O184">
        <v>4854.5</v>
      </c>
      <c r="P184">
        <v>4.75</v>
      </c>
      <c r="R184">
        <v>2418</v>
      </c>
      <c r="S184">
        <v>2418</v>
      </c>
      <c r="T184">
        <v>363</v>
      </c>
      <c r="U184">
        <v>0.35799999999999998</v>
      </c>
      <c r="V184">
        <v>8</v>
      </c>
      <c r="W184">
        <v>1</v>
      </c>
      <c r="X184">
        <v>9</v>
      </c>
      <c r="Y184">
        <v>14</v>
      </c>
      <c r="Z184">
        <v>541687</v>
      </c>
      <c r="AA184">
        <v>12.44</v>
      </c>
      <c r="AB184">
        <v>498060</v>
      </c>
      <c r="AC184">
        <v>11.43</v>
      </c>
      <c r="AD184">
        <v>68826</v>
      </c>
      <c r="AE184">
        <v>8736312</v>
      </c>
      <c r="AF184">
        <v>0.12709999999999999</v>
      </c>
      <c r="AG184">
        <v>194</v>
      </c>
      <c r="AH184">
        <v>12236000</v>
      </c>
      <c r="AI184">
        <v>2515</v>
      </c>
      <c r="AJ184">
        <v>486</v>
      </c>
      <c r="AK184" s="37" t="s">
        <v>1448</v>
      </c>
      <c r="AL184" s="37" t="s">
        <v>1054</v>
      </c>
      <c r="AM184" s="37" t="s">
        <v>1055</v>
      </c>
      <c r="AN184" s="37" t="s">
        <v>1308</v>
      </c>
      <c r="AO184" s="37" t="s">
        <v>584</v>
      </c>
      <c r="AP184">
        <v>1</v>
      </c>
      <c r="AQ184">
        <v>15</v>
      </c>
      <c r="AR184">
        <v>32</v>
      </c>
      <c r="AS184" t="s">
        <v>1449</v>
      </c>
      <c r="AT184">
        <v>17</v>
      </c>
      <c r="AU184" s="115">
        <v>19165</v>
      </c>
      <c r="AV184" s="37" t="s">
        <v>671</v>
      </c>
      <c r="AW184" s="37"/>
      <c r="AX184" s="37"/>
      <c r="AY184" s="37"/>
      <c r="AZ184" s="37">
        <f>developmentdata2019[[#This Row],[NUMBER OF CURRENT APARTMENTS]]*5/2000</f>
        <v>2.5525000000000002</v>
      </c>
      <c r="BA184" s="37">
        <f>developmentdata2019[[#This Row],[Total]]*BA$1</f>
        <v>0.66365000000000007</v>
      </c>
      <c r="BB184" s="37">
        <f>developmentdata2019[[#This Row],[Trash (tons/day)]]*BB$1</f>
        <v>0.12609350000000003</v>
      </c>
      <c r="BC184" s="37">
        <f>developmentdata2019[[#This Row],[MGP (tons/day)]]*BC$1</f>
        <v>8.8265450000000033E-3</v>
      </c>
      <c r="BD184" s="37">
        <f>developmentdata2019[[#This Row],[Cardboard (tons/day)]]*BD$1</f>
        <v>6.1785815000000026E-4</v>
      </c>
      <c r="BE184" s="37">
        <f>developmentdata2019[[#This Row],[Paper (tons/day)]]*BE$1</f>
        <v>1.9771460800000008E-4</v>
      </c>
      <c r="BF184" s="37">
        <f>developmentdata2019[[#This Row],[Organics (tons/day)]]*BF$1</f>
        <v>1.9771460800000008E-6</v>
      </c>
      <c r="BG184" s="37">
        <f>developmentdata2019[[#This Row],[E-Waste (tons/day)]]*BG$1</f>
        <v>1.5817168640000008E-7</v>
      </c>
      <c r="BH184" s="37">
        <f>developmentdata2019[[#This Row],[Trash (tons/day)]]*BH$1</f>
        <v>13.969832500000003</v>
      </c>
      <c r="BI184" s="37">
        <f>developmentdata2019[[#This Row],[MGP (tons/day)]]*BI$1</f>
        <v>2.2722048700000004</v>
      </c>
      <c r="BJ184" s="37">
        <f>developmentdata2019[[#This Row],[Cardboard (tons/day)]]*BJ$1</f>
        <v>0.23540395515000009</v>
      </c>
      <c r="BK184" s="37">
        <f>developmentdata2019[[#This Row],[Paper (tons/day)]]*BK$1</f>
        <v>3.8245419485000019E-3</v>
      </c>
      <c r="BL184" s="37">
        <f>developmentdata2019[[#This Row],[Organics (tons/day)]]*BL$1</f>
        <v>8.541271065600004E-4</v>
      </c>
      <c r="BM184" s="37">
        <f>developmentdata2019[[#This Row],[E-Waste (tons/day)]]*BM$1</f>
        <v>1.1170875352000005E-5</v>
      </c>
      <c r="BN184" s="37">
        <f>developmentdata2019[[#This Row],[Textiles (tons/day)]]*BN$1</f>
        <v>2.1084285797120011E-6</v>
      </c>
      <c r="BO184" s="37">
        <f>developmentdata2019[[#This Row],[Trash (CY/day)]]*201.974</f>
        <v>2821.5429493550005</v>
      </c>
      <c r="BP184" s="37">
        <f>developmentdata2019[[#This Row],[MGP (CY/day)]]*201.974</f>
        <v>458.92630641338008</v>
      </c>
      <c r="BQ184" s="37">
        <f>developmentdata2019[[#This Row],[Cardboard (CY/day)]]*201.974</f>
        <v>47.545478437466116</v>
      </c>
      <c r="BR184" s="37">
        <f>developmentdata2019[[#This Row],[Paper  (CY/day)]]*201.974</f>
        <v>0.7724580355063394</v>
      </c>
      <c r="BS184" s="37">
        <f>developmentdata2019[[#This Row],[Organics (CY/day)]]*201.974</f>
        <v>0.17251146822034952</v>
      </c>
      <c r="BT184" s="37">
        <f>developmentdata2019[[#This Row],[E-Waste (CY/day)]]*201.974</f>
        <v>2.256226378344849E-3</v>
      </c>
      <c r="BU184" s="37">
        <f>developmentdata2019[[#This Row],[Textiles (CY/day)]]*201.974</f>
        <v>4.2584775395875169E-4</v>
      </c>
    </row>
    <row r="185" spans="1:73" x14ac:dyDescent="0.2">
      <c r="A185" s="37" t="s">
        <v>1450</v>
      </c>
      <c r="B185" s="115">
        <v>43466</v>
      </c>
      <c r="C185" s="37" t="s">
        <v>642</v>
      </c>
      <c r="D185">
        <v>183</v>
      </c>
      <c r="E185">
        <v>100</v>
      </c>
      <c r="F185">
        <v>286</v>
      </c>
      <c r="G185">
        <v>237</v>
      </c>
      <c r="H185" s="37" t="s">
        <v>1253</v>
      </c>
      <c r="I185" s="37" t="s">
        <v>577</v>
      </c>
      <c r="J185" s="37" t="s">
        <v>578</v>
      </c>
      <c r="K185" s="37" t="s">
        <v>735</v>
      </c>
      <c r="M185">
        <v>229</v>
      </c>
      <c r="N185">
        <v>231</v>
      </c>
      <c r="O185">
        <v>686.5</v>
      </c>
      <c r="P185">
        <v>3</v>
      </c>
      <c r="R185">
        <v>247</v>
      </c>
      <c r="S185">
        <v>247</v>
      </c>
      <c r="T185">
        <v>199</v>
      </c>
      <c r="U185">
        <v>0.89600000000000002</v>
      </c>
      <c r="V185">
        <v>1</v>
      </c>
      <c r="W185">
        <v>0</v>
      </c>
      <c r="X185">
        <v>1</v>
      </c>
      <c r="Y185">
        <v>20</v>
      </c>
      <c r="Z185">
        <v>50180</v>
      </c>
      <c r="AA185">
        <v>1.1499999999999999</v>
      </c>
      <c r="AB185">
        <v>50180</v>
      </c>
      <c r="AC185">
        <v>1.1499999999999999</v>
      </c>
      <c r="AD185">
        <v>6910</v>
      </c>
      <c r="AE185">
        <v>1316253</v>
      </c>
      <c r="AF185">
        <v>0.13769999999999999</v>
      </c>
      <c r="AG185">
        <v>215</v>
      </c>
      <c r="AH185">
        <v>5622697</v>
      </c>
      <c r="AI185">
        <v>7487</v>
      </c>
      <c r="AJ185">
        <v>290</v>
      </c>
      <c r="AK185" s="37" t="s">
        <v>1451</v>
      </c>
      <c r="AL185" s="37" t="s">
        <v>633</v>
      </c>
      <c r="AM185" s="37" t="s">
        <v>1150</v>
      </c>
      <c r="AN185" s="37" t="s">
        <v>1151</v>
      </c>
      <c r="AO185" s="37" t="s">
        <v>608</v>
      </c>
      <c r="AP185">
        <v>3</v>
      </c>
      <c r="AQ185">
        <v>12</v>
      </c>
      <c r="AR185">
        <v>26</v>
      </c>
      <c r="AS185">
        <v>65</v>
      </c>
      <c r="AT185">
        <v>2</v>
      </c>
      <c r="AU185" s="115">
        <v>26176</v>
      </c>
      <c r="AV185" s="37"/>
      <c r="AW185" s="37" t="s">
        <v>736</v>
      </c>
      <c r="AX185" s="37"/>
      <c r="AY185" s="37"/>
      <c r="AZ185" s="37">
        <f>developmentdata2019[[#This Row],[NUMBER OF CURRENT APARTMENTS]]*5/2000</f>
        <v>0.57250000000000001</v>
      </c>
      <c r="BA185" s="37">
        <f>developmentdata2019[[#This Row],[Total]]*BA$1</f>
        <v>0.14885000000000001</v>
      </c>
      <c r="BB185" s="37">
        <f>developmentdata2019[[#This Row],[Trash (tons/day)]]*BB$1</f>
        <v>2.8281500000000001E-2</v>
      </c>
      <c r="BC185" s="37">
        <f>developmentdata2019[[#This Row],[MGP (tons/day)]]*BC$1</f>
        <v>1.9797050000000004E-3</v>
      </c>
      <c r="BD185" s="37">
        <f>developmentdata2019[[#This Row],[Cardboard (tons/day)]]*BD$1</f>
        <v>1.3857935000000004E-4</v>
      </c>
      <c r="BE185" s="37">
        <f>developmentdata2019[[#This Row],[Paper (tons/day)]]*BE$1</f>
        <v>4.4345392000000016E-5</v>
      </c>
      <c r="BF185" s="37">
        <f>developmentdata2019[[#This Row],[Organics (tons/day)]]*BF$1</f>
        <v>4.4345392000000015E-7</v>
      </c>
      <c r="BG185" s="37">
        <f>developmentdata2019[[#This Row],[E-Waste (tons/day)]]*BG$1</f>
        <v>3.5476313600000013E-8</v>
      </c>
      <c r="BH185" s="37">
        <f>developmentdata2019[[#This Row],[Trash (tons/day)]]*BH$1</f>
        <v>3.1332925000000005</v>
      </c>
      <c r="BI185" s="37">
        <f>developmentdata2019[[#This Row],[MGP (tons/day)]]*BI$1</f>
        <v>0.50963263000000003</v>
      </c>
      <c r="BJ185" s="37">
        <f>developmentdata2019[[#This Row],[Cardboard (tons/day)]]*BJ$1</f>
        <v>5.2798732350000016E-2</v>
      </c>
      <c r="BK185" s="37">
        <f>developmentdata2019[[#This Row],[Paper (tons/day)]]*BK$1</f>
        <v>8.5780617650000029E-4</v>
      </c>
      <c r="BL185" s="37">
        <f>developmentdata2019[[#This Row],[Organics (tons/day)]]*BL$1</f>
        <v>1.9157209344000008E-4</v>
      </c>
      <c r="BM185" s="37">
        <f>developmentdata2019[[#This Row],[E-Waste (tons/day)]]*BM$1</f>
        <v>2.505514648000001E-6</v>
      </c>
      <c r="BN185" s="37">
        <f>developmentdata2019[[#This Row],[Textiles (tons/day)]]*BN$1</f>
        <v>4.7289926028800017E-7</v>
      </c>
      <c r="BO185" s="37">
        <f>developmentdata2019[[#This Row],[Trash (CY/day)]]*201.974</f>
        <v>632.84361939500002</v>
      </c>
      <c r="BP185" s="37">
        <f>developmentdata2019[[#This Row],[MGP (CY/day)]]*201.974</f>
        <v>102.93254081162</v>
      </c>
      <c r="BQ185" s="37">
        <f>developmentdata2019[[#This Row],[Cardboard (CY/day)]]*201.974</f>
        <v>10.663971167658902</v>
      </c>
      <c r="BR185" s="37">
        <f>developmentdata2019[[#This Row],[Paper  (CY/day)]]*201.974</f>
        <v>0.17325454469241106</v>
      </c>
      <c r="BS185" s="37">
        <f>developmentdata2019[[#This Row],[Organics (CY/day)]]*201.974</f>
        <v>3.8692582000450573E-2</v>
      </c>
      <c r="BT185" s="37">
        <f>developmentdata2019[[#This Row],[E-Waste (CY/day)]]*201.974</f>
        <v>5.060488155151522E-4</v>
      </c>
      <c r="BU185" s="37">
        <f>developmentdata2019[[#This Row],[Textiles (CY/day)]]*201.974</f>
        <v>9.5513355197408546E-5</v>
      </c>
    </row>
    <row r="186" spans="1:73" x14ac:dyDescent="0.2">
      <c r="A186" s="37" t="s">
        <v>1452</v>
      </c>
      <c r="B186" s="115">
        <v>43466</v>
      </c>
      <c r="C186" s="37" t="s">
        <v>1076</v>
      </c>
      <c r="D186">
        <v>181</v>
      </c>
      <c r="E186">
        <v>112</v>
      </c>
      <c r="F186">
        <v>284</v>
      </c>
      <c r="G186">
        <v>284</v>
      </c>
      <c r="H186" s="37" t="s">
        <v>1453</v>
      </c>
      <c r="I186" s="37" t="s">
        <v>577</v>
      </c>
      <c r="J186" s="37" t="s">
        <v>578</v>
      </c>
      <c r="K186" s="37" t="s">
        <v>579</v>
      </c>
      <c r="M186">
        <v>271</v>
      </c>
      <c r="N186">
        <v>275</v>
      </c>
      <c r="O186">
        <v>1301.5</v>
      </c>
      <c r="P186">
        <v>4.8</v>
      </c>
      <c r="R186">
        <v>643</v>
      </c>
      <c r="S186">
        <v>643</v>
      </c>
      <c r="T186">
        <v>112</v>
      </c>
      <c r="U186">
        <v>0.41599999999999998</v>
      </c>
      <c r="V186">
        <v>3</v>
      </c>
      <c r="W186">
        <v>0</v>
      </c>
      <c r="X186">
        <v>3</v>
      </c>
      <c r="Y186">
        <v>40732</v>
      </c>
      <c r="Z186">
        <v>99827</v>
      </c>
      <c r="AA186">
        <v>2.29</v>
      </c>
      <c r="AB186">
        <v>99827</v>
      </c>
      <c r="AC186">
        <v>2.29</v>
      </c>
      <c r="AD186">
        <v>34752</v>
      </c>
      <c r="AE186">
        <v>2668090</v>
      </c>
      <c r="AF186">
        <v>0.34810000000000002</v>
      </c>
      <c r="AG186">
        <v>281</v>
      </c>
      <c r="AH186">
        <v>6733865</v>
      </c>
      <c r="AI186">
        <v>5105</v>
      </c>
      <c r="AJ186">
        <v>574</v>
      </c>
      <c r="AK186" s="37" t="s">
        <v>1454</v>
      </c>
      <c r="AL186" s="37" t="s">
        <v>633</v>
      </c>
      <c r="AM186" s="37" t="s">
        <v>740</v>
      </c>
      <c r="AN186" s="37" t="s">
        <v>631</v>
      </c>
      <c r="AO186" s="37" t="s">
        <v>608</v>
      </c>
      <c r="AP186">
        <v>11</v>
      </c>
      <c r="AQ186">
        <v>13</v>
      </c>
      <c r="AR186">
        <v>29</v>
      </c>
      <c r="AS186">
        <v>68</v>
      </c>
      <c r="AT186">
        <v>8</v>
      </c>
      <c r="AU186" s="115">
        <v>26176</v>
      </c>
      <c r="AV186" s="37"/>
      <c r="AW186" s="37"/>
      <c r="AX186" s="37"/>
      <c r="AY186" s="37"/>
      <c r="AZ186" s="37">
        <f>developmentdata2019[[#This Row],[NUMBER OF CURRENT APARTMENTS]]*5/2000</f>
        <v>0.67749999999999999</v>
      </c>
      <c r="BA186" s="37">
        <f>developmentdata2019[[#This Row],[Total]]*BA$1</f>
        <v>0.17615</v>
      </c>
      <c r="BB186" s="37">
        <f>developmentdata2019[[#This Row],[Trash (tons/day)]]*BB$1</f>
        <v>3.3468499999999998E-2</v>
      </c>
      <c r="BC186" s="37">
        <f>developmentdata2019[[#This Row],[MGP (tons/day)]]*BC$1</f>
        <v>2.3427949999999999E-3</v>
      </c>
      <c r="BD186" s="37">
        <f>developmentdata2019[[#This Row],[Cardboard (tons/day)]]*BD$1</f>
        <v>1.6399565000000001E-4</v>
      </c>
      <c r="BE186" s="37">
        <f>developmentdata2019[[#This Row],[Paper (tons/day)]]*BE$1</f>
        <v>5.2478608000000005E-5</v>
      </c>
      <c r="BF186" s="37">
        <f>developmentdata2019[[#This Row],[Organics (tons/day)]]*BF$1</f>
        <v>5.2478608000000005E-7</v>
      </c>
      <c r="BG186" s="37">
        <f>developmentdata2019[[#This Row],[E-Waste (tons/day)]]*BG$1</f>
        <v>4.1982886400000003E-8</v>
      </c>
      <c r="BH186" s="37">
        <f>developmentdata2019[[#This Row],[Trash (tons/day)]]*BH$1</f>
        <v>3.7079575</v>
      </c>
      <c r="BI186" s="37">
        <f>developmentdata2019[[#This Row],[MGP (tons/day)]]*BI$1</f>
        <v>0.60310237</v>
      </c>
      <c r="BJ186" s="37">
        <f>developmentdata2019[[#This Row],[Cardboard (tons/day)]]*BJ$1</f>
        <v>6.2482342650000001E-2</v>
      </c>
      <c r="BK186" s="37">
        <f>developmentdata2019[[#This Row],[Paper (tons/day)]]*BK$1</f>
        <v>1.0151330735E-3</v>
      </c>
      <c r="BL186" s="37">
        <f>developmentdata2019[[#This Row],[Organics (tons/day)]]*BL$1</f>
        <v>2.2670758656000004E-4</v>
      </c>
      <c r="BM186" s="37">
        <f>developmentdata2019[[#This Row],[E-Waste (tons/day)]]*BM$1</f>
        <v>2.9650413520000005E-6</v>
      </c>
      <c r="BN186" s="37">
        <f>developmentdata2019[[#This Row],[Textiles (tons/day)]]*BN$1</f>
        <v>5.5963187571200003E-7</v>
      </c>
      <c r="BO186" s="37">
        <f>developmentdata2019[[#This Row],[Trash (CY/day)]]*201.974</f>
        <v>748.91100810499995</v>
      </c>
      <c r="BP186" s="37">
        <f>developmentdata2019[[#This Row],[MGP (CY/day)]]*201.974</f>
        <v>121.81099807838</v>
      </c>
      <c r="BQ186" s="37">
        <f>developmentdata2019[[#This Row],[Cardboard (CY/day)]]*201.974</f>
        <v>12.6198086743911</v>
      </c>
      <c r="BR186" s="37">
        <f>developmentdata2019[[#This Row],[Paper  (CY/day)]]*201.974</f>
        <v>0.20503048738708898</v>
      </c>
      <c r="BS186" s="37">
        <f>developmentdata2019[[#This Row],[Organics (CY/day)]]*201.974</f>
        <v>4.5789038087869445E-2</v>
      </c>
      <c r="BT186" s="37">
        <f>developmentdata2019[[#This Row],[E-Waste (CY/day)]]*201.974</f>
        <v>5.9886126202884807E-4</v>
      </c>
      <c r="BU186" s="37">
        <f>developmentdata2019[[#This Row],[Textiles (CY/day)]]*201.974</f>
        <v>1.1303108846505549E-4</v>
      </c>
    </row>
    <row r="187" spans="1:73" x14ac:dyDescent="0.2">
      <c r="A187" s="37" t="s">
        <v>1455</v>
      </c>
      <c r="B187" s="115">
        <v>43466</v>
      </c>
      <c r="C187" s="37" t="s">
        <v>1079</v>
      </c>
      <c r="D187">
        <v>191</v>
      </c>
      <c r="E187">
        <v>34</v>
      </c>
      <c r="F187">
        <v>302</v>
      </c>
      <c r="G187">
        <v>313</v>
      </c>
      <c r="H187" s="37" t="s">
        <v>1456</v>
      </c>
      <c r="I187" s="37" t="s">
        <v>577</v>
      </c>
      <c r="J187" s="37" t="s">
        <v>578</v>
      </c>
      <c r="K187" s="37" t="s">
        <v>735</v>
      </c>
      <c r="M187">
        <v>177</v>
      </c>
      <c r="N187">
        <v>179</v>
      </c>
      <c r="O187">
        <v>602.5</v>
      </c>
      <c r="P187">
        <v>3.4</v>
      </c>
      <c r="R187">
        <v>192</v>
      </c>
      <c r="S187">
        <v>192</v>
      </c>
      <c r="T187">
        <v>160</v>
      </c>
      <c r="U187">
        <v>0.91400000000000003</v>
      </c>
      <c r="V187">
        <v>1</v>
      </c>
      <c r="W187">
        <v>0</v>
      </c>
      <c r="X187">
        <v>1</v>
      </c>
      <c r="Y187">
        <v>15</v>
      </c>
      <c r="Z187">
        <v>49309</v>
      </c>
      <c r="AA187">
        <v>1.1299999999999999</v>
      </c>
      <c r="AB187">
        <v>49309</v>
      </c>
      <c r="AC187">
        <v>1.1299999999999999</v>
      </c>
      <c r="AD187">
        <v>10076</v>
      </c>
      <c r="AE187">
        <v>1078917</v>
      </c>
      <c r="AF187">
        <v>0.20430000000000001</v>
      </c>
      <c r="AG187">
        <v>170</v>
      </c>
      <c r="AH187">
        <v>6090291</v>
      </c>
      <c r="AI187">
        <v>9776</v>
      </c>
      <c r="AJ187">
        <v>313</v>
      </c>
      <c r="AK187" s="37" t="s">
        <v>1457</v>
      </c>
      <c r="AL187" s="37" t="s">
        <v>1458</v>
      </c>
      <c r="AM187" s="37" t="s">
        <v>1459</v>
      </c>
      <c r="AN187" s="37" t="s">
        <v>1460</v>
      </c>
      <c r="AO187" s="37" t="s">
        <v>584</v>
      </c>
      <c r="AP187">
        <v>10</v>
      </c>
      <c r="AQ187">
        <v>14</v>
      </c>
      <c r="AR187">
        <v>34</v>
      </c>
      <c r="AS187">
        <v>82</v>
      </c>
      <c r="AT187">
        <v>13</v>
      </c>
      <c r="AU187" s="115">
        <v>26907</v>
      </c>
      <c r="AV187" s="37"/>
      <c r="AW187" s="37" t="s">
        <v>736</v>
      </c>
      <c r="AX187" s="37"/>
      <c r="AY187" s="37"/>
      <c r="AZ187" s="37">
        <f>developmentdata2019[[#This Row],[NUMBER OF CURRENT APARTMENTS]]*5/2000</f>
        <v>0.4425</v>
      </c>
      <c r="BA187" s="37">
        <f>developmentdata2019[[#This Row],[Total]]*BA$1</f>
        <v>0.11505</v>
      </c>
      <c r="BB187" s="37">
        <f>developmentdata2019[[#This Row],[Trash (tons/day)]]*BB$1</f>
        <v>2.18595E-2</v>
      </c>
      <c r="BC187" s="37">
        <f>developmentdata2019[[#This Row],[MGP (tons/day)]]*BC$1</f>
        <v>1.5301650000000002E-3</v>
      </c>
      <c r="BD187" s="37">
        <f>developmentdata2019[[#This Row],[Cardboard (tons/day)]]*BD$1</f>
        <v>1.0711155000000002E-4</v>
      </c>
      <c r="BE187" s="37">
        <f>developmentdata2019[[#This Row],[Paper (tons/day)]]*BE$1</f>
        <v>3.427569600000001E-5</v>
      </c>
      <c r="BF187" s="37">
        <f>developmentdata2019[[#This Row],[Organics (tons/day)]]*BF$1</f>
        <v>3.4275696000000012E-7</v>
      </c>
      <c r="BG187" s="37">
        <f>developmentdata2019[[#This Row],[E-Waste (tons/day)]]*BG$1</f>
        <v>2.7420556800000009E-8</v>
      </c>
      <c r="BH187" s="37">
        <f>developmentdata2019[[#This Row],[Trash (tons/day)]]*BH$1</f>
        <v>2.4218025000000001</v>
      </c>
      <c r="BI187" s="37">
        <f>developmentdata2019[[#This Row],[MGP (tons/day)]]*BI$1</f>
        <v>0.39390818999999999</v>
      </c>
      <c r="BJ187" s="37">
        <f>developmentdata2019[[#This Row],[Cardboard (tons/day)]]*BJ$1</f>
        <v>4.0809500550000009E-2</v>
      </c>
      <c r="BK187" s="37">
        <f>developmentdata2019[[#This Row],[Paper (tons/day)]]*BK$1</f>
        <v>6.6302049450000014E-4</v>
      </c>
      <c r="BL187" s="37">
        <f>developmentdata2019[[#This Row],[Organics (tons/day)]]*BL$1</f>
        <v>1.4807100672000004E-4</v>
      </c>
      <c r="BM187" s="37">
        <f>developmentdata2019[[#This Row],[E-Waste (tons/day)]]*BM$1</f>
        <v>1.9365768240000009E-6</v>
      </c>
      <c r="BN187" s="37">
        <f>developmentdata2019[[#This Row],[Textiles (tons/day)]]*BN$1</f>
        <v>3.6551602214400013E-7</v>
      </c>
      <c r="BO187" s="37">
        <f>developmentdata2019[[#This Row],[Trash (CY/day)]]*201.974</f>
        <v>489.14113813500001</v>
      </c>
      <c r="BP187" s="37">
        <f>developmentdata2019[[#This Row],[MGP (CY/day)]]*201.974</f>
        <v>79.559212767059989</v>
      </c>
      <c r="BQ187" s="37">
        <f>developmentdata2019[[#This Row],[Cardboard (CY/day)]]*201.974</f>
        <v>8.2424580640857013</v>
      </c>
      <c r="BR187" s="37">
        <f>developmentdata2019[[#This Row],[Paper  (CY/day)]]*201.974</f>
        <v>0.13391290135614303</v>
      </c>
      <c r="BS187" s="37">
        <f>developmentdata2019[[#This Row],[Organics (CY/day)]]*201.974</f>
        <v>2.9906493511265286E-2</v>
      </c>
      <c r="BT187" s="37">
        <f>developmentdata2019[[#This Row],[E-Waste (CY/day)]]*201.974</f>
        <v>3.9113816745057616E-4</v>
      </c>
      <c r="BU187" s="37">
        <f>developmentdata2019[[#This Row],[Textiles (CY/day)]]*201.974</f>
        <v>7.3824733056512278E-5</v>
      </c>
    </row>
    <row r="188" spans="1:73" x14ac:dyDescent="0.2">
      <c r="A188" s="37" t="s">
        <v>387</v>
      </c>
      <c r="B188" s="115">
        <v>43466</v>
      </c>
      <c r="C188" s="37" t="s">
        <v>1461</v>
      </c>
      <c r="D188">
        <v>84</v>
      </c>
      <c r="E188">
        <v>84</v>
      </c>
      <c r="F188">
        <v>570</v>
      </c>
      <c r="G188">
        <v>570</v>
      </c>
      <c r="H188" s="37" t="s">
        <v>1462</v>
      </c>
      <c r="I188" s="37" t="s">
        <v>577</v>
      </c>
      <c r="J188" s="37" t="s">
        <v>578</v>
      </c>
      <c r="K188" s="37" t="s">
        <v>579</v>
      </c>
      <c r="M188">
        <v>1251</v>
      </c>
      <c r="N188">
        <v>1255</v>
      </c>
      <c r="O188">
        <v>5799.5</v>
      </c>
      <c r="P188">
        <v>4.6399999999999997</v>
      </c>
      <c r="R188">
        <v>2814</v>
      </c>
      <c r="S188">
        <v>2814</v>
      </c>
      <c r="T188">
        <v>484</v>
      </c>
      <c r="U188">
        <v>0.39200000000000002</v>
      </c>
      <c r="V188">
        <v>9</v>
      </c>
      <c r="W188">
        <v>0</v>
      </c>
      <c r="X188">
        <v>9</v>
      </c>
      <c r="Y188">
        <v>16</v>
      </c>
      <c r="Z188">
        <v>507592</v>
      </c>
      <c r="AA188">
        <v>11.65</v>
      </c>
      <c r="AB188">
        <v>463332</v>
      </c>
      <c r="AC188">
        <v>10.64</v>
      </c>
      <c r="AD188">
        <v>76410</v>
      </c>
      <c r="AE188">
        <v>10446587</v>
      </c>
      <c r="AF188">
        <v>0.14169999999999999</v>
      </c>
      <c r="AG188">
        <v>242</v>
      </c>
      <c r="AH188">
        <v>22176000</v>
      </c>
      <c r="AI188">
        <v>3898</v>
      </c>
      <c r="AJ188">
        <v>479</v>
      </c>
      <c r="AK188" s="37" t="s">
        <v>1369</v>
      </c>
      <c r="AL188" s="37" t="s">
        <v>1463</v>
      </c>
      <c r="AM188" s="37" t="s">
        <v>1464</v>
      </c>
      <c r="AN188" s="37" t="s">
        <v>1465</v>
      </c>
      <c r="AO188" s="37" t="s">
        <v>584</v>
      </c>
      <c r="AP188">
        <v>1</v>
      </c>
      <c r="AQ188">
        <v>15</v>
      </c>
      <c r="AR188">
        <v>29</v>
      </c>
      <c r="AS188">
        <v>84</v>
      </c>
      <c r="AT188">
        <v>8</v>
      </c>
      <c r="AU188" s="115">
        <v>21696</v>
      </c>
      <c r="AV188" s="37" t="s">
        <v>1026</v>
      </c>
      <c r="AW188" s="37"/>
      <c r="AX188" s="37"/>
      <c r="AY188" s="37"/>
      <c r="AZ188" s="37">
        <f>developmentdata2019[[#This Row],[NUMBER OF CURRENT APARTMENTS]]*5/2000</f>
        <v>3.1274999999999999</v>
      </c>
      <c r="BA188" s="37">
        <f>developmentdata2019[[#This Row],[Total]]*BA$1</f>
        <v>0.81315000000000004</v>
      </c>
      <c r="BB188" s="37">
        <f>developmentdata2019[[#This Row],[Trash (tons/day)]]*BB$1</f>
        <v>0.15449850000000001</v>
      </c>
      <c r="BC188" s="37">
        <f>developmentdata2019[[#This Row],[MGP (tons/day)]]*BC$1</f>
        <v>1.0814895000000001E-2</v>
      </c>
      <c r="BD188" s="37">
        <f>developmentdata2019[[#This Row],[Cardboard (tons/day)]]*BD$1</f>
        <v>7.570426500000002E-4</v>
      </c>
      <c r="BE188" s="37">
        <f>developmentdata2019[[#This Row],[Paper (tons/day)]]*BE$1</f>
        <v>2.4225364800000007E-4</v>
      </c>
      <c r="BF188" s="37">
        <f>developmentdata2019[[#This Row],[Organics (tons/day)]]*BF$1</f>
        <v>2.4225364800000007E-6</v>
      </c>
      <c r="BG188" s="37">
        <f>developmentdata2019[[#This Row],[E-Waste (tons/day)]]*BG$1</f>
        <v>1.9380291840000006E-7</v>
      </c>
      <c r="BH188" s="37">
        <f>developmentdata2019[[#This Row],[Trash (tons/day)]]*BH$1</f>
        <v>17.1168075</v>
      </c>
      <c r="BI188" s="37">
        <f>developmentdata2019[[#This Row],[MGP (tons/day)]]*BI$1</f>
        <v>2.7840629699999999</v>
      </c>
      <c r="BJ188" s="37">
        <f>developmentdata2019[[#This Row],[Cardboard (tons/day)]]*BJ$1</f>
        <v>0.28843324965000006</v>
      </c>
      <c r="BK188" s="37">
        <f>developmentdata2019[[#This Row],[Paper (tons/day)]]*BK$1</f>
        <v>4.6860940035000015E-3</v>
      </c>
      <c r="BL188" s="37">
        <f>developmentdata2019[[#This Row],[Organics (tons/day)]]*BL$1</f>
        <v>1.0465357593600004E-3</v>
      </c>
      <c r="BM188" s="37">
        <f>developmentdata2019[[#This Row],[E-Waste (tons/day)]]*BM$1</f>
        <v>1.3687331112000006E-5</v>
      </c>
      <c r="BN188" s="37">
        <f>developmentdata2019[[#This Row],[Textiles (tons/day)]]*BN$1</f>
        <v>2.5833929022720009E-6</v>
      </c>
      <c r="BO188" s="37">
        <f>developmentdata2019[[#This Row],[Trash (CY/day)]]*201.974</f>
        <v>3457.1500780050001</v>
      </c>
      <c r="BP188" s="37">
        <f>developmentdata2019[[#This Row],[MGP (CY/day)]]*201.974</f>
        <v>562.30833430277994</v>
      </c>
      <c r="BQ188" s="37">
        <f>developmentdata2019[[#This Row],[Cardboard (CY/day)]]*201.974</f>
        <v>58.256017164809109</v>
      </c>
      <c r="BR188" s="37">
        <f>developmentdata2019[[#This Row],[Paper  (CY/day)]]*201.974</f>
        <v>0.94646915026290923</v>
      </c>
      <c r="BS188" s="37">
        <f>developmentdata2019[[#This Row],[Organics (CY/day)]]*201.974</f>
        <v>0.2113730134609767</v>
      </c>
      <c r="BT188" s="37">
        <f>developmentdata2019[[#This Row],[E-Waste (CY/day)]]*201.974</f>
        <v>2.7644850140150891E-3</v>
      </c>
      <c r="BU188" s="37">
        <f>developmentdata2019[[#This Row],[Textiles (CY/day)]]*201.974</f>
        <v>5.2177819804348513E-4</v>
      </c>
    </row>
    <row r="189" spans="1:73" x14ac:dyDescent="0.2">
      <c r="A189" s="37" t="s">
        <v>388</v>
      </c>
      <c r="B189" s="115">
        <v>43466</v>
      </c>
      <c r="C189" s="37" t="s">
        <v>1461</v>
      </c>
      <c r="D189">
        <v>132</v>
      </c>
      <c r="E189">
        <v>84</v>
      </c>
      <c r="F189">
        <v>570</v>
      </c>
      <c r="G189">
        <v>570</v>
      </c>
      <c r="H189" s="37" t="s">
        <v>1462</v>
      </c>
      <c r="I189" s="37" t="s">
        <v>577</v>
      </c>
      <c r="J189" s="37" t="s">
        <v>578</v>
      </c>
      <c r="K189" s="37" t="s">
        <v>579</v>
      </c>
      <c r="M189">
        <v>125</v>
      </c>
      <c r="N189">
        <v>125</v>
      </c>
      <c r="O189">
        <v>611.5</v>
      </c>
      <c r="P189">
        <v>4.8899999999999997</v>
      </c>
      <c r="R189">
        <v>297</v>
      </c>
      <c r="S189">
        <v>297</v>
      </c>
      <c r="T189">
        <v>54</v>
      </c>
      <c r="U189">
        <v>0.432</v>
      </c>
      <c r="V189">
        <v>1</v>
      </c>
      <c r="W189">
        <v>0</v>
      </c>
      <c r="X189">
        <v>1</v>
      </c>
      <c r="Y189">
        <v>16</v>
      </c>
      <c r="Z189">
        <v>22500</v>
      </c>
      <c r="AA189">
        <v>0.52</v>
      </c>
      <c r="AB189">
        <v>22500</v>
      </c>
      <c r="AC189">
        <v>0.52</v>
      </c>
      <c r="AD189">
        <v>8660</v>
      </c>
      <c r="AE189">
        <v>1130657</v>
      </c>
      <c r="AF189">
        <v>0.38490000000000002</v>
      </c>
      <c r="AG189">
        <v>571</v>
      </c>
      <c r="AH189">
        <v>1957000</v>
      </c>
      <c r="AI189">
        <v>3198</v>
      </c>
      <c r="AJ189">
        <v>462</v>
      </c>
      <c r="AK189" s="37" t="s">
        <v>1465</v>
      </c>
      <c r="AL189" s="37" t="s">
        <v>1369</v>
      </c>
      <c r="AM189" s="37" t="s">
        <v>1464</v>
      </c>
      <c r="AN189" s="37"/>
      <c r="AO189" s="37" t="s">
        <v>584</v>
      </c>
      <c r="AP189">
        <v>1</v>
      </c>
      <c r="AQ189">
        <v>15</v>
      </c>
      <c r="AR189">
        <v>29</v>
      </c>
      <c r="AS189">
        <v>84</v>
      </c>
      <c r="AT189">
        <v>8</v>
      </c>
      <c r="AU189" s="115">
        <v>22677</v>
      </c>
      <c r="AV189" s="37" t="s">
        <v>1026</v>
      </c>
      <c r="AW189" s="37"/>
      <c r="AX189" s="37"/>
      <c r="AY189" s="37"/>
      <c r="AZ189" s="37">
        <f>developmentdata2019[[#This Row],[NUMBER OF CURRENT APARTMENTS]]*5/2000</f>
        <v>0.3125</v>
      </c>
      <c r="BA189" s="37">
        <f>developmentdata2019[[#This Row],[Total]]*BA$1</f>
        <v>8.1250000000000003E-2</v>
      </c>
      <c r="BB189" s="37">
        <f>developmentdata2019[[#This Row],[Trash (tons/day)]]*BB$1</f>
        <v>1.5437500000000002E-2</v>
      </c>
      <c r="BC189" s="37">
        <f>developmentdata2019[[#This Row],[MGP (tons/day)]]*BC$1</f>
        <v>1.0806250000000002E-3</v>
      </c>
      <c r="BD189" s="37">
        <f>developmentdata2019[[#This Row],[Cardboard (tons/day)]]*BD$1</f>
        <v>7.5643750000000019E-5</v>
      </c>
      <c r="BE189" s="37">
        <f>developmentdata2019[[#This Row],[Paper (tons/day)]]*BE$1</f>
        <v>2.4206000000000005E-5</v>
      </c>
      <c r="BF189" s="37">
        <f>developmentdata2019[[#This Row],[Organics (tons/day)]]*BF$1</f>
        <v>2.4206000000000004E-7</v>
      </c>
      <c r="BG189" s="37">
        <f>developmentdata2019[[#This Row],[E-Waste (tons/day)]]*BG$1</f>
        <v>1.9364800000000004E-8</v>
      </c>
      <c r="BH189" s="37">
        <f>developmentdata2019[[#This Row],[Trash (tons/day)]]*BH$1</f>
        <v>1.7103125000000001</v>
      </c>
      <c r="BI189" s="37">
        <f>developmentdata2019[[#This Row],[MGP (tons/day)]]*BI$1</f>
        <v>0.27818375000000001</v>
      </c>
      <c r="BJ189" s="37">
        <f>developmentdata2019[[#This Row],[Cardboard (tons/day)]]*BJ$1</f>
        <v>2.8820268750000006E-2</v>
      </c>
      <c r="BK189" s="37">
        <f>developmentdata2019[[#This Row],[Paper (tons/day)]]*BK$1</f>
        <v>4.6823481250000016E-4</v>
      </c>
      <c r="BL189" s="37">
        <f>developmentdata2019[[#This Row],[Organics (tons/day)]]*BL$1</f>
        <v>1.0456992000000003E-4</v>
      </c>
      <c r="BM189" s="37">
        <f>developmentdata2019[[#This Row],[E-Waste (tons/day)]]*BM$1</f>
        <v>1.3676390000000003E-6</v>
      </c>
      <c r="BN189" s="37">
        <f>developmentdata2019[[#This Row],[Textiles (tons/day)]]*BN$1</f>
        <v>2.5813278400000004E-7</v>
      </c>
      <c r="BO189" s="37">
        <f>developmentdata2019[[#This Row],[Trash (CY/day)]]*201.974</f>
        <v>345.43865687499999</v>
      </c>
      <c r="BP189" s="37">
        <f>developmentdata2019[[#This Row],[MGP (CY/day)]]*201.974</f>
        <v>56.185884722499999</v>
      </c>
      <c r="BQ189" s="37">
        <f>developmentdata2019[[#This Row],[Cardboard (CY/day)]]*201.974</f>
        <v>5.8209449605125005</v>
      </c>
      <c r="BR189" s="37">
        <f>developmentdata2019[[#This Row],[Paper  (CY/day)]]*201.974</f>
        <v>9.4571258019875024E-2</v>
      </c>
      <c r="BS189" s="37">
        <f>developmentdata2019[[#This Row],[Organics (CY/day)]]*201.974</f>
        <v>2.1120405022080006E-2</v>
      </c>
      <c r="BT189" s="37">
        <f>developmentdata2019[[#This Row],[E-Waste (CY/day)]]*201.974</f>
        <v>2.7622751938600007E-4</v>
      </c>
      <c r="BU189" s="37">
        <f>developmentdata2019[[#This Row],[Textiles (CY/day)]]*201.974</f>
        <v>5.2136110915616003E-5</v>
      </c>
    </row>
    <row r="190" spans="1:73" x14ac:dyDescent="0.2">
      <c r="A190" s="37" t="s">
        <v>389</v>
      </c>
      <c r="B190" s="115">
        <v>43466</v>
      </c>
      <c r="C190" s="37" t="s">
        <v>1466</v>
      </c>
      <c r="D190">
        <v>145</v>
      </c>
      <c r="E190">
        <v>145</v>
      </c>
      <c r="F190">
        <v>249</v>
      </c>
      <c r="G190">
        <v>249</v>
      </c>
      <c r="H190" s="37" t="s">
        <v>1467</v>
      </c>
      <c r="I190" s="37" t="s">
        <v>577</v>
      </c>
      <c r="J190" s="37" t="s">
        <v>578</v>
      </c>
      <c r="K190" s="37" t="s">
        <v>579</v>
      </c>
      <c r="M190">
        <v>1732</v>
      </c>
      <c r="N190">
        <v>1732</v>
      </c>
      <c r="O190">
        <v>7554</v>
      </c>
      <c r="P190">
        <v>4.3600000000000003</v>
      </c>
      <c r="R190">
        <v>4010</v>
      </c>
      <c r="S190">
        <v>4010</v>
      </c>
      <c r="T190">
        <v>666</v>
      </c>
      <c r="U190">
        <v>0.39100000000000001</v>
      </c>
      <c r="V190">
        <v>10</v>
      </c>
      <c r="W190">
        <v>1</v>
      </c>
      <c r="X190">
        <v>12</v>
      </c>
      <c r="Y190" t="s">
        <v>1468</v>
      </c>
      <c r="Z190">
        <v>699494</v>
      </c>
      <c r="AA190">
        <v>16.059999999999999</v>
      </c>
      <c r="AB190">
        <v>653938</v>
      </c>
      <c r="AC190">
        <v>15.01</v>
      </c>
      <c r="AD190">
        <v>97114</v>
      </c>
      <c r="AE190">
        <v>14044919</v>
      </c>
      <c r="AF190">
        <v>0.13880000000000001</v>
      </c>
      <c r="AG190">
        <v>250</v>
      </c>
      <c r="AH190">
        <v>33012851</v>
      </c>
      <c r="AI190">
        <v>4350</v>
      </c>
      <c r="AJ190">
        <v>534</v>
      </c>
      <c r="AK190" s="37" t="s">
        <v>1469</v>
      </c>
      <c r="AL190" s="37" t="s">
        <v>1470</v>
      </c>
      <c r="AM190" s="37" t="s">
        <v>1471</v>
      </c>
      <c r="AN190" s="37" t="s">
        <v>1369</v>
      </c>
      <c r="AO190" s="37" t="s">
        <v>584</v>
      </c>
      <c r="AP190">
        <v>1</v>
      </c>
      <c r="AQ190">
        <v>15</v>
      </c>
      <c r="AR190">
        <v>29</v>
      </c>
      <c r="AS190">
        <v>84</v>
      </c>
      <c r="AT190">
        <v>8</v>
      </c>
      <c r="AU190" s="115">
        <v>24166</v>
      </c>
      <c r="AV190" s="37"/>
      <c r="AW190" s="37" t="s">
        <v>693</v>
      </c>
      <c r="AX190" s="37"/>
      <c r="AY190" s="37"/>
      <c r="AZ190" s="37">
        <f>developmentdata2019[[#This Row],[NUMBER OF CURRENT APARTMENTS]]*5/2000</f>
        <v>4.33</v>
      </c>
      <c r="BA190" s="37">
        <f>developmentdata2019[[#This Row],[Total]]*BA$1</f>
        <v>1.1258000000000001</v>
      </c>
      <c r="BB190" s="37">
        <f>developmentdata2019[[#This Row],[Trash (tons/day)]]*BB$1</f>
        <v>0.21390200000000004</v>
      </c>
      <c r="BC190" s="37">
        <f>developmentdata2019[[#This Row],[MGP (tons/day)]]*BC$1</f>
        <v>1.4973140000000005E-2</v>
      </c>
      <c r="BD190" s="37">
        <f>developmentdata2019[[#This Row],[Cardboard (tons/day)]]*BD$1</f>
        <v>1.0481198000000004E-3</v>
      </c>
      <c r="BE190" s="37">
        <f>developmentdata2019[[#This Row],[Paper (tons/day)]]*BE$1</f>
        <v>3.3539833600000011E-4</v>
      </c>
      <c r="BF190" s="37">
        <f>developmentdata2019[[#This Row],[Organics (tons/day)]]*BF$1</f>
        <v>3.353983360000001E-6</v>
      </c>
      <c r="BG190" s="37">
        <f>developmentdata2019[[#This Row],[E-Waste (tons/day)]]*BG$1</f>
        <v>2.6831866880000011E-7</v>
      </c>
      <c r="BH190" s="37">
        <f>developmentdata2019[[#This Row],[Trash (tons/day)]]*BH$1</f>
        <v>23.698090000000004</v>
      </c>
      <c r="BI190" s="37">
        <f>developmentdata2019[[#This Row],[MGP (tons/day)]]*BI$1</f>
        <v>3.8545140400000006</v>
      </c>
      <c r="BJ190" s="37">
        <f>developmentdata2019[[#This Row],[Cardboard (tons/day)]]*BJ$1</f>
        <v>0.39933364380000014</v>
      </c>
      <c r="BK190" s="37">
        <f>developmentdata2019[[#This Row],[Paper (tons/day)]]*BK$1</f>
        <v>6.4878615620000031E-3</v>
      </c>
      <c r="BL190" s="37">
        <f>developmentdata2019[[#This Row],[Organics (tons/day)]]*BL$1</f>
        <v>1.4489208115200005E-3</v>
      </c>
      <c r="BM190" s="37">
        <f>developmentdata2019[[#This Row],[E-Waste (tons/day)]]*BM$1</f>
        <v>1.8950005984000008E-5</v>
      </c>
      <c r="BN190" s="37">
        <f>developmentdata2019[[#This Row],[Textiles (tons/day)]]*BN$1</f>
        <v>3.5766878551040018E-6</v>
      </c>
      <c r="BO190" s="37">
        <f>developmentdata2019[[#This Row],[Trash (CY/day)]]*201.974</f>
        <v>4786.3980296600002</v>
      </c>
      <c r="BP190" s="37">
        <f>developmentdata2019[[#This Row],[MGP (CY/day)]]*201.974</f>
        <v>778.51161871496004</v>
      </c>
      <c r="BQ190" s="37">
        <f>developmentdata2019[[#This Row],[Cardboard (CY/day)]]*201.974</f>
        <v>80.65501337286122</v>
      </c>
      <c r="BR190" s="37">
        <f>developmentdata2019[[#This Row],[Paper  (CY/day)]]*201.974</f>
        <v>1.3103793511233885</v>
      </c>
      <c r="BS190" s="37">
        <f>developmentdata2019[[#This Row],[Organics (CY/day)]]*201.974</f>
        <v>0.29264433198594059</v>
      </c>
      <c r="BT190" s="37">
        <f>developmentdata2019[[#This Row],[E-Waste (CY/day)]]*201.974</f>
        <v>3.8274085086124174E-3</v>
      </c>
      <c r="BU190" s="37">
        <f>developmentdata2019[[#This Row],[Textiles (CY/day)]]*201.974</f>
        <v>7.223979528467756E-4</v>
      </c>
    </row>
    <row r="191" spans="1:73" x14ac:dyDescent="0.2">
      <c r="A191" s="37" t="s">
        <v>422</v>
      </c>
      <c r="B191" s="115">
        <v>43466</v>
      </c>
      <c r="C191" s="37" t="s">
        <v>1472</v>
      </c>
      <c r="D191">
        <v>88</v>
      </c>
      <c r="E191">
        <v>88</v>
      </c>
      <c r="F191">
        <v>234</v>
      </c>
      <c r="G191">
        <v>234</v>
      </c>
      <c r="H191" s="37" t="s">
        <v>1473</v>
      </c>
      <c r="I191" s="37" t="s">
        <v>577</v>
      </c>
      <c r="J191" s="37" t="s">
        <v>578</v>
      </c>
      <c r="K191" s="37" t="s">
        <v>579</v>
      </c>
      <c r="M191">
        <v>1100</v>
      </c>
      <c r="N191">
        <v>1102</v>
      </c>
      <c r="O191">
        <v>5299</v>
      </c>
      <c r="P191">
        <v>4.82</v>
      </c>
      <c r="R191">
        <v>2691</v>
      </c>
      <c r="S191">
        <v>2691</v>
      </c>
      <c r="T191">
        <v>403</v>
      </c>
      <c r="U191">
        <v>0.36899999999999999</v>
      </c>
      <c r="V191">
        <v>12</v>
      </c>
      <c r="W191">
        <v>1</v>
      </c>
      <c r="X191">
        <v>20</v>
      </c>
      <c r="Y191">
        <v>42230</v>
      </c>
      <c r="Z191">
        <v>805341</v>
      </c>
      <c r="AA191">
        <v>18.489999999999998</v>
      </c>
      <c r="AB191">
        <v>805341</v>
      </c>
      <c r="AC191">
        <v>18.489999999999998</v>
      </c>
      <c r="AD191">
        <v>118402</v>
      </c>
      <c r="AE191">
        <v>10177348</v>
      </c>
      <c r="AF191">
        <v>0.14699999999999999</v>
      </c>
      <c r="AG191">
        <v>146</v>
      </c>
      <c r="AH191">
        <v>16449659</v>
      </c>
      <c r="AI191">
        <v>3100</v>
      </c>
      <c r="AJ191">
        <v>526</v>
      </c>
      <c r="AK191" s="37" t="s">
        <v>1474</v>
      </c>
      <c r="AL191" s="37" t="s">
        <v>950</v>
      </c>
      <c r="AM191" s="37" t="s">
        <v>1475</v>
      </c>
      <c r="AN191" s="37" t="s">
        <v>911</v>
      </c>
      <c r="AO191" s="37" t="s">
        <v>584</v>
      </c>
      <c r="AP191">
        <v>9</v>
      </c>
      <c r="AQ191">
        <v>15</v>
      </c>
      <c r="AR191">
        <v>32</v>
      </c>
      <c r="AS191">
        <v>85</v>
      </c>
      <c r="AT191">
        <v>18</v>
      </c>
      <c r="AU191" s="115">
        <v>22587</v>
      </c>
      <c r="AV191" s="37"/>
      <c r="AW191" s="37"/>
      <c r="AX191" s="37"/>
      <c r="AY191" s="37"/>
      <c r="AZ191" s="37">
        <f>developmentdata2019[[#This Row],[NUMBER OF CURRENT APARTMENTS]]*5/2000</f>
        <v>2.75</v>
      </c>
      <c r="BA191" s="37">
        <f>developmentdata2019[[#This Row],[Total]]*BA$1</f>
        <v>0.71500000000000008</v>
      </c>
      <c r="BB191" s="37">
        <f>developmentdata2019[[#This Row],[Trash (tons/day)]]*BB$1</f>
        <v>0.13585000000000003</v>
      </c>
      <c r="BC191" s="37">
        <f>developmentdata2019[[#This Row],[MGP (tons/day)]]*BC$1</f>
        <v>9.5095000000000023E-3</v>
      </c>
      <c r="BD191" s="37">
        <f>developmentdata2019[[#This Row],[Cardboard (tons/day)]]*BD$1</f>
        <v>6.6566500000000018E-4</v>
      </c>
      <c r="BE191" s="37">
        <f>developmentdata2019[[#This Row],[Paper (tons/day)]]*BE$1</f>
        <v>2.1301280000000006E-4</v>
      </c>
      <c r="BF191" s="37">
        <f>developmentdata2019[[#This Row],[Organics (tons/day)]]*BF$1</f>
        <v>2.1301280000000005E-6</v>
      </c>
      <c r="BG191" s="37">
        <f>developmentdata2019[[#This Row],[E-Waste (tons/day)]]*BG$1</f>
        <v>1.7041024000000005E-7</v>
      </c>
      <c r="BH191" s="37">
        <f>developmentdata2019[[#This Row],[Trash (tons/day)]]*BH$1</f>
        <v>15.050750000000003</v>
      </c>
      <c r="BI191" s="37">
        <f>developmentdata2019[[#This Row],[MGP (tons/day)]]*BI$1</f>
        <v>2.4480170000000006</v>
      </c>
      <c r="BJ191" s="37">
        <f>developmentdata2019[[#This Row],[Cardboard (tons/day)]]*BJ$1</f>
        <v>0.25361836500000007</v>
      </c>
      <c r="BK191" s="37">
        <f>developmentdata2019[[#This Row],[Paper (tons/day)]]*BK$1</f>
        <v>4.1204663500000018E-3</v>
      </c>
      <c r="BL191" s="37">
        <f>developmentdata2019[[#This Row],[Organics (tons/day)]]*BL$1</f>
        <v>9.2021529600000028E-4</v>
      </c>
      <c r="BM191" s="37">
        <f>developmentdata2019[[#This Row],[E-Waste (tons/day)]]*BM$1</f>
        <v>1.2035223200000004E-5</v>
      </c>
      <c r="BN191" s="37">
        <f>developmentdata2019[[#This Row],[Textiles (tons/day)]]*BN$1</f>
        <v>2.2715684992000007E-6</v>
      </c>
      <c r="BO191" s="37">
        <f>developmentdata2019[[#This Row],[Trash (CY/day)]]*201.974</f>
        <v>3039.8601805000003</v>
      </c>
      <c r="BP191" s="37">
        <f>developmentdata2019[[#This Row],[MGP (CY/day)]]*201.974</f>
        <v>494.43578555800008</v>
      </c>
      <c r="BQ191" s="37">
        <f>developmentdata2019[[#This Row],[Cardboard (CY/day)]]*201.974</f>
        <v>51.224315652510008</v>
      </c>
      <c r="BR191" s="37">
        <f>developmentdata2019[[#This Row],[Paper  (CY/day)]]*201.974</f>
        <v>0.83222707057490031</v>
      </c>
      <c r="BS191" s="37">
        <f>developmentdata2019[[#This Row],[Organics (CY/day)]]*201.974</f>
        <v>0.18585956419430405</v>
      </c>
      <c r="BT191" s="37">
        <f>developmentdata2019[[#This Row],[E-Waste (CY/day)]]*201.974</f>
        <v>2.4308021705968007E-3</v>
      </c>
      <c r="BU191" s="37">
        <f>developmentdata2019[[#This Row],[Textiles (CY/day)]]*201.974</f>
        <v>4.587977760574209E-4</v>
      </c>
    </row>
    <row r="192" spans="1:73" x14ac:dyDescent="0.2">
      <c r="A192" s="37" t="s">
        <v>390</v>
      </c>
      <c r="B192" s="115">
        <v>43466</v>
      </c>
      <c r="C192" s="37" t="s">
        <v>1476</v>
      </c>
      <c r="D192">
        <v>129</v>
      </c>
      <c r="E192">
        <v>93</v>
      </c>
      <c r="F192">
        <v>251</v>
      </c>
      <c r="G192">
        <v>251</v>
      </c>
      <c r="H192" s="37" t="s">
        <v>1477</v>
      </c>
      <c r="I192" s="37" t="s">
        <v>577</v>
      </c>
      <c r="J192" s="37" t="s">
        <v>578</v>
      </c>
      <c r="K192" s="37" t="s">
        <v>579</v>
      </c>
      <c r="M192">
        <v>463</v>
      </c>
      <c r="N192">
        <v>463</v>
      </c>
      <c r="O192">
        <v>2165.5</v>
      </c>
      <c r="P192">
        <v>4.68</v>
      </c>
      <c r="R192">
        <v>1133</v>
      </c>
      <c r="S192">
        <v>1133</v>
      </c>
      <c r="T192">
        <v>157</v>
      </c>
      <c r="U192">
        <v>0.34300000000000003</v>
      </c>
      <c r="V192">
        <v>2</v>
      </c>
      <c r="W192">
        <v>0</v>
      </c>
      <c r="X192">
        <v>4</v>
      </c>
      <c r="Y192">
        <v>20</v>
      </c>
      <c r="Z192">
        <v>117000</v>
      </c>
      <c r="AA192">
        <v>2.69</v>
      </c>
      <c r="AB192">
        <v>117000</v>
      </c>
      <c r="AC192">
        <v>2.69</v>
      </c>
      <c r="AD192">
        <v>21826</v>
      </c>
      <c r="AE192">
        <v>4029275</v>
      </c>
      <c r="AF192">
        <v>0.1865</v>
      </c>
      <c r="AG192">
        <v>421</v>
      </c>
      <c r="AH192">
        <v>7256661</v>
      </c>
      <c r="AI192">
        <v>3350</v>
      </c>
      <c r="AJ192">
        <v>520</v>
      </c>
      <c r="AK192" s="37" t="s">
        <v>1478</v>
      </c>
      <c r="AL192" s="37" t="s">
        <v>1479</v>
      </c>
      <c r="AM192" s="37" t="s">
        <v>1480</v>
      </c>
      <c r="AN192" s="37" t="s">
        <v>1154</v>
      </c>
      <c r="AO192" s="37" t="s">
        <v>584</v>
      </c>
      <c r="AP192">
        <v>1</v>
      </c>
      <c r="AQ192">
        <v>15</v>
      </c>
      <c r="AR192">
        <v>29</v>
      </c>
      <c r="AS192">
        <v>84</v>
      </c>
      <c r="AT192">
        <v>8</v>
      </c>
      <c r="AU192" s="115">
        <v>23467</v>
      </c>
      <c r="AV192" s="37"/>
      <c r="AW192" s="37"/>
      <c r="AX192" s="37"/>
      <c r="AY192" s="37"/>
      <c r="AZ192" s="37">
        <f>developmentdata2019[[#This Row],[NUMBER OF CURRENT APARTMENTS]]*5/2000</f>
        <v>1.1575</v>
      </c>
      <c r="BA192" s="37">
        <f>developmentdata2019[[#This Row],[Total]]*BA$1</f>
        <v>0.30095</v>
      </c>
      <c r="BB192" s="37">
        <f>developmentdata2019[[#This Row],[Trash (tons/day)]]*BB$1</f>
        <v>5.7180500000000002E-2</v>
      </c>
      <c r="BC192" s="37">
        <f>developmentdata2019[[#This Row],[MGP (tons/day)]]*BC$1</f>
        <v>4.0026350000000009E-3</v>
      </c>
      <c r="BD192" s="37">
        <f>developmentdata2019[[#This Row],[Cardboard (tons/day)]]*BD$1</f>
        <v>2.801844500000001E-4</v>
      </c>
      <c r="BE192" s="37">
        <f>developmentdata2019[[#This Row],[Paper (tons/day)]]*BE$1</f>
        <v>8.9659024000000029E-5</v>
      </c>
      <c r="BF192" s="37">
        <f>developmentdata2019[[#This Row],[Organics (tons/day)]]*BF$1</f>
        <v>8.965902400000003E-7</v>
      </c>
      <c r="BG192" s="37">
        <f>developmentdata2019[[#This Row],[E-Waste (tons/day)]]*BG$1</f>
        <v>7.1727219200000021E-8</v>
      </c>
      <c r="BH192" s="37">
        <f>developmentdata2019[[#This Row],[Trash (tons/day)]]*BH$1</f>
        <v>6.3349975000000001</v>
      </c>
      <c r="BI192" s="37">
        <f>developmentdata2019[[#This Row],[MGP (tons/day)]]*BI$1</f>
        <v>1.03039261</v>
      </c>
      <c r="BJ192" s="37">
        <f>developmentdata2019[[#This Row],[Cardboard (tons/day)]]*BJ$1</f>
        <v>0.10675027545000003</v>
      </c>
      <c r="BK192" s="37">
        <f>developmentdata2019[[#This Row],[Paper (tons/day)]]*BK$1</f>
        <v>1.7343417455000006E-3</v>
      </c>
      <c r="BL192" s="37">
        <f>developmentdata2019[[#This Row],[Organics (tons/day)]]*BL$1</f>
        <v>3.8732698368000015E-4</v>
      </c>
      <c r="BM192" s="37">
        <f>developmentdata2019[[#This Row],[E-Waste (tons/day)]]*BM$1</f>
        <v>5.0657348560000024E-6</v>
      </c>
      <c r="BN192" s="37">
        <f>developmentdata2019[[#This Row],[Textiles (tons/day)]]*BN$1</f>
        <v>9.5612383193600019E-7</v>
      </c>
      <c r="BO192" s="37">
        <f>developmentdata2019[[#This Row],[Trash (CY/day)]]*201.974</f>
        <v>1279.5047850649999</v>
      </c>
      <c r="BP192" s="37">
        <f>developmentdata2019[[#This Row],[MGP (CY/day)]]*201.974</f>
        <v>208.11251701213999</v>
      </c>
      <c r="BQ192" s="37">
        <f>developmentdata2019[[#This Row],[Cardboard (CY/day)]]*201.974</f>
        <v>21.560780133738305</v>
      </c>
      <c r="BR192" s="37">
        <f>developmentdata2019[[#This Row],[Paper  (CY/day)]]*201.974</f>
        <v>0.35029193970561712</v>
      </c>
      <c r="BS192" s="37">
        <f>developmentdata2019[[#This Row],[Organics (CY/day)]]*201.974</f>
        <v>7.8229980201784344E-2</v>
      </c>
      <c r="BT192" s="37">
        <f>developmentdata2019[[#This Row],[E-Waste (CY/day)]]*201.974</f>
        <v>1.0231467318057444E-3</v>
      </c>
      <c r="BU192" s="37">
        <f>developmentdata2019[[#This Row],[Textiles (CY/day)]]*201.974</f>
        <v>1.931121548314417E-4</v>
      </c>
    </row>
    <row r="193" spans="1:73" x14ac:dyDescent="0.2">
      <c r="A193" s="37" t="s">
        <v>1481</v>
      </c>
      <c r="B193" s="115">
        <v>43466</v>
      </c>
      <c r="C193" s="37" t="s">
        <v>1482</v>
      </c>
      <c r="D193">
        <v>102</v>
      </c>
      <c r="E193">
        <v>102</v>
      </c>
      <c r="F193">
        <v>239</v>
      </c>
      <c r="G193">
        <v>239</v>
      </c>
      <c r="H193" s="37" t="s">
        <v>1483</v>
      </c>
      <c r="I193" s="37" t="s">
        <v>577</v>
      </c>
      <c r="J193" s="37" t="s">
        <v>578</v>
      </c>
      <c r="K193" s="37" t="s">
        <v>579</v>
      </c>
      <c r="M193">
        <v>1083</v>
      </c>
      <c r="N193">
        <v>1085</v>
      </c>
      <c r="O193">
        <v>5237.5</v>
      </c>
      <c r="P193">
        <v>4.84</v>
      </c>
      <c r="R193">
        <v>2889</v>
      </c>
      <c r="S193">
        <v>2889</v>
      </c>
      <c r="T193">
        <v>364</v>
      </c>
      <c r="U193">
        <v>0.33800000000000002</v>
      </c>
      <c r="V193">
        <v>10</v>
      </c>
      <c r="W193">
        <v>0</v>
      </c>
      <c r="X193">
        <v>10</v>
      </c>
      <c r="Y193" t="s">
        <v>1484</v>
      </c>
      <c r="Z193">
        <v>416831</v>
      </c>
      <c r="AA193">
        <v>9.57</v>
      </c>
      <c r="AB193">
        <v>416831</v>
      </c>
      <c r="AC193">
        <v>9.57</v>
      </c>
      <c r="AD193">
        <v>66594</v>
      </c>
      <c r="AE193">
        <v>9980542</v>
      </c>
      <c r="AF193">
        <v>0.1598</v>
      </c>
      <c r="AG193">
        <v>302</v>
      </c>
      <c r="AH193">
        <v>20735295</v>
      </c>
      <c r="AI193">
        <v>4008</v>
      </c>
      <c r="AJ193">
        <v>499</v>
      </c>
      <c r="AK193" s="37" t="s">
        <v>887</v>
      </c>
      <c r="AL193" s="37" t="s">
        <v>1485</v>
      </c>
      <c r="AM193" s="37" t="s">
        <v>600</v>
      </c>
      <c r="AN193" s="37" t="s">
        <v>884</v>
      </c>
      <c r="AO193" s="37" t="s">
        <v>584</v>
      </c>
      <c r="AP193">
        <v>3</v>
      </c>
      <c r="AQ193">
        <v>15</v>
      </c>
      <c r="AR193">
        <v>33</v>
      </c>
      <c r="AS193">
        <v>79</v>
      </c>
      <c r="AT193">
        <v>16</v>
      </c>
      <c r="AU193" s="115">
        <v>23985</v>
      </c>
      <c r="AV193" s="37"/>
      <c r="AW193" s="37"/>
      <c r="AX193" s="37"/>
      <c r="AY193" s="37"/>
      <c r="AZ193" s="37">
        <f>developmentdata2019[[#This Row],[NUMBER OF CURRENT APARTMENTS]]*5/2000</f>
        <v>2.7075</v>
      </c>
      <c r="BA193" s="37">
        <f>developmentdata2019[[#This Row],[Total]]*BA$1</f>
        <v>0.70395000000000008</v>
      </c>
      <c r="BB193" s="37">
        <f>developmentdata2019[[#This Row],[Trash (tons/day)]]*BB$1</f>
        <v>0.13375050000000002</v>
      </c>
      <c r="BC193" s="37">
        <f>developmentdata2019[[#This Row],[MGP (tons/day)]]*BC$1</f>
        <v>9.3625350000000017E-3</v>
      </c>
      <c r="BD193" s="37">
        <f>developmentdata2019[[#This Row],[Cardboard (tons/day)]]*BD$1</f>
        <v>6.5537745000000022E-4</v>
      </c>
      <c r="BE193" s="37">
        <f>developmentdata2019[[#This Row],[Paper (tons/day)]]*BE$1</f>
        <v>2.0972078400000008E-4</v>
      </c>
      <c r="BF193" s="37">
        <f>developmentdata2019[[#This Row],[Organics (tons/day)]]*BF$1</f>
        <v>2.0972078400000009E-6</v>
      </c>
      <c r="BG193" s="37">
        <f>developmentdata2019[[#This Row],[E-Waste (tons/day)]]*BG$1</f>
        <v>1.6777662720000007E-7</v>
      </c>
      <c r="BH193" s="37">
        <f>developmentdata2019[[#This Row],[Trash (tons/day)]]*BH$1</f>
        <v>14.818147500000002</v>
      </c>
      <c r="BI193" s="37">
        <f>developmentdata2019[[#This Row],[MGP (tons/day)]]*BI$1</f>
        <v>2.4101840100000005</v>
      </c>
      <c r="BJ193" s="37">
        <f>developmentdata2019[[#This Row],[Cardboard (tons/day)]]*BJ$1</f>
        <v>0.24969880845000006</v>
      </c>
      <c r="BK193" s="37">
        <f>developmentdata2019[[#This Row],[Paper (tons/day)]]*BK$1</f>
        <v>4.0567864155000013E-3</v>
      </c>
      <c r="BL193" s="37">
        <f>developmentdata2019[[#This Row],[Organics (tons/day)]]*BL$1</f>
        <v>9.0599378688000041E-4</v>
      </c>
      <c r="BM193" s="37">
        <f>developmentdata2019[[#This Row],[E-Waste (tons/day)]]*BM$1</f>
        <v>1.1849224296000006E-5</v>
      </c>
      <c r="BN193" s="37">
        <f>developmentdata2019[[#This Row],[Textiles (tons/day)]]*BN$1</f>
        <v>2.2364624405760008E-6</v>
      </c>
      <c r="BO193" s="37">
        <f>developmentdata2019[[#This Row],[Trash (CY/day)]]*201.974</f>
        <v>2992.8805231650003</v>
      </c>
      <c r="BP193" s="37">
        <f>developmentdata2019[[#This Row],[MGP (CY/day)]]*201.974</f>
        <v>486.79450523574008</v>
      </c>
      <c r="BQ193" s="37">
        <f>developmentdata2019[[#This Row],[Cardboard (CY/day)]]*201.974</f>
        <v>50.432667137880308</v>
      </c>
      <c r="BR193" s="37">
        <f>developmentdata2019[[#This Row],[Paper  (CY/day)]]*201.974</f>
        <v>0.81936537948419719</v>
      </c>
      <c r="BS193" s="37">
        <f>developmentdata2019[[#This Row],[Organics (CY/day)]]*201.974</f>
        <v>0.18298718911130119</v>
      </c>
      <c r="BT193" s="37">
        <f>developmentdata2019[[#This Row],[E-Waste (CY/day)]]*201.974</f>
        <v>2.3932352279603052E-3</v>
      </c>
      <c r="BU193" s="37">
        <f>developmentdata2019[[#This Row],[Textiles (CY/day)]]*201.974</f>
        <v>4.5170726497289717E-4</v>
      </c>
    </row>
    <row r="194" spans="1:73" x14ac:dyDescent="0.2">
      <c r="A194" s="37" t="s">
        <v>1486</v>
      </c>
      <c r="B194" s="115">
        <v>43466</v>
      </c>
      <c r="C194" s="37" t="s">
        <v>1482</v>
      </c>
      <c r="D194">
        <v>502</v>
      </c>
      <c r="E194">
        <v>102</v>
      </c>
      <c r="F194">
        <v>280</v>
      </c>
      <c r="G194">
        <v>239</v>
      </c>
      <c r="H194" s="37" t="s">
        <v>1487</v>
      </c>
      <c r="I194" s="37" t="s">
        <v>577</v>
      </c>
      <c r="J194" s="37" t="s">
        <v>578</v>
      </c>
      <c r="K194" s="37" t="s">
        <v>579</v>
      </c>
      <c r="M194">
        <v>802</v>
      </c>
      <c r="N194">
        <v>802</v>
      </c>
      <c r="O194">
        <v>3765</v>
      </c>
      <c r="P194">
        <v>4.6900000000000004</v>
      </c>
      <c r="R194">
        <v>1989</v>
      </c>
      <c r="S194">
        <v>1989</v>
      </c>
      <c r="T194">
        <v>268</v>
      </c>
      <c r="U194">
        <v>0.33800000000000002</v>
      </c>
      <c r="V194">
        <v>7</v>
      </c>
      <c r="W194">
        <v>0</v>
      </c>
      <c r="X194">
        <v>7</v>
      </c>
      <c r="Y194" t="s">
        <v>1484</v>
      </c>
      <c r="Z194">
        <v>358843</v>
      </c>
      <c r="AA194">
        <v>8.24</v>
      </c>
      <c r="AB194">
        <v>313704</v>
      </c>
      <c r="AC194">
        <v>7.2</v>
      </c>
      <c r="AD194">
        <v>51875</v>
      </c>
      <c r="AE194">
        <v>7162265</v>
      </c>
      <c r="AF194">
        <v>0.14460000000000001</v>
      </c>
      <c r="AG194">
        <v>241</v>
      </c>
      <c r="AH194">
        <v>15391181</v>
      </c>
      <c r="AI194">
        <v>4008</v>
      </c>
      <c r="AJ194">
        <v>507</v>
      </c>
      <c r="AK194" s="37" t="s">
        <v>887</v>
      </c>
      <c r="AL194" s="37" t="s">
        <v>885</v>
      </c>
      <c r="AM194" s="37" t="s">
        <v>600</v>
      </c>
      <c r="AN194" s="37" t="s">
        <v>1485</v>
      </c>
      <c r="AO194" s="37" t="s">
        <v>584</v>
      </c>
      <c r="AP194">
        <v>3</v>
      </c>
      <c r="AQ194">
        <v>15</v>
      </c>
      <c r="AR194">
        <v>33</v>
      </c>
      <c r="AS194">
        <v>79</v>
      </c>
      <c r="AT194">
        <v>16</v>
      </c>
      <c r="AU194" s="115">
        <v>23985</v>
      </c>
      <c r="AV194" s="37"/>
      <c r="AW194" s="37"/>
      <c r="AX194" s="37"/>
      <c r="AY194" s="37"/>
      <c r="AZ194" s="37">
        <f>developmentdata2019[[#This Row],[NUMBER OF CURRENT APARTMENTS]]*5/2000</f>
        <v>2.0049999999999999</v>
      </c>
      <c r="BA194" s="37">
        <f>developmentdata2019[[#This Row],[Total]]*BA$1</f>
        <v>0.52129999999999999</v>
      </c>
      <c r="BB194" s="37">
        <f>developmentdata2019[[#This Row],[Trash (tons/day)]]*BB$1</f>
        <v>9.9046999999999996E-2</v>
      </c>
      <c r="BC194" s="37">
        <f>developmentdata2019[[#This Row],[MGP (tons/day)]]*BC$1</f>
        <v>6.9332900000000008E-3</v>
      </c>
      <c r="BD194" s="37">
        <f>developmentdata2019[[#This Row],[Cardboard (tons/day)]]*BD$1</f>
        <v>4.8533030000000012E-4</v>
      </c>
      <c r="BE194" s="37">
        <f>developmentdata2019[[#This Row],[Paper (tons/day)]]*BE$1</f>
        <v>1.5530569600000004E-4</v>
      </c>
      <c r="BF194" s="37">
        <f>developmentdata2019[[#This Row],[Organics (tons/day)]]*BF$1</f>
        <v>1.5530569600000004E-6</v>
      </c>
      <c r="BG194" s="37">
        <f>developmentdata2019[[#This Row],[E-Waste (tons/day)]]*BG$1</f>
        <v>1.2424455680000003E-7</v>
      </c>
      <c r="BH194" s="37">
        <f>developmentdata2019[[#This Row],[Trash (tons/day)]]*BH$1</f>
        <v>10.973364999999999</v>
      </c>
      <c r="BI194" s="37">
        <f>developmentdata2019[[#This Row],[MGP (tons/day)]]*BI$1</f>
        <v>1.7848269399999999</v>
      </c>
      <c r="BJ194" s="37">
        <f>developmentdata2019[[#This Row],[Cardboard (tons/day)]]*BJ$1</f>
        <v>0.18491084430000004</v>
      </c>
      <c r="BK194" s="37">
        <f>developmentdata2019[[#This Row],[Paper (tons/day)]]*BK$1</f>
        <v>3.0041945570000008E-3</v>
      </c>
      <c r="BL194" s="37">
        <f>developmentdata2019[[#This Row],[Organics (tons/day)]]*BL$1</f>
        <v>6.7092060672000018E-4</v>
      </c>
      <c r="BM194" s="37">
        <f>developmentdata2019[[#This Row],[E-Waste (tons/day)]]*BM$1</f>
        <v>8.7747718240000022E-6</v>
      </c>
      <c r="BN194" s="37">
        <f>developmentdata2019[[#This Row],[Textiles (tons/day)]]*BN$1</f>
        <v>1.6561799421440005E-6</v>
      </c>
      <c r="BO194" s="37">
        <f>developmentdata2019[[#This Row],[Trash (CY/day)]]*201.974</f>
        <v>2216.33442251</v>
      </c>
      <c r="BP194" s="37">
        <f>developmentdata2019[[#This Row],[MGP (CY/day)]]*201.974</f>
        <v>360.48863637955998</v>
      </c>
      <c r="BQ194" s="37">
        <f>developmentdata2019[[#This Row],[Cardboard (CY/day)]]*201.974</f>
        <v>37.347182866648204</v>
      </c>
      <c r="BR194" s="37">
        <f>developmentdata2019[[#This Row],[Paper  (CY/day)]]*201.974</f>
        <v>0.60676919145551811</v>
      </c>
      <c r="BS194" s="37">
        <f>developmentdata2019[[#This Row],[Organics (CY/day)]]*201.974</f>
        <v>0.1355085186216653</v>
      </c>
      <c r="BT194" s="37">
        <f>developmentdata2019[[#This Row],[E-Waste (CY/day)]]*201.974</f>
        <v>1.7722757643805764E-3</v>
      </c>
      <c r="BU194" s="37">
        <f>developmentdata2019[[#This Row],[Textiles (CY/day)]]*201.974</f>
        <v>3.3450528763459233E-4</v>
      </c>
    </row>
    <row r="195" spans="1:73" x14ac:dyDescent="0.2">
      <c r="A195" s="37" t="s">
        <v>1488</v>
      </c>
      <c r="B195" s="115">
        <v>43466</v>
      </c>
      <c r="C195" s="37" t="s">
        <v>1489</v>
      </c>
      <c r="D195">
        <v>277</v>
      </c>
      <c r="E195">
        <v>241</v>
      </c>
      <c r="F195">
        <v>504</v>
      </c>
      <c r="G195">
        <v>346</v>
      </c>
      <c r="H195" s="37" t="s">
        <v>1490</v>
      </c>
      <c r="I195" s="37" t="s">
        <v>577</v>
      </c>
      <c r="J195" s="37" t="s">
        <v>578</v>
      </c>
      <c r="K195" s="37" t="s">
        <v>1161</v>
      </c>
      <c r="M195">
        <v>97</v>
      </c>
      <c r="N195">
        <v>97</v>
      </c>
      <c r="O195">
        <v>296.5</v>
      </c>
      <c r="P195">
        <v>3.06</v>
      </c>
      <c r="R195">
        <v>103</v>
      </c>
      <c r="S195">
        <v>103</v>
      </c>
      <c r="T195">
        <v>83</v>
      </c>
      <c r="U195">
        <v>0.86499999999999999</v>
      </c>
      <c r="V195">
        <v>1</v>
      </c>
      <c r="W195">
        <v>0</v>
      </c>
      <c r="X195">
        <v>1</v>
      </c>
      <c r="Y195">
        <v>9</v>
      </c>
      <c r="Z195">
        <v>10000</v>
      </c>
      <c r="AA195">
        <v>0.23</v>
      </c>
      <c r="AB195">
        <v>10000</v>
      </c>
      <c r="AC195">
        <v>0.23</v>
      </c>
      <c r="AD195">
        <v>6491</v>
      </c>
      <c r="AE195">
        <v>561310</v>
      </c>
      <c r="AF195">
        <v>0.64910000000000001</v>
      </c>
      <c r="AG195">
        <v>448</v>
      </c>
      <c r="AH195">
        <v>1989852</v>
      </c>
      <c r="AI195">
        <v>6337</v>
      </c>
      <c r="AJ195">
        <v>302</v>
      </c>
      <c r="AK195" s="37" t="s">
        <v>1491</v>
      </c>
      <c r="AL195" s="37" t="s">
        <v>877</v>
      </c>
      <c r="AM195" s="37" t="s">
        <v>1317</v>
      </c>
      <c r="AN195" s="37"/>
      <c r="AO195" s="37" t="s">
        <v>608</v>
      </c>
      <c r="AP195">
        <v>11</v>
      </c>
      <c r="AQ195">
        <v>13</v>
      </c>
      <c r="AR195">
        <v>30</v>
      </c>
      <c r="AS195">
        <v>68</v>
      </c>
      <c r="AT195">
        <v>9</v>
      </c>
      <c r="AU195" s="115">
        <v>28245</v>
      </c>
      <c r="AV195" s="37"/>
      <c r="AW195" s="37" t="s">
        <v>736</v>
      </c>
      <c r="AX195" s="37" t="s">
        <v>621</v>
      </c>
      <c r="AY195" s="37"/>
      <c r="AZ195" s="37">
        <f>developmentdata2019[[#This Row],[NUMBER OF CURRENT APARTMENTS]]*5/2000</f>
        <v>0.24249999999999999</v>
      </c>
      <c r="BA195" s="37">
        <f>developmentdata2019[[#This Row],[Total]]*BA$1</f>
        <v>6.3049999999999995E-2</v>
      </c>
      <c r="BB195" s="37">
        <f>developmentdata2019[[#This Row],[Trash (tons/day)]]*BB$1</f>
        <v>1.1979499999999999E-2</v>
      </c>
      <c r="BC195" s="37">
        <f>developmentdata2019[[#This Row],[MGP (tons/day)]]*BC$1</f>
        <v>8.3856499999999999E-4</v>
      </c>
      <c r="BD195" s="37">
        <f>developmentdata2019[[#This Row],[Cardboard (tons/day)]]*BD$1</f>
        <v>5.8699550000000006E-5</v>
      </c>
      <c r="BE195" s="37">
        <f>developmentdata2019[[#This Row],[Paper (tons/day)]]*BE$1</f>
        <v>1.8783856000000001E-5</v>
      </c>
      <c r="BF195" s="37">
        <f>developmentdata2019[[#This Row],[Organics (tons/day)]]*BF$1</f>
        <v>1.8783856000000001E-7</v>
      </c>
      <c r="BG195" s="37">
        <f>developmentdata2019[[#This Row],[E-Waste (tons/day)]]*BG$1</f>
        <v>1.50270848E-8</v>
      </c>
      <c r="BH195" s="37">
        <f>developmentdata2019[[#This Row],[Trash (tons/day)]]*BH$1</f>
        <v>1.3272024999999998</v>
      </c>
      <c r="BI195" s="37">
        <f>developmentdata2019[[#This Row],[MGP (tons/day)]]*BI$1</f>
        <v>0.21587058999999997</v>
      </c>
      <c r="BJ195" s="37">
        <f>developmentdata2019[[#This Row],[Cardboard (tons/day)]]*BJ$1</f>
        <v>2.2364528550000002E-2</v>
      </c>
      <c r="BK195" s="37">
        <f>developmentdata2019[[#This Row],[Paper (tons/day)]]*BK$1</f>
        <v>3.6335021450000009E-4</v>
      </c>
      <c r="BL195" s="37">
        <f>developmentdata2019[[#This Row],[Organics (tons/day)]]*BL$1</f>
        <v>8.1146257920000013E-5</v>
      </c>
      <c r="BM195" s="37">
        <f>developmentdata2019[[#This Row],[E-Waste (tons/day)]]*BM$1</f>
        <v>1.0612878640000001E-6</v>
      </c>
      <c r="BN195" s="37">
        <f>developmentdata2019[[#This Row],[Textiles (tons/day)]]*BN$1</f>
        <v>2.0031104038399999E-7</v>
      </c>
      <c r="BO195" s="37">
        <f>developmentdata2019[[#This Row],[Trash (CY/day)]]*201.974</f>
        <v>268.06039773499998</v>
      </c>
      <c r="BP195" s="37">
        <f>developmentdata2019[[#This Row],[MGP (CY/day)]]*201.974</f>
        <v>43.600246544659996</v>
      </c>
      <c r="BQ195" s="37">
        <f>developmentdata2019[[#This Row],[Cardboard (CY/day)]]*201.974</f>
        <v>4.5170532893577002</v>
      </c>
      <c r="BR195" s="37">
        <f>developmentdata2019[[#This Row],[Paper  (CY/day)]]*201.974</f>
        <v>7.3387296223423007E-2</v>
      </c>
      <c r="BS195" s="37">
        <f>developmentdata2019[[#This Row],[Organics (CY/day)]]*201.974</f>
        <v>1.6389434297134083E-2</v>
      </c>
      <c r="BT195" s="37">
        <f>developmentdata2019[[#This Row],[E-Waste (CY/day)]]*201.974</f>
        <v>2.1435255504353602E-4</v>
      </c>
      <c r="BU195" s="37">
        <f>developmentdata2019[[#This Row],[Textiles (CY/day)]]*201.974</f>
        <v>4.0457622070518011E-5</v>
      </c>
    </row>
    <row r="196" spans="1:73" x14ac:dyDescent="0.2">
      <c r="A196" s="37" t="s">
        <v>1492</v>
      </c>
      <c r="B196" s="115">
        <v>43466</v>
      </c>
      <c r="C196" s="37" t="s">
        <v>1493</v>
      </c>
      <c r="D196">
        <v>130</v>
      </c>
      <c r="E196">
        <v>141</v>
      </c>
      <c r="F196">
        <v>250</v>
      </c>
      <c r="G196">
        <v>231</v>
      </c>
      <c r="H196" s="37" t="s">
        <v>1494</v>
      </c>
      <c r="I196" s="37" t="s">
        <v>577</v>
      </c>
      <c r="J196" s="37" t="s">
        <v>578</v>
      </c>
      <c r="K196" s="37" t="s">
        <v>579</v>
      </c>
      <c r="M196">
        <v>206</v>
      </c>
      <c r="N196">
        <v>206</v>
      </c>
      <c r="O196">
        <v>962</v>
      </c>
      <c r="P196">
        <v>4.67</v>
      </c>
      <c r="R196">
        <v>531</v>
      </c>
      <c r="S196">
        <v>531</v>
      </c>
      <c r="T196">
        <v>69</v>
      </c>
      <c r="U196">
        <v>0.34</v>
      </c>
      <c r="V196">
        <v>2</v>
      </c>
      <c r="W196">
        <v>0</v>
      </c>
      <c r="X196">
        <v>2</v>
      </c>
      <c r="Y196">
        <v>16</v>
      </c>
      <c r="Z196">
        <v>60890</v>
      </c>
      <c r="AA196">
        <v>1.4</v>
      </c>
      <c r="AB196">
        <v>60890</v>
      </c>
      <c r="AC196">
        <v>1.4</v>
      </c>
      <c r="AD196">
        <v>13024</v>
      </c>
      <c r="AE196">
        <v>1769693</v>
      </c>
      <c r="AF196">
        <v>0.21390000000000001</v>
      </c>
      <c r="AG196">
        <v>379</v>
      </c>
      <c r="AH196">
        <v>3742711</v>
      </c>
      <c r="AI196">
        <v>3891</v>
      </c>
      <c r="AJ196">
        <v>449</v>
      </c>
      <c r="AK196" s="37" t="s">
        <v>884</v>
      </c>
      <c r="AL196" s="37" t="s">
        <v>601</v>
      </c>
      <c r="AM196" s="37" t="s">
        <v>887</v>
      </c>
      <c r="AN196" s="37"/>
      <c r="AO196" s="37" t="s">
        <v>584</v>
      </c>
      <c r="AP196">
        <v>3</v>
      </c>
      <c r="AQ196">
        <v>15</v>
      </c>
      <c r="AR196">
        <v>32</v>
      </c>
      <c r="AS196">
        <v>79</v>
      </c>
      <c r="AT196">
        <v>16</v>
      </c>
      <c r="AU196" s="115">
        <v>23162</v>
      </c>
      <c r="AV196" s="37"/>
      <c r="AW196" s="37"/>
      <c r="AX196" s="37"/>
      <c r="AY196" s="37"/>
      <c r="AZ196" s="37">
        <f>developmentdata2019[[#This Row],[NUMBER OF CURRENT APARTMENTS]]*5/2000</f>
        <v>0.51500000000000001</v>
      </c>
      <c r="BA196" s="37">
        <f>developmentdata2019[[#This Row],[Total]]*BA$1</f>
        <v>0.13390000000000002</v>
      </c>
      <c r="BB196" s="37">
        <f>developmentdata2019[[#This Row],[Trash (tons/day)]]*BB$1</f>
        <v>2.5441000000000005E-2</v>
      </c>
      <c r="BC196" s="37">
        <f>developmentdata2019[[#This Row],[MGP (tons/day)]]*BC$1</f>
        <v>1.7808700000000006E-3</v>
      </c>
      <c r="BD196" s="37">
        <f>developmentdata2019[[#This Row],[Cardboard (tons/day)]]*BD$1</f>
        <v>1.2466090000000005E-4</v>
      </c>
      <c r="BE196" s="37">
        <f>developmentdata2019[[#This Row],[Paper (tons/day)]]*BE$1</f>
        <v>3.9891488000000017E-5</v>
      </c>
      <c r="BF196" s="37">
        <f>developmentdata2019[[#This Row],[Organics (tons/day)]]*BF$1</f>
        <v>3.989148800000002E-7</v>
      </c>
      <c r="BG196" s="37">
        <f>developmentdata2019[[#This Row],[E-Waste (tons/day)]]*BG$1</f>
        <v>3.1913190400000017E-8</v>
      </c>
      <c r="BH196" s="37">
        <f>developmentdata2019[[#This Row],[Trash (tons/day)]]*BH$1</f>
        <v>2.8185950000000006</v>
      </c>
      <c r="BI196" s="37">
        <f>developmentdata2019[[#This Row],[MGP (tons/day)]]*BI$1</f>
        <v>0.45844682000000009</v>
      </c>
      <c r="BJ196" s="37">
        <f>developmentdata2019[[#This Row],[Cardboard (tons/day)]]*BJ$1</f>
        <v>4.7495802900000016E-2</v>
      </c>
      <c r="BK196" s="37">
        <f>developmentdata2019[[#This Row],[Paper (tons/day)]]*BK$1</f>
        <v>7.7165097100000038E-4</v>
      </c>
      <c r="BL196" s="37">
        <f>developmentdata2019[[#This Row],[Organics (tons/day)]]*BL$1</f>
        <v>1.7233122816000008E-4</v>
      </c>
      <c r="BM196" s="37">
        <f>developmentdata2019[[#This Row],[E-Waste (tons/day)]]*BM$1</f>
        <v>2.2538690720000014E-6</v>
      </c>
      <c r="BN196" s="37">
        <f>developmentdata2019[[#This Row],[Textiles (tons/day)]]*BN$1</f>
        <v>4.2540282803200024E-7</v>
      </c>
      <c r="BO196" s="37">
        <f>developmentdata2019[[#This Row],[Trash (CY/day)]]*201.974</f>
        <v>569.2829065300001</v>
      </c>
      <c r="BP196" s="37">
        <f>developmentdata2019[[#This Row],[MGP (CY/day)]]*201.974</f>
        <v>92.594338022680006</v>
      </c>
      <c r="BQ196" s="37">
        <f>developmentdata2019[[#This Row],[Cardboard (CY/day)]]*201.974</f>
        <v>9.592917294924602</v>
      </c>
      <c r="BR196" s="37">
        <f>developmentdata2019[[#This Row],[Paper  (CY/day)]]*201.974</f>
        <v>0.15585343321675407</v>
      </c>
      <c r="BS196" s="37">
        <f>developmentdata2019[[#This Row],[Organics (CY/day)]]*201.974</f>
        <v>3.4806427476387854E-2</v>
      </c>
      <c r="BT196" s="37">
        <f>developmentdata2019[[#This Row],[E-Waste (CY/day)]]*201.974</f>
        <v>4.5522295194812826E-4</v>
      </c>
      <c r="BU196" s="37">
        <f>developmentdata2019[[#This Row],[Textiles (CY/day)]]*201.974</f>
        <v>8.5920310788935214E-5</v>
      </c>
    </row>
    <row r="197" spans="1:73" x14ac:dyDescent="0.2">
      <c r="A197" s="37" t="s">
        <v>403</v>
      </c>
      <c r="B197" s="115">
        <v>43466</v>
      </c>
      <c r="C197" s="37" t="s">
        <v>1305</v>
      </c>
      <c r="D197">
        <v>267</v>
      </c>
      <c r="E197">
        <v>267</v>
      </c>
      <c r="F197">
        <v>385</v>
      </c>
      <c r="G197">
        <v>385</v>
      </c>
      <c r="H197" s="37" t="s">
        <v>1495</v>
      </c>
      <c r="I197" s="37" t="s">
        <v>577</v>
      </c>
      <c r="J197" s="37" t="s">
        <v>588</v>
      </c>
      <c r="K197" s="37" t="s">
        <v>579</v>
      </c>
      <c r="M197">
        <v>841</v>
      </c>
      <c r="N197">
        <v>843</v>
      </c>
      <c r="O197">
        <v>3788.5</v>
      </c>
      <c r="P197">
        <v>4.5</v>
      </c>
      <c r="R197">
        <v>1681</v>
      </c>
      <c r="S197">
        <v>1681</v>
      </c>
      <c r="T197">
        <v>428</v>
      </c>
      <c r="U197">
        <v>0.52100000000000002</v>
      </c>
      <c r="V197">
        <v>3</v>
      </c>
      <c r="W197">
        <v>0</v>
      </c>
      <c r="X197">
        <v>5</v>
      </c>
      <c r="Y197" t="s">
        <v>1496</v>
      </c>
      <c r="Z197">
        <v>274300</v>
      </c>
      <c r="AA197">
        <v>6.3</v>
      </c>
      <c r="AB197">
        <v>274300</v>
      </c>
      <c r="AC197">
        <v>6.3</v>
      </c>
      <c r="AD197">
        <v>64435</v>
      </c>
      <c r="AE197">
        <v>11316800</v>
      </c>
      <c r="AF197">
        <v>0.2349</v>
      </c>
      <c r="AG197">
        <v>267</v>
      </c>
      <c r="AH197">
        <v>40272504</v>
      </c>
      <c r="AI197">
        <v>10584</v>
      </c>
      <c r="AJ197">
        <v>473</v>
      </c>
      <c r="AK197" s="37" t="s">
        <v>887</v>
      </c>
      <c r="AL197" s="37" t="s">
        <v>1307</v>
      </c>
      <c r="AM197" s="37" t="s">
        <v>1050</v>
      </c>
      <c r="AN197" s="37" t="s">
        <v>1049</v>
      </c>
      <c r="AO197" s="37" t="s">
        <v>584</v>
      </c>
      <c r="AP197" t="s">
        <v>1497</v>
      </c>
      <c r="AQ197">
        <v>15</v>
      </c>
      <c r="AR197">
        <v>32</v>
      </c>
      <c r="AS197">
        <v>79</v>
      </c>
      <c r="AT197" t="s">
        <v>1498</v>
      </c>
      <c r="AU197" s="115">
        <v>29587</v>
      </c>
      <c r="AV197" s="37"/>
      <c r="AW197" s="37" t="s">
        <v>693</v>
      </c>
      <c r="AX197" s="37"/>
      <c r="AY197" s="37"/>
      <c r="AZ197" s="37">
        <f>developmentdata2019[[#This Row],[NUMBER OF CURRENT APARTMENTS]]*5/2000</f>
        <v>2.1025</v>
      </c>
      <c r="BA197" s="37">
        <f>developmentdata2019[[#This Row],[Total]]*BA$1</f>
        <v>0.54665000000000008</v>
      </c>
      <c r="BB197" s="37">
        <f>developmentdata2019[[#This Row],[Trash (tons/day)]]*BB$1</f>
        <v>0.10386350000000001</v>
      </c>
      <c r="BC197" s="37">
        <f>developmentdata2019[[#This Row],[MGP (tons/day)]]*BC$1</f>
        <v>7.2704450000000012E-3</v>
      </c>
      <c r="BD197" s="37">
        <f>developmentdata2019[[#This Row],[Cardboard (tons/day)]]*BD$1</f>
        <v>5.0893115000000017E-4</v>
      </c>
      <c r="BE197" s="37">
        <f>developmentdata2019[[#This Row],[Paper (tons/day)]]*BE$1</f>
        <v>1.6285796800000007E-4</v>
      </c>
      <c r="BF197" s="37">
        <f>developmentdata2019[[#This Row],[Organics (tons/day)]]*BF$1</f>
        <v>1.6285796800000008E-6</v>
      </c>
      <c r="BG197" s="37">
        <f>developmentdata2019[[#This Row],[E-Waste (tons/day)]]*BG$1</f>
        <v>1.3028637440000007E-7</v>
      </c>
      <c r="BH197" s="37">
        <f>developmentdata2019[[#This Row],[Trash (tons/day)]]*BH$1</f>
        <v>11.506982500000001</v>
      </c>
      <c r="BI197" s="37">
        <f>developmentdata2019[[#This Row],[MGP (tons/day)]]*BI$1</f>
        <v>1.8716202700000002</v>
      </c>
      <c r="BJ197" s="37">
        <f>developmentdata2019[[#This Row],[Cardboard (tons/day)]]*BJ$1</f>
        <v>0.19390276815000004</v>
      </c>
      <c r="BK197" s="37">
        <f>developmentdata2019[[#This Row],[Paper (tons/day)]]*BK$1</f>
        <v>3.1502838185000011E-3</v>
      </c>
      <c r="BL197" s="37">
        <f>developmentdata2019[[#This Row],[Organics (tons/day)]]*BL$1</f>
        <v>7.0354642176000029E-4</v>
      </c>
      <c r="BM197" s="37">
        <f>developmentdata2019[[#This Row],[E-Waste (tons/day)]]*BM$1</f>
        <v>9.2014751920000056E-6</v>
      </c>
      <c r="BN197" s="37">
        <f>developmentdata2019[[#This Row],[Textiles (tons/day)]]*BN$1</f>
        <v>1.7367173707520009E-6</v>
      </c>
      <c r="BO197" s="37">
        <f>developmentdata2019[[#This Row],[Trash (CY/day)]]*201.974</f>
        <v>2324.1112834549999</v>
      </c>
      <c r="BP197" s="37">
        <f>developmentdata2019[[#This Row],[MGP (CY/day)]]*201.974</f>
        <v>378.01863241298003</v>
      </c>
      <c r="BQ197" s="37">
        <f>developmentdata2019[[#This Row],[Cardboard (CY/day)]]*201.974</f>
        <v>39.163317694328107</v>
      </c>
      <c r="BR197" s="37">
        <f>developmentdata2019[[#This Row],[Paper  (CY/day)]]*201.974</f>
        <v>0.63627542395771919</v>
      </c>
      <c r="BS197" s="37">
        <f>developmentdata2019[[#This Row],[Organics (CY/day)]]*201.974</f>
        <v>0.14209808498855428</v>
      </c>
      <c r="BT197" s="37">
        <f>developmentdata2019[[#This Row],[E-Waste (CY/day)]]*201.974</f>
        <v>1.858458750429009E-3</v>
      </c>
      <c r="BU197" s="37">
        <f>developmentdata2019[[#This Row],[Textiles (CY/day)]]*201.974</f>
        <v>3.5077175424026458E-4</v>
      </c>
    </row>
    <row r="198" spans="1:73" x14ac:dyDescent="0.2">
      <c r="A198" s="37" t="s">
        <v>391</v>
      </c>
      <c r="B198" s="115">
        <v>43466</v>
      </c>
      <c r="C198" s="37" t="s">
        <v>1499</v>
      </c>
      <c r="D198">
        <v>121</v>
      </c>
      <c r="E198">
        <v>121</v>
      </c>
      <c r="F198">
        <v>244</v>
      </c>
      <c r="G198">
        <v>244</v>
      </c>
      <c r="H198" s="37" t="s">
        <v>1500</v>
      </c>
      <c r="I198" s="37" t="s">
        <v>577</v>
      </c>
      <c r="J198" s="37" t="s">
        <v>578</v>
      </c>
      <c r="K198" s="37" t="s">
        <v>579</v>
      </c>
      <c r="M198">
        <v>992</v>
      </c>
      <c r="N198">
        <v>993</v>
      </c>
      <c r="O198">
        <v>4634</v>
      </c>
      <c r="P198">
        <v>4.67</v>
      </c>
      <c r="R198">
        <v>2542</v>
      </c>
      <c r="S198">
        <v>2542</v>
      </c>
      <c r="T198">
        <v>313</v>
      </c>
      <c r="U198">
        <v>0.317</v>
      </c>
      <c r="V198">
        <v>8</v>
      </c>
      <c r="W198">
        <v>1</v>
      </c>
      <c r="X198">
        <v>9</v>
      </c>
      <c r="Y198" t="s">
        <v>1501</v>
      </c>
      <c r="Z198">
        <v>417367</v>
      </c>
      <c r="AA198">
        <v>9.58</v>
      </c>
      <c r="AB198">
        <v>386817</v>
      </c>
      <c r="AC198">
        <v>8.8800000000000008</v>
      </c>
      <c r="AD198">
        <v>78477</v>
      </c>
      <c r="AE198">
        <v>9236613</v>
      </c>
      <c r="AF198">
        <v>0.188</v>
      </c>
      <c r="AG198">
        <v>265</v>
      </c>
      <c r="AH198">
        <v>20670000</v>
      </c>
      <c r="AI198">
        <v>4456</v>
      </c>
      <c r="AJ198">
        <v>530</v>
      </c>
      <c r="AK198" s="37" t="s">
        <v>1502</v>
      </c>
      <c r="AL198" s="37" t="s">
        <v>1503</v>
      </c>
      <c r="AM198" s="37" t="s">
        <v>1504</v>
      </c>
      <c r="AN198" s="37" t="s">
        <v>1471</v>
      </c>
      <c r="AO198" s="37" t="s">
        <v>584</v>
      </c>
      <c r="AP198">
        <v>1</v>
      </c>
      <c r="AQ198">
        <v>15</v>
      </c>
      <c r="AR198">
        <v>29</v>
      </c>
      <c r="AS198">
        <v>84</v>
      </c>
      <c r="AT198">
        <v>8</v>
      </c>
      <c r="AU198" s="115">
        <v>23832</v>
      </c>
      <c r="AV198" s="37"/>
      <c r="AW198" s="37"/>
      <c r="AX198" s="37"/>
      <c r="AY198" s="37"/>
      <c r="AZ198" s="37">
        <f>developmentdata2019[[#This Row],[NUMBER OF CURRENT APARTMENTS]]*5/2000</f>
        <v>2.48</v>
      </c>
      <c r="BA198" s="37">
        <f>developmentdata2019[[#This Row],[Total]]*BA$1</f>
        <v>0.64480000000000004</v>
      </c>
      <c r="BB198" s="37">
        <f>developmentdata2019[[#This Row],[Trash (tons/day)]]*BB$1</f>
        <v>0.12251200000000001</v>
      </c>
      <c r="BC198" s="37">
        <f>developmentdata2019[[#This Row],[MGP (tons/day)]]*BC$1</f>
        <v>8.5758400000000012E-3</v>
      </c>
      <c r="BD198" s="37">
        <f>developmentdata2019[[#This Row],[Cardboard (tons/day)]]*BD$1</f>
        <v>6.0030880000000019E-4</v>
      </c>
      <c r="BE198" s="37">
        <f>developmentdata2019[[#This Row],[Paper (tons/day)]]*BE$1</f>
        <v>1.9209881600000008E-4</v>
      </c>
      <c r="BF198" s="37">
        <f>developmentdata2019[[#This Row],[Organics (tons/day)]]*BF$1</f>
        <v>1.920988160000001E-6</v>
      </c>
      <c r="BG198" s="37">
        <f>developmentdata2019[[#This Row],[E-Waste (tons/day)]]*BG$1</f>
        <v>1.5367905280000008E-7</v>
      </c>
      <c r="BH198" s="37">
        <f>developmentdata2019[[#This Row],[Trash (tons/day)]]*BH$1</f>
        <v>13.573040000000001</v>
      </c>
      <c r="BI198" s="37">
        <f>developmentdata2019[[#This Row],[MGP (tons/day)]]*BI$1</f>
        <v>2.20766624</v>
      </c>
      <c r="BJ198" s="37">
        <f>developmentdata2019[[#This Row],[Cardboard (tons/day)]]*BJ$1</f>
        <v>0.22871765280000006</v>
      </c>
      <c r="BK198" s="37">
        <f>developmentdata2019[[#This Row],[Paper (tons/day)]]*BK$1</f>
        <v>3.7159114720000013E-3</v>
      </c>
      <c r="BL198" s="37">
        <f>developmentdata2019[[#This Row],[Organics (tons/day)]]*BL$1</f>
        <v>8.2986688512000036E-4</v>
      </c>
      <c r="BM198" s="37">
        <f>developmentdata2019[[#This Row],[E-Waste (tons/day)]]*BM$1</f>
        <v>1.0853583104000007E-5</v>
      </c>
      <c r="BN198" s="37">
        <f>developmentdata2019[[#This Row],[Textiles (tons/day)]]*BN$1</f>
        <v>2.048541773824001E-6</v>
      </c>
      <c r="BO198" s="37">
        <f>developmentdata2019[[#This Row],[Trash (CY/day)]]*201.974</f>
        <v>2741.4011809600001</v>
      </c>
      <c r="BP198" s="37">
        <f>developmentdata2019[[#This Row],[MGP (CY/day)]]*201.974</f>
        <v>445.89118115776</v>
      </c>
      <c r="BQ198" s="37">
        <f>developmentdata2019[[#This Row],[Cardboard (CY/day)]]*201.974</f>
        <v>46.195019206627208</v>
      </c>
      <c r="BR198" s="37">
        <f>developmentdata2019[[#This Row],[Paper  (CY/day)]]*201.974</f>
        <v>0.75051750364572822</v>
      </c>
      <c r="BS198" s="37">
        <f>developmentdata2019[[#This Row],[Organics (CY/day)]]*201.974</f>
        <v>0.16761153425522696</v>
      </c>
      <c r="BT198" s="37">
        <f>developmentdata2019[[#This Row],[E-Waste (CY/day)]]*201.974</f>
        <v>2.1921415938472972E-3</v>
      </c>
      <c r="BU198" s="37">
        <f>developmentdata2019[[#This Row],[Textiles (CY/day)]]*201.974</f>
        <v>4.1375217622632876E-4</v>
      </c>
    </row>
    <row r="199" spans="1:73" x14ac:dyDescent="0.2">
      <c r="A199" s="37" t="s">
        <v>1505</v>
      </c>
      <c r="B199" s="115">
        <v>43466</v>
      </c>
      <c r="C199" s="37" t="s">
        <v>1506</v>
      </c>
      <c r="D199">
        <v>314</v>
      </c>
      <c r="E199">
        <v>35</v>
      </c>
      <c r="F199">
        <v>306</v>
      </c>
      <c r="G199">
        <v>306</v>
      </c>
      <c r="H199" s="37" t="s">
        <v>1507</v>
      </c>
      <c r="I199" s="37" t="s">
        <v>577</v>
      </c>
      <c r="J199" s="37" t="s">
        <v>588</v>
      </c>
      <c r="K199" s="37" t="s">
        <v>735</v>
      </c>
      <c r="M199">
        <v>276</v>
      </c>
      <c r="N199">
        <v>277</v>
      </c>
      <c r="O199">
        <v>996</v>
      </c>
      <c r="P199">
        <v>3.61</v>
      </c>
      <c r="R199">
        <v>348</v>
      </c>
      <c r="S199">
        <v>348</v>
      </c>
      <c r="T199">
        <v>244</v>
      </c>
      <c r="U199">
        <v>0.89100000000000001</v>
      </c>
      <c r="V199">
        <v>1</v>
      </c>
      <c r="W199">
        <v>0</v>
      </c>
      <c r="X199">
        <v>2</v>
      </c>
      <c r="Y199">
        <v>10</v>
      </c>
      <c r="Z199">
        <v>120879</v>
      </c>
      <c r="AA199">
        <v>2.78</v>
      </c>
      <c r="AB199">
        <v>120879</v>
      </c>
      <c r="AC199">
        <v>2.78</v>
      </c>
      <c r="AD199">
        <v>29107</v>
      </c>
      <c r="AE199">
        <v>2204124</v>
      </c>
      <c r="AF199">
        <v>0.24079999999999999</v>
      </c>
      <c r="AG199">
        <v>125</v>
      </c>
      <c r="AH199">
        <v>18511313</v>
      </c>
      <c r="AI199">
        <v>18493</v>
      </c>
      <c r="AJ199">
        <v>327</v>
      </c>
      <c r="AK199" s="37" t="s">
        <v>1341</v>
      </c>
      <c r="AL199" s="37" t="s">
        <v>1508</v>
      </c>
      <c r="AM199" s="37" t="s">
        <v>1509</v>
      </c>
      <c r="AN199" s="37"/>
      <c r="AO199" s="37" t="s">
        <v>765</v>
      </c>
      <c r="AP199">
        <v>1</v>
      </c>
      <c r="AQ199">
        <v>11</v>
      </c>
      <c r="AR199">
        <v>23</v>
      </c>
      <c r="AS199">
        <v>64</v>
      </c>
      <c r="AT199">
        <v>49</v>
      </c>
      <c r="AU199" s="115">
        <v>30875</v>
      </c>
      <c r="AV199" s="37"/>
      <c r="AW199" s="37" t="s">
        <v>736</v>
      </c>
      <c r="AX199" s="37" t="s">
        <v>621</v>
      </c>
      <c r="AY199" s="37"/>
      <c r="AZ199" s="37">
        <f>developmentdata2019[[#This Row],[NUMBER OF CURRENT APARTMENTS]]*5/2000</f>
        <v>0.69</v>
      </c>
      <c r="BA199" s="37">
        <f>developmentdata2019[[#This Row],[Total]]*BA$1</f>
        <v>0.1794</v>
      </c>
      <c r="BB199" s="37">
        <f>developmentdata2019[[#This Row],[Trash (tons/day)]]*BB$1</f>
        <v>3.4085999999999998E-2</v>
      </c>
      <c r="BC199" s="37">
        <f>developmentdata2019[[#This Row],[MGP (tons/day)]]*BC$1</f>
        <v>2.38602E-3</v>
      </c>
      <c r="BD199" s="37">
        <f>developmentdata2019[[#This Row],[Cardboard (tons/day)]]*BD$1</f>
        <v>1.6702140000000003E-4</v>
      </c>
      <c r="BE199" s="37">
        <f>developmentdata2019[[#This Row],[Paper (tons/day)]]*BE$1</f>
        <v>5.3446848000000009E-5</v>
      </c>
      <c r="BF199" s="37">
        <f>developmentdata2019[[#This Row],[Organics (tons/day)]]*BF$1</f>
        <v>5.3446848000000014E-7</v>
      </c>
      <c r="BG199" s="37">
        <f>developmentdata2019[[#This Row],[E-Waste (tons/day)]]*BG$1</f>
        <v>4.2757478400000011E-8</v>
      </c>
      <c r="BH199" s="37">
        <f>developmentdata2019[[#This Row],[Trash (tons/day)]]*BH$1</f>
        <v>3.77637</v>
      </c>
      <c r="BI199" s="37">
        <f>developmentdata2019[[#This Row],[MGP (tons/day)]]*BI$1</f>
        <v>0.61422971999999998</v>
      </c>
      <c r="BJ199" s="37">
        <f>developmentdata2019[[#This Row],[Cardboard (tons/day)]]*BJ$1</f>
        <v>6.3635153400000005E-2</v>
      </c>
      <c r="BK199" s="37">
        <f>developmentdata2019[[#This Row],[Paper (tons/day)]]*BK$1</f>
        <v>1.0338624660000003E-3</v>
      </c>
      <c r="BL199" s="37">
        <f>developmentdata2019[[#This Row],[Organics (tons/day)]]*BL$1</f>
        <v>2.3089038336000006E-4</v>
      </c>
      <c r="BM199" s="37">
        <f>developmentdata2019[[#This Row],[E-Waste (tons/day)]]*BM$1</f>
        <v>3.0197469120000008E-6</v>
      </c>
      <c r="BN199" s="37">
        <f>developmentdata2019[[#This Row],[Textiles (tons/day)]]*BN$1</f>
        <v>5.6995718707200009E-7</v>
      </c>
      <c r="BO199" s="37">
        <f>developmentdata2019[[#This Row],[Trash (CY/day)]]*201.974</f>
        <v>762.72855437999999</v>
      </c>
      <c r="BP199" s="37">
        <f>developmentdata2019[[#This Row],[MGP (CY/day)]]*201.974</f>
        <v>124.05843346727998</v>
      </c>
      <c r="BQ199" s="37">
        <f>developmentdata2019[[#This Row],[Cardboard (CY/day)]]*201.974</f>
        <v>12.8526464728116</v>
      </c>
      <c r="BR199" s="37">
        <f>developmentdata2019[[#This Row],[Paper  (CY/day)]]*201.974</f>
        <v>0.20881333770788404</v>
      </c>
      <c r="BS199" s="37">
        <f>developmentdata2019[[#This Row],[Organics (CY/day)]]*201.974</f>
        <v>4.6633854288752649E-2</v>
      </c>
      <c r="BT199" s="37">
        <f>developmentdata2019[[#This Row],[E-Waste (CY/day)]]*201.974</f>
        <v>6.099103628042881E-4</v>
      </c>
      <c r="BU199" s="37">
        <f>developmentdata2019[[#This Row],[Textiles (CY/day)]]*201.974</f>
        <v>1.1511653290168014E-4</v>
      </c>
    </row>
    <row r="200" spans="1:73" x14ac:dyDescent="0.2">
      <c r="A200" s="37" t="s">
        <v>478</v>
      </c>
      <c r="B200" s="115">
        <v>43466</v>
      </c>
      <c r="C200" s="37" t="s">
        <v>1510</v>
      </c>
      <c r="D200">
        <v>43</v>
      </c>
      <c r="E200">
        <v>36</v>
      </c>
      <c r="F200">
        <v>585</v>
      </c>
      <c r="G200">
        <v>585</v>
      </c>
      <c r="H200" s="37" t="s">
        <v>1511</v>
      </c>
      <c r="I200" s="37" t="s">
        <v>577</v>
      </c>
      <c r="J200" s="37" t="s">
        <v>578</v>
      </c>
      <c r="K200" s="37" t="s">
        <v>579</v>
      </c>
      <c r="M200">
        <v>1146</v>
      </c>
      <c r="N200">
        <v>1148</v>
      </c>
      <c r="O200">
        <v>4966</v>
      </c>
      <c r="P200">
        <v>4.33</v>
      </c>
      <c r="R200">
        <v>2327</v>
      </c>
      <c r="S200">
        <v>2327</v>
      </c>
      <c r="T200">
        <v>463</v>
      </c>
      <c r="U200">
        <v>0.41</v>
      </c>
      <c r="V200">
        <v>16</v>
      </c>
      <c r="W200">
        <v>1</v>
      </c>
      <c r="X200">
        <v>33</v>
      </c>
      <c r="Y200">
        <v>6</v>
      </c>
      <c r="Z200">
        <v>1036600</v>
      </c>
      <c r="AA200">
        <v>23.8</v>
      </c>
      <c r="AB200">
        <v>1036600</v>
      </c>
      <c r="AC200">
        <v>23.8</v>
      </c>
      <c r="AD200">
        <v>177223</v>
      </c>
      <c r="AE200">
        <v>9377365</v>
      </c>
      <c r="AF200">
        <v>0.17100000000000001</v>
      </c>
      <c r="AG200">
        <v>98</v>
      </c>
      <c r="AH200">
        <v>13817794</v>
      </c>
      <c r="AI200">
        <v>2779</v>
      </c>
      <c r="AJ200">
        <v>516</v>
      </c>
      <c r="AK200" s="37" t="s">
        <v>1438</v>
      </c>
      <c r="AL200" s="37" t="s">
        <v>1512</v>
      </c>
      <c r="AM200" s="37" t="s">
        <v>1440</v>
      </c>
      <c r="AN200" s="37" t="s">
        <v>1513</v>
      </c>
      <c r="AO200" s="37" t="s">
        <v>593</v>
      </c>
      <c r="AP200">
        <v>15</v>
      </c>
      <c r="AQ200">
        <v>9</v>
      </c>
      <c r="AR200">
        <v>19</v>
      </c>
      <c r="AS200">
        <v>41</v>
      </c>
      <c r="AT200">
        <v>46</v>
      </c>
      <c r="AU200" s="115">
        <v>18611</v>
      </c>
      <c r="AV200" s="37" t="s">
        <v>1191</v>
      </c>
      <c r="AW200" s="37"/>
      <c r="AX200" s="37"/>
      <c r="AY200" s="37"/>
      <c r="AZ200" s="37">
        <f>developmentdata2019[[#This Row],[NUMBER OF CURRENT APARTMENTS]]*5/2000</f>
        <v>2.8650000000000002</v>
      </c>
      <c r="BA200" s="37">
        <f>developmentdata2019[[#This Row],[Total]]*BA$1</f>
        <v>0.74490000000000012</v>
      </c>
      <c r="BB200" s="37">
        <f>developmentdata2019[[#This Row],[Trash (tons/day)]]*BB$1</f>
        <v>0.14153100000000002</v>
      </c>
      <c r="BC200" s="37">
        <f>developmentdata2019[[#This Row],[MGP (tons/day)]]*BC$1</f>
        <v>9.9071700000000016E-3</v>
      </c>
      <c r="BD200" s="37">
        <f>developmentdata2019[[#This Row],[Cardboard (tons/day)]]*BD$1</f>
        <v>6.9350190000000021E-4</v>
      </c>
      <c r="BE200" s="37">
        <f>developmentdata2019[[#This Row],[Paper (tons/day)]]*BE$1</f>
        <v>2.2192060800000008E-4</v>
      </c>
      <c r="BF200" s="37">
        <f>developmentdata2019[[#This Row],[Organics (tons/day)]]*BF$1</f>
        <v>2.2192060800000007E-6</v>
      </c>
      <c r="BG200" s="37">
        <f>developmentdata2019[[#This Row],[E-Waste (tons/day)]]*BG$1</f>
        <v>1.7753648640000006E-7</v>
      </c>
      <c r="BH200" s="37">
        <f>developmentdata2019[[#This Row],[Trash (tons/day)]]*BH$1</f>
        <v>15.680145000000003</v>
      </c>
      <c r="BI200" s="37">
        <f>developmentdata2019[[#This Row],[MGP (tons/day)]]*BI$1</f>
        <v>2.5503886200000001</v>
      </c>
      <c r="BJ200" s="37">
        <f>developmentdata2019[[#This Row],[Cardboard (tons/day)]]*BJ$1</f>
        <v>0.26422422390000005</v>
      </c>
      <c r="BK200" s="37">
        <f>developmentdata2019[[#This Row],[Paper (tons/day)]]*BK$1</f>
        <v>4.2927767610000016E-3</v>
      </c>
      <c r="BL200" s="37">
        <f>developmentdata2019[[#This Row],[Organics (tons/day)]]*BL$1</f>
        <v>9.586970265600004E-4</v>
      </c>
      <c r="BM200" s="37">
        <f>developmentdata2019[[#This Row],[E-Waste (tons/day)]]*BM$1</f>
        <v>1.2538514352000005E-5</v>
      </c>
      <c r="BN200" s="37">
        <f>developmentdata2019[[#This Row],[Textiles (tons/day)]]*BN$1</f>
        <v>2.3665613637120007E-6</v>
      </c>
      <c r="BO200" s="37">
        <f>developmentdata2019[[#This Row],[Trash (CY/day)]]*201.974</f>
        <v>3166.9816062300006</v>
      </c>
      <c r="BP200" s="37">
        <f>developmentdata2019[[#This Row],[MGP (CY/day)]]*201.974</f>
        <v>515.11219113588004</v>
      </c>
      <c r="BQ200" s="37">
        <f>developmentdata2019[[#This Row],[Cardboard (CY/day)]]*201.974</f>
        <v>53.366423397978608</v>
      </c>
      <c r="BR200" s="37">
        <f>developmentdata2019[[#This Row],[Paper  (CY/day)]]*201.974</f>
        <v>0.86702929352621427</v>
      </c>
      <c r="BS200" s="37">
        <f>developmentdata2019[[#This Row],[Organics (CY/day)]]*201.974</f>
        <v>0.1936318732424295</v>
      </c>
      <c r="BT200" s="37">
        <f>developmentdata2019[[#This Row],[E-Waste (CY/day)]]*201.974</f>
        <v>2.5324538977308489E-3</v>
      </c>
      <c r="BU200" s="37">
        <f>developmentdata2019[[#This Row],[Textiles (CY/day)]]*201.974</f>
        <v>4.7798386487436762E-4</v>
      </c>
    </row>
    <row r="201" spans="1:73" x14ac:dyDescent="0.2">
      <c r="A201" s="37" t="s">
        <v>1514</v>
      </c>
      <c r="B201" s="115">
        <v>43466</v>
      </c>
      <c r="C201" s="37" t="s">
        <v>1515</v>
      </c>
      <c r="D201">
        <v>51</v>
      </c>
      <c r="E201">
        <v>165</v>
      </c>
      <c r="F201">
        <v>573</v>
      </c>
      <c r="G201">
        <v>571</v>
      </c>
      <c r="H201" s="37" t="s">
        <v>1516</v>
      </c>
      <c r="I201" s="37" t="s">
        <v>577</v>
      </c>
      <c r="J201" s="37" t="s">
        <v>578</v>
      </c>
      <c r="K201" s="37" t="s">
        <v>579</v>
      </c>
      <c r="M201">
        <v>417</v>
      </c>
      <c r="N201">
        <v>418</v>
      </c>
      <c r="O201">
        <v>1766.5</v>
      </c>
      <c r="P201">
        <v>4.24</v>
      </c>
      <c r="R201">
        <v>837</v>
      </c>
      <c r="S201">
        <v>837</v>
      </c>
      <c r="T201">
        <v>140</v>
      </c>
      <c r="U201">
        <v>0.34</v>
      </c>
      <c r="V201">
        <v>7</v>
      </c>
      <c r="W201">
        <v>0</v>
      </c>
      <c r="X201">
        <v>14</v>
      </c>
      <c r="Y201">
        <v>6</v>
      </c>
      <c r="Z201">
        <v>354220</v>
      </c>
      <c r="AA201">
        <v>8.1300000000000008</v>
      </c>
      <c r="AB201">
        <v>310500</v>
      </c>
      <c r="AC201">
        <v>7.13</v>
      </c>
      <c r="AD201">
        <v>66101</v>
      </c>
      <c r="AE201">
        <v>3931321</v>
      </c>
      <c r="AF201">
        <v>0.18659999999999999</v>
      </c>
      <c r="AG201">
        <v>103</v>
      </c>
      <c r="AH201">
        <v>5137275</v>
      </c>
      <c r="AI201">
        <v>2901</v>
      </c>
      <c r="AJ201">
        <v>548</v>
      </c>
      <c r="AK201" s="37" t="s">
        <v>1517</v>
      </c>
      <c r="AL201" s="37" t="s">
        <v>1518</v>
      </c>
      <c r="AM201" s="37" t="s">
        <v>902</v>
      </c>
      <c r="AN201" s="37" t="s">
        <v>1519</v>
      </c>
      <c r="AO201" s="37" t="s">
        <v>703</v>
      </c>
      <c r="AP201">
        <v>14</v>
      </c>
      <c r="AQ201">
        <v>5</v>
      </c>
      <c r="AR201">
        <v>10</v>
      </c>
      <c r="AS201">
        <v>31</v>
      </c>
      <c r="AT201">
        <v>31</v>
      </c>
      <c r="AU201" s="115">
        <v>18687</v>
      </c>
      <c r="AV201" s="37" t="s">
        <v>1026</v>
      </c>
      <c r="AW201" s="37"/>
      <c r="AX201" s="37"/>
      <c r="AY201" s="37"/>
      <c r="AZ201" s="37">
        <f>developmentdata2019[[#This Row],[NUMBER OF CURRENT APARTMENTS]]*5/2000</f>
        <v>1.0425</v>
      </c>
      <c r="BA201" s="37">
        <f>developmentdata2019[[#This Row],[Total]]*BA$1</f>
        <v>0.27105000000000001</v>
      </c>
      <c r="BB201" s="37">
        <f>developmentdata2019[[#This Row],[Trash (tons/day)]]*BB$1</f>
        <v>5.1499500000000004E-2</v>
      </c>
      <c r="BC201" s="37">
        <f>developmentdata2019[[#This Row],[MGP (tons/day)]]*BC$1</f>
        <v>3.6049650000000008E-3</v>
      </c>
      <c r="BD201" s="37">
        <f>developmentdata2019[[#This Row],[Cardboard (tons/day)]]*BD$1</f>
        <v>2.5234755000000007E-4</v>
      </c>
      <c r="BE201" s="37">
        <f>developmentdata2019[[#This Row],[Paper (tons/day)]]*BE$1</f>
        <v>8.0751216000000018E-5</v>
      </c>
      <c r="BF201" s="37">
        <f>developmentdata2019[[#This Row],[Organics (tons/day)]]*BF$1</f>
        <v>8.0751216000000017E-7</v>
      </c>
      <c r="BG201" s="37">
        <f>developmentdata2019[[#This Row],[E-Waste (tons/day)]]*BG$1</f>
        <v>6.4600972800000015E-8</v>
      </c>
      <c r="BH201" s="37">
        <f>developmentdata2019[[#This Row],[Trash (tons/day)]]*BH$1</f>
        <v>5.7056025000000004</v>
      </c>
      <c r="BI201" s="37">
        <f>developmentdata2019[[#This Row],[MGP (tons/day)]]*BI$1</f>
        <v>0.92802099000000005</v>
      </c>
      <c r="BJ201" s="37">
        <f>developmentdata2019[[#This Row],[Cardboard (tons/day)]]*BJ$1</f>
        <v>9.6144416550000028E-2</v>
      </c>
      <c r="BK201" s="37">
        <f>developmentdata2019[[#This Row],[Paper (tons/day)]]*BK$1</f>
        <v>1.5620313345000006E-3</v>
      </c>
      <c r="BL201" s="37">
        <f>developmentdata2019[[#This Row],[Organics (tons/day)]]*BL$1</f>
        <v>3.4884525312000008E-4</v>
      </c>
      <c r="BM201" s="37">
        <f>developmentdata2019[[#This Row],[E-Waste (tons/day)]]*BM$1</f>
        <v>4.5624437040000016E-6</v>
      </c>
      <c r="BN201" s="37">
        <f>developmentdata2019[[#This Row],[Textiles (tons/day)]]*BN$1</f>
        <v>8.6113096742400023E-7</v>
      </c>
      <c r="BO201" s="37">
        <f>developmentdata2019[[#This Row],[Trash (CY/day)]]*201.974</f>
        <v>1152.383359335</v>
      </c>
      <c r="BP201" s="37">
        <f>developmentdata2019[[#This Row],[MGP (CY/day)]]*201.974</f>
        <v>187.43611143426</v>
      </c>
      <c r="BQ201" s="37">
        <f>developmentdata2019[[#This Row],[Cardboard (CY/day)]]*201.974</f>
        <v>19.418672388269705</v>
      </c>
      <c r="BR201" s="37">
        <f>developmentdata2019[[#This Row],[Paper  (CY/day)]]*201.974</f>
        <v>0.3154897167543031</v>
      </c>
      <c r="BS201" s="37">
        <f>developmentdata2019[[#This Row],[Organics (CY/day)]]*201.974</f>
        <v>7.0457671153658891E-2</v>
      </c>
      <c r="BT201" s="37">
        <f>developmentdata2019[[#This Row],[E-Waste (CY/day)]]*201.974</f>
        <v>9.2149500467169623E-4</v>
      </c>
      <c r="BU201" s="37">
        <f>developmentdata2019[[#This Row],[Textiles (CY/day)]]*201.974</f>
        <v>1.7392606601449501E-4</v>
      </c>
    </row>
    <row r="202" spans="1:73" x14ac:dyDescent="0.2">
      <c r="A202" s="37" t="s">
        <v>1520</v>
      </c>
      <c r="B202" s="115">
        <v>43466</v>
      </c>
      <c r="C202" s="37" t="s">
        <v>1521</v>
      </c>
      <c r="D202">
        <v>162</v>
      </c>
      <c r="E202">
        <v>162</v>
      </c>
      <c r="F202">
        <v>269</v>
      </c>
      <c r="G202">
        <v>269</v>
      </c>
      <c r="H202" s="37" t="s">
        <v>1522</v>
      </c>
      <c r="I202" s="37" t="s">
        <v>577</v>
      </c>
      <c r="J202" s="37" t="s">
        <v>578</v>
      </c>
      <c r="K202" s="37" t="s">
        <v>579</v>
      </c>
      <c r="M202">
        <v>238</v>
      </c>
      <c r="N202">
        <v>238</v>
      </c>
      <c r="O202">
        <v>1077</v>
      </c>
      <c r="P202">
        <v>4.53</v>
      </c>
      <c r="R202">
        <v>640</v>
      </c>
      <c r="S202">
        <v>640</v>
      </c>
      <c r="T202">
        <v>62</v>
      </c>
      <c r="U202">
        <v>0.26600000000000001</v>
      </c>
      <c r="V202">
        <v>3</v>
      </c>
      <c r="W202">
        <v>1</v>
      </c>
      <c r="X202">
        <v>4</v>
      </c>
      <c r="Y202">
        <v>14</v>
      </c>
      <c r="Z202">
        <v>112916</v>
      </c>
      <c r="AA202">
        <v>2.59</v>
      </c>
      <c r="AB202">
        <v>112916</v>
      </c>
      <c r="AC202">
        <v>2.59</v>
      </c>
      <c r="AD202">
        <v>16412</v>
      </c>
      <c r="AE202">
        <v>2178743</v>
      </c>
      <c r="AF202">
        <v>0.14530000000000001</v>
      </c>
      <c r="AG202">
        <v>247</v>
      </c>
      <c r="AH202">
        <v>4875929</v>
      </c>
      <c r="AI202">
        <v>4527</v>
      </c>
      <c r="AJ202">
        <v>684</v>
      </c>
      <c r="AK202" s="37" t="s">
        <v>1020</v>
      </c>
      <c r="AL202" s="37" t="s">
        <v>1523</v>
      </c>
      <c r="AM202" s="37" t="s">
        <v>851</v>
      </c>
      <c r="AN202" s="37" t="s">
        <v>1331</v>
      </c>
      <c r="AO202" s="37" t="s">
        <v>593</v>
      </c>
      <c r="AP202">
        <v>16</v>
      </c>
      <c r="AQ202">
        <v>8</v>
      </c>
      <c r="AR202">
        <v>18</v>
      </c>
      <c r="AS202">
        <v>55</v>
      </c>
      <c r="AT202">
        <v>37</v>
      </c>
      <c r="AU202" s="115">
        <v>24928</v>
      </c>
      <c r="AV202" s="37"/>
      <c r="AW202" s="37"/>
      <c r="AX202" s="37"/>
      <c r="AY202" s="37"/>
      <c r="AZ202" s="37">
        <f>developmentdata2019[[#This Row],[NUMBER OF CURRENT APARTMENTS]]*5/2000</f>
        <v>0.59499999999999997</v>
      </c>
      <c r="BA202" s="37">
        <f>developmentdata2019[[#This Row],[Total]]*BA$1</f>
        <v>0.1547</v>
      </c>
      <c r="BB202" s="37">
        <f>developmentdata2019[[#This Row],[Trash (tons/day)]]*BB$1</f>
        <v>2.9393000000000002E-2</v>
      </c>
      <c r="BC202" s="37">
        <f>developmentdata2019[[#This Row],[MGP (tons/day)]]*BC$1</f>
        <v>2.0575100000000002E-3</v>
      </c>
      <c r="BD202" s="37">
        <f>developmentdata2019[[#This Row],[Cardboard (tons/day)]]*BD$1</f>
        <v>1.4402570000000004E-4</v>
      </c>
      <c r="BE202" s="37">
        <f>developmentdata2019[[#This Row],[Paper (tons/day)]]*BE$1</f>
        <v>4.6088224000000016E-5</v>
      </c>
      <c r="BF202" s="37">
        <f>developmentdata2019[[#This Row],[Organics (tons/day)]]*BF$1</f>
        <v>4.6088224000000017E-7</v>
      </c>
      <c r="BG202" s="37">
        <f>developmentdata2019[[#This Row],[E-Waste (tons/day)]]*BG$1</f>
        <v>3.6870579200000011E-8</v>
      </c>
      <c r="BH202" s="37">
        <f>developmentdata2019[[#This Row],[Trash (tons/day)]]*BH$1</f>
        <v>3.2564350000000002</v>
      </c>
      <c r="BI202" s="37">
        <f>developmentdata2019[[#This Row],[MGP (tons/day)]]*BI$1</f>
        <v>0.52966186000000004</v>
      </c>
      <c r="BJ202" s="37">
        <f>developmentdata2019[[#This Row],[Cardboard (tons/day)]]*BJ$1</f>
        <v>5.4873791700000007E-2</v>
      </c>
      <c r="BK202" s="37">
        <f>developmentdata2019[[#This Row],[Paper (tons/day)]]*BK$1</f>
        <v>8.9151908300000033E-4</v>
      </c>
      <c r="BL202" s="37">
        <f>developmentdata2019[[#This Row],[Organics (tons/day)]]*BL$1</f>
        <v>1.9910112768000009E-4</v>
      </c>
      <c r="BM202" s="37">
        <f>developmentdata2019[[#This Row],[E-Waste (tons/day)]]*BM$1</f>
        <v>2.6039846560000011E-6</v>
      </c>
      <c r="BN202" s="37">
        <f>developmentdata2019[[#This Row],[Textiles (tons/day)]]*BN$1</f>
        <v>4.9148482073600013E-7</v>
      </c>
      <c r="BO202" s="37">
        <f>developmentdata2019[[#This Row],[Trash (CY/day)]]*201.974</f>
        <v>657.71520268999996</v>
      </c>
      <c r="BP202" s="37">
        <f>developmentdata2019[[#This Row],[MGP (CY/day)]]*201.974</f>
        <v>106.97792451164</v>
      </c>
      <c r="BQ202" s="37">
        <f>developmentdata2019[[#This Row],[Cardboard (CY/day)]]*201.974</f>
        <v>11.083079204815801</v>
      </c>
      <c r="BR202" s="37">
        <f>developmentdata2019[[#This Row],[Paper  (CY/day)]]*201.974</f>
        <v>0.18006367526984207</v>
      </c>
      <c r="BS202" s="37">
        <f>developmentdata2019[[#This Row],[Organics (CY/day)]]*201.974</f>
        <v>4.0213251162040338E-2</v>
      </c>
      <c r="BT202" s="37">
        <f>developmentdata2019[[#This Row],[E-Waste (CY/day)]]*201.974</f>
        <v>5.2593719691094423E-4</v>
      </c>
      <c r="BU202" s="37">
        <f>developmentdata2019[[#This Row],[Textiles (CY/day)]]*201.974</f>
        <v>9.9267155183332883E-5</v>
      </c>
    </row>
    <row r="203" spans="1:73" x14ac:dyDescent="0.2">
      <c r="A203" s="37" t="s">
        <v>1524</v>
      </c>
      <c r="B203" s="115">
        <v>43466</v>
      </c>
      <c r="C203" s="37" t="s">
        <v>999</v>
      </c>
      <c r="D203">
        <v>313</v>
      </c>
      <c r="E203">
        <v>351</v>
      </c>
      <c r="F203">
        <v>287</v>
      </c>
      <c r="G203">
        <v>765</v>
      </c>
      <c r="H203" s="37" t="s">
        <v>1525</v>
      </c>
      <c r="I203" s="37" t="s">
        <v>577</v>
      </c>
      <c r="J203" s="37" t="s">
        <v>588</v>
      </c>
      <c r="K203" s="37" t="s">
        <v>597</v>
      </c>
      <c r="M203">
        <v>125</v>
      </c>
      <c r="N203">
        <v>125</v>
      </c>
      <c r="O203">
        <v>540.5</v>
      </c>
      <c r="P203">
        <v>4.32</v>
      </c>
      <c r="R203">
        <v>304</v>
      </c>
      <c r="S203">
        <v>304</v>
      </c>
      <c r="T203">
        <v>16</v>
      </c>
      <c r="U203">
        <v>0.13100000000000001</v>
      </c>
      <c r="V203">
        <v>5</v>
      </c>
      <c r="W203">
        <v>0</v>
      </c>
      <c r="X203">
        <v>5</v>
      </c>
      <c r="Y203">
        <v>4</v>
      </c>
      <c r="Z203">
        <v>242141</v>
      </c>
      <c r="AA203">
        <v>5.56</v>
      </c>
      <c r="AB203">
        <v>242141</v>
      </c>
      <c r="AC203">
        <v>5.56</v>
      </c>
      <c r="AD203">
        <v>78188</v>
      </c>
      <c r="AE203">
        <v>2000000</v>
      </c>
      <c r="AF203">
        <v>0.32290000000000002</v>
      </c>
      <c r="AG203">
        <v>55</v>
      </c>
      <c r="AH203">
        <v>8068686</v>
      </c>
      <c r="AI203">
        <v>14942</v>
      </c>
      <c r="AJ203">
        <v>599</v>
      </c>
      <c r="AK203" s="37" t="s">
        <v>833</v>
      </c>
      <c r="AL203" s="37" t="s">
        <v>708</v>
      </c>
      <c r="AM203" s="37" t="s">
        <v>1526</v>
      </c>
      <c r="AN203" s="37" t="s">
        <v>1527</v>
      </c>
      <c r="AO203" s="37" t="s">
        <v>593</v>
      </c>
      <c r="AP203">
        <v>16</v>
      </c>
      <c r="AQ203">
        <v>8</v>
      </c>
      <c r="AR203">
        <v>25</v>
      </c>
      <c r="AS203">
        <v>55</v>
      </c>
      <c r="AT203">
        <v>41</v>
      </c>
      <c r="AU203" s="115">
        <v>31726</v>
      </c>
      <c r="AV203" s="37"/>
      <c r="AW203" s="37"/>
      <c r="AX203" s="37" t="s">
        <v>621</v>
      </c>
      <c r="AY203" s="37"/>
      <c r="AZ203" s="37">
        <f>developmentdata2019[[#This Row],[NUMBER OF CURRENT APARTMENTS]]*5/2000</f>
        <v>0.3125</v>
      </c>
      <c r="BA203" s="37">
        <f>developmentdata2019[[#This Row],[Total]]*BA$1</f>
        <v>8.1250000000000003E-2</v>
      </c>
      <c r="BB203" s="37">
        <f>developmentdata2019[[#This Row],[Trash (tons/day)]]*BB$1</f>
        <v>1.5437500000000002E-2</v>
      </c>
      <c r="BC203" s="37">
        <f>developmentdata2019[[#This Row],[MGP (tons/day)]]*BC$1</f>
        <v>1.0806250000000002E-3</v>
      </c>
      <c r="BD203" s="37">
        <f>developmentdata2019[[#This Row],[Cardboard (tons/day)]]*BD$1</f>
        <v>7.5643750000000019E-5</v>
      </c>
      <c r="BE203" s="37">
        <f>developmentdata2019[[#This Row],[Paper (tons/day)]]*BE$1</f>
        <v>2.4206000000000005E-5</v>
      </c>
      <c r="BF203" s="37">
        <f>developmentdata2019[[#This Row],[Organics (tons/day)]]*BF$1</f>
        <v>2.4206000000000004E-7</v>
      </c>
      <c r="BG203" s="37">
        <f>developmentdata2019[[#This Row],[E-Waste (tons/day)]]*BG$1</f>
        <v>1.9364800000000004E-8</v>
      </c>
      <c r="BH203" s="37">
        <f>developmentdata2019[[#This Row],[Trash (tons/day)]]*BH$1</f>
        <v>1.7103125000000001</v>
      </c>
      <c r="BI203" s="37">
        <f>developmentdata2019[[#This Row],[MGP (tons/day)]]*BI$1</f>
        <v>0.27818375000000001</v>
      </c>
      <c r="BJ203" s="37">
        <f>developmentdata2019[[#This Row],[Cardboard (tons/day)]]*BJ$1</f>
        <v>2.8820268750000006E-2</v>
      </c>
      <c r="BK203" s="37">
        <f>developmentdata2019[[#This Row],[Paper (tons/day)]]*BK$1</f>
        <v>4.6823481250000016E-4</v>
      </c>
      <c r="BL203" s="37">
        <f>developmentdata2019[[#This Row],[Organics (tons/day)]]*BL$1</f>
        <v>1.0456992000000003E-4</v>
      </c>
      <c r="BM203" s="37">
        <f>developmentdata2019[[#This Row],[E-Waste (tons/day)]]*BM$1</f>
        <v>1.3676390000000003E-6</v>
      </c>
      <c r="BN203" s="37">
        <f>developmentdata2019[[#This Row],[Textiles (tons/day)]]*BN$1</f>
        <v>2.5813278400000004E-7</v>
      </c>
      <c r="BO203" s="37">
        <f>developmentdata2019[[#This Row],[Trash (CY/day)]]*201.974</f>
        <v>345.43865687499999</v>
      </c>
      <c r="BP203" s="37">
        <f>developmentdata2019[[#This Row],[MGP (CY/day)]]*201.974</f>
        <v>56.185884722499999</v>
      </c>
      <c r="BQ203" s="37">
        <f>developmentdata2019[[#This Row],[Cardboard (CY/day)]]*201.974</f>
        <v>5.8209449605125005</v>
      </c>
      <c r="BR203" s="37">
        <f>developmentdata2019[[#This Row],[Paper  (CY/day)]]*201.974</f>
        <v>9.4571258019875024E-2</v>
      </c>
      <c r="BS203" s="37">
        <f>developmentdata2019[[#This Row],[Organics (CY/day)]]*201.974</f>
        <v>2.1120405022080006E-2</v>
      </c>
      <c r="BT203" s="37">
        <f>developmentdata2019[[#This Row],[E-Waste (CY/day)]]*201.974</f>
        <v>2.7622751938600007E-4</v>
      </c>
      <c r="BU203" s="37">
        <f>developmentdata2019[[#This Row],[Textiles (CY/day)]]*201.974</f>
        <v>5.2136110915616003E-5</v>
      </c>
    </row>
    <row r="204" spans="1:73" x14ac:dyDescent="0.2">
      <c r="A204" s="37" t="s">
        <v>1528</v>
      </c>
      <c r="B204" s="115">
        <v>43466</v>
      </c>
      <c r="C204" s="37" t="s">
        <v>974</v>
      </c>
      <c r="D204">
        <v>172</v>
      </c>
      <c r="E204">
        <v>172</v>
      </c>
      <c r="F204">
        <v>582</v>
      </c>
      <c r="G204">
        <v>582</v>
      </c>
      <c r="H204" s="37" t="s">
        <v>1529</v>
      </c>
      <c r="I204" s="37" t="s">
        <v>577</v>
      </c>
      <c r="J204" s="37" t="s">
        <v>578</v>
      </c>
      <c r="K204" s="37" t="s">
        <v>579</v>
      </c>
      <c r="M204">
        <v>570</v>
      </c>
      <c r="N204">
        <v>573</v>
      </c>
      <c r="O204">
        <v>2204</v>
      </c>
      <c r="P204">
        <v>3.87</v>
      </c>
      <c r="R204">
        <v>947</v>
      </c>
      <c r="S204">
        <v>947</v>
      </c>
      <c r="T204">
        <v>305</v>
      </c>
      <c r="U204">
        <v>0.54400000000000004</v>
      </c>
      <c r="V204">
        <v>6</v>
      </c>
      <c r="W204">
        <v>1</v>
      </c>
      <c r="X204">
        <v>7</v>
      </c>
      <c r="Y204" t="s">
        <v>1530</v>
      </c>
      <c r="Z204">
        <v>276010</v>
      </c>
      <c r="AA204">
        <v>6.34</v>
      </c>
      <c r="AB204">
        <v>276010</v>
      </c>
      <c r="AC204">
        <v>6.34</v>
      </c>
      <c r="AD204">
        <v>34501</v>
      </c>
      <c r="AE204">
        <v>5421328</v>
      </c>
      <c r="AF204">
        <v>0.125</v>
      </c>
      <c r="AG204">
        <v>149</v>
      </c>
      <c r="AH204">
        <v>15000000</v>
      </c>
      <c r="AI204">
        <v>6649</v>
      </c>
      <c r="AJ204">
        <v>525</v>
      </c>
      <c r="AK204" s="37" t="s">
        <v>965</v>
      </c>
      <c r="AL204" s="37" t="s">
        <v>898</v>
      </c>
      <c r="AM204" s="37" t="s">
        <v>976</v>
      </c>
      <c r="AN204" s="37" t="s">
        <v>972</v>
      </c>
      <c r="AO204" s="37" t="s">
        <v>593</v>
      </c>
      <c r="AP204">
        <v>13</v>
      </c>
      <c r="AQ204">
        <v>8</v>
      </c>
      <c r="AR204">
        <v>23</v>
      </c>
      <c r="AS204">
        <v>46</v>
      </c>
      <c r="AT204">
        <v>47</v>
      </c>
      <c r="AU204" s="115">
        <v>25568</v>
      </c>
      <c r="AV204" s="37" t="s">
        <v>1185</v>
      </c>
      <c r="AW204" s="37"/>
      <c r="AX204" s="37"/>
      <c r="AY204" s="37"/>
      <c r="AZ204" s="37">
        <f>developmentdata2019[[#This Row],[NUMBER OF CURRENT APARTMENTS]]*5/2000</f>
        <v>1.425</v>
      </c>
      <c r="BA204" s="37">
        <f>developmentdata2019[[#This Row],[Total]]*BA$1</f>
        <v>0.37050000000000005</v>
      </c>
      <c r="BB204" s="37">
        <f>developmentdata2019[[#This Row],[Trash (tons/day)]]*BB$1</f>
        <v>7.0395000000000013E-2</v>
      </c>
      <c r="BC204" s="37">
        <f>developmentdata2019[[#This Row],[MGP (tons/day)]]*BC$1</f>
        <v>4.9276500000000013E-3</v>
      </c>
      <c r="BD204" s="37">
        <f>developmentdata2019[[#This Row],[Cardboard (tons/day)]]*BD$1</f>
        <v>3.4493550000000011E-4</v>
      </c>
      <c r="BE204" s="37">
        <f>developmentdata2019[[#This Row],[Paper (tons/day)]]*BE$1</f>
        <v>1.1037936000000003E-4</v>
      </c>
      <c r="BF204" s="37">
        <f>developmentdata2019[[#This Row],[Organics (tons/day)]]*BF$1</f>
        <v>1.1037936000000004E-6</v>
      </c>
      <c r="BG204" s="37">
        <f>developmentdata2019[[#This Row],[E-Waste (tons/day)]]*BG$1</f>
        <v>8.830348800000003E-8</v>
      </c>
      <c r="BH204" s="37">
        <f>developmentdata2019[[#This Row],[Trash (tons/day)]]*BH$1</f>
        <v>7.7990250000000012</v>
      </c>
      <c r="BI204" s="37">
        <f>developmentdata2019[[#This Row],[MGP (tons/day)]]*BI$1</f>
        <v>1.2685179000000002</v>
      </c>
      <c r="BJ204" s="37">
        <f>developmentdata2019[[#This Row],[Cardboard (tons/day)]]*BJ$1</f>
        <v>0.13142042550000005</v>
      </c>
      <c r="BK204" s="37">
        <f>developmentdata2019[[#This Row],[Paper (tons/day)]]*BK$1</f>
        <v>2.1351507450000006E-3</v>
      </c>
      <c r="BL204" s="37">
        <f>developmentdata2019[[#This Row],[Organics (tons/day)]]*BL$1</f>
        <v>4.7683883520000019E-4</v>
      </c>
      <c r="BM204" s="37">
        <f>developmentdata2019[[#This Row],[E-Waste (tons/day)]]*BM$1</f>
        <v>6.2364338400000026E-6</v>
      </c>
      <c r="BN204" s="37">
        <f>developmentdata2019[[#This Row],[Textiles (tons/day)]]*BN$1</f>
        <v>1.1770854950400004E-6</v>
      </c>
      <c r="BO204" s="37">
        <f>developmentdata2019[[#This Row],[Trash (CY/day)]]*201.974</f>
        <v>1575.2002753500001</v>
      </c>
      <c r="BP204" s="37">
        <f>developmentdata2019[[#This Row],[MGP (CY/day)]]*201.974</f>
        <v>256.20763433460002</v>
      </c>
      <c r="BQ204" s="37">
        <f>developmentdata2019[[#This Row],[Cardboard (CY/day)]]*201.974</f>
        <v>26.543509019937009</v>
      </c>
      <c r="BR204" s="37">
        <f>developmentdata2019[[#This Row],[Paper  (CY/day)]]*201.974</f>
        <v>0.43124493657063012</v>
      </c>
      <c r="BS204" s="37">
        <f>developmentdata2019[[#This Row],[Organics (CY/day)]]*201.974</f>
        <v>9.6309046900684828E-2</v>
      </c>
      <c r="BT204" s="37">
        <f>developmentdata2019[[#This Row],[E-Waste (CY/day)]]*201.974</f>
        <v>1.2595974884001605E-3</v>
      </c>
      <c r="BU204" s="37">
        <f>developmentdata2019[[#This Row],[Textiles (CY/day)]]*201.974</f>
        <v>2.3774066577520904E-4</v>
      </c>
    </row>
    <row r="205" spans="1:73" x14ac:dyDescent="0.2">
      <c r="A205" s="37" t="s">
        <v>1531</v>
      </c>
      <c r="B205" s="115">
        <v>43466</v>
      </c>
      <c r="C205" s="37" t="s">
        <v>865</v>
      </c>
      <c r="D205">
        <v>195</v>
      </c>
      <c r="E205">
        <v>247</v>
      </c>
      <c r="F205">
        <v>393</v>
      </c>
      <c r="G205">
        <v>393</v>
      </c>
      <c r="H205" s="37" t="s">
        <v>1532</v>
      </c>
      <c r="I205" s="37" t="s">
        <v>577</v>
      </c>
      <c r="J205" s="37" t="s">
        <v>588</v>
      </c>
      <c r="K205" s="37" t="s">
        <v>735</v>
      </c>
      <c r="M205">
        <v>113</v>
      </c>
      <c r="N205">
        <v>115</v>
      </c>
      <c r="O205">
        <v>340.5</v>
      </c>
      <c r="P205">
        <v>3.01</v>
      </c>
      <c r="R205">
        <v>117</v>
      </c>
      <c r="S205">
        <v>117</v>
      </c>
      <c r="T205">
        <v>107</v>
      </c>
      <c r="U205">
        <v>0.95499999999999996</v>
      </c>
      <c r="V205">
        <v>1</v>
      </c>
      <c r="W205">
        <v>0</v>
      </c>
      <c r="X205">
        <v>1</v>
      </c>
      <c r="Y205">
        <v>6</v>
      </c>
      <c r="Z205">
        <v>27419</v>
      </c>
      <c r="AA205">
        <v>0.63</v>
      </c>
      <c r="AB205">
        <v>27419</v>
      </c>
      <c r="AC205">
        <v>0.63</v>
      </c>
      <c r="AD205">
        <v>12739</v>
      </c>
      <c r="AE205">
        <v>750300</v>
      </c>
      <c r="AF205">
        <v>0.46460000000000001</v>
      </c>
      <c r="AG205">
        <v>186</v>
      </c>
      <c r="AH205">
        <v>4584000</v>
      </c>
      <c r="AI205">
        <v>12257</v>
      </c>
      <c r="AJ205">
        <v>315</v>
      </c>
      <c r="AK205" s="37" t="s">
        <v>1533</v>
      </c>
      <c r="AL205" s="37" t="s">
        <v>690</v>
      </c>
      <c r="AM205" s="37" t="s">
        <v>614</v>
      </c>
      <c r="AN205" s="37" t="s">
        <v>786</v>
      </c>
      <c r="AO205" s="37" t="s">
        <v>593</v>
      </c>
      <c r="AP205">
        <v>4</v>
      </c>
      <c r="AQ205">
        <v>8</v>
      </c>
      <c r="AR205">
        <v>18</v>
      </c>
      <c r="AS205">
        <v>54</v>
      </c>
      <c r="AT205">
        <v>34</v>
      </c>
      <c r="AU205" s="115">
        <v>28215</v>
      </c>
      <c r="AV205" s="37"/>
      <c r="AW205" s="37" t="s">
        <v>736</v>
      </c>
      <c r="AX205" s="37"/>
      <c r="AY205" s="37"/>
      <c r="AZ205" s="37">
        <f>developmentdata2019[[#This Row],[NUMBER OF CURRENT APARTMENTS]]*5/2000</f>
        <v>0.28249999999999997</v>
      </c>
      <c r="BA205" s="37">
        <f>developmentdata2019[[#This Row],[Total]]*BA$1</f>
        <v>7.3450000000000001E-2</v>
      </c>
      <c r="BB205" s="37">
        <f>developmentdata2019[[#This Row],[Trash (tons/day)]]*BB$1</f>
        <v>1.3955500000000001E-2</v>
      </c>
      <c r="BC205" s="37">
        <f>developmentdata2019[[#This Row],[MGP (tons/day)]]*BC$1</f>
        <v>9.7688500000000025E-4</v>
      </c>
      <c r="BD205" s="37">
        <f>developmentdata2019[[#This Row],[Cardboard (tons/day)]]*BD$1</f>
        <v>6.838195000000002E-5</v>
      </c>
      <c r="BE205" s="37">
        <f>developmentdata2019[[#This Row],[Paper (tons/day)]]*BE$1</f>
        <v>2.1882224000000008E-5</v>
      </c>
      <c r="BF205" s="37">
        <f>developmentdata2019[[#This Row],[Organics (tons/day)]]*BF$1</f>
        <v>2.1882224000000008E-7</v>
      </c>
      <c r="BG205" s="37">
        <f>developmentdata2019[[#This Row],[E-Waste (tons/day)]]*BG$1</f>
        <v>1.7505779200000007E-8</v>
      </c>
      <c r="BH205" s="37">
        <f>developmentdata2019[[#This Row],[Trash (tons/day)]]*BH$1</f>
        <v>1.5461225000000001</v>
      </c>
      <c r="BI205" s="37">
        <f>developmentdata2019[[#This Row],[MGP (tons/day)]]*BI$1</f>
        <v>0.25147811000000003</v>
      </c>
      <c r="BJ205" s="37">
        <f>developmentdata2019[[#This Row],[Cardboard (tons/day)]]*BJ$1</f>
        <v>2.6053522950000008E-2</v>
      </c>
      <c r="BK205" s="37">
        <f>developmentdata2019[[#This Row],[Paper (tons/day)]]*BK$1</f>
        <v>4.2328427050000017E-4</v>
      </c>
      <c r="BL205" s="37">
        <f>developmentdata2019[[#This Row],[Organics (tons/day)]]*BL$1</f>
        <v>9.4531207680000035E-5</v>
      </c>
      <c r="BM205" s="37">
        <f>developmentdata2019[[#This Row],[E-Waste (tons/day)]]*BM$1</f>
        <v>1.2363456560000006E-6</v>
      </c>
      <c r="BN205" s="37">
        <f>developmentdata2019[[#This Row],[Textiles (tons/day)]]*BN$1</f>
        <v>2.3335203673600009E-7</v>
      </c>
      <c r="BO205" s="37">
        <f>developmentdata2019[[#This Row],[Trash (CY/day)]]*201.974</f>
        <v>312.27654581500002</v>
      </c>
      <c r="BP205" s="37">
        <f>developmentdata2019[[#This Row],[MGP (CY/day)]]*201.974</f>
        <v>50.792039789140006</v>
      </c>
      <c r="BQ205" s="37">
        <f>developmentdata2019[[#This Row],[Cardboard (CY/day)]]*201.974</f>
        <v>5.2621342443033017</v>
      </c>
      <c r="BR205" s="37">
        <f>developmentdata2019[[#This Row],[Paper  (CY/day)]]*201.974</f>
        <v>8.5492417249967034E-2</v>
      </c>
      <c r="BS205" s="37">
        <f>developmentdata2019[[#This Row],[Organics (CY/day)]]*201.974</f>
        <v>1.9092846139960325E-2</v>
      </c>
      <c r="BT205" s="37">
        <f>developmentdata2019[[#This Row],[E-Waste (CY/day)]]*201.974</f>
        <v>2.4970967752494411E-4</v>
      </c>
      <c r="BU205" s="37">
        <f>developmentdata2019[[#This Row],[Textiles (CY/day)]]*201.974</f>
        <v>4.7131044267716879E-5</v>
      </c>
    </row>
    <row r="206" spans="1:73" x14ac:dyDescent="0.2">
      <c r="A206" s="37" t="s">
        <v>1534</v>
      </c>
      <c r="B206" s="115">
        <v>43466</v>
      </c>
      <c r="C206" s="37" t="s">
        <v>1489</v>
      </c>
      <c r="D206">
        <v>204</v>
      </c>
      <c r="E206">
        <v>241</v>
      </c>
      <c r="F206">
        <v>321</v>
      </c>
      <c r="G206">
        <v>346</v>
      </c>
      <c r="H206" s="37" t="s">
        <v>1535</v>
      </c>
      <c r="I206" s="37" t="s">
        <v>577</v>
      </c>
      <c r="J206" s="37" t="s">
        <v>588</v>
      </c>
      <c r="K206" s="37" t="s">
        <v>579</v>
      </c>
      <c r="M206">
        <v>90</v>
      </c>
      <c r="N206">
        <v>90</v>
      </c>
      <c r="O206">
        <v>419</v>
      </c>
      <c r="P206">
        <v>4.66</v>
      </c>
      <c r="R206">
        <v>205</v>
      </c>
      <c r="S206">
        <v>205</v>
      </c>
      <c r="T206">
        <v>37</v>
      </c>
      <c r="U206">
        <v>0.42</v>
      </c>
      <c r="V206">
        <v>2</v>
      </c>
      <c r="W206">
        <v>1</v>
      </c>
      <c r="X206">
        <v>2</v>
      </c>
      <c r="Y206">
        <v>6</v>
      </c>
      <c r="Z206">
        <v>32127</v>
      </c>
      <c r="AA206">
        <v>0.74</v>
      </c>
      <c r="AB206">
        <v>32127</v>
      </c>
      <c r="AC206">
        <v>0.74</v>
      </c>
      <c r="AD206">
        <v>14614</v>
      </c>
      <c r="AE206">
        <v>950094</v>
      </c>
      <c r="AF206">
        <v>0.45490000000000003</v>
      </c>
      <c r="AG206">
        <v>277</v>
      </c>
      <c r="AH206">
        <v>2101938</v>
      </c>
      <c r="AI206">
        <v>5017</v>
      </c>
      <c r="AJ206">
        <v>542</v>
      </c>
      <c r="AK206" s="37" t="s">
        <v>1536</v>
      </c>
      <c r="AL206" s="37" t="s">
        <v>887</v>
      </c>
      <c r="AM206" s="37" t="s">
        <v>1537</v>
      </c>
      <c r="AN206" s="37" t="s">
        <v>1426</v>
      </c>
      <c r="AO206" s="37" t="s">
        <v>608</v>
      </c>
      <c r="AP206">
        <v>11</v>
      </c>
      <c r="AQ206">
        <v>13</v>
      </c>
      <c r="AR206">
        <v>30</v>
      </c>
      <c r="AS206">
        <v>68</v>
      </c>
      <c r="AT206">
        <v>9</v>
      </c>
      <c r="AU206" s="115">
        <v>25658</v>
      </c>
      <c r="AV206" s="37"/>
      <c r="AW206" s="37"/>
      <c r="AX206" s="37"/>
      <c r="AY206" s="37"/>
      <c r="AZ206" s="37">
        <f>developmentdata2019[[#This Row],[NUMBER OF CURRENT APARTMENTS]]*5/2000</f>
        <v>0.22500000000000001</v>
      </c>
      <c r="BA206" s="37">
        <f>developmentdata2019[[#This Row],[Total]]*BA$1</f>
        <v>5.8500000000000003E-2</v>
      </c>
      <c r="BB206" s="37">
        <f>developmentdata2019[[#This Row],[Trash (tons/day)]]*BB$1</f>
        <v>1.1115000000000002E-2</v>
      </c>
      <c r="BC206" s="37">
        <f>developmentdata2019[[#This Row],[MGP (tons/day)]]*BC$1</f>
        <v>7.7805000000000018E-4</v>
      </c>
      <c r="BD206" s="37">
        <f>developmentdata2019[[#This Row],[Cardboard (tons/day)]]*BD$1</f>
        <v>5.4463500000000018E-5</v>
      </c>
      <c r="BE206" s="37">
        <f>developmentdata2019[[#This Row],[Paper (tons/day)]]*BE$1</f>
        <v>1.7428320000000005E-5</v>
      </c>
      <c r="BF206" s="37">
        <f>developmentdata2019[[#This Row],[Organics (tons/day)]]*BF$1</f>
        <v>1.7428320000000006E-7</v>
      </c>
      <c r="BG206" s="37">
        <f>developmentdata2019[[#This Row],[E-Waste (tons/day)]]*BG$1</f>
        <v>1.3942656000000006E-8</v>
      </c>
      <c r="BH206" s="37">
        <f>developmentdata2019[[#This Row],[Trash (tons/day)]]*BH$1</f>
        <v>1.2314250000000002</v>
      </c>
      <c r="BI206" s="37">
        <f>developmentdata2019[[#This Row],[MGP (tons/day)]]*BI$1</f>
        <v>0.20029230000000003</v>
      </c>
      <c r="BJ206" s="37">
        <f>developmentdata2019[[#This Row],[Cardboard (tons/day)]]*BJ$1</f>
        <v>2.0750593500000008E-2</v>
      </c>
      <c r="BK206" s="37">
        <f>developmentdata2019[[#This Row],[Paper (tons/day)]]*BK$1</f>
        <v>3.3712906500000015E-4</v>
      </c>
      <c r="BL206" s="37">
        <f>developmentdata2019[[#This Row],[Organics (tons/day)]]*BL$1</f>
        <v>7.5290342400000028E-5</v>
      </c>
      <c r="BM206" s="37">
        <f>developmentdata2019[[#This Row],[E-Waste (tons/day)]]*BM$1</f>
        <v>9.8470008000000037E-7</v>
      </c>
      <c r="BN206" s="37">
        <f>developmentdata2019[[#This Row],[Textiles (tons/day)]]*BN$1</f>
        <v>1.8585560448000008E-7</v>
      </c>
      <c r="BO206" s="37">
        <f>developmentdata2019[[#This Row],[Trash (CY/day)]]*201.974</f>
        <v>248.71583295000002</v>
      </c>
      <c r="BP206" s="37">
        <f>developmentdata2019[[#This Row],[MGP (CY/day)]]*201.974</f>
        <v>40.453837000200004</v>
      </c>
      <c r="BQ206" s="37">
        <f>developmentdata2019[[#This Row],[Cardboard (CY/day)]]*201.974</f>
        <v>4.1910803715690017</v>
      </c>
      <c r="BR206" s="37">
        <f>developmentdata2019[[#This Row],[Paper  (CY/day)]]*201.974</f>
        <v>6.8091305774310024E-2</v>
      </c>
      <c r="BS206" s="37">
        <f>developmentdata2019[[#This Row],[Organics (CY/day)]]*201.974</f>
        <v>1.5206691615897605E-2</v>
      </c>
      <c r="BT206" s="37">
        <f>developmentdata2019[[#This Row],[E-Waste (CY/day)]]*201.974</f>
        <v>1.9888381395792007E-4</v>
      </c>
      <c r="BU206" s="37">
        <f>developmentdata2019[[#This Row],[Textiles (CY/day)]]*201.974</f>
        <v>3.7537999859243533E-5</v>
      </c>
    </row>
    <row r="207" spans="1:73" x14ac:dyDescent="0.2">
      <c r="A207" s="37" t="s">
        <v>1538</v>
      </c>
      <c r="B207" s="115">
        <v>43466</v>
      </c>
      <c r="C207" s="37" t="s">
        <v>999</v>
      </c>
      <c r="D207">
        <v>351</v>
      </c>
      <c r="E207">
        <v>351</v>
      </c>
      <c r="F207">
        <v>765</v>
      </c>
      <c r="G207">
        <v>765</v>
      </c>
      <c r="H207" s="37" t="s">
        <v>1539</v>
      </c>
      <c r="I207" s="37" t="s">
        <v>577</v>
      </c>
      <c r="J207" s="37" t="s">
        <v>588</v>
      </c>
      <c r="K207" s="37" t="s">
        <v>597</v>
      </c>
      <c r="M207">
        <v>134</v>
      </c>
      <c r="N207">
        <v>134</v>
      </c>
      <c r="O207">
        <v>582</v>
      </c>
      <c r="P207">
        <v>4.34</v>
      </c>
      <c r="R207">
        <v>319</v>
      </c>
      <c r="S207">
        <v>319</v>
      </c>
      <c r="T207">
        <v>31</v>
      </c>
      <c r="U207">
        <v>0.23499999999999999</v>
      </c>
      <c r="V207">
        <v>9</v>
      </c>
      <c r="W207">
        <v>0</v>
      </c>
      <c r="X207">
        <v>9</v>
      </c>
      <c r="Y207">
        <v>4</v>
      </c>
      <c r="Z207">
        <v>53914</v>
      </c>
      <c r="AA207">
        <v>1.24</v>
      </c>
      <c r="AB207">
        <v>53914</v>
      </c>
      <c r="AC207">
        <v>1.24</v>
      </c>
      <c r="AD207">
        <v>33105</v>
      </c>
      <c r="AE207">
        <v>166531</v>
      </c>
      <c r="AF207">
        <v>0.61399999999999999</v>
      </c>
      <c r="AG207">
        <v>257</v>
      </c>
      <c r="AH207">
        <v>10500000</v>
      </c>
      <c r="AI207">
        <v>18041</v>
      </c>
      <c r="AJ207">
        <v>679</v>
      </c>
      <c r="AK207" s="37" t="s">
        <v>756</v>
      </c>
      <c r="AL207" s="37" t="s">
        <v>757</v>
      </c>
      <c r="AM207" s="37" t="s">
        <v>591</v>
      </c>
      <c r="AN207" s="37" t="s">
        <v>758</v>
      </c>
      <c r="AO207" s="37" t="s">
        <v>593</v>
      </c>
      <c r="AP207">
        <v>8</v>
      </c>
      <c r="AQ207">
        <v>9</v>
      </c>
      <c r="AR207" t="s">
        <v>1004</v>
      </c>
      <c r="AS207">
        <v>55</v>
      </c>
      <c r="AT207">
        <v>36</v>
      </c>
      <c r="AU207" s="115">
        <v>31656</v>
      </c>
      <c r="AV207" s="37"/>
      <c r="AW207" s="37"/>
      <c r="AX207" s="37" t="s">
        <v>621</v>
      </c>
      <c r="AY207" s="37"/>
      <c r="AZ207" s="37">
        <f>developmentdata2019[[#This Row],[NUMBER OF CURRENT APARTMENTS]]*5/2000</f>
        <v>0.33500000000000002</v>
      </c>
      <c r="BA207" s="37">
        <f>developmentdata2019[[#This Row],[Total]]*BA$1</f>
        <v>8.7100000000000011E-2</v>
      </c>
      <c r="BB207" s="37">
        <f>developmentdata2019[[#This Row],[Trash (tons/day)]]*BB$1</f>
        <v>1.6549000000000001E-2</v>
      </c>
      <c r="BC207" s="37">
        <f>developmentdata2019[[#This Row],[MGP (tons/day)]]*BC$1</f>
        <v>1.1584300000000002E-3</v>
      </c>
      <c r="BD207" s="37">
        <f>developmentdata2019[[#This Row],[Cardboard (tons/day)]]*BD$1</f>
        <v>8.1090100000000018E-5</v>
      </c>
      <c r="BE207" s="37">
        <f>developmentdata2019[[#This Row],[Paper (tons/day)]]*BE$1</f>
        <v>2.5948832000000006E-5</v>
      </c>
      <c r="BF207" s="37">
        <f>developmentdata2019[[#This Row],[Organics (tons/day)]]*BF$1</f>
        <v>2.5948832000000005E-7</v>
      </c>
      <c r="BG207" s="37">
        <f>developmentdata2019[[#This Row],[E-Waste (tons/day)]]*BG$1</f>
        <v>2.0759065600000005E-8</v>
      </c>
      <c r="BH207" s="37">
        <f>developmentdata2019[[#This Row],[Trash (tons/day)]]*BH$1</f>
        <v>1.8334550000000003</v>
      </c>
      <c r="BI207" s="37">
        <f>developmentdata2019[[#This Row],[MGP (tons/day)]]*BI$1</f>
        <v>0.29821298000000002</v>
      </c>
      <c r="BJ207" s="37">
        <f>developmentdata2019[[#This Row],[Cardboard (tons/day)]]*BJ$1</f>
        <v>3.0895328100000008E-2</v>
      </c>
      <c r="BK207" s="37">
        <f>developmentdata2019[[#This Row],[Paper (tons/day)]]*BK$1</f>
        <v>5.0194771900000015E-4</v>
      </c>
      <c r="BL207" s="37">
        <f>developmentdata2019[[#This Row],[Organics (tons/day)]]*BL$1</f>
        <v>1.1209895424000003E-4</v>
      </c>
      <c r="BM207" s="37">
        <f>developmentdata2019[[#This Row],[E-Waste (tons/day)]]*BM$1</f>
        <v>1.4661090080000003E-6</v>
      </c>
      <c r="BN207" s="37">
        <f>developmentdata2019[[#This Row],[Textiles (tons/day)]]*BN$1</f>
        <v>2.7671834444800005E-7</v>
      </c>
      <c r="BO207" s="37">
        <f>developmentdata2019[[#This Row],[Trash (CY/day)]]*201.974</f>
        <v>370.31024017000004</v>
      </c>
      <c r="BP207" s="37">
        <f>developmentdata2019[[#This Row],[MGP (CY/day)]]*201.974</f>
        <v>60.231268422520003</v>
      </c>
      <c r="BQ207" s="37">
        <f>developmentdata2019[[#This Row],[Cardboard (CY/day)]]*201.974</f>
        <v>6.2400529976694017</v>
      </c>
      <c r="BR207" s="37">
        <f>developmentdata2019[[#This Row],[Paper  (CY/day)]]*201.974</f>
        <v>0.10138038859730603</v>
      </c>
      <c r="BS207" s="37">
        <f>developmentdata2019[[#This Row],[Organics (CY/day)]]*201.974</f>
        <v>2.2641074183669764E-2</v>
      </c>
      <c r="BT207" s="37">
        <f>developmentdata2019[[#This Row],[E-Waste (CY/day)]]*201.974</f>
        <v>2.9611590078179205E-4</v>
      </c>
      <c r="BU207" s="37">
        <f>developmentdata2019[[#This Row],[Textiles (CY/day)]]*201.974</f>
        <v>5.588991090154036E-5</v>
      </c>
    </row>
    <row r="208" spans="1:73" x14ac:dyDescent="0.2">
      <c r="A208" s="37" t="s">
        <v>428</v>
      </c>
      <c r="B208" s="115">
        <v>43466</v>
      </c>
      <c r="C208" s="37" t="s">
        <v>1217</v>
      </c>
      <c r="D208">
        <v>47</v>
      </c>
      <c r="E208">
        <v>47</v>
      </c>
      <c r="F208">
        <v>580</v>
      </c>
      <c r="G208">
        <v>580</v>
      </c>
      <c r="H208" s="37" t="s">
        <v>1540</v>
      </c>
      <c r="I208" s="37" t="s">
        <v>577</v>
      </c>
      <c r="J208" s="37" t="s">
        <v>578</v>
      </c>
      <c r="K208" s="37" t="s">
        <v>579</v>
      </c>
      <c r="M208">
        <v>879</v>
      </c>
      <c r="N208">
        <v>879</v>
      </c>
      <c r="O208">
        <v>3712.5</v>
      </c>
      <c r="P208">
        <v>4.22</v>
      </c>
      <c r="R208">
        <v>1734</v>
      </c>
      <c r="S208">
        <v>1734</v>
      </c>
      <c r="T208">
        <v>359</v>
      </c>
      <c r="U208">
        <v>0.41299999999999998</v>
      </c>
      <c r="V208">
        <v>14</v>
      </c>
      <c r="W208">
        <v>0</v>
      </c>
      <c r="X208">
        <v>20</v>
      </c>
      <c r="Y208" t="s">
        <v>1541</v>
      </c>
      <c r="Z208">
        <v>485455</v>
      </c>
      <c r="AA208">
        <v>11.14</v>
      </c>
      <c r="AB208">
        <v>453178</v>
      </c>
      <c r="AC208">
        <v>10.4</v>
      </c>
      <c r="AD208">
        <v>96415</v>
      </c>
      <c r="AE208">
        <v>7454500</v>
      </c>
      <c r="AF208">
        <v>0.1986</v>
      </c>
      <c r="AG208">
        <v>156</v>
      </c>
      <c r="AH208">
        <v>9676316</v>
      </c>
      <c r="AI208">
        <v>2606</v>
      </c>
      <c r="AJ208">
        <v>506</v>
      </c>
      <c r="AK208" s="37" t="s">
        <v>1083</v>
      </c>
      <c r="AL208" s="37" t="s">
        <v>1219</v>
      </c>
      <c r="AM208" s="37" t="s">
        <v>1542</v>
      </c>
      <c r="AN208" s="37" t="s">
        <v>1543</v>
      </c>
      <c r="AO208" s="37" t="s">
        <v>584</v>
      </c>
      <c r="AP208">
        <v>11</v>
      </c>
      <c r="AQ208">
        <v>14</v>
      </c>
      <c r="AR208">
        <v>36</v>
      </c>
      <c r="AS208">
        <v>80</v>
      </c>
      <c r="AT208">
        <v>15</v>
      </c>
      <c r="AU208" s="115">
        <v>18791</v>
      </c>
      <c r="AV208" s="37" t="s">
        <v>1185</v>
      </c>
      <c r="AW208" s="37"/>
      <c r="AX208" s="37"/>
      <c r="AY208" s="37"/>
      <c r="AZ208" s="37">
        <f>developmentdata2019[[#This Row],[NUMBER OF CURRENT APARTMENTS]]*5/2000</f>
        <v>2.1974999999999998</v>
      </c>
      <c r="BA208" s="37">
        <f>developmentdata2019[[#This Row],[Total]]*BA$1</f>
        <v>0.57134999999999991</v>
      </c>
      <c r="BB208" s="37">
        <f>developmentdata2019[[#This Row],[Trash (tons/day)]]*BB$1</f>
        <v>0.10855649999999999</v>
      </c>
      <c r="BC208" s="37">
        <f>developmentdata2019[[#This Row],[MGP (tons/day)]]*BC$1</f>
        <v>7.5989550000000001E-3</v>
      </c>
      <c r="BD208" s="37">
        <f>developmentdata2019[[#This Row],[Cardboard (tons/day)]]*BD$1</f>
        <v>5.3192685000000002E-4</v>
      </c>
      <c r="BE208" s="37">
        <f>developmentdata2019[[#This Row],[Paper (tons/day)]]*BE$1</f>
        <v>1.7021659200000002E-4</v>
      </c>
      <c r="BF208" s="37">
        <f>developmentdata2019[[#This Row],[Organics (tons/day)]]*BF$1</f>
        <v>1.7021659200000002E-6</v>
      </c>
      <c r="BG208" s="37">
        <f>developmentdata2019[[#This Row],[E-Waste (tons/day)]]*BG$1</f>
        <v>1.3617327360000002E-7</v>
      </c>
      <c r="BH208" s="37">
        <f>developmentdata2019[[#This Row],[Trash (tons/day)]]*BH$1</f>
        <v>12.026917499999998</v>
      </c>
      <c r="BI208" s="37">
        <f>developmentdata2019[[#This Row],[MGP (tons/day)]]*BI$1</f>
        <v>1.9561881299999997</v>
      </c>
      <c r="BJ208" s="37">
        <f>developmentdata2019[[#This Row],[Cardboard (tons/day)]]*BJ$1</f>
        <v>0.20266412985000001</v>
      </c>
      <c r="BK208" s="37">
        <f>developmentdata2019[[#This Row],[Paper (tons/day)]]*BK$1</f>
        <v>3.2926272015000005E-3</v>
      </c>
      <c r="BL208" s="37">
        <f>developmentdata2019[[#This Row],[Organics (tons/day)]]*BL$1</f>
        <v>7.3533567744000009E-4</v>
      </c>
      <c r="BM208" s="37">
        <f>developmentdata2019[[#This Row],[E-Waste (tons/day)]]*BM$1</f>
        <v>9.6172374480000012E-6</v>
      </c>
      <c r="BN208" s="37">
        <f>developmentdata2019[[#This Row],[Textiles (tons/day)]]*BN$1</f>
        <v>1.8151897370880003E-6</v>
      </c>
      <c r="BO208" s="37">
        <f>developmentdata2019[[#This Row],[Trash (CY/day)]]*201.974</f>
        <v>2429.1246351449995</v>
      </c>
      <c r="BP208" s="37">
        <f>developmentdata2019[[#This Row],[MGP (CY/day)]]*201.974</f>
        <v>395.09914136861994</v>
      </c>
      <c r="BQ208" s="37">
        <f>developmentdata2019[[#This Row],[Cardboard (CY/day)]]*201.974</f>
        <v>40.932884962323904</v>
      </c>
      <c r="BR208" s="37">
        <f>developmentdata2019[[#This Row],[Paper  (CY/day)]]*201.974</f>
        <v>0.66502508639576108</v>
      </c>
      <c r="BS208" s="37">
        <f>developmentdata2019[[#This Row],[Organics (CY/day)]]*201.974</f>
        <v>0.14851868811526656</v>
      </c>
      <c r="BT208" s="37">
        <f>developmentdata2019[[#This Row],[E-Waste (CY/day)]]*201.974</f>
        <v>1.9424319163223521E-3</v>
      </c>
      <c r="BU208" s="37">
        <f>developmentdata2019[[#This Row],[Textiles (CY/day)]]*201.974</f>
        <v>3.6662113195861176E-4</v>
      </c>
    </row>
    <row r="209" spans="1:73" x14ac:dyDescent="0.2">
      <c r="A209" s="37" t="s">
        <v>392</v>
      </c>
      <c r="B209" s="115">
        <v>43466</v>
      </c>
      <c r="C209" s="37" t="s">
        <v>1544</v>
      </c>
      <c r="D209">
        <v>24</v>
      </c>
      <c r="E209">
        <v>24</v>
      </c>
      <c r="F209">
        <v>522</v>
      </c>
      <c r="G209">
        <v>522</v>
      </c>
      <c r="H209" s="37" t="s">
        <v>1545</v>
      </c>
      <c r="I209" s="37" t="s">
        <v>577</v>
      </c>
      <c r="J209" s="37" t="s">
        <v>578</v>
      </c>
      <c r="K209" s="37" t="s">
        <v>579</v>
      </c>
      <c r="M209">
        <v>1789</v>
      </c>
      <c r="N209">
        <v>1791</v>
      </c>
      <c r="O209">
        <v>8508.5</v>
      </c>
      <c r="P209">
        <v>4.76</v>
      </c>
      <c r="R209">
        <v>4194</v>
      </c>
      <c r="S209">
        <v>4194</v>
      </c>
      <c r="T209">
        <v>627</v>
      </c>
      <c r="U209">
        <v>0.35499999999999998</v>
      </c>
      <c r="V209">
        <v>15</v>
      </c>
      <c r="W209">
        <v>0</v>
      </c>
      <c r="X209">
        <v>25</v>
      </c>
      <c r="Y209">
        <v>43629</v>
      </c>
      <c r="Z209">
        <v>748573</v>
      </c>
      <c r="AA209">
        <v>17.18</v>
      </c>
      <c r="AB209">
        <v>702358</v>
      </c>
      <c r="AC209">
        <v>16.12</v>
      </c>
      <c r="AD209">
        <v>167841</v>
      </c>
      <c r="AE209">
        <v>14503544</v>
      </c>
      <c r="AF209">
        <v>0.22420000000000001</v>
      </c>
      <c r="AG209">
        <v>244</v>
      </c>
      <c r="AH209">
        <v>20731000</v>
      </c>
      <c r="AI209">
        <v>2433</v>
      </c>
      <c r="AJ209">
        <v>519</v>
      </c>
      <c r="AK209" s="37" t="s">
        <v>1448</v>
      </c>
      <c r="AL209" s="37" t="s">
        <v>600</v>
      </c>
      <c r="AM209" s="37" t="s">
        <v>1546</v>
      </c>
      <c r="AN209" s="37" t="s">
        <v>1547</v>
      </c>
      <c r="AO209" s="37" t="s">
        <v>584</v>
      </c>
      <c r="AP209">
        <v>1</v>
      </c>
      <c r="AQ209">
        <v>15</v>
      </c>
      <c r="AR209">
        <v>29</v>
      </c>
      <c r="AS209">
        <v>84</v>
      </c>
      <c r="AT209">
        <v>8</v>
      </c>
      <c r="AU209" s="115">
        <v>18628</v>
      </c>
      <c r="AV209" s="37" t="s">
        <v>671</v>
      </c>
      <c r="AW209" s="37"/>
      <c r="AX209" s="37"/>
      <c r="AY209" s="37"/>
      <c r="AZ209" s="37">
        <f>developmentdata2019[[#This Row],[NUMBER OF CURRENT APARTMENTS]]*5/2000</f>
        <v>4.4725000000000001</v>
      </c>
      <c r="BA209" s="37">
        <f>developmentdata2019[[#This Row],[Total]]*BA$1</f>
        <v>1.1628500000000002</v>
      </c>
      <c r="BB209" s="37">
        <f>developmentdata2019[[#This Row],[Trash (tons/day)]]*BB$1</f>
        <v>0.22094150000000004</v>
      </c>
      <c r="BC209" s="37">
        <f>developmentdata2019[[#This Row],[MGP (tons/day)]]*BC$1</f>
        <v>1.5465905000000004E-2</v>
      </c>
      <c r="BD209" s="37">
        <f>developmentdata2019[[#This Row],[Cardboard (tons/day)]]*BD$1</f>
        <v>1.0826133500000004E-3</v>
      </c>
      <c r="BE209" s="37">
        <f>developmentdata2019[[#This Row],[Paper (tons/day)]]*BE$1</f>
        <v>3.4643627200000015E-4</v>
      </c>
      <c r="BF209" s="37">
        <f>developmentdata2019[[#This Row],[Organics (tons/day)]]*BF$1</f>
        <v>3.4643627200000014E-6</v>
      </c>
      <c r="BG209" s="37">
        <f>developmentdata2019[[#This Row],[E-Waste (tons/day)]]*BG$1</f>
        <v>2.7714901760000013E-7</v>
      </c>
      <c r="BH209" s="37">
        <f>developmentdata2019[[#This Row],[Trash (tons/day)]]*BH$1</f>
        <v>24.477992500000003</v>
      </c>
      <c r="BI209" s="37">
        <f>developmentdata2019[[#This Row],[MGP (tons/day)]]*BI$1</f>
        <v>3.9813658300000005</v>
      </c>
      <c r="BJ209" s="37">
        <f>developmentdata2019[[#This Row],[Cardboard (tons/day)]]*BJ$1</f>
        <v>0.41247568635000015</v>
      </c>
      <c r="BK209" s="37">
        <f>developmentdata2019[[#This Row],[Paper (tons/day)]]*BK$1</f>
        <v>6.7013766365000031E-3</v>
      </c>
      <c r="BL209" s="37">
        <f>developmentdata2019[[#This Row],[Organics (tons/day)]]*BL$1</f>
        <v>1.4966046950400007E-3</v>
      </c>
      <c r="BM209" s="37">
        <f>developmentdata2019[[#This Row],[E-Waste (tons/day)]]*BM$1</f>
        <v>1.9573649368000009E-5</v>
      </c>
      <c r="BN209" s="37">
        <f>developmentdata2019[[#This Row],[Textiles (tons/day)]]*BN$1</f>
        <v>3.6943964046080018E-6</v>
      </c>
      <c r="BO209" s="37">
        <f>developmentdata2019[[#This Row],[Trash (CY/day)]]*201.974</f>
        <v>4943.9180571950001</v>
      </c>
      <c r="BP209" s="37">
        <f>developmentdata2019[[#This Row],[MGP (CY/day)]]*201.974</f>
        <v>804.13238214842011</v>
      </c>
      <c r="BQ209" s="37">
        <f>developmentdata2019[[#This Row],[Cardboard (CY/day)]]*201.974</f>
        <v>83.309364274854929</v>
      </c>
      <c r="BR209" s="37">
        <f>developmentdata2019[[#This Row],[Paper  (CY/day)]]*201.974</f>
        <v>1.3535038447804515</v>
      </c>
      <c r="BS209" s="37">
        <f>developmentdata2019[[#This Row],[Organics (CY/day)]]*201.974</f>
        <v>0.30227523667600908</v>
      </c>
      <c r="BT209" s="37">
        <f>developmentdata2019[[#This Row],[E-Waste (CY/day)]]*201.974</f>
        <v>3.953368257452434E-3</v>
      </c>
      <c r="BU209" s="37">
        <f>developmentdata2019[[#This Row],[Textiles (CY/day)]]*201.974</f>
        <v>7.4617201942429651E-4</v>
      </c>
    </row>
    <row r="210" spans="1:73" x14ac:dyDescent="0.2">
      <c r="A210" s="37" t="s">
        <v>429</v>
      </c>
      <c r="B210" s="115">
        <v>43466</v>
      </c>
      <c r="C210" s="37" t="s">
        <v>793</v>
      </c>
      <c r="D210">
        <v>39</v>
      </c>
      <c r="E210">
        <v>39</v>
      </c>
      <c r="F210">
        <v>586</v>
      </c>
      <c r="G210">
        <v>586</v>
      </c>
      <c r="H210" s="37" t="s">
        <v>1548</v>
      </c>
      <c r="I210" s="37" t="s">
        <v>577</v>
      </c>
      <c r="J210" s="37" t="s">
        <v>578</v>
      </c>
      <c r="K210" s="37" t="s">
        <v>579</v>
      </c>
      <c r="M210">
        <v>1265</v>
      </c>
      <c r="N210">
        <v>1266</v>
      </c>
      <c r="O210">
        <v>5446.5</v>
      </c>
      <c r="P210">
        <v>4.3099999999999996</v>
      </c>
      <c r="R210">
        <v>2472</v>
      </c>
      <c r="S210">
        <v>2472</v>
      </c>
      <c r="T210">
        <v>528</v>
      </c>
      <c r="U210">
        <v>0.42199999999999999</v>
      </c>
      <c r="V210">
        <v>23</v>
      </c>
      <c r="W210">
        <v>0</v>
      </c>
      <c r="X210">
        <v>38</v>
      </c>
      <c r="Y210">
        <v>6</v>
      </c>
      <c r="Z210">
        <v>1034160</v>
      </c>
      <c r="AA210">
        <v>23.74</v>
      </c>
      <c r="AB210">
        <v>967252</v>
      </c>
      <c r="AC210">
        <v>22.21</v>
      </c>
      <c r="AD210">
        <v>184875</v>
      </c>
      <c r="AE210">
        <v>10665277</v>
      </c>
      <c r="AF210">
        <v>0.17879999999999999</v>
      </c>
      <c r="AG210">
        <v>104</v>
      </c>
      <c r="AH210">
        <v>15295753</v>
      </c>
      <c r="AI210">
        <v>2806</v>
      </c>
      <c r="AJ210">
        <v>541</v>
      </c>
      <c r="AK210" s="37" t="s">
        <v>1549</v>
      </c>
      <c r="AL210" s="37" t="s">
        <v>1550</v>
      </c>
      <c r="AM210" s="37" t="s">
        <v>1551</v>
      </c>
      <c r="AN210" s="37" t="s">
        <v>795</v>
      </c>
      <c r="AO210" s="37" t="s">
        <v>584</v>
      </c>
      <c r="AP210">
        <v>11</v>
      </c>
      <c r="AQ210">
        <v>14</v>
      </c>
      <c r="AR210">
        <v>34</v>
      </c>
      <c r="AS210">
        <v>80</v>
      </c>
      <c r="AT210">
        <v>13</v>
      </c>
      <c r="AU210" s="115">
        <v>18444</v>
      </c>
      <c r="AV210" s="37" t="s">
        <v>766</v>
      </c>
      <c r="AW210" s="37"/>
      <c r="AX210" s="37"/>
      <c r="AY210" s="37"/>
      <c r="AZ210" s="37">
        <f>developmentdata2019[[#This Row],[NUMBER OF CURRENT APARTMENTS]]*5/2000</f>
        <v>3.1625000000000001</v>
      </c>
      <c r="BA210" s="37">
        <f>developmentdata2019[[#This Row],[Total]]*BA$1</f>
        <v>0.82225000000000004</v>
      </c>
      <c r="BB210" s="37">
        <f>developmentdata2019[[#This Row],[Trash (tons/day)]]*BB$1</f>
        <v>0.15622750000000002</v>
      </c>
      <c r="BC210" s="37">
        <f>developmentdata2019[[#This Row],[MGP (tons/day)]]*BC$1</f>
        <v>1.0935925000000003E-2</v>
      </c>
      <c r="BD210" s="37">
        <f>developmentdata2019[[#This Row],[Cardboard (tons/day)]]*BD$1</f>
        <v>7.6551475000000027E-4</v>
      </c>
      <c r="BE210" s="37">
        <f>developmentdata2019[[#This Row],[Paper (tons/day)]]*BE$1</f>
        <v>2.4496472000000007E-4</v>
      </c>
      <c r="BF210" s="37">
        <f>developmentdata2019[[#This Row],[Organics (tons/day)]]*BF$1</f>
        <v>2.4496472000000008E-6</v>
      </c>
      <c r="BG210" s="37">
        <f>developmentdata2019[[#This Row],[E-Waste (tons/day)]]*BG$1</f>
        <v>1.9597177600000006E-7</v>
      </c>
      <c r="BH210" s="37">
        <f>developmentdata2019[[#This Row],[Trash (tons/day)]]*BH$1</f>
        <v>17.308362500000001</v>
      </c>
      <c r="BI210" s="37">
        <f>developmentdata2019[[#This Row],[MGP (tons/day)]]*BI$1</f>
        <v>2.8152195500000001</v>
      </c>
      <c r="BJ210" s="37">
        <f>developmentdata2019[[#This Row],[Cardboard (tons/day)]]*BJ$1</f>
        <v>0.29166111975000009</v>
      </c>
      <c r="BK210" s="37">
        <f>developmentdata2019[[#This Row],[Paper (tons/day)]]*BK$1</f>
        <v>4.7385363025000023E-3</v>
      </c>
      <c r="BL210" s="37">
        <f>developmentdata2019[[#This Row],[Organics (tons/day)]]*BL$1</f>
        <v>1.0582475904000004E-3</v>
      </c>
      <c r="BM210" s="37">
        <f>developmentdata2019[[#This Row],[E-Waste (tons/day)]]*BM$1</f>
        <v>1.3840506680000005E-5</v>
      </c>
      <c r="BN210" s="37">
        <f>developmentdata2019[[#This Row],[Textiles (tons/day)]]*BN$1</f>
        <v>2.6123037740800009E-6</v>
      </c>
      <c r="BO210" s="37">
        <f>developmentdata2019[[#This Row],[Trash (CY/day)]]*201.974</f>
        <v>3495.8392075750003</v>
      </c>
      <c r="BP210" s="37">
        <f>developmentdata2019[[#This Row],[MGP (CY/day)]]*201.974</f>
        <v>568.6011533917</v>
      </c>
      <c r="BQ210" s="37">
        <f>developmentdata2019[[#This Row],[Cardboard (CY/day)]]*201.974</f>
        <v>58.907963000386516</v>
      </c>
      <c r="BR210" s="37">
        <f>developmentdata2019[[#This Row],[Paper  (CY/day)]]*201.974</f>
        <v>0.95706113116113545</v>
      </c>
      <c r="BS210" s="37">
        <f>developmentdata2019[[#This Row],[Organics (CY/day)]]*201.974</f>
        <v>0.21373849882344967</v>
      </c>
      <c r="BT210" s="37">
        <f>developmentdata2019[[#This Row],[E-Waste (CY/day)]]*201.974</f>
        <v>2.7954224961863209E-3</v>
      </c>
      <c r="BU210" s="37">
        <f>developmentdata2019[[#This Row],[Textiles (CY/day)]]*201.974</f>
        <v>5.2761744246603405E-4</v>
      </c>
    </row>
    <row r="211" spans="1:73" x14ac:dyDescent="0.2">
      <c r="A211" s="37" t="s">
        <v>463</v>
      </c>
      <c r="B211" s="115">
        <v>43466</v>
      </c>
      <c r="C211" s="37" t="s">
        <v>1552</v>
      </c>
      <c r="D211">
        <v>194</v>
      </c>
      <c r="E211">
        <v>194</v>
      </c>
      <c r="F211">
        <v>305</v>
      </c>
      <c r="G211">
        <v>305</v>
      </c>
      <c r="H211" s="37" t="s">
        <v>1553</v>
      </c>
      <c r="I211" s="37" t="s">
        <v>577</v>
      </c>
      <c r="J211" s="37" t="s">
        <v>578</v>
      </c>
      <c r="K211" s="37" t="s">
        <v>579</v>
      </c>
      <c r="M211">
        <v>336</v>
      </c>
      <c r="N211">
        <v>336</v>
      </c>
      <c r="O211">
        <v>1343</v>
      </c>
      <c r="P211">
        <v>4</v>
      </c>
      <c r="R211">
        <v>627</v>
      </c>
      <c r="S211">
        <v>627</v>
      </c>
      <c r="T211">
        <v>145</v>
      </c>
      <c r="U211">
        <v>0.438</v>
      </c>
      <c r="V211">
        <v>3</v>
      </c>
      <c r="W211">
        <v>1</v>
      </c>
      <c r="X211">
        <v>3</v>
      </c>
      <c r="Y211">
        <v>43693</v>
      </c>
      <c r="Z211">
        <v>236930</v>
      </c>
      <c r="AA211">
        <v>5.44</v>
      </c>
      <c r="AB211">
        <v>236930</v>
      </c>
      <c r="AC211">
        <v>5.44</v>
      </c>
      <c r="AD211">
        <v>40998</v>
      </c>
      <c r="AE211">
        <v>2712190</v>
      </c>
      <c r="AF211">
        <v>0.17299999999999999</v>
      </c>
      <c r="AG211">
        <v>115</v>
      </c>
      <c r="AH211">
        <v>11936021</v>
      </c>
      <c r="AI211">
        <v>8606</v>
      </c>
      <c r="AJ211">
        <v>462</v>
      </c>
      <c r="AK211" s="37" t="s">
        <v>1554</v>
      </c>
      <c r="AL211" s="37" t="s">
        <v>808</v>
      </c>
      <c r="AM211" s="37" t="s">
        <v>825</v>
      </c>
      <c r="AN211" s="37" t="s">
        <v>1372</v>
      </c>
      <c r="AO211" s="37" t="s">
        <v>593</v>
      </c>
      <c r="AP211">
        <v>5</v>
      </c>
      <c r="AQ211">
        <v>8</v>
      </c>
      <c r="AR211">
        <v>19</v>
      </c>
      <c r="AS211">
        <v>60</v>
      </c>
      <c r="AT211">
        <v>42</v>
      </c>
      <c r="AU211" s="115">
        <v>26572</v>
      </c>
      <c r="AV211" s="37"/>
      <c r="AW211" s="37"/>
      <c r="AX211" s="37"/>
      <c r="AY211" s="37"/>
      <c r="AZ211" s="37">
        <f>developmentdata2019[[#This Row],[NUMBER OF CURRENT APARTMENTS]]*5/2000</f>
        <v>0.84</v>
      </c>
      <c r="BA211" s="37">
        <f>developmentdata2019[[#This Row],[Total]]*BA$1</f>
        <v>0.21840000000000001</v>
      </c>
      <c r="BB211" s="37">
        <f>developmentdata2019[[#This Row],[Trash (tons/day)]]*BB$1</f>
        <v>4.1496000000000005E-2</v>
      </c>
      <c r="BC211" s="37">
        <f>developmentdata2019[[#This Row],[MGP (tons/day)]]*BC$1</f>
        <v>2.9047200000000008E-3</v>
      </c>
      <c r="BD211" s="37">
        <f>developmentdata2019[[#This Row],[Cardboard (tons/day)]]*BD$1</f>
        <v>2.0333040000000008E-4</v>
      </c>
      <c r="BE211" s="37">
        <f>developmentdata2019[[#This Row],[Paper (tons/day)]]*BE$1</f>
        <v>6.506572800000002E-5</v>
      </c>
      <c r="BF211" s="37">
        <f>developmentdata2019[[#This Row],[Organics (tons/day)]]*BF$1</f>
        <v>6.5065728000000022E-7</v>
      </c>
      <c r="BG211" s="37">
        <f>developmentdata2019[[#This Row],[E-Waste (tons/day)]]*BG$1</f>
        <v>5.2052582400000022E-8</v>
      </c>
      <c r="BH211" s="37">
        <f>developmentdata2019[[#This Row],[Trash (tons/day)]]*BH$1</f>
        <v>4.5973200000000007</v>
      </c>
      <c r="BI211" s="37">
        <f>developmentdata2019[[#This Row],[MGP (tons/day)]]*BI$1</f>
        <v>0.74775792000000008</v>
      </c>
      <c r="BJ211" s="37">
        <f>developmentdata2019[[#This Row],[Cardboard (tons/day)]]*BJ$1</f>
        <v>7.7468882400000022E-2</v>
      </c>
      <c r="BK211" s="37">
        <f>developmentdata2019[[#This Row],[Paper (tons/day)]]*BK$1</f>
        <v>1.2586151760000006E-3</v>
      </c>
      <c r="BL211" s="37">
        <f>developmentdata2019[[#This Row],[Organics (tons/day)]]*BL$1</f>
        <v>2.8108394496000012E-4</v>
      </c>
      <c r="BM211" s="37">
        <f>developmentdata2019[[#This Row],[E-Waste (tons/day)]]*BM$1</f>
        <v>3.6762136320000016E-6</v>
      </c>
      <c r="BN211" s="37">
        <f>developmentdata2019[[#This Row],[Textiles (tons/day)]]*BN$1</f>
        <v>6.9386092339200034E-7</v>
      </c>
      <c r="BO211" s="37">
        <f>developmentdata2019[[#This Row],[Trash (CY/day)]]*201.974</f>
        <v>928.53910968000014</v>
      </c>
      <c r="BP211" s="37">
        <f>developmentdata2019[[#This Row],[MGP (CY/day)]]*201.974</f>
        <v>151.02765813408001</v>
      </c>
      <c r="BQ211" s="37">
        <f>developmentdata2019[[#This Row],[Cardboard (CY/day)]]*201.974</f>
        <v>15.646700053857604</v>
      </c>
      <c r="BR211" s="37">
        <f>developmentdata2019[[#This Row],[Paper  (CY/day)]]*201.974</f>
        <v>0.25420754155742409</v>
      </c>
      <c r="BS211" s="37">
        <f>developmentdata2019[[#This Row],[Organics (CY/day)]]*201.974</f>
        <v>5.6771648699351064E-2</v>
      </c>
      <c r="BT211" s="37">
        <f>developmentdata2019[[#This Row],[E-Waste (CY/day)]]*201.974</f>
        <v>7.4249957210956825E-4</v>
      </c>
      <c r="BU211" s="37">
        <f>developmentdata2019[[#This Row],[Textiles (CY/day)]]*201.974</f>
        <v>1.4014186614117588E-4</v>
      </c>
    </row>
    <row r="212" spans="1:73" x14ac:dyDescent="0.2">
      <c r="A212" s="37" t="s">
        <v>461</v>
      </c>
      <c r="B212" s="115">
        <v>43466</v>
      </c>
      <c r="C212" s="37" t="s">
        <v>1555</v>
      </c>
      <c r="D212">
        <v>89</v>
      </c>
      <c r="E212">
        <v>89</v>
      </c>
      <c r="F212">
        <v>235</v>
      </c>
      <c r="G212">
        <v>235</v>
      </c>
      <c r="H212" s="37" t="s">
        <v>1556</v>
      </c>
      <c r="I212" s="37" t="s">
        <v>577</v>
      </c>
      <c r="J212" s="37" t="s">
        <v>578</v>
      </c>
      <c r="K212" s="37" t="s">
        <v>579</v>
      </c>
      <c r="M212">
        <v>1500</v>
      </c>
      <c r="N212">
        <v>1500</v>
      </c>
      <c r="O212">
        <v>7098</v>
      </c>
      <c r="P212">
        <v>4.7300000000000004</v>
      </c>
      <c r="R212">
        <v>3651</v>
      </c>
      <c r="S212">
        <v>3651</v>
      </c>
      <c r="T212">
        <v>471</v>
      </c>
      <c r="U212">
        <v>0.317</v>
      </c>
      <c r="V212">
        <v>22</v>
      </c>
      <c r="W212">
        <v>2</v>
      </c>
      <c r="X212">
        <v>25</v>
      </c>
      <c r="Y212">
        <v>8</v>
      </c>
      <c r="Z212">
        <v>1354844</v>
      </c>
      <c r="AA212">
        <v>31.1</v>
      </c>
      <c r="AB212">
        <v>1311306</v>
      </c>
      <c r="AC212">
        <v>30.1</v>
      </c>
      <c r="AD212">
        <v>193511</v>
      </c>
      <c r="AE212">
        <v>13316063</v>
      </c>
      <c r="AF212">
        <v>0.14280000000000001</v>
      </c>
      <c r="AG212">
        <v>117</v>
      </c>
      <c r="AH212">
        <v>20134047</v>
      </c>
      <c r="AI212">
        <v>2835</v>
      </c>
      <c r="AJ212">
        <v>557</v>
      </c>
      <c r="AK212" s="37" t="s">
        <v>1557</v>
      </c>
      <c r="AL212" s="37" t="s">
        <v>806</v>
      </c>
      <c r="AM212" s="37" t="s">
        <v>1558</v>
      </c>
      <c r="AN212" s="37" t="s">
        <v>825</v>
      </c>
      <c r="AO212" s="37" t="s">
        <v>593</v>
      </c>
      <c r="AP212">
        <v>5</v>
      </c>
      <c r="AQ212">
        <v>8</v>
      </c>
      <c r="AR212">
        <v>19</v>
      </c>
      <c r="AS212">
        <v>60</v>
      </c>
      <c r="AT212">
        <v>42</v>
      </c>
      <c r="AU212" s="115">
        <v>21823</v>
      </c>
      <c r="AV212" s="37"/>
      <c r="AW212" s="37"/>
      <c r="AX212" s="37"/>
      <c r="AY212" s="37"/>
      <c r="AZ212" s="37">
        <f>developmentdata2019[[#This Row],[NUMBER OF CURRENT APARTMENTS]]*5/2000</f>
        <v>3.75</v>
      </c>
      <c r="BA212" s="37">
        <f>developmentdata2019[[#This Row],[Total]]*BA$1</f>
        <v>0.97500000000000009</v>
      </c>
      <c r="BB212" s="37">
        <f>developmentdata2019[[#This Row],[Trash (tons/day)]]*BB$1</f>
        <v>0.18525000000000003</v>
      </c>
      <c r="BC212" s="37">
        <f>developmentdata2019[[#This Row],[MGP (tons/day)]]*BC$1</f>
        <v>1.2967500000000003E-2</v>
      </c>
      <c r="BD212" s="37">
        <f>developmentdata2019[[#This Row],[Cardboard (tons/day)]]*BD$1</f>
        <v>9.0772500000000029E-4</v>
      </c>
      <c r="BE212" s="37">
        <f>developmentdata2019[[#This Row],[Paper (tons/day)]]*BE$1</f>
        <v>2.9047200000000012E-4</v>
      </c>
      <c r="BF212" s="37">
        <f>developmentdata2019[[#This Row],[Organics (tons/day)]]*BF$1</f>
        <v>2.9047200000000013E-6</v>
      </c>
      <c r="BG212" s="37">
        <f>developmentdata2019[[#This Row],[E-Waste (tons/day)]]*BG$1</f>
        <v>2.323776000000001E-7</v>
      </c>
      <c r="BH212" s="37">
        <f>developmentdata2019[[#This Row],[Trash (tons/day)]]*BH$1</f>
        <v>20.523750000000003</v>
      </c>
      <c r="BI212" s="37">
        <f>developmentdata2019[[#This Row],[MGP (tons/day)]]*BI$1</f>
        <v>3.3382050000000003</v>
      </c>
      <c r="BJ212" s="37">
        <f>developmentdata2019[[#This Row],[Cardboard (tons/day)]]*BJ$1</f>
        <v>0.34584322500000009</v>
      </c>
      <c r="BK212" s="37">
        <f>developmentdata2019[[#This Row],[Paper (tons/day)]]*BK$1</f>
        <v>5.6188177500000021E-3</v>
      </c>
      <c r="BL212" s="37">
        <f>developmentdata2019[[#This Row],[Organics (tons/day)]]*BL$1</f>
        <v>1.2548390400000005E-3</v>
      </c>
      <c r="BM212" s="37">
        <f>developmentdata2019[[#This Row],[E-Waste (tons/day)]]*BM$1</f>
        <v>1.641166800000001E-5</v>
      </c>
      <c r="BN212" s="37">
        <f>developmentdata2019[[#This Row],[Textiles (tons/day)]]*BN$1</f>
        <v>3.0975934080000013E-6</v>
      </c>
      <c r="BO212" s="37">
        <f>developmentdata2019[[#This Row],[Trash (CY/day)]]*201.974</f>
        <v>4145.2638825000004</v>
      </c>
      <c r="BP212" s="37">
        <f>developmentdata2019[[#This Row],[MGP (CY/day)]]*201.974</f>
        <v>674.23061667000002</v>
      </c>
      <c r="BQ212" s="37">
        <f>developmentdata2019[[#This Row],[Cardboard (CY/day)]]*201.974</f>
        <v>69.851339526150014</v>
      </c>
      <c r="BR212" s="37">
        <f>developmentdata2019[[#This Row],[Paper  (CY/day)]]*201.974</f>
        <v>1.1348550962385004</v>
      </c>
      <c r="BS212" s="37">
        <f>developmentdata2019[[#This Row],[Organics (CY/day)]]*201.974</f>
        <v>0.2534448602649601</v>
      </c>
      <c r="BT212" s="37">
        <f>developmentdata2019[[#This Row],[E-Waste (CY/day)]]*201.974</f>
        <v>3.3147302326320019E-3</v>
      </c>
      <c r="BU212" s="37">
        <f>developmentdata2019[[#This Row],[Textiles (CY/day)]]*201.974</f>
        <v>6.2563333098739223E-4</v>
      </c>
    </row>
    <row r="213" spans="1:73" x14ac:dyDescent="0.2">
      <c r="A213" s="37" t="s">
        <v>359</v>
      </c>
      <c r="B213" s="115">
        <v>43466</v>
      </c>
      <c r="C213" s="37" t="s">
        <v>1559</v>
      </c>
      <c r="D213">
        <v>149</v>
      </c>
      <c r="E213">
        <v>149</v>
      </c>
      <c r="F213">
        <v>260</v>
      </c>
      <c r="G213">
        <v>260</v>
      </c>
      <c r="H213" s="37" t="s">
        <v>1560</v>
      </c>
      <c r="I213" s="37" t="s">
        <v>577</v>
      </c>
      <c r="J213" s="37" t="s">
        <v>578</v>
      </c>
      <c r="K213" s="37" t="s">
        <v>579</v>
      </c>
      <c r="M213">
        <v>1614</v>
      </c>
      <c r="N213">
        <v>1614</v>
      </c>
      <c r="O213">
        <v>7682</v>
      </c>
      <c r="P213">
        <v>4.76</v>
      </c>
      <c r="R213">
        <v>3941</v>
      </c>
      <c r="S213">
        <v>3941</v>
      </c>
      <c r="T213">
        <v>581</v>
      </c>
      <c r="U213">
        <v>0.36499999999999999</v>
      </c>
      <c r="V213">
        <v>4</v>
      </c>
      <c r="W213">
        <v>4</v>
      </c>
      <c r="X213">
        <v>12</v>
      </c>
      <c r="Y213">
        <v>30</v>
      </c>
      <c r="Z213">
        <v>659780</v>
      </c>
      <c r="AA213">
        <v>15.15</v>
      </c>
      <c r="AB213">
        <v>659780</v>
      </c>
      <c r="AC213">
        <v>15.15</v>
      </c>
      <c r="AD213">
        <v>83689</v>
      </c>
      <c r="AE213">
        <v>14904498</v>
      </c>
      <c r="AF213">
        <v>0.1268</v>
      </c>
      <c r="AG213">
        <v>260</v>
      </c>
      <c r="AH213">
        <v>32292784</v>
      </c>
      <c r="AI213">
        <v>4190</v>
      </c>
      <c r="AJ213">
        <v>545</v>
      </c>
      <c r="AK213" s="37" t="s">
        <v>1038</v>
      </c>
      <c r="AL213" s="37" t="s">
        <v>714</v>
      </c>
      <c r="AM213" s="37" t="s">
        <v>1237</v>
      </c>
      <c r="AN213" s="37"/>
      <c r="AO213" s="37" t="s">
        <v>608</v>
      </c>
      <c r="AP213">
        <v>10</v>
      </c>
      <c r="AQ213">
        <v>13</v>
      </c>
      <c r="AR213">
        <v>30</v>
      </c>
      <c r="AS213">
        <v>71</v>
      </c>
      <c r="AT213">
        <v>9</v>
      </c>
      <c r="AU213" s="115">
        <v>25019</v>
      </c>
      <c r="AV213" s="37"/>
      <c r="AW213" s="37"/>
      <c r="AX213" s="37"/>
      <c r="AY213" s="37"/>
      <c r="AZ213" s="37">
        <f>developmentdata2019[[#This Row],[NUMBER OF CURRENT APARTMENTS]]*5/2000</f>
        <v>4.0350000000000001</v>
      </c>
      <c r="BA213" s="37">
        <f>developmentdata2019[[#This Row],[Total]]*BA$1</f>
        <v>1.0491000000000001</v>
      </c>
      <c r="BB213" s="37">
        <f>developmentdata2019[[#This Row],[Trash (tons/day)]]*BB$1</f>
        <v>0.19932900000000003</v>
      </c>
      <c r="BC213" s="37">
        <f>developmentdata2019[[#This Row],[MGP (tons/day)]]*BC$1</f>
        <v>1.3953030000000003E-2</v>
      </c>
      <c r="BD213" s="37">
        <f>developmentdata2019[[#This Row],[Cardboard (tons/day)]]*BD$1</f>
        <v>9.7671210000000027E-4</v>
      </c>
      <c r="BE213" s="37">
        <f>developmentdata2019[[#This Row],[Paper (tons/day)]]*BE$1</f>
        <v>3.1254787200000008E-4</v>
      </c>
      <c r="BF213" s="37">
        <f>developmentdata2019[[#This Row],[Organics (tons/day)]]*BF$1</f>
        <v>3.1254787200000007E-6</v>
      </c>
      <c r="BG213" s="37">
        <f>developmentdata2019[[#This Row],[E-Waste (tons/day)]]*BG$1</f>
        <v>2.5003829760000007E-7</v>
      </c>
      <c r="BH213" s="37">
        <f>developmentdata2019[[#This Row],[Trash (tons/day)]]*BH$1</f>
        <v>22.083555000000004</v>
      </c>
      <c r="BI213" s="37">
        <f>developmentdata2019[[#This Row],[MGP (tons/day)]]*BI$1</f>
        <v>3.5919085800000006</v>
      </c>
      <c r="BJ213" s="37">
        <f>developmentdata2019[[#This Row],[Cardboard (tons/day)]]*BJ$1</f>
        <v>0.37212731010000011</v>
      </c>
      <c r="BK213" s="37">
        <f>developmentdata2019[[#This Row],[Paper (tons/day)]]*BK$1</f>
        <v>6.0458478990000021E-3</v>
      </c>
      <c r="BL213" s="37">
        <f>developmentdata2019[[#This Row],[Organics (tons/day)]]*BL$1</f>
        <v>1.3502068070400004E-3</v>
      </c>
      <c r="BM213" s="37">
        <f>developmentdata2019[[#This Row],[E-Waste (tons/day)]]*BM$1</f>
        <v>1.7658954768000005E-5</v>
      </c>
      <c r="BN213" s="37">
        <f>developmentdata2019[[#This Row],[Textiles (tons/day)]]*BN$1</f>
        <v>3.3330105070080009E-6</v>
      </c>
      <c r="BO213" s="37">
        <f>developmentdata2019[[#This Row],[Trash (CY/day)]]*201.974</f>
        <v>4460.3039375700009</v>
      </c>
      <c r="BP213" s="37">
        <f>developmentdata2019[[#This Row],[MGP (CY/day)]]*201.974</f>
        <v>725.47214353692004</v>
      </c>
      <c r="BQ213" s="37">
        <f>developmentdata2019[[#This Row],[Cardboard (CY/day)]]*201.974</f>
        <v>75.160041330137418</v>
      </c>
      <c r="BR213" s="37">
        <f>developmentdata2019[[#This Row],[Paper  (CY/day)]]*201.974</f>
        <v>1.2211040835526263</v>
      </c>
      <c r="BS213" s="37">
        <f>developmentdata2019[[#This Row],[Organics (CY/day)]]*201.974</f>
        <v>0.27270666964509704</v>
      </c>
      <c r="BT213" s="37">
        <f>developmentdata2019[[#This Row],[E-Waste (CY/day)]]*201.974</f>
        <v>3.5666497303120329E-3</v>
      </c>
      <c r="BU213" s="37">
        <f>developmentdata2019[[#This Row],[Textiles (CY/day)]]*201.974</f>
        <v>6.7318146414243392E-4</v>
      </c>
    </row>
    <row r="214" spans="1:73" x14ac:dyDescent="0.2">
      <c r="A214" s="37" t="s">
        <v>504</v>
      </c>
      <c r="B214" s="115">
        <v>43466</v>
      </c>
      <c r="C214" s="37" t="s">
        <v>1561</v>
      </c>
      <c r="D214">
        <v>53</v>
      </c>
      <c r="E214">
        <v>53</v>
      </c>
      <c r="F214">
        <v>588</v>
      </c>
      <c r="G214">
        <v>588</v>
      </c>
      <c r="H214" s="37" t="s">
        <v>1562</v>
      </c>
      <c r="I214" s="37" t="s">
        <v>577</v>
      </c>
      <c r="J214" s="37" t="s">
        <v>578</v>
      </c>
      <c r="K214" s="37" t="s">
        <v>579</v>
      </c>
      <c r="M214">
        <v>2069</v>
      </c>
      <c r="N214">
        <v>2071</v>
      </c>
      <c r="O214">
        <v>8838.5</v>
      </c>
      <c r="P214">
        <v>4.2699999999999996</v>
      </c>
      <c r="R214">
        <v>4219</v>
      </c>
      <c r="S214">
        <v>4219</v>
      </c>
      <c r="T214">
        <v>839</v>
      </c>
      <c r="U214">
        <v>0.40899999999999997</v>
      </c>
      <c r="V214">
        <v>35</v>
      </c>
      <c r="W214">
        <v>0</v>
      </c>
      <c r="X214">
        <v>121</v>
      </c>
      <c r="Y214">
        <v>39514</v>
      </c>
      <c r="Z214">
        <v>2238984</v>
      </c>
      <c r="AA214">
        <v>51.4</v>
      </c>
      <c r="AB214">
        <v>2083475</v>
      </c>
      <c r="AC214">
        <v>47.83</v>
      </c>
      <c r="AD214">
        <v>369627</v>
      </c>
      <c r="AE214">
        <v>19315843</v>
      </c>
      <c r="AF214">
        <v>0.1651</v>
      </c>
      <c r="AG214">
        <v>82</v>
      </c>
      <c r="AH214">
        <v>21645342</v>
      </c>
      <c r="AI214">
        <v>2446</v>
      </c>
      <c r="AJ214">
        <v>563</v>
      </c>
      <c r="AK214" s="37" t="s">
        <v>1563</v>
      </c>
      <c r="AL214" s="37" t="s">
        <v>1564</v>
      </c>
      <c r="AM214" s="37" t="s">
        <v>1565</v>
      </c>
      <c r="AN214" s="37" t="s">
        <v>1566</v>
      </c>
      <c r="AO214" s="37" t="s">
        <v>703</v>
      </c>
      <c r="AP214">
        <v>8</v>
      </c>
      <c r="AQ214">
        <v>6</v>
      </c>
      <c r="AR214">
        <v>16</v>
      </c>
      <c r="AS214">
        <v>27</v>
      </c>
      <c r="AT214">
        <v>24</v>
      </c>
      <c r="AU214" s="115">
        <v>19175</v>
      </c>
      <c r="AV214" s="37" t="s">
        <v>766</v>
      </c>
      <c r="AW214" s="37"/>
      <c r="AX214" s="37"/>
      <c r="AY214" s="37"/>
      <c r="AZ214" s="37">
        <f>developmentdata2019[[#This Row],[NUMBER OF CURRENT APARTMENTS]]*5/2000</f>
        <v>5.1725000000000003</v>
      </c>
      <c r="BA214" s="37">
        <f>developmentdata2019[[#This Row],[Total]]*BA$1</f>
        <v>1.3448500000000001</v>
      </c>
      <c r="BB214" s="37">
        <f>developmentdata2019[[#This Row],[Trash (tons/day)]]*BB$1</f>
        <v>0.25552150000000001</v>
      </c>
      <c r="BC214" s="37">
        <f>developmentdata2019[[#This Row],[MGP (tons/day)]]*BC$1</f>
        <v>1.7886505000000004E-2</v>
      </c>
      <c r="BD214" s="37">
        <f>developmentdata2019[[#This Row],[Cardboard (tons/day)]]*BD$1</f>
        <v>1.2520553500000003E-3</v>
      </c>
      <c r="BE214" s="37">
        <f>developmentdata2019[[#This Row],[Paper (tons/day)]]*BE$1</f>
        <v>4.0065771200000009E-4</v>
      </c>
      <c r="BF214" s="37">
        <f>developmentdata2019[[#This Row],[Organics (tons/day)]]*BF$1</f>
        <v>4.0065771200000008E-6</v>
      </c>
      <c r="BG214" s="37">
        <f>developmentdata2019[[#This Row],[E-Waste (tons/day)]]*BG$1</f>
        <v>3.2052616960000007E-7</v>
      </c>
      <c r="BH214" s="37">
        <f>developmentdata2019[[#This Row],[Trash (tons/day)]]*BH$1</f>
        <v>28.309092500000002</v>
      </c>
      <c r="BI214" s="37">
        <f>developmentdata2019[[#This Row],[MGP (tons/day)]]*BI$1</f>
        <v>4.6044974300000003</v>
      </c>
      <c r="BJ214" s="37">
        <f>developmentdata2019[[#This Row],[Cardboard (tons/day)]]*BJ$1</f>
        <v>0.47703308835000013</v>
      </c>
      <c r="BK214" s="37">
        <f>developmentdata2019[[#This Row],[Paper (tons/day)]]*BK$1</f>
        <v>7.7502226165000023E-3</v>
      </c>
      <c r="BL214" s="37">
        <f>developmentdata2019[[#This Row],[Organics (tons/day)]]*BL$1</f>
        <v>1.7308413158400005E-3</v>
      </c>
      <c r="BM214" s="37">
        <f>developmentdata2019[[#This Row],[E-Waste (tons/day)]]*BM$1</f>
        <v>2.2637160728000005E-5</v>
      </c>
      <c r="BN214" s="37">
        <f>developmentdata2019[[#This Row],[Textiles (tons/day)]]*BN$1</f>
        <v>4.2726138407680012E-6</v>
      </c>
      <c r="BO214" s="37">
        <f>developmentdata2019[[#This Row],[Trash (CY/day)]]*201.974</f>
        <v>5717.7006485950005</v>
      </c>
      <c r="BP214" s="37">
        <f>developmentdata2019[[#This Row],[MGP (CY/day)]]*201.974</f>
        <v>929.98876392682007</v>
      </c>
      <c r="BQ214" s="37">
        <f>developmentdata2019[[#This Row],[Cardboard (CY/day)]]*201.974</f>
        <v>96.348280986402926</v>
      </c>
      <c r="BR214" s="37">
        <f>developmentdata2019[[#This Row],[Paper  (CY/day)]]*201.974</f>
        <v>1.5653434627449714</v>
      </c>
      <c r="BS214" s="37">
        <f>developmentdata2019[[#This Row],[Organics (CY/day)]]*201.974</f>
        <v>0.34958494392546824</v>
      </c>
      <c r="BT214" s="37">
        <f>developmentdata2019[[#This Row],[E-Waste (CY/day)]]*201.974</f>
        <v>4.5721179008770731E-3</v>
      </c>
      <c r="BU214" s="37">
        <f>developmentdata2019[[#This Row],[Textiles (CY/day)]]*201.974</f>
        <v>8.6295690787527627E-4</v>
      </c>
    </row>
    <row r="215" spans="1:73" x14ac:dyDescent="0.2">
      <c r="A215" s="37" t="s">
        <v>1567</v>
      </c>
      <c r="B215" s="115">
        <v>43466</v>
      </c>
      <c r="C215" s="37" t="s">
        <v>1568</v>
      </c>
      <c r="D215">
        <v>560</v>
      </c>
      <c r="E215">
        <v>560</v>
      </c>
      <c r="H215" s="37" t="s">
        <v>1569</v>
      </c>
      <c r="I215" s="37" t="s">
        <v>1570</v>
      </c>
      <c r="J215" s="37" t="s">
        <v>588</v>
      </c>
      <c r="K215" s="37" t="s">
        <v>579</v>
      </c>
      <c r="M215">
        <v>50</v>
      </c>
      <c r="N215">
        <v>51</v>
      </c>
      <c r="O215">
        <v>235</v>
      </c>
      <c r="P215">
        <v>4.7</v>
      </c>
      <c r="V215">
        <v>1</v>
      </c>
      <c r="W215">
        <v>0</v>
      </c>
      <c r="X215">
        <v>1</v>
      </c>
      <c r="Y215">
        <v>6</v>
      </c>
      <c r="Z215">
        <v>25595</v>
      </c>
      <c r="AA215">
        <v>0.59</v>
      </c>
      <c r="AB215">
        <v>25595</v>
      </c>
      <c r="AC215">
        <v>0.59</v>
      </c>
      <c r="AH215">
        <v>12020098</v>
      </c>
      <c r="AI215">
        <v>51149</v>
      </c>
      <c r="AK215" s="37" t="s">
        <v>1571</v>
      </c>
      <c r="AL215" s="37" t="s">
        <v>1572</v>
      </c>
      <c r="AM215" s="37" t="s">
        <v>1573</v>
      </c>
      <c r="AN215" s="37"/>
      <c r="AO215" s="37" t="s">
        <v>584</v>
      </c>
      <c r="AP215">
        <v>3</v>
      </c>
      <c r="AQ215">
        <v>15</v>
      </c>
      <c r="AR215">
        <v>32</v>
      </c>
      <c r="AS215">
        <v>79</v>
      </c>
      <c r="AT215">
        <v>17</v>
      </c>
      <c r="AU215" s="115">
        <v>38496</v>
      </c>
      <c r="AV215" s="37"/>
      <c r="AW215" s="37"/>
      <c r="AX215" s="37"/>
      <c r="AY215" s="37" t="s">
        <v>621</v>
      </c>
      <c r="AZ215" s="37">
        <f>developmentdata2019[[#This Row],[NUMBER OF CURRENT APARTMENTS]]*5/2000</f>
        <v>0.125</v>
      </c>
      <c r="BA215" s="37">
        <f>developmentdata2019[[#This Row],[Total]]*BA$1</f>
        <v>3.2500000000000001E-2</v>
      </c>
      <c r="BB215" s="37">
        <f>developmentdata2019[[#This Row],[Trash (tons/day)]]*BB$1</f>
        <v>6.1749999999999999E-3</v>
      </c>
      <c r="BC215" s="37">
        <f>developmentdata2019[[#This Row],[MGP (tons/day)]]*BC$1</f>
        <v>4.3225000000000002E-4</v>
      </c>
      <c r="BD215" s="37">
        <f>developmentdata2019[[#This Row],[Cardboard (tons/day)]]*BD$1</f>
        <v>3.0257500000000003E-5</v>
      </c>
      <c r="BE215" s="37">
        <f>developmentdata2019[[#This Row],[Paper (tons/day)]]*BE$1</f>
        <v>9.6824000000000007E-6</v>
      </c>
      <c r="BF215" s="37">
        <f>developmentdata2019[[#This Row],[Organics (tons/day)]]*BF$1</f>
        <v>9.6824000000000007E-8</v>
      </c>
      <c r="BG215" s="37">
        <f>developmentdata2019[[#This Row],[E-Waste (tons/day)]]*BG$1</f>
        <v>7.7459200000000013E-9</v>
      </c>
      <c r="BH215" s="37">
        <f>developmentdata2019[[#This Row],[Trash (tons/day)]]*BH$1</f>
        <v>0.68412500000000009</v>
      </c>
      <c r="BI215" s="37">
        <f>developmentdata2019[[#This Row],[MGP (tons/day)]]*BI$1</f>
        <v>0.1112735</v>
      </c>
      <c r="BJ215" s="37">
        <f>developmentdata2019[[#This Row],[Cardboard (tons/day)]]*BJ$1</f>
        <v>1.1528107500000001E-2</v>
      </c>
      <c r="BK215" s="37">
        <f>developmentdata2019[[#This Row],[Paper (tons/day)]]*BK$1</f>
        <v>1.8729392500000004E-4</v>
      </c>
      <c r="BL215" s="37">
        <f>developmentdata2019[[#This Row],[Organics (tons/day)]]*BL$1</f>
        <v>4.1827968000000006E-5</v>
      </c>
      <c r="BM215" s="37">
        <f>developmentdata2019[[#This Row],[E-Waste (tons/day)]]*BM$1</f>
        <v>5.4705560000000011E-7</v>
      </c>
      <c r="BN215" s="37">
        <f>developmentdata2019[[#This Row],[Textiles (tons/day)]]*BN$1</f>
        <v>1.0325311360000001E-7</v>
      </c>
      <c r="BO215" s="37">
        <f>developmentdata2019[[#This Row],[Trash (CY/day)]]*201.974</f>
        <v>138.17546275000001</v>
      </c>
      <c r="BP215" s="37">
        <f>developmentdata2019[[#This Row],[MGP (CY/day)]]*201.974</f>
        <v>22.474353889</v>
      </c>
      <c r="BQ215" s="37">
        <f>developmentdata2019[[#This Row],[Cardboard (CY/day)]]*201.974</f>
        <v>2.3283779842049999</v>
      </c>
      <c r="BR215" s="37">
        <f>developmentdata2019[[#This Row],[Paper  (CY/day)]]*201.974</f>
        <v>3.7828503207950004E-2</v>
      </c>
      <c r="BS215" s="37">
        <f>developmentdata2019[[#This Row],[Organics (CY/day)]]*201.974</f>
        <v>8.4481620088320015E-3</v>
      </c>
      <c r="BT215" s="37">
        <f>developmentdata2019[[#This Row],[E-Waste (CY/day)]]*201.974</f>
        <v>1.1049100775440001E-4</v>
      </c>
      <c r="BU215" s="37">
        <f>developmentdata2019[[#This Row],[Textiles (CY/day)]]*201.974</f>
        <v>2.0854444366246403E-5</v>
      </c>
    </row>
    <row r="216" spans="1:73" x14ac:dyDescent="0.2">
      <c r="A216" s="37" t="s">
        <v>1574</v>
      </c>
      <c r="B216" s="115">
        <v>43466</v>
      </c>
      <c r="C216" s="37" t="s">
        <v>1575</v>
      </c>
      <c r="D216">
        <v>340</v>
      </c>
      <c r="E216">
        <v>111</v>
      </c>
      <c r="F216">
        <v>774</v>
      </c>
      <c r="G216">
        <v>774</v>
      </c>
      <c r="H216" s="37" t="s">
        <v>1576</v>
      </c>
      <c r="I216" s="37" t="s">
        <v>577</v>
      </c>
      <c r="J216" s="37" t="s">
        <v>588</v>
      </c>
      <c r="K216" s="37" t="s">
        <v>1161</v>
      </c>
      <c r="M216">
        <v>125</v>
      </c>
      <c r="N216">
        <v>125</v>
      </c>
      <c r="O216">
        <v>423.5</v>
      </c>
      <c r="P216">
        <v>3.39</v>
      </c>
      <c r="R216">
        <v>140</v>
      </c>
      <c r="S216">
        <v>140</v>
      </c>
      <c r="T216">
        <v>100</v>
      </c>
      <c r="U216">
        <v>0.81299999999999994</v>
      </c>
      <c r="V216">
        <v>1</v>
      </c>
      <c r="W216">
        <v>0</v>
      </c>
      <c r="X216">
        <v>2</v>
      </c>
      <c r="Y216">
        <v>5</v>
      </c>
      <c r="Z216">
        <v>64945</v>
      </c>
      <c r="AA216">
        <v>1.49</v>
      </c>
      <c r="AB216">
        <v>64945</v>
      </c>
      <c r="AC216">
        <v>1.49</v>
      </c>
      <c r="AD216">
        <v>26325</v>
      </c>
      <c r="AE216">
        <v>2943660</v>
      </c>
      <c r="AF216">
        <v>0.40529999999999999</v>
      </c>
      <c r="AG216">
        <v>94</v>
      </c>
      <c r="AH216">
        <v>7898759</v>
      </c>
      <c r="AI216">
        <v>18348</v>
      </c>
      <c r="AJ216">
        <v>393</v>
      </c>
      <c r="AK216" s="37" t="s">
        <v>1577</v>
      </c>
      <c r="AL216" s="37" t="s">
        <v>1037</v>
      </c>
      <c r="AM216" s="37" t="s">
        <v>1315</v>
      </c>
      <c r="AN216" s="37"/>
      <c r="AO216" s="37" t="s">
        <v>608</v>
      </c>
      <c r="AP216">
        <v>10</v>
      </c>
      <c r="AQ216">
        <v>13</v>
      </c>
      <c r="AR216">
        <v>30</v>
      </c>
      <c r="AS216">
        <v>70</v>
      </c>
      <c r="AT216">
        <v>9</v>
      </c>
      <c r="AU216" s="115">
        <v>31693</v>
      </c>
      <c r="AV216" s="37"/>
      <c r="AW216" s="37" t="s">
        <v>736</v>
      </c>
      <c r="AX216" s="37" t="s">
        <v>621</v>
      </c>
      <c r="AY216" s="37"/>
      <c r="AZ216" s="37">
        <f>developmentdata2019[[#This Row],[NUMBER OF CURRENT APARTMENTS]]*5/2000</f>
        <v>0.3125</v>
      </c>
      <c r="BA216" s="37">
        <f>developmentdata2019[[#This Row],[Total]]*BA$1</f>
        <v>8.1250000000000003E-2</v>
      </c>
      <c r="BB216" s="37">
        <f>developmentdata2019[[#This Row],[Trash (tons/day)]]*BB$1</f>
        <v>1.5437500000000002E-2</v>
      </c>
      <c r="BC216" s="37">
        <f>developmentdata2019[[#This Row],[MGP (tons/day)]]*BC$1</f>
        <v>1.0806250000000002E-3</v>
      </c>
      <c r="BD216" s="37">
        <f>developmentdata2019[[#This Row],[Cardboard (tons/day)]]*BD$1</f>
        <v>7.5643750000000019E-5</v>
      </c>
      <c r="BE216" s="37">
        <f>developmentdata2019[[#This Row],[Paper (tons/day)]]*BE$1</f>
        <v>2.4206000000000005E-5</v>
      </c>
      <c r="BF216" s="37">
        <f>developmentdata2019[[#This Row],[Organics (tons/day)]]*BF$1</f>
        <v>2.4206000000000004E-7</v>
      </c>
      <c r="BG216" s="37">
        <f>developmentdata2019[[#This Row],[E-Waste (tons/day)]]*BG$1</f>
        <v>1.9364800000000004E-8</v>
      </c>
      <c r="BH216" s="37">
        <f>developmentdata2019[[#This Row],[Trash (tons/day)]]*BH$1</f>
        <v>1.7103125000000001</v>
      </c>
      <c r="BI216" s="37">
        <f>developmentdata2019[[#This Row],[MGP (tons/day)]]*BI$1</f>
        <v>0.27818375000000001</v>
      </c>
      <c r="BJ216" s="37">
        <f>developmentdata2019[[#This Row],[Cardboard (tons/day)]]*BJ$1</f>
        <v>2.8820268750000006E-2</v>
      </c>
      <c r="BK216" s="37">
        <f>developmentdata2019[[#This Row],[Paper (tons/day)]]*BK$1</f>
        <v>4.6823481250000016E-4</v>
      </c>
      <c r="BL216" s="37">
        <f>developmentdata2019[[#This Row],[Organics (tons/day)]]*BL$1</f>
        <v>1.0456992000000003E-4</v>
      </c>
      <c r="BM216" s="37">
        <f>developmentdata2019[[#This Row],[E-Waste (tons/day)]]*BM$1</f>
        <v>1.3676390000000003E-6</v>
      </c>
      <c r="BN216" s="37">
        <f>developmentdata2019[[#This Row],[Textiles (tons/day)]]*BN$1</f>
        <v>2.5813278400000004E-7</v>
      </c>
      <c r="BO216" s="37">
        <f>developmentdata2019[[#This Row],[Trash (CY/day)]]*201.974</f>
        <v>345.43865687499999</v>
      </c>
      <c r="BP216" s="37">
        <f>developmentdata2019[[#This Row],[MGP (CY/day)]]*201.974</f>
        <v>56.185884722499999</v>
      </c>
      <c r="BQ216" s="37">
        <f>developmentdata2019[[#This Row],[Cardboard (CY/day)]]*201.974</f>
        <v>5.8209449605125005</v>
      </c>
      <c r="BR216" s="37">
        <f>developmentdata2019[[#This Row],[Paper  (CY/day)]]*201.974</f>
        <v>9.4571258019875024E-2</v>
      </c>
      <c r="BS216" s="37">
        <f>developmentdata2019[[#This Row],[Organics (CY/day)]]*201.974</f>
        <v>2.1120405022080006E-2</v>
      </c>
      <c r="BT216" s="37">
        <f>developmentdata2019[[#This Row],[E-Waste (CY/day)]]*201.974</f>
        <v>2.7622751938600007E-4</v>
      </c>
      <c r="BU216" s="37">
        <f>developmentdata2019[[#This Row],[Textiles (CY/day)]]*201.974</f>
        <v>5.2136110915616003E-5</v>
      </c>
    </row>
    <row r="217" spans="1:73" x14ac:dyDescent="0.2">
      <c r="A217" s="37" t="s">
        <v>1578</v>
      </c>
      <c r="B217" s="115">
        <v>43466</v>
      </c>
      <c r="C217" s="37" t="s">
        <v>1579</v>
      </c>
      <c r="D217">
        <v>505</v>
      </c>
      <c r="E217">
        <v>505</v>
      </c>
      <c r="F217">
        <v>398</v>
      </c>
      <c r="G217">
        <v>398</v>
      </c>
      <c r="H217" s="37" t="s">
        <v>1580</v>
      </c>
      <c r="I217" s="37" t="s">
        <v>577</v>
      </c>
      <c r="J217" s="37" t="s">
        <v>578</v>
      </c>
      <c r="K217" s="37" t="s">
        <v>579</v>
      </c>
      <c r="M217">
        <v>1542</v>
      </c>
      <c r="N217">
        <v>1543</v>
      </c>
      <c r="O217">
        <v>6337</v>
      </c>
      <c r="P217">
        <v>4.1100000000000003</v>
      </c>
      <c r="R217">
        <v>3129</v>
      </c>
      <c r="S217">
        <v>3129</v>
      </c>
      <c r="T217">
        <v>582</v>
      </c>
      <c r="U217">
        <v>0.38200000000000001</v>
      </c>
      <c r="V217">
        <v>13</v>
      </c>
      <c r="W217">
        <v>1</v>
      </c>
      <c r="X217">
        <v>48</v>
      </c>
      <c r="Y217">
        <v>6</v>
      </c>
      <c r="Z217">
        <v>886643</v>
      </c>
      <c r="AA217">
        <v>20.350000000000001</v>
      </c>
      <c r="AB217">
        <v>689843</v>
      </c>
      <c r="AC217">
        <v>15.84</v>
      </c>
      <c r="AD217">
        <v>191356</v>
      </c>
      <c r="AE217">
        <v>11314111</v>
      </c>
      <c r="AF217">
        <v>0.21579999999999999</v>
      </c>
      <c r="AG217">
        <v>154</v>
      </c>
      <c r="AH217">
        <v>6466805</v>
      </c>
      <c r="AI217">
        <v>1010</v>
      </c>
      <c r="AJ217">
        <v>556</v>
      </c>
      <c r="AK217" s="37" t="s">
        <v>1581</v>
      </c>
      <c r="AL217" s="37" t="s">
        <v>1582</v>
      </c>
      <c r="AM217" s="37" t="s">
        <v>1583</v>
      </c>
      <c r="AN217" s="37" t="s">
        <v>1584</v>
      </c>
      <c r="AO217" s="37" t="s">
        <v>703</v>
      </c>
      <c r="AP217">
        <v>1</v>
      </c>
      <c r="AQ217">
        <v>12</v>
      </c>
      <c r="AR217">
        <v>12</v>
      </c>
      <c r="AS217">
        <v>37</v>
      </c>
      <c r="AT217">
        <v>26</v>
      </c>
      <c r="AU217" s="115">
        <v>14685</v>
      </c>
      <c r="AV217" s="37"/>
      <c r="AW217" s="37"/>
      <c r="AX217" s="37"/>
      <c r="AY217" s="37"/>
      <c r="AZ217" s="37">
        <f>developmentdata2019[[#This Row],[NUMBER OF CURRENT APARTMENTS]]*5/2000</f>
        <v>3.855</v>
      </c>
      <c r="BA217" s="37">
        <f>developmentdata2019[[#This Row],[Total]]*BA$1</f>
        <v>1.0023</v>
      </c>
      <c r="BB217" s="37">
        <f>developmentdata2019[[#This Row],[Trash (tons/day)]]*BB$1</f>
        <v>0.190437</v>
      </c>
      <c r="BC217" s="37">
        <f>developmentdata2019[[#This Row],[MGP (tons/day)]]*BC$1</f>
        <v>1.3330590000000002E-2</v>
      </c>
      <c r="BD217" s="37">
        <f>developmentdata2019[[#This Row],[Cardboard (tons/day)]]*BD$1</f>
        <v>9.3314130000000017E-4</v>
      </c>
      <c r="BE217" s="37">
        <f>developmentdata2019[[#This Row],[Paper (tons/day)]]*BE$1</f>
        <v>2.9860521600000008E-4</v>
      </c>
      <c r="BF217" s="37">
        <f>developmentdata2019[[#This Row],[Organics (tons/day)]]*BF$1</f>
        <v>2.986052160000001E-6</v>
      </c>
      <c r="BG217" s="37">
        <f>developmentdata2019[[#This Row],[E-Waste (tons/day)]]*BG$1</f>
        <v>2.3888417280000009E-7</v>
      </c>
      <c r="BH217" s="37">
        <f>developmentdata2019[[#This Row],[Trash (tons/day)]]*BH$1</f>
        <v>21.098414999999999</v>
      </c>
      <c r="BI217" s="37">
        <f>developmentdata2019[[#This Row],[MGP (tons/day)]]*BI$1</f>
        <v>3.4316747399999996</v>
      </c>
      <c r="BJ217" s="37">
        <f>developmentdata2019[[#This Row],[Cardboard (tons/day)]]*BJ$1</f>
        <v>0.35552683530000007</v>
      </c>
      <c r="BK217" s="37">
        <f>developmentdata2019[[#This Row],[Paper (tons/day)]]*BK$1</f>
        <v>5.7761446470000017E-3</v>
      </c>
      <c r="BL217" s="37">
        <f>developmentdata2019[[#This Row],[Organics (tons/day)]]*BL$1</f>
        <v>1.2899745331200003E-3</v>
      </c>
      <c r="BM217" s="37">
        <f>developmentdata2019[[#This Row],[E-Waste (tons/day)]]*BM$1</f>
        <v>1.6871194704000008E-5</v>
      </c>
      <c r="BN217" s="37">
        <f>developmentdata2019[[#This Row],[Textiles (tons/day)]]*BN$1</f>
        <v>3.1843260234240012E-6</v>
      </c>
      <c r="BO217" s="37">
        <f>developmentdata2019[[#This Row],[Trash (CY/day)]]*201.974</f>
        <v>4261.3312712099996</v>
      </c>
      <c r="BP217" s="37">
        <f>developmentdata2019[[#This Row],[MGP (CY/day)]]*201.974</f>
        <v>693.10907393675984</v>
      </c>
      <c r="BQ217" s="37">
        <f>developmentdata2019[[#This Row],[Cardboard (CY/day)]]*201.974</f>
        <v>71.807177032882208</v>
      </c>
      <c r="BR217" s="37">
        <f>developmentdata2019[[#This Row],[Paper  (CY/day)]]*201.974</f>
        <v>1.1666310389331782</v>
      </c>
      <c r="BS217" s="37">
        <f>developmentdata2019[[#This Row],[Organics (CY/day)]]*201.974</f>
        <v>0.26054131635237893</v>
      </c>
      <c r="BT217" s="37">
        <f>developmentdata2019[[#This Row],[E-Waste (CY/day)]]*201.974</f>
        <v>3.4075426791456975E-3</v>
      </c>
      <c r="BU217" s="37">
        <f>developmentdata2019[[#This Row],[Textiles (CY/day)]]*201.974</f>
        <v>6.4315106425503923E-4</v>
      </c>
    </row>
    <row r="218" spans="1:73" x14ac:dyDescent="0.2">
      <c r="A218" s="37" t="s">
        <v>1585</v>
      </c>
      <c r="B218" s="115">
        <v>43466</v>
      </c>
      <c r="C218" s="37" t="s">
        <v>1586</v>
      </c>
      <c r="D218">
        <v>5</v>
      </c>
      <c r="E218">
        <v>5</v>
      </c>
      <c r="F218">
        <v>843</v>
      </c>
      <c r="G218">
        <v>843</v>
      </c>
      <c r="H218" s="37" t="s">
        <v>1587</v>
      </c>
      <c r="I218" s="37" t="s">
        <v>577</v>
      </c>
      <c r="J218" s="37" t="s">
        <v>578</v>
      </c>
      <c r="K218" s="37" t="s">
        <v>579</v>
      </c>
      <c r="M218">
        <v>1603</v>
      </c>
      <c r="N218">
        <v>1604</v>
      </c>
      <c r="O218">
        <v>6625.5</v>
      </c>
      <c r="P218">
        <v>4.13</v>
      </c>
      <c r="R218">
        <v>3284</v>
      </c>
      <c r="S218">
        <v>3284</v>
      </c>
      <c r="T218">
        <v>610</v>
      </c>
      <c r="U218">
        <v>0.38700000000000001</v>
      </c>
      <c r="V218">
        <v>13</v>
      </c>
      <c r="W218">
        <v>2</v>
      </c>
      <c r="X218">
        <v>50</v>
      </c>
      <c r="Y218">
        <v>6</v>
      </c>
      <c r="Z218">
        <v>1268298</v>
      </c>
      <c r="AA218">
        <v>29.12</v>
      </c>
      <c r="AB218">
        <v>820525</v>
      </c>
      <c r="AC218">
        <v>18.84</v>
      </c>
      <c r="AD218">
        <v>198609</v>
      </c>
      <c r="AE218">
        <v>11742973</v>
      </c>
      <c r="AF218">
        <v>0.15659999999999999</v>
      </c>
      <c r="AG218">
        <v>113</v>
      </c>
      <c r="AH218">
        <v>7054601</v>
      </c>
      <c r="AI218">
        <v>1057</v>
      </c>
      <c r="AJ218">
        <v>521</v>
      </c>
      <c r="AK218" s="37" t="s">
        <v>1581</v>
      </c>
      <c r="AL218" s="37" t="s">
        <v>1582</v>
      </c>
      <c r="AM218" s="37" t="s">
        <v>1588</v>
      </c>
      <c r="AN218" s="37" t="s">
        <v>1584</v>
      </c>
      <c r="AO218" s="37" t="s">
        <v>703</v>
      </c>
      <c r="AP218">
        <v>1</v>
      </c>
      <c r="AQ218">
        <v>12</v>
      </c>
      <c r="AR218">
        <v>12</v>
      </c>
      <c r="AS218">
        <v>37</v>
      </c>
      <c r="AT218">
        <v>26</v>
      </c>
      <c r="AU218" s="115">
        <v>14685</v>
      </c>
      <c r="AV218" s="37"/>
      <c r="AW218" s="37"/>
      <c r="AX218" s="37"/>
      <c r="AY218" s="37"/>
      <c r="AZ218" s="37">
        <f>developmentdata2019[[#This Row],[NUMBER OF CURRENT APARTMENTS]]*5/2000</f>
        <v>4.0075000000000003</v>
      </c>
      <c r="BA218" s="37">
        <f>developmentdata2019[[#This Row],[Total]]*BA$1</f>
        <v>1.0419500000000002</v>
      </c>
      <c r="BB218" s="37">
        <f>developmentdata2019[[#This Row],[Trash (tons/day)]]*BB$1</f>
        <v>0.19797050000000002</v>
      </c>
      <c r="BC218" s="37">
        <f>developmentdata2019[[#This Row],[MGP (tons/day)]]*BC$1</f>
        <v>1.3857935000000004E-2</v>
      </c>
      <c r="BD218" s="37">
        <f>developmentdata2019[[#This Row],[Cardboard (tons/day)]]*BD$1</f>
        <v>9.7005545000000031E-4</v>
      </c>
      <c r="BE218" s="37">
        <f>developmentdata2019[[#This Row],[Paper (tons/day)]]*BE$1</f>
        <v>3.1041774400000012E-4</v>
      </c>
      <c r="BF218" s="37">
        <f>developmentdata2019[[#This Row],[Organics (tons/day)]]*BF$1</f>
        <v>3.1041774400000015E-6</v>
      </c>
      <c r="BG218" s="37">
        <f>developmentdata2019[[#This Row],[E-Waste (tons/day)]]*BG$1</f>
        <v>2.4833419520000012E-7</v>
      </c>
      <c r="BH218" s="37">
        <f>developmentdata2019[[#This Row],[Trash (tons/day)]]*BH$1</f>
        <v>21.933047500000004</v>
      </c>
      <c r="BI218" s="37">
        <f>developmentdata2019[[#This Row],[MGP (tons/day)]]*BI$1</f>
        <v>3.5674284100000002</v>
      </c>
      <c r="BJ218" s="37">
        <f>developmentdata2019[[#This Row],[Cardboard (tons/day)]]*BJ$1</f>
        <v>0.36959112645000014</v>
      </c>
      <c r="BK218" s="37">
        <f>developmentdata2019[[#This Row],[Paper (tons/day)]]*BK$1</f>
        <v>6.0046432355000019E-3</v>
      </c>
      <c r="BL218" s="37">
        <f>developmentdata2019[[#This Row],[Organics (tons/day)]]*BL$1</f>
        <v>1.3410046540800007E-3</v>
      </c>
      <c r="BM218" s="37">
        <f>developmentdata2019[[#This Row],[E-Waste (tons/day)]]*BM$1</f>
        <v>1.753860253600001E-5</v>
      </c>
      <c r="BN218" s="37">
        <f>developmentdata2019[[#This Row],[Textiles (tons/day)]]*BN$1</f>
        <v>3.3102948220160017E-6</v>
      </c>
      <c r="BO218" s="37">
        <f>developmentdata2019[[#This Row],[Trash (CY/day)]]*201.974</f>
        <v>4429.9053357650009</v>
      </c>
      <c r="BP218" s="37">
        <f>developmentdata2019[[#This Row],[MGP (CY/day)]]*201.974</f>
        <v>720.52778568133999</v>
      </c>
      <c r="BQ218" s="37">
        <f>developmentdata2019[[#This Row],[Cardboard (CY/day)]]*201.974</f>
        <v>74.64779817361233</v>
      </c>
      <c r="BR218" s="37">
        <f>developmentdata2019[[#This Row],[Paper  (CY/day)]]*201.974</f>
        <v>1.2127818128468772</v>
      </c>
      <c r="BS218" s="37">
        <f>developmentdata2019[[#This Row],[Organics (CY/day)]]*201.974</f>
        <v>0.27084807400315403</v>
      </c>
      <c r="BT218" s="37">
        <f>developmentdata2019[[#This Row],[E-Waste (CY/day)]]*201.974</f>
        <v>3.5423417086060658E-3</v>
      </c>
      <c r="BU218" s="37">
        <f>developmentdata2019[[#This Row],[Textiles (CY/day)]]*201.974</f>
        <v>6.685934863818599E-4</v>
      </c>
    </row>
    <row r="219" spans="1:73" x14ac:dyDescent="0.2">
      <c r="A219" s="37" t="s">
        <v>1589</v>
      </c>
      <c r="B219" s="115">
        <v>43466</v>
      </c>
      <c r="C219" s="37" t="s">
        <v>586</v>
      </c>
      <c r="D219">
        <v>352</v>
      </c>
      <c r="E219">
        <v>167</v>
      </c>
      <c r="F219">
        <v>771</v>
      </c>
      <c r="G219">
        <v>763</v>
      </c>
      <c r="H219" s="37" t="s">
        <v>1590</v>
      </c>
      <c r="I219" s="37" t="s">
        <v>577</v>
      </c>
      <c r="J219" s="37" t="s">
        <v>588</v>
      </c>
      <c r="K219" s="37" t="s">
        <v>597</v>
      </c>
      <c r="M219">
        <v>118</v>
      </c>
      <c r="N219">
        <v>118</v>
      </c>
      <c r="O219">
        <v>529</v>
      </c>
      <c r="P219">
        <v>4.4800000000000004</v>
      </c>
      <c r="R219">
        <v>284</v>
      </c>
      <c r="S219">
        <v>284</v>
      </c>
      <c r="T219">
        <v>26</v>
      </c>
      <c r="U219">
        <v>0.22</v>
      </c>
      <c r="V219">
        <v>5</v>
      </c>
      <c r="W219">
        <v>0</v>
      </c>
      <c r="X219">
        <v>5</v>
      </c>
      <c r="Y219">
        <v>4</v>
      </c>
      <c r="Z219">
        <v>70486</v>
      </c>
      <c r="AA219">
        <v>1.62</v>
      </c>
      <c r="AB219">
        <v>70486</v>
      </c>
      <c r="AC219">
        <v>1.62</v>
      </c>
      <c r="AD219">
        <v>27982</v>
      </c>
      <c r="AE219">
        <v>3052668</v>
      </c>
      <c r="AF219">
        <v>0.39700000000000002</v>
      </c>
      <c r="AG219">
        <v>175</v>
      </c>
      <c r="AH219">
        <v>6714551</v>
      </c>
      <c r="AI219">
        <v>12693</v>
      </c>
      <c r="AJ219">
        <v>574</v>
      </c>
      <c r="AK219" s="37" t="s">
        <v>1173</v>
      </c>
      <c r="AL219" s="37" t="s">
        <v>833</v>
      </c>
      <c r="AM219" s="37" t="s">
        <v>591</v>
      </c>
      <c r="AN219" s="37" t="s">
        <v>1359</v>
      </c>
      <c r="AO219" s="37" t="s">
        <v>593</v>
      </c>
      <c r="AP219">
        <v>16</v>
      </c>
      <c r="AQ219">
        <v>9</v>
      </c>
      <c r="AR219">
        <v>20</v>
      </c>
      <c r="AS219">
        <v>55</v>
      </c>
      <c r="AT219">
        <v>41</v>
      </c>
      <c r="AU219" s="115">
        <v>31769</v>
      </c>
      <c r="AV219" s="37"/>
      <c r="AW219" s="37"/>
      <c r="AX219" s="37" t="s">
        <v>621</v>
      </c>
      <c r="AY219" s="37"/>
      <c r="AZ219" s="37">
        <f>developmentdata2019[[#This Row],[NUMBER OF CURRENT APARTMENTS]]*5/2000</f>
        <v>0.29499999999999998</v>
      </c>
      <c r="BA219" s="37">
        <f>developmentdata2019[[#This Row],[Total]]*BA$1</f>
        <v>7.6700000000000004E-2</v>
      </c>
      <c r="BB219" s="37">
        <f>developmentdata2019[[#This Row],[Trash (tons/day)]]*BB$1</f>
        <v>1.4573000000000001E-2</v>
      </c>
      <c r="BC219" s="37">
        <f>developmentdata2019[[#This Row],[MGP (tons/day)]]*BC$1</f>
        <v>1.0201100000000001E-3</v>
      </c>
      <c r="BD219" s="37">
        <f>developmentdata2019[[#This Row],[Cardboard (tons/day)]]*BD$1</f>
        <v>7.1407700000000011E-5</v>
      </c>
      <c r="BE219" s="37">
        <f>developmentdata2019[[#This Row],[Paper (tons/day)]]*BE$1</f>
        <v>2.2850464000000002E-5</v>
      </c>
      <c r="BF219" s="37">
        <f>developmentdata2019[[#This Row],[Organics (tons/day)]]*BF$1</f>
        <v>2.2850464000000004E-7</v>
      </c>
      <c r="BG219" s="37">
        <f>developmentdata2019[[#This Row],[E-Waste (tons/day)]]*BG$1</f>
        <v>1.8280371200000005E-8</v>
      </c>
      <c r="BH219" s="37">
        <f>developmentdata2019[[#This Row],[Trash (tons/day)]]*BH$1</f>
        <v>1.6145350000000001</v>
      </c>
      <c r="BI219" s="37">
        <f>developmentdata2019[[#This Row],[MGP (tons/day)]]*BI$1</f>
        <v>0.26260546000000001</v>
      </c>
      <c r="BJ219" s="37">
        <f>developmentdata2019[[#This Row],[Cardboard (tons/day)]]*BJ$1</f>
        <v>2.7206333700000005E-2</v>
      </c>
      <c r="BK219" s="37">
        <f>developmentdata2019[[#This Row],[Paper (tons/day)]]*BK$1</f>
        <v>4.4201366300000011E-4</v>
      </c>
      <c r="BL219" s="37">
        <f>developmentdata2019[[#This Row],[Organics (tons/day)]]*BL$1</f>
        <v>9.871400448000002E-5</v>
      </c>
      <c r="BM219" s="37">
        <f>developmentdata2019[[#This Row],[E-Waste (tons/day)]]*BM$1</f>
        <v>1.2910512160000003E-6</v>
      </c>
      <c r="BN219" s="37">
        <f>developmentdata2019[[#This Row],[Textiles (tons/day)]]*BN$1</f>
        <v>2.4367734809600005E-7</v>
      </c>
      <c r="BO219" s="37">
        <f>developmentdata2019[[#This Row],[Trash (CY/day)]]*201.974</f>
        <v>326.09409209</v>
      </c>
      <c r="BP219" s="37">
        <f>developmentdata2019[[#This Row],[MGP (CY/day)]]*201.974</f>
        <v>53.03947517804</v>
      </c>
      <c r="BQ219" s="37">
        <f>developmentdata2019[[#This Row],[Cardboard (CY/day)]]*201.974</f>
        <v>5.4949720427238011</v>
      </c>
      <c r="BR219" s="37">
        <f>developmentdata2019[[#This Row],[Paper  (CY/day)]]*201.974</f>
        <v>8.9275267570762012E-2</v>
      </c>
      <c r="BS219" s="37">
        <f>developmentdata2019[[#This Row],[Organics (CY/day)]]*201.974</f>
        <v>1.9937662340843522E-2</v>
      </c>
      <c r="BT219" s="37">
        <f>developmentdata2019[[#This Row],[E-Waste (CY/day)]]*201.974</f>
        <v>2.6075877830038403E-4</v>
      </c>
      <c r="BU219" s="37">
        <f>developmentdata2019[[#This Row],[Textiles (CY/day)]]*201.974</f>
        <v>4.9216488704341512E-5</v>
      </c>
    </row>
    <row r="220" spans="1:73" x14ac:dyDescent="0.2">
      <c r="A220" s="37" t="s">
        <v>1591</v>
      </c>
      <c r="B220" s="115">
        <v>43466</v>
      </c>
      <c r="C220" s="37" t="s">
        <v>1592</v>
      </c>
      <c r="D220">
        <v>245</v>
      </c>
      <c r="E220">
        <v>63</v>
      </c>
      <c r="F220">
        <v>364</v>
      </c>
      <c r="G220">
        <v>218</v>
      </c>
      <c r="H220" s="37" t="s">
        <v>1593</v>
      </c>
      <c r="I220" s="37" t="s">
        <v>577</v>
      </c>
      <c r="J220" s="37" t="s">
        <v>588</v>
      </c>
      <c r="K220" s="37" t="s">
        <v>735</v>
      </c>
      <c r="M220">
        <v>251</v>
      </c>
      <c r="N220">
        <v>252</v>
      </c>
      <c r="O220">
        <v>823.5</v>
      </c>
      <c r="P220">
        <v>3.28</v>
      </c>
      <c r="R220">
        <v>276</v>
      </c>
      <c r="S220">
        <v>276</v>
      </c>
      <c r="T220">
        <v>217</v>
      </c>
      <c r="U220">
        <v>0.88600000000000001</v>
      </c>
      <c r="V220">
        <v>3</v>
      </c>
      <c r="W220">
        <v>0</v>
      </c>
      <c r="X220">
        <v>3</v>
      </c>
      <c r="Y220">
        <v>6</v>
      </c>
      <c r="Z220">
        <v>230000</v>
      </c>
      <c r="AA220">
        <v>5.28</v>
      </c>
      <c r="AB220">
        <v>230000</v>
      </c>
      <c r="AC220">
        <v>5.28</v>
      </c>
      <c r="AD220">
        <v>48175</v>
      </c>
      <c r="AE220">
        <v>1582410</v>
      </c>
      <c r="AF220">
        <v>0.20949999999999999</v>
      </c>
      <c r="AG220">
        <v>52</v>
      </c>
      <c r="AH220">
        <v>9186414</v>
      </c>
      <c r="AI220">
        <v>10757</v>
      </c>
      <c r="AJ220">
        <v>354</v>
      </c>
      <c r="AK220" s="37" t="s">
        <v>1594</v>
      </c>
      <c r="AL220" s="37" t="s">
        <v>1595</v>
      </c>
      <c r="AM220" s="37" t="s">
        <v>1596</v>
      </c>
      <c r="AN220" s="37" t="s">
        <v>1597</v>
      </c>
      <c r="AO220" s="37" t="s">
        <v>584</v>
      </c>
      <c r="AP220">
        <v>10</v>
      </c>
      <c r="AQ220">
        <v>14</v>
      </c>
      <c r="AR220">
        <v>34</v>
      </c>
      <c r="AS220">
        <v>82</v>
      </c>
      <c r="AT220">
        <v>13</v>
      </c>
      <c r="AU220" s="115">
        <v>28794</v>
      </c>
      <c r="AV220" s="37"/>
      <c r="AW220" s="37" t="s">
        <v>736</v>
      </c>
      <c r="AX220" s="37"/>
      <c r="AY220" s="37"/>
      <c r="AZ220" s="37">
        <f>developmentdata2019[[#This Row],[NUMBER OF CURRENT APARTMENTS]]*5/2000</f>
        <v>0.62749999999999995</v>
      </c>
      <c r="BA220" s="37">
        <f>developmentdata2019[[#This Row],[Total]]*BA$1</f>
        <v>0.16314999999999999</v>
      </c>
      <c r="BB220" s="37">
        <f>developmentdata2019[[#This Row],[Trash (tons/day)]]*BB$1</f>
        <v>3.0998499999999998E-2</v>
      </c>
      <c r="BC220" s="37">
        <f>developmentdata2019[[#This Row],[MGP (tons/day)]]*BC$1</f>
        <v>2.1698950000000002E-3</v>
      </c>
      <c r="BD220" s="37">
        <f>developmentdata2019[[#This Row],[Cardboard (tons/day)]]*BD$1</f>
        <v>1.5189265000000002E-4</v>
      </c>
      <c r="BE220" s="37">
        <f>developmentdata2019[[#This Row],[Paper (tons/day)]]*BE$1</f>
        <v>4.8605648000000006E-5</v>
      </c>
      <c r="BF220" s="37">
        <f>developmentdata2019[[#This Row],[Organics (tons/day)]]*BF$1</f>
        <v>4.8605648000000009E-7</v>
      </c>
      <c r="BG220" s="37">
        <f>developmentdata2019[[#This Row],[E-Waste (tons/day)]]*BG$1</f>
        <v>3.8884518400000006E-8</v>
      </c>
      <c r="BH220" s="37">
        <f>developmentdata2019[[#This Row],[Trash (tons/day)]]*BH$1</f>
        <v>3.4343075000000001</v>
      </c>
      <c r="BI220" s="37">
        <f>developmentdata2019[[#This Row],[MGP (tons/day)]]*BI$1</f>
        <v>0.55859296999999997</v>
      </c>
      <c r="BJ220" s="37">
        <f>developmentdata2019[[#This Row],[Cardboard (tons/day)]]*BJ$1</f>
        <v>5.7871099650000007E-2</v>
      </c>
      <c r="BK220" s="37">
        <f>developmentdata2019[[#This Row],[Paper (tons/day)]]*BK$1</f>
        <v>9.4021550350000015E-4</v>
      </c>
      <c r="BL220" s="37">
        <f>developmentdata2019[[#This Row],[Organics (tons/day)]]*BL$1</f>
        <v>2.0997639936000005E-4</v>
      </c>
      <c r="BM220" s="37">
        <f>developmentdata2019[[#This Row],[E-Waste (tons/day)]]*BM$1</f>
        <v>2.7462191120000008E-6</v>
      </c>
      <c r="BN220" s="37">
        <f>developmentdata2019[[#This Row],[Textiles (tons/day)]]*BN$1</f>
        <v>5.1833063027200009E-7</v>
      </c>
      <c r="BO220" s="37">
        <f>developmentdata2019[[#This Row],[Trash (CY/day)]]*201.974</f>
        <v>693.64082300500002</v>
      </c>
      <c r="BP220" s="37">
        <f>developmentdata2019[[#This Row],[MGP (CY/day)]]*201.974</f>
        <v>112.82125652277999</v>
      </c>
      <c r="BQ220" s="37">
        <f>developmentdata2019[[#This Row],[Cardboard (CY/day)]]*201.974</f>
        <v>11.688457480709101</v>
      </c>
      <c r="BR220" s="37">
        <f>developmentdata2019[[#This Row],[Paper  (CY/day)]]*201.974</f>
        <v>0.18989908610390901</v>
      </c>
      <c r="BS220" s="37">
        <f>developmentdata2019[[#This Row],[Organics (CY/day)]]*201.974</f>
        <v>4.2409773284336649E-2</v>
      </c>
      <c r="BT220" s="37">
        <f>developmentdata2019[[#This Row],[E-Waste (CY/day)]]*201.974</f>
        <v>5.5466485892708816E-4</v>
      </c>
      <c r="BU220" s="37">
        <f>developmentdata2019[[#This Row],[Textiles (CY/day)]]*201.974</f>
        <v>1.0468931071855694E-4</v>
      </c>
    </row>
    <row r="221" spans="1:73" x14ac:dyDescent="0.2">
      <c r="A221" s="37" t="s">
        <v>1598</v>
      </c>
      <c r="B221" s="115">
        <v>43466</v>
      </c>
      <c r="C221" s="37" t="s">
        <v>1599</v>
      </c>
      <c r="D221">
        <v>561</v>
      </c>
      <c r="H221" s="37"/>
      <c r="I221" s="37" t="s">
        <v>1600</v>
      </c>
      <c r="J221" s="37" t="s">
        <v>578</v>
      </c>
      <c r="K221" s="37" t="s">
        <v>1601</v>
      </c>
      <c r="M221">
        <v>147</v>
      </c>
      <c r="N221">
        <v>168</v>
      </c>
      <c r="V221">
        <v>2</v>
      </c>
      <c r="W221">
        <v>0</v>
      </c>
      <c r="Y221">
        <v>5</v>
      </c>
      <c r="Z221">
        <v>57935</v>
      </c>
      <c r="AK221" s="37" t="s">
        <v>1602</v>
      </c>
      <c r="AL221" s="37" t="s">
        <v>1603</v>
      </c>
      <c r="AM221" s="37"/>
      <c r="AN221" s="37"/>
      <c r="AO221" s="37" t="s">
        <v>608</v>
      </c>
      <c r="AP221">
        <v>10</v>
      </c>
      <c r="AQ221">
        <v>13</v>
      </c>
      <c r="AR221">
        <v>30</v>
      </c>
      <c r="AS221">
        <v>70</v>
      </c>
      <c r="AT221">
        <v>9</v>
      </c>
      <c r="AU221" s="115"/>
      <c r="AV221" s="37"/>
      <c r="AW221" s="37"/>
      <c r="AX221" s="37"/>
      <c r="AY221" s="37" t="s">
        <v>621</v>
      </c>
      <c r="AZ221" s="37">
        <f>developmentdata2019[[#This Row],[NUMBER OF CURRENT APARTMENTS]]*5/2000</f>
        <v>0.36749999999999999</v>
      </c>
      <c r="BA221" s="37">
        <f>developmentdata2019[[#This Row],[Total]]*BA$1</f>
        <v>9.5549999999999996E-2</v>
      </c>
      <c r="BB221" s="37">
        <f>developmentdata2019[[#This Row],[Trash (tons/day)]]*BB$1</f>
        <v>1.81545E-2</v>
      </c>
      <c r="BC221" s="37">
        <f>developmentdata2019[[#This Row],[MGP (tons/day)]]*BC$1</f>
        <v>1.2708150000000002E-3</v>
      </c>
      <c r="BD221" s="37">
        <f>developmentdata2019[[#This Row],[Cardboard (tons/day)]]*BD$1</f>
        <v>8.8957050000000026E-5</v>
      </c>
      <c r="BE221" s="37">
        <f>developmentdata2019[[#This Row],[Paper (tons/day)]]*BE$1</f>
        <v>2.8466256000000009E-5</v>
      </c>
      <c r="BF221" s="37">
        <f>developmentdata2019[[#This Row],[Organics (tons/day)]]*BF$1</f>
        <v>2.8466256000000008E-7</v>
      </c>
      <c r="BG221" s="37">
        <f>developmentdata2019[[#This Row],[E-Waste (tons/day)]]*BG$1</f>
        <v>2.2773004800000006E-8</v>
      </c>
      <c r="BH221" s="37">
        <f>developmentdata2019[[#This Row],[Trash (tons/day)]]*BH$1</f>
        <v>2.0113275000000002</v>
      </c>
      <c r="BI221" s="37">
        <f>developmentdata2019[[#This Row],[MGP (tons/day)]]*BI$1</f>
        <v>0.32714409</v>
      </c>
      <c r="BJ221" s="37">
        <f>developmentdata2019[[#This Row],[Cardboard (tons/day)]]*BJ$1</f>
        <v>3.3892636050000008E-2</v>
      </c>
      <c r="BK221" s="37">
        <f>developmentdata2019[[#This Row],[Paper (tons/day)]]*BK$1</f>
        <v>5.5064413950000018E-4</v>
      </c>
      <c r="BL221" s="37">
        <f>developmentdata2019[[#This Row],[Organics (tons/day)]]*BL$1</f>
        <v>1.2297422592000005E-4</v>
      </c>
      <c r="BM221" s="37">
        <f>developmentdata2019[[#This Row],[E-Waste (tons/day)]]*BM$1</f>
        <v>1.6083434640000007E-6</v>
      </c>
      <c r="BN221" s="37">
        <f>developmentdata2019[[#This Row],[Textiles (tons/day)]]*BN$1</f>
        <v>3.0356415398400011E-7</v>
      </c>
      <c r="BO221" s="37">
        <f>developmentdata2019[[#This Row],[Trash (CY/day)]]*201.974</f>
        <v>406.23586048499999</v>
      </c>
      <c r="BP221" s="37">
        <f>developmentdata2019[[#This Row],[MGP (CY/day)]]*201.974</f>
        <v>66.074600433659995</v>
      </c>
      <c r="BQ221" s="37">
        <f>developmentdata2019[[#This Row],[Cardboard (CY/day)]]*201.974</f>
        <v>6.845431273562701</v>
      </c>
      <c r="BR221" s="37">
        <f>developmentdata2019[[#This Row],[Paper  (CY/day)]]*201.974</f>
        <v>0.11121579943137302</v>
      </c>
      <c r="BS221" s="37">
        <f>developmentdata2019[[#This Row],[Organics (CY/day)]]*201.974</f>
        <v>2.4837596305966089E-2</v>
      </c>
      <c r="BT221" s="37">
        <f>developmentdata2019[[#This Row],[E-Waste (CY/day)]]*201.974</f>
        <v>3.2484356279793614E-4</v>
      </c>
      <c r="BU221" s="37">
        <f>developmentdata2019[[#This Row],[Textiles (CY/day)]]*201.974</f>
        <v>6.1312066436764441E-5</v>
      </c>
    </row>
    <row r="222" spans="1:73" x14ac:dyDescent="0.2">
      <c r="A222" s="37" t="s">
        <v>360</v>
      </c>
      <c r="B222" s="115">
        <v>43466</v>
      </c>
      <c r="C222" s="37" t="s">
        <v>1604</v>
      </c>
      <c r="D222">
        <v>37</v>
      </c>
      <c r="E222">
        <v>37</v>
      </c>
      <c r="F222">
        <v>317</v>
      </c>
      <c r="G222">
        <v>317</v>
      </c>
      <c r="H222" s="37" t="s">
        <v>1605</v>
      </c>
      <c r="I222" s="37" t="s">
        <v>577</v>
      </c>
      <c r="J222" s="37" t="s">
        <v>578</v>
      </c>
      <c r="K222" s="37" t="s">
        <v>579</v>
      </c>
      <c r="M222">
        <v>982</v>
      </c>
      <c r="N222">
        <v>984</v>
      </c>
      <c r="O222">
        <v>4515</v>
      </c>
      <c r="P222">
        <v>4.5999999999999996</v>
      </c>
      <c r="R222">
        <v>2141</v>
      </c>
      <c r="S222">
        <v>2141</v>
      </c>
      <c r="T222">
        <v>339</v>
      </c>
      <c r="U222">
        <v>0.35699999999999998</v>
      </c>
      <c r="V222">
        <v>8</v>
      </c>
      <c r="W222">
        <v>0</v>
      </c>
      <c r="X222">
        <v>9</v>
      </c>
      <c r="Y222">
        <v>14</v>
      </c>
      <c r="Z222">
        <v>475672</v>
      </c>
      <c r="AA222">
        <v>10.92</v>
      </c>
      <c r="AB222">
        <v>475672</v>
      </c>
      <c r="AC222">
        <v>10.92</v>
      </c>
      <c r="AD222">
        <v>71671</v>
      </c>
      <c r="AE222">
        <v>7911809</v>
      </c>
      <c r="AF222">
        <v>0.1507</v>
      </c>
      <c r="AG222">
        <v>196</v>
      </c>
      <c r="AH222">
        <v>10613000</v>
      </c>
      <c r="AI222">
        <v>2373</v>
      </c>
      <c r="AJ222">
        <v>573</v>
      </c>
      <c r="AK222" s="37" t="s">
        <v>1237</v>
      </c>
      <c r="AL222" s="37" t="s">
        <v>359</v>
      </c>
      <c r="AM222" s="37" t="s">
        <v>1606</v>
      </c>
      <c r="AN222" s="37"/>
      <c r="AO222" s="37" t="s">
        <v>608</v>
      </c>
      <c r="AP222">
        <v>10</v>
      </c>
      <c r="AQ222">
        <v>13</v>
      </c>
      <c r="AR222">
        <v>30</v>
      </c>
      <c r="AS222">
        <v>71</v>
      </c>
      <c r="AT222">
        <v>9</v>
      </c>
      <c r="AU222" s="115">
        <v>18909</v>
      </c>
      <c r="AV222" s="37" t="s">
        <v>1085</v>
      </c>
      <c r="AW222" s="37"/>
      <c r="AX222" s="37"/>
      <c r="AY222" s="37"/>
      <c r="AZ222" s="37">
        <f>developmentdata2019[[#This Row],[NUMBER OF CURRENT APARTMENTS]]*5/2000</f>
        <v>2.4550000000000001</v>
      </c>
      <c r="BA222" s="37">
        <f>developmentdata2019[[#This Row],[Total]]*BA$1</f>
        <v>0.63830000000000009</v>
      </c>
      <c r="BB222" s="37">
        <f>developmentdata2019[[#This Row],[Trash (tons/day)]]*BB$1</f>
        <v>0.12127700000000002</v>
      </c>
      <c r="BC222" s="37">
        <f>developmentdata2019[[#This Row],[MGP (tons/day)]]*BC$1</f>
        <v>8.4893900000000029E-3</v>
      </c>
      <c r="BD222" s="37">
        <f>developmentdata2019[[#This Row],[Cardboard (tons/day)]]*BD$1</f>
        <v>5.9425730000000026E-4</v>
      </c>
      <c r="BE222" s="37">
        <f>developmentdata2019[[#This Row],[Paper (tons/day)]]*BE$1</f>
        <v>1.9016233600000008E-4</v>
      </c>
      <c r="BF222" s="37">
        <f>developmentdata2019[[#This Row],[Organics (tons/day)]]*BF$1</f>
        <v>1.9016233600000008E-6</v>
      </c>
      <c r="BG222" s="37">
        <f>developmentdata2019[[#This Row],[E-Waste (tons/day)]]*BG$1</f>
        <v>1.5212986880000006E-7</v>
      </c>
      <c r="BH222" s="37">
        <f>developmentdata2019[[#This Row],[Trash (tons/day)]]*BH$1</f>
        <v>13.436215000000002</v>
      </c>
      <c r="BI222" s="37">
        <f>developmentdata2019[[#This Row],[MGP (tons/day)]]*BI$1</f>
        <v>2.1854115400000005</v>
      </c>
      <c r="BJ222" s="37">
        <f>developmentdata2019[[#This Row],[Cardboard (tons/day)]]*BJ$1</f>
        <v>0.22641203130000009</v>
      </c>
      <c r="BK222" s="37">
        <f>developmentdata2019[[#This Row],[Paper (tons/day)]]*BK$1</f>
        <v>3.678452687000002E-3</v>
      </c>
      <c r="BL222" s="37">
        <f>developmentdata2019[[#This Row],[Organics (tons/day)]]*BL$1</f>
        <v>8.2150129152000039E-4</v>
      </c>
      <c r="BM222" s="37">
        <f>developmentdata2019[[#This Row],[E-Waste (tons/day)]]*BM$1</f>
        <v>1.0744171984000005E-5</v>
      </c>
      <c r="BN222" s="37">
        <f>developmentdata2019[[#This Row],[Textiles (tons/day)]]*BN$1</f>
        <v>2.0278911511040007E-6</v>
      </c>
      <c r="BO222" s="37">
        <f>developmentdata2019[[#This Row],[Trash (CY/day)]]*201.974</f>
        <v>2713.7660884100005</v>
      </c>
      <c r="BP222" s="37">
        <f>developmentdata2019[[#This Row],[MGP (CY/day)]]*201.974</f>
        <v>441.39631037996008</v>
      </c>
      <c r="BQ222" s="37">
        <f>developmentdata2019[[#This Row],[Cardboard (CY/day)]]*201.974</f>
        <v>45.72934360978622</v>
      </c>
      <c r="BR222" s="37">
        <f>developmentdata2019[[#This Row],[Paper  (CY/day)]]*201.974</f>
        <v>0.74295180300413832</v>
      </c>
      <c r="BS222" s="37">
        <f>developmentdata2019[[#This Row],[Organics (CY/day)]]*201.974</f>
        <v>0.16592190185346056</v>
      </c>
      <c r="BT222" s="37">
        <f>developmentdata2019[[#This Row],[E-Waste (CY/day)]]*201.974</f>
        <v>2.1700433922964167E-3</v>
      </c>
      <c r="BU222" s="37">
        <f>developmentdata2019[[#This Row],[Textiles (CY/day)]]*201.974</f>
        <v>4.0958128735307944E-4</v>
      </c>
    </row>
    <row r="223" spans="1:73" x14ac:dyDescent="0.2">
      <c r="A223" s="37" t="s">
        <v>500</v>
      </c>
      <c r="B223" s="115">
        <v>43466</v>
      </c>
      <c r="C223" s="37" t="s">
        <v>1607</v>
      </c>
      <c r="D223">
        <v>48</v>
      </c>
      <c r="E223">
        <v>48</v>
      </c>
      <c r="F223">
        <v>369</v>
      </c>
      <c r="G223">
        <v>369</v>
      </c>
      <c r="H223" s="37" t="s">
        <v>1608</v>
      </c>
      <c r="I223" s="37" t="s">
        <v>577</v>
      </c>
      <c r="J223" s="37" t="s">
        <v>578</v>
      </c>
      <c r="K223" s="37" t="s">
        <v>579</v>
      </c>
      <c r="M223">
        <v>2164</v>
      </c>
      <c r="N223">
        <v>2166</v>
      </c>
      <c r="O223">
        <v>9134</v>
      </c>
      <c r="P223">
        <v>4.22</v>
      </c>
      <c r="R223">
        <v>4278</v>
      </c>
      <c r="S223">
        <v>4278</v>
      </c>
      <c r="T223">
        <v>871</v>
      </c>
      <c r="U223">
        <v>0.40600000000000003</v>
      </c>
      <c r="V223">
        <v>31</v>
      </c>
      <c r="W223">
        <v>0</v>
      </c>
      <c r="X223">
        <v>45</v>
      </c>
      <c r="Y223">
        <v>43623</v>
      </c>
      <c r="Z223">
        <v>1667814</v>
      </c>
      <c r="AA223">
        <v>38.29</v>
      </c>
      <c r="AB223">
        <v>1537135</v>
      </c>
      <c r="AC223">
        <v>35.29</v>
      </c>
      <c r="AD223">
        <v>346053</v>
      </c>
      <c r="AE223">
        <v>18107100</v>
      </c>
      <c r="AF223">
        <v>0.20749999999999999</v>
      </c>
      <c r="AG223">
        <v>112</v>
      </c>
      <c r="AH223">
        <v>21403996</v>
      </c>
      <c r="AI223">
        <v>2342</v>
      </c>
      <c r="AJ223">
        <v>588</v>
      </c>
      <c r="AK223" s="37" t="s">
        <v>1609</v>
      </c>
      <c r="AL223" s="37" t="s">
        <v>1352</v>
      </c>
      <c r="AM223" s="37" t="s">
        <v>1610</v>
      </c>
      <c r="AN223" s="37" t="s">
        <v>1611</v>
      </c>
      <c r="AO223" s="37" t="s">
        <v>703</v>
      </c>
      <c r="AP223">
        <v>1</v>
      </c>
      <c r="AQ223">
        <v>12</v>
      </c>
      <c r="AR223">
        <v>12</v>
      </c>
      <c r="AS223">
        <v>37</v>
      </c>
      <c r="AT223">
        <v>26</v>
      </c>
      <c r="AU223" s="115">
        <v>18828</v>
      </c>
      <c r="AV223" s="37" t="s">
        <v>1612</v>
      </c>
      <c r="AW223" s="37"/>
      <c r="AX223" s="37"/>
      <c r="AY223" s="37"/>
      <c r="AZ223" s="37">
        <f>developmentdata2019[[#This Row],[NUMBER OF CURRENT APARTMENTS]]*5/2000</f>
        <v>5.41</v>
      </c>
      <c r="BA223" s="37">
        <f>developmentdata2019[[#This Row],[Total]]*BA$1</f>
        <v>1.4066000000000001</v>
      </c>
      <c r="BB223" s="37">
        <f>developmentdata2019[[#This Row],[Trash (tons/day)]]*BB$1</f>
        <v>0.26725399999999999</v>
      </c>
      <c r="BC223" s="37">
        <f>developmentdata2019[[#This Row],[MGP (tons/day)]]*BC$1</f>
        <v>1.870778E-2</v>
      </c>
      <c r="BD223" s="37">
        <f>developmentdata2019[[#This Row],[Cardboard (tons/day)]]*BD$1</f>
        <v>1.3095446000000001E-3</v>
      </c>
      <c r="BE223" s="37">
        <f>developmentdata2019[[#This Row],[Paper (tons/day)]]*BE$1</f>
        <v>4.1905427200000008E-4</v>
      </c>
      <c r="BF223" s="37">
        <f>developmentdata2019[[#This Row],[Organics (tons/day)]]*BF$1</f>
        <v>4.1905427200000007E-6</v>
      </c>
      <c r="BG223" s="37">
        <f>developmentdata2019[[#This Row],[E-Waste (tons/day)]]*BG$1</f>
        <v>3.3524341760000006E-7</v>
      </c>
      <c r="BH223" s="37">
        <f>developmentdata2019[[#This Row],[Trash (tons/day)]]*BH$1</f>
        <v>29.608930000000001</v>
      </c>
      <c r="BI223" s="37">
        <f>developmentdata2019[[#This Row],[MGP (tons/day)]]*BI$1</f>
        <v>4.8159170799999993</v>
      </c>
      <c r="BJ223" s="37">
        <f>developmentdata2019[[#This Row],[Cardboard (tons/day)]]*BJ$1</f>
        <v>0.49893649260000006</v>
      </c>
      <c r="BK223" s="37">
        <f>developmentdata2019[[#This Row],[Paper (tons/day)]]*BK$1</f>
        <v>8.1060810740000017E-3</v>
      </c>
      <c r="BL223" s="37">
        <f>developmentdata2019[[#This Row],[Organics (tons/day)]]*BL$1</f>
        <v>1.8103144550400004E-3</v>
      </c>
      <c r="BM223" s="37">
        <f>developmentdata2019[[#This Row],[E-Waste (tons/day)]]*BM$1</f>
        <v>2.3676566368000006E-5</v>
      </c>
      <c r="BN223" s="37">
        <f>developmentdata2019[[#This Row],[Textiles (tons/day)]]*BN$1</f>
        <v>4.4687947566080006E-6</v>
      </c>
      <c r="BO223" s="37">
        <f>developmentdata2019[[#This Row],[Trash (CY/day)]]*201.974</f>
        <v>5980.2340278199999</v>
      </c>
      <c r="BP223" s="37">
        <f>developmentdata2019[[#This Row],[MGP (CY/day)]]*201.974</f>
        <v>972.69003631591977</v>
      </c>
      <c r="BQ223" s="37">
        <f>developmentdata2019[[#This Row],[Cardboard (CY/day)]]*201.974</f>
        <v>100.7721991563924</v>
      </c>
      <c r="BR223" s="37">
        <f>developmentdata2019[[#This Row],[Paper  (CY/day)]]*201.974</f>
        <v>1.6372176188400762</v>
      </c>
      <c r="BS223" s="37">
        <f>developmentdata2019[[#This Row],[Organics (CY/day)]]*201.974</f>
        <v>0.36563645174224901</v>
      </c>
      <c r="BT223" s="37">
        <f>developmentdata2019[[#This Row],[E-Waste (CY/day)]]*201.974</f>
        <v>4.7820508156104329E-3</v>
      </c>
      <c r="BU223" s="37">
        <f>developmentdata2019[[#This Row],[Textiles (CY/day)]]*201.974</f>
        <v>9.0258035217114429E-4</v>
      </c>
    </row>
    <row r="224" spans="1:73" x14ac:dyDescent="0.2">
      <c r="A224" s="37" t="s">
        <v>470</v>
      </c>
      <c r="B224" s="115">
        <v>43466</v>
      </c>
      <c r="C224" s="37" t="s">
        <v>1613</v>
      </c>
      <c r="D224">
        <v>4</v>
      </c>
      <c r="E224">
        <v>4</v>
      </c>
      <c r="F224">
        <v>202</v>
      </c>
      <c r="G224">
        <v>202</v>
      </c>
      <c r="H224" s="37" t="s">
        <v>1614</v>
      </c>
      <c r="I224" s="37" t="s">
        <v>577</v>
      </c>
      <c r="J224" s="37" t="s">
        <v>578</v>
      </c>
      <c r="K224" s="37" t="s">
        <v>579</v>
      </c>
      <c r="M224">
        <v>1404</v>
      </c>
      <c r="N224">
        <v>1411</v>
      </c>
      <c r="O224">
        <v>5888</v>
      </c>
      <c r="P224">
        <v>4.1900000000000004</v>
      </c>
      <c r="R224">
        <v>2832</v>
      </c>
      <c r="S224">
        <v>2832</v>
      </c>
      <c r="T224">
        <v>540</v>
      </c>
      <c r="U224">
        <v>0.39600000000000002</v>
      </c>
      <c r="V224">
        <v>16</v>
      </c>
      <c r="W224">
        <v>3</v>
      </c>
      <c r="X224">
        <v>51</v>
      </c>
      <c r="Y224">
        <v>43502</v>
      </c>
      <c r="Z224">
        <v>856003</v>
      </c>
      <c r="AA224">
        <v>19.649999999999999</v>
      </c>
      <c r="AB224">
        <v>856003</v>
      </c>
      <c r="AC224">
        <v>19.649999999999999</v>
      </c>
      <c r="AD224">
        <v>192198</v>
      </c>
      <c r="AE224">
        <v>10734477</v>
      </c>
      <c r="AF224">
        <v>0.22450000000000001</v>
      </c>
      <c r="AG224">
        <v>144</v>
      </c>
      <c r="AJ224">
        <v>525</v>
      </c>
      <c r="AK224" s="37" t="s">
        <v>1615</v>
      </c>
      <c r="AL224" s="37" t="s">
        <v>1616</v>
      </c>
      <c r="AM224" s="37" t="s">
        <v>733</v>
      </c>
      <c r="AN224" s="37" t="s">
        <v>1617</v>
      </c>
      <c r="AO224" s="37" t="s">
        <v>593</v>
      </c>
      <c r="AP224">
        <v>6</v>
      </c>
      <c r="AQ224">
        <v>7</v>
      </c>
      <c r="AR224">
        <v>25</v>
      </c>
      <c r="AS224">
        <v>51</v>
      </c>
      <c r="AT224">
        <v>38</v>
      </c>
      <c r="AU224" s="115"/>
      <c r="AV224" s="37"/>
      <c r="AW224" s="37"/>
      <c r="AX224" s="37"/>
      <c r="AY224" s="37"/>
      <c r="AZ224" s="37">
        <f>developmentdata2019[[#This Row],[NUMBER OF CURRENT APARTMENTS]]*5/2000</f>
        <v>3.51</v>
      </c>
      <c r="BA224" s="37">
        <f>developmentdata2019[[#This Row],[Total]]*BA$1</f>
        <v>0.91259999999999997</v>
      </c>
      <c r="BB224" s="37">
        <f>developmentdata2019[[#This Row],[Trash (tons/day)]]*BB$1</f>
        <v>0.17339399999999999</v>
      </c>
      <c r="BC224" s="37">
        <f>developmentdata2019[[#This Row],[MGP (tons/day)]]*BC$1</f>
        <v>1.213758E-2</v>
      </c>
      <c r="BD224" s="37">
        <f>developmentdata2019[[#This Row],[Cardboard (tons/day)]]*BD$1</f>
        <v>8.4963060000000008E-4</v>
      </c>
      <c r="BE224" s="37">
        <f>developmentdata2019[[#This Row],[Paper (tons/day)]]*BE$1</f>
        <v>2.7188179200000006E-4</v>
      </c>
      <c r="BF224" s="37">
        <f>developmentdata2019[[#This Row],[Organics (tons/day)]]*BF$1</f>
        <v>2.7188179200000008E-6</v>
      </c>
      <c r="BG224" s="37">
        <f>developmentdata2019[[#This Row],[E-Waste (tons/day)]]*BG$1</f>
        <v>2.1750543360000007E-7</v>
      </c>
      <c r="BH224" s="37">
        <f>developmentdata2019[[#This Row],[Trash (tons/day)]]*BH$1</f>
        <v>19.210229999999999</v>
      </c>
      <c r="BI224" s="37">
        <f>developmentdata2019[[#This Row],[MGP (tons/day)]]*BI$1</f>
        <v>3.1245598799999996</v>
      </c>
      <c r="BJ224" s="37">
        <f>developmentdata2019[[#This Row],[Cardboard (tons/day)]]*BJ$1</f>
        <v>0.32370925860000005</v>
      </c>
      <c r="BK224" s="37">
        <f>developmentdata2019[[#This Row],[Paper (tons/day)]]*BK$1</f>
        <v>5.2592134140000005E-3</v>
      </c>
      <c r="BL224" s="37">
        <f>developmentdata2019[[#This Row],[Organics (tons/day)]]*BL$1</f>
        <v>1.1745293414400003E-3</v>
      </c>
      <c r="BM224" s="37">
        <f>developmentdata2019[[#This Row],[E-Waste (tons/day)]]*BM$1</f>
        <v>1.5361321248000004E-5</v>
      </c>
      <c r="BN224" s="37">
        <f>developmentdata2019[[#This Row],[Textiles (tons/day)]]*BN$1</f>
        <v>2.8993474298880009E-6</v>
      </c>
      <c r="BO224" s="37">
        <f>developmentdata2019[[#This Row],[Trash (CY/day)]]*201.974</f>
        <v>3879.9669940199997</v>
      </c>
      <c r="BP224" s="37">
        <f>developmentdata2019[[#This Row],[MGP (CY/day)]]*201.974</f>
        <v>631.0798572031199</v>
      </c>
      <c r="BQ224" s="37">
        <f>developmentdata2019[[#This Row],[Cardboard (CY/day)]]*201.974</f>
        <v>65.380853796476401</v>
      </c>
      <c r="BR224" s="37">
        <f>developmentdata2019[[#This Row],[Paper  (CY/day)]]*201.974</f>
        <v>1.062224370079236</v>
      </c>
      <c r="BS224" s="37">
        <f>developmentdata2019[[#This Row],[Organics (CY/day)]]*201.974</f>
        <v>0.2372243892080026</v>
      </c>
      <c r="BT224" s="37">
        <f>developmentdata2019[[#This Row],[E-Waste (CY/day)]]*201.974</f>
        <v>3.1025874977435525E-3</v>
      </c>
      <c r="BU224" s="37">
        <f>developmentdata2019[[#This Row],[Textiles (CY/day)]]*201.974</f>
        <v>5.8559279780419902E-4</v>
      </c>
    </row>
    <row r="225" spans="1:73" x14ac:dyDescent="0.2">
      <c r="A225" s="37" t="s">
        <v>469</v>
      </c>
      <c r="B225" s="115">
        <v>43466</v>
      </c>
      <c r="C225" s="37" t="s">
        <v>1618</v>
      </c>
      <c r="D225" t="s">
        <v>1619</v>
      </c>
      <c r="E225" t="s">
        <v>1619</v>
      </c>
      <c r="F225">
        <v>202</v>
      </c>
      <c r="G225" t="s">
        <v>1620</v>
      </c>
      <c r="H225" s="37" t="s">
        <v>1614</v>
      </c>
      <c r="I225" s="37" t="s">
        <v>577</v>
      </c>
      <c r="J225" s="37" t="s">
        <v>578</v>
      </c>
      <c r="K225" s="37" t="s">
        <v>579</v>
      </c>
      <c r="M225">
        <v>2531</v>
      </c>
      <c r="N225">
        <v>2545</v>
      </c>
      <c r="O225">
        <v>10591</v>
      </c>
      <c r="P225">
        <v>4.18</v>
      </c>
      <c r="R225">
        <v>5173</v>
      </c>
      <c r="S225">
        <v>5137</v>
      </c>
      <c r="T225">
        <v>975</v>
      </c>
      <c r="U225">
        <v>0.39700000000000002</v>
      </c>
      <c r="V225">
        <v>27</v>
      </c>
      <c r="W225">
        <v>3</v>
      </c>
      <c r="X225">
        <v>89</v>
      </c>
      <c r="Y225">
        <v>43502</v>
      </c>
      <c r="Z225">
        <v>1452438</v>
      </c>
      <c r="AA225">
        <v>33.340000000000003</v>
      </c>
      <c r="AB225">
        <v>1452438</v>
      </c>
      <c r="AC225">
        <v>33.340000000000003</v>
      </c>
      <c r="AD225">
        <v>326157</v>
      </c>
      <c r="AE225">
        <v>19292734</v>
      </c>
      <c r="AF225">
        <v>0.22459999999999999</v>
      </c>
      <c r="AG225">
        <v>154</v>
      </c>
      <c r="AH225">
        <v>12102930</v>
      </c>
      <c r="AI225">
        <v>1137</v>
      </c>
      <c r="AJ225">
        <v>517</v>
      </c>
      <c r="AK225" s="37" t="s">
        <v>1621</v>
      </c>
      <c r="AL225" s="37" t="s">
        <v>1615</v>
      </c>
      <c r="AM225" s="37" t="s">
        <v>1622</v>
      </c>
      <c r="AN225" s="37" t="s">
        <v>1616</v>
      </c>
      <c r="AO225" s="37" t="s">
        <v>593</v>
      </c>
      <c r="AP225">
        <v>6</v>
      </c>
      <c r="AQ225">
        <v>7</v>
      </c>
      <c r="AR225">
        <v>25</v>
      </c>
      <c r="AS225">
        <v>51</v>
      </c>
      <c r="AT225">
        <v>38</v>
      </c>
      <c r="AU225" s="115">
        <v>14569</v>
      </c>
      <c r="AV225" s="37"/>
      <c r="AW225" s="37"/>
      <c r="AX225" s="37"/>
      <c r="AY225" s="37"/>
      <c r="AZ225" s="37">
        <f>developmentdata2019[[#This Row],[NUMBER OF CURRENT APARTMENTS]]*5/2000</f>
        <v>6.3274999999999997</v>
      </c>
      <c r="BA225" s="37">
        <f>developmentdata2019[[#This Row],[Total]]*BA$1</f>
        <v>1.6451499999999999</v>
      </c>
      <c r="BB225" s="37">
        <f>developmentdata2019[[#This Row],[Trash (tons/day)]]*BB$1</f>
        <v>0.31257849999999998</v>
      </c>
      <c r="BC225" s="37">
        <f>developmentdata2019[[#This Row],[MGP (tons/day)]]*BC$1</f>
        <v>2.1880495E-2</v>
      </c>
      <c r="BD225" s="37">
        <f>developmentdata2019[[#This Row],[Cardboard (tons/day)]]*BD$1</f>
        <v>1.53163465E-3</v>
      </c>
      <c r="BE225" s="37">
        <f>developmentdata2019[[#This Row],[Paper (tons/day)]]*BE$1</f>
        <v>4.9012308800000005E-4</v>
      </c>
      <c r="BF225" s="37">
        <f>developmentdata2019[[#This Row],[Organics (tons/day)]]*BF$1</f>
        <v>4.9012308800000008E-6</v>
      </c>
      <c r="BG225" s="37">
        <f>developmentdata2019[[#This Row],[E-Waste (tons/day)]]*BG$1</f>
        <v>3.9209847040000007E-7</v>
      </c>
      <c r="BH225" s="37">
        <f>developmentdata2019[[#This Row],[Trash (tons/day)]]*BH$1</f>
        <v>34.630407499999997</v>
      </c>
      <c r="BI225" s="37">
        <f>developmentdata2019[[#This Row],[MGP (tons/day)]]*BI$1</f>
        <v>5.6326645699999993</v>
      </c>
      <c r="BJ225" s="37">
        <f>developmentdata2019[[#This Row],[Cardboard (tons/day)]]*BJ$1</f>
        <v>0.58355280165000001</v>
      </c>
      <c r="BK225" s="37">
        <f>developmentdata2019[[#This Row],[Paper (tons/day)]]*BK$1</f>
        <v>9.4808184835000007E-3</v>
      </c>
      <c r="BL225" s="37">
        <f>developmentdata2019[[#This Row],[Organics (tons/day)]]*BL$1</f>
        <v>2.1173317401600002E-3</v>
      </c>
      <c r="BM225" s="37">
        <f>developmentdata2019[[#This Row],[E-Waste (tons/day)]]*BM$1</f>
        <v>2.7691954472000005E-5</v>
      </c>
      <c r="BN225" s="37">
        <f>developmentdata2019[[#This Row],[Textiles (tons/day)]]*BN$1</f>
        <v>5.226672610432001E-6</v>
      </c>
      <c r="BO225" s="37">
        <f>developmentdata2019[[#This Row],[Trash (CY/day)]]*201.974</f>
        <v>6994.4419244049986</v>
      </c>
      <c r="BP225" s="37">
        <f>developmentdata2019[[#This Row],[MGP (CY/day)]]*201.974</f>
        <v>1137.6517938611798</v>
      </c>
      <c r="BQ225" s="37">
        <f>developmentdata2019[[#This Row],[Cardboard (CY/day)]]*201.974</f>
        <v>117.8624935604571</v>
      </c>
      <c r="BR225" s="37">
        <f>developmentdata2019[[#This Row],[Paper  (CY/day)]]*201.974</f>
        <v>1.914878832386429</v>
      </c>
      <c r="BS225" s="37">
        <f>developmentdata2019[[#This Row],[Organics (CY/day)]]*201.974</f>
        <v>0.42764596088707585</v>
      </c>
      <c r="BT225" s="37">
        <f>developmentdata2019[[#This Row],[E-Waste (CY/day)]]*201.974</f>
        <v>5.5930548125277283E-3</v>
      </c>
      <c r="BU225" s="37">
        <f>developmentdata2019[[#This Row],[Textiles (CY/day)]]*201.974</f>
        <v>1.0556519738193929E-3</v>
      </c>
    </row>
    <row r="226" spans="1:73" x14ac:dyDescent="0.2">
      <c r="A226" s="37" t="s">
        <v>472</v>
      </c>
      <c r="B226" s="115">
        <v>43466</v>
      </c>
      <c r="C226" s="37" t="s">
        <v>1623</v>
      </c>
      <c r="D226" t="s">
        <v>1624</v>
      </c>
      <c r="E226">
        <v>79</v>
      </c>
      <c r="F226">
        <v>230</v>
      </c>
      <c r="G226">
        <v>230</v>
      </c>
      <c r="H226" s="37" t="s">
        <v>1625</v>
      </c>
      <c r="I226" s="37" t="s">
        <v>577</v>
      </c>
      <c r="J226" s="37" t="s">
        <v>578</v>
      </c>
      <c r="K226" s="37" t="s">
        <v>579</v>
      </c>
      <c r="M226">
        <v>344</v>
      </c>
      <c r="N226">
        <v>346</v>
      </c>
      <c r="O226">
        <v>1618</v>
      </c>
      <c r="P226">
        <v>4.7</v>
      </c>
      <c r="R226">
        <v>860</v>
      </c>
      <c r="S226">
        <v>860</v>
      </c>
      <c r="T226">
        <v>93</v>
      </c>
      <c r="U226">
        <v>0.27500000000000002</v>
      </c>
      <c r="V226">
        <v>3</v>
      </c>
      <c r="W226">
        <v>1</v>
      </c>
      <c r="X226">
        <v>12</v>
      </c>
      <c r="Y226">
        <v>43538</v>
      </c>
      <c r="Z226">
        <v>245292</v>
      </c>
      <c r="AA226">
        <v>5.63</v>
      </c>
      <c r="AB226">
        <v>245292</v>
      </c>
      <c r="AC226">
        <v>5.63</v>
      </c>
      <c r="AD226">
        <v>35301</v>
      </c>
      <c r="AE226">
        <v>2896000</v>
      </c>
      <c r="AF226">
        <v>0.1439</v>
      </c>
      <c r="AG226">
        <v>153</v>
      </c>
      <c r="AH226">
        <v>4517169</v>
      </c>
      <c r="AI226">
        <v>2776</v>
      </c>
      <c r="AJ226">
        <v>615</v>
      </c>
      <c r="AK226" s="37" t="s">
        <v>1626</v>
      </c>
      <c r="AL226" s="37" t="s">
        <v>1621</v>
      </c>
      <c r="AM226" s="37" t="s">
        <v>1627</v>
      </c>
      <c r="AN226" s="37" t="s">
        <v>1628</v>
      </c>
      <c r="AO226" s="37" t="s">
        <v>593</v>
      </c>
      <c r="AP226">
        <v>6</v>
      </c>
      <c r="AQ226">
        <v>7</v>
      </c>
      <c r="AR226">
        <v>25</v>
      </c>
      <c r="AS226">
        <v>51</v>
      </c>
      <c r="AT226">
        <v>38</v>
      </c>
      <c r="AU226" s="115">
        <v>20236</v>
      </c>
      <c r="AV226" s="37"/>
      <c r="AW226" s="37"/>
      <c r="AX226" s="37"/>
      <c r="AY226" s="37"/>
      <c r="AZ226" s="37">
        <f>developmentdata2019[[#This Row],[NUMBER OF CURRENT APARTMENTS]]*5/2000</f>
        <v>0.86</v>
      </c>
      <c r="BA226" s="37">
        <f>developmentdata2019[[#This Row],[Total]]*BA$1</f>
        <v>0.22359999999999999</v>
      </c>
      <c r="BB226" s="37">
        <f>developmentdata2019[[#This Row],[Trash (tons/day)]]*BB$1</f>
        <v>4.2484000000000001E-2</v>
      </c>
      <c r="BC226" s="37">
        <f>developmentdata2019[[#This Row],[MGP (tons/day)]]*BC$1</f>
        <v>2.9738800000000004E-3</v>
      </c>
      <c r="BD226" s="37">
        <f>developmentdata2019[[#This Row],[Cardboard (tons/day)]]*BD$1</f>
        <v>2.0817160000000004E-4</v>
      </c>
      <c r="BE226" s="37">
        <f>developmentdata2019[[#This Row],[Paper (tons/day)]]*BE$1</f>
        <v>6.6614912000000011E-5</v>
      </c>
      <c r="BF226" s="37">
        <f>developmentdata2019[[#This Row],[Organics (tons/day)]]*BF$1</f>
        <v>6.6614912000000016E-7</v>
      </c>
      <c r="BG226" s="37">
        <f>developmentdata2019[[#This Row],[E-Waste (tons/day)]]*BG$1</f>
        <v>5.3291929600000016E-8</v>
      </c>
      <c r="BH226" s="37">
        <f>developmentdata2019[[#This Row],[Trash (tons/day)]]*BH$1</f>
        <v>4.7067800000000002</v>
      </c>
      <c r="BI226" s="37">
        <f>developmentdata2019[[#This Row],[MGP (tons/day)]]*BI$1</f>
        <v>0.76556168000000002</v>
      </c>
      <c r="BJ226" s="37">
        <f>developmentdata2019[[#This Row],[Cardboard (tons/day)]]*BJ$1</f>
        <v>7.9313379600000011E-2</v>
      </c>
      <c r="BK226" s="37">
        <f>developmentdata2019[[#This Row],[Paper (tons/day)]]*BK$1</f>
        <v>1.2885822040000004E-3</v>
      </c>
      <c r="BL226" s="37">
        <f>developmentdata2019[[#This Row],[Organics (tons/day)]]*BL$1</f>
        <v>2.8777641984000006E-4</v>
      </c>
      <c r="BM226" s="37">
        <f>developmentdata2019[[#This Row],[E-Waste (tons/day)]]*BM$1</f>
        <v>3.763742528000001E-6</v>
      </c>
      <c r="BN226" s="37">
        <f>developmentdata2019[[#This Row],[Textiles (tons/day)]]*BN$1</f>
        <v>7.1038142156800024E-7</v>
      </c>
      <c r="BO226" s="37">
        <f>developmentdata2019[[#This Row],[Trash (CY/day)]]*201.974</f>
        <v>950.64718372000004</v>
      </c>
      <c r="BP226" s="37">
        <f>developmentdata2019[[#This Row],[MGP (CY/day)]]*201.974</f>
        <v>154.62355475632</v>
      </c>
      <c r="BQ226" s="37">
        <f>developmentdata2019[[#This Row],[Cardboard (CY/day)]]*201.974</f>
        <v>16.0192405313304</v>
      </c>
      <c r="BR226" s="37">
        <f>developmentdata2019[[#This Row],[Paper  (CY/day)]]*201.974</f>
        <v>0.26026010207069605</v>
      </c>
      <c r="BS226" s="37">
        <f>developmentdata2019[[#This Row],[Organics (CY/day)]]*201.974</f>
        <v>5.8123354620764171E-2</v>
      </c>
      <c r="BT226" s="37">
        <f>developmentdata2019[[#This Row],[E-Waste (CY/day)]]*201.974</f>
        <v>7.6017813335027215E-4</v>
      </c>
      <c r="BU226" s="37">
        <f>developmentdata2019[[#This Row],[Textiles (CY/day)]]*201.974</f>
        <v>1.4347857723977526E-4</v>
      </c>
    </row>
    <row r="227" spans="1:73" x14ac:dyDescent="0.2">
      <c r="A227" s="37" t="s">
        <v>471</v>
      </c>
      <c r="B227" s="115">
        <v>43466</v>
      </c>
      <c r="C227" s="37" t="s">
        <v>1623</v>
      </c>
      <c r="D227">
        <v>79</v>
      </c>
      <c r="E227">
        <v>79</v>
      </c>
      <c r="F227" t="s">
        <v>1629</v>
      </c>
      <c r="G227">
        <v>230</v>
      </c>
      <c r="H227" s="37" t="s">
        <v>1630</v>
      </c>
      <c r="I227" s="37" t="s">
        <v>577</v>
      </c>
      <c r="J227" s="37" t="s">
        <v>578</v>
      </c>
      <c r="K227" s="37" t="s">
        <v>579</v>
      </c>
      <c r="M227">
        <v>1471</v>
      </c>
      <c r="N227">
        <v>1480</v>
      </c>
      <c r="O227">
        <v>6320.5</v>
      </c>
      <c r="P227">
        <v>4.3</v>
      </c>
      <c r="R227">
        <v>3165</v>
      </c>
      <c r="S227">
        <v>3165</v>
      </c>
      <c r="T227">
        <v>528</v>
      </c>
      <c r="U227">
        <v>0.36899999999999999</v>
      </c>
      <c r="V227">
        <v>14</v>
      </c>
      <c r="W227">
        <v>1</v>
      </c>
      <c r="X227">
        <v>50</v>
      </c>
      <c r="Y227">
        <v>41704</v>
      </c>
      <c r="Z227">
        <v>841727</v>
      </c>
      <c r="AA227">
        <v>19.32</v>
      </c>
      <c r="AB227">
        <v>841727</v>
      </c>
      <c r="AC227">
        <v>19.32</v>
      </c>
      <c r="AD227">
        <v>169260</v>
      </c>
      <c r="AE227">
        <v>11454257</v>
      </c>
      <c r="AF227">
        <v>0.2011</v>
      </c>
      <c r="AG227">
        <v>164</v>
      </c>
      <c r="AJ227">
        <v>532</v>
      </c>
      <c r="AK227" s="37" t="s">
        <v>1626</v>
      </c>
      <c r="AL227" s="37" t="s">
        <v>1616</v>
      </c>
      <c r="AM227" s="37" t="s">
        <v>1631</v>
      </c>
      <c r="AN227" s="37" t="s">
        <v>1617</v>
      </c>
      <c r="AO227" s="37" t="s">
        <v>593</v>
      </c>
      <c r="AP227">
        <v>6</v>
      </c>
      <c r="AQ227">
        <v>7</v>
      </c>
      <c r="AR227">
        <v>25</v>
      </c>
      <c r="AS227">
        <v>51</v>
      </c>
      <c r="AT227">
        <v>38</v>
      </c>
      <c r="AU227" s="115"/>
      <c r="AV227" s="37"/>
      <c r="AW227" s="37"/>
      <c r="AX227" s="37"/>
      <c r="AY227" s="37"/>
      <c r="AZ227" s="37">
        <f>developmentdata2019[[#This Row],[NUMBER OF CURRENT APARTMENTS]]*5/2000</f>
        <v>3.6775000000000002</v>
      </c>
      <c r="BA227" s="37">
        <f>developmentdata2019[[#This Row],[Total]]*BA$1</f>
        <v>0.95615000000000006</v>
      </c>
      <c r="BB227" s="37">
        <f>developmentdata2019[[#This Row],[Trash (tons/day)]]*BB$1</f>
        <v>0.18166850000000001</v>
      </c>
      <c r="BC227" s="37">
        <f>developmentdata2019[[#This Row],[MGP (tons/day)]]*BC$1</f>
        <v>1.2716795000000001E-2</v>
      </c>
      <c r="BD227" s="37">
        <f>developmentdata2019[[#This Row],[Cardboard (tons/day)]]*BD$1</f>
        <v>8.9017565000000022E-4</v>
      </c>
      <c r="BE227" s="37">
        <f>developmentdata2019[[#This Row],[Paper (tons/day)]]*BE$1</f>
        <v>2.8485620800000009E-4</v>
      </c>
      <c r="BF227" s="37">
        <f>developmentdata2019[[#This Row],[Organics (tons/day)]]*BF$1</f>
        <v>2.8485620800000011E-6</v>
      </c>
      <c r="BG227" s="37">
        <f>developmentdata2019[[#This Row],[E-Waste (tons/day)]]*BG$1</f>
        <v>2.278849664000001E-7</v>
      </c>
      <c r="BH227" s="37">
        <f>developmentdata2019[[#This Row],[Trash (tons/day)]]*BH$1</f>
        <v>20.126957500000003</v>
      </c>
      <c r="BI227" s="37">
        <f>developmentdata2019[[#This Row],[MGP (tons/day)]]*BI$1</f>
        <v>3.2736663699999999</v>
      </c>
      <c r="BJ227" s="37">
        <f>developmentdata2019[[#This Row],[Cardboard (tons/day)]]*BJ$1</f>
        <v>0.33915692265000008</v>
      </c>
      <c r="BK227" s="37">
        <f>developmentdata2019[[#This Row],[Paper (tons/day)]]*BK$1</f>
        <v>5.5101872735000019E-3</v>
      </c>
      <c r="BL227" s="37">
        <f>developmentdata2019[[#This Row],[Organics (tons/day)]]*BL$1</f>
        <v>1.2305788185600006E-3</v>
      </c>
      <c r="BM227" s="37">
        <f>developmentdata2019[[#This Row],[E-Waste (tons/day)]]*BM$1</f>
        <v>1.6094375752000006E-5</v>
      </c>
      <c r="BN227" s="37">
        <f>developmentdata2019[[#This Row],[Textiles (tons/day)]]*BN$1</f>
        <v>3.0377066021120012E-6</v>
      </c>
      <c r="BO227" s="37">
        <f>developmentdata2019[[#This Row],[Trash (CY/day)]]*201.974</f>
        <v>4065.1221141050005</v>
      </c>
      <c r="BP227" s="37">
        <f>developmentdata2019[[#This Row],[MGP (CY/day)]]*201.974</f>
        <v>661.19549141437994</v>
      </c>
      <c r="BQ227" s="37">
        <f>developmentdata2019[[#This Row],[Cardboard (CY/day)]]*201.974</f>
        <v>68.500880295311106</v>
      </c>
      <c r="BR227" s="37">
        <f>developmentdata2019[[#This Row],[Paper  (CY/day)]]*201.974</f>
        <v>1.1129145643778893</v>
      </c>
      <c r="BS227" s="37">
        <f>developmentdata2019[[#This Row],[Organics (CY/day)]]*201.974</f>
        <v>0.24854492629983754</v>
      </c>
      <c r="BT227" s="37">
        <f>developmentdata2019[[#This Row],[E-Waste (CY/day)]]*201.974</f>
        <v>3.2506454481344492E-3</v>
      </c>
      <c r="BU227" s="37">
        <f>developmentdata2019[[#This Row],[Textiles (CY/day)]]*201.974</f>
        <v>6.1353775325496929E-4</v>
      </c>
    </row>
    <row r="228" spans="1:73" x14ac:dyDescent="0.2">
      <c r="A228" s="37" t="s">
        <v>511</v>
      </c>
      <c r="B228" s="115">
        <v>43466</v>
      </c>
      <c r="C228" s="37" t="s">
        <v>1632</v>
      </c>
      <c r="D228">
        <v>55</v>
      </c>
      <c r="E228">
        <v>55</v>
      </c>
      <c r="F228">
        <v>525</v>
      </c>
      <c r="G228">
        <v>525</v>
      </c>
      <c r="H228" s="37" t="s">
        <v>1633</v>
      </c>
      <c r="I228" s="37" t="s">
        <v>577</v>
      </c>
      <c r="J228" s="37" t="s">
        <v>578</v>
      </c>
      <c r="K228" s="37" t="s">
        <v>579</v>
      </c>
      <c r="M228">
        <v>599</v>
      </c>
      <c r="N228">
        <v>604</v>
      </c>
      <c r="O228">
        <v>2908.5</v>
      </c>
      <c r="P228">
        <v>4.8600000000000003</v>
      </c>
      <c r="R228">
        <v>1573</v>
      </c>
      <c r="S228">
        <v>1573</v>
      </c>
      <c r="T228">
        <v>185</v>
      </c>
      <c r="U228">
        <v>0.315</v>
      </c>
      <c r="V228">
        <v>9</v>
      </c>
      <c r="W228">
        <v>0</v>
      </c>
      <c r="X228">
        <v>16</v>
      </c>
      <c r="Y228">
        <v>43623</v>
      </c>
      <c r="Z228">
        <v>817865</v>
      </c>
      <c r="AA228">
        <v>18.78</v>
      </c>
      <c r="AB228">
        <v>726038</v>
      </c>
      <c r="AC228">
        <v>16.670000000000002</v>
      </c>
      <c r="AD228">
        <v>95461</v>
      </c>
      <c r="AE228">
        <v>5602438</v>
      </c>
      <c r="AF228">
        <v>0.1167</v>
      </c>
      <c r="AG228">
        <v>84</v>
      </c>
      <c r="AH228">
        <v>9334000</v>
      </c>
      <c r="AI228">
        <v>3186</v>
      </c>
      <c r="AJ228">
        <v>506</v>
      </c>
      <c r="AK228" s="37" t="s">
        <v>1634</v>
      </c>
      <c r="AL228" s="37" t="s">
        <v>1635</v>
      </c>
      <c r="AM228" s="37" t="s">
        <v>902</v>
      </c>
      <c r="AN228" s="37" t="s">
        <v>1636</v>
      </c>
      <c r="AO228" s="37" t="s">
        <v>703</v>
      </c>
      <c r="AP228">
        <v>14</v>
      </c>
      <c r="AQ228">
        <v>5</v>
      </c>
      <c r="AR228">
        <v>10</v>
      </c>
      <c r="AS228">
        <v>31</v>
      </c>
      <c r="AT228">
        <v>31</v>
      </c>
      <c r="AU228" s="115">
        <v>21790</v>
      </c>
      <c r="AV228" s="37" t="s">
        <v>671</v>
      </c>
      <c r="AW228" s="37"/>
      <c r="AX228" s="37"/>
      <c r="AY228" s="37"/>
      <c r="AZ228" s="37">
        <f>developmentdata2019[[#This Row],[NUMBER OF CURRENT APARTMENTS]]*5/2000</f>
        <v>1.4975000000000001</v>
      </c>
      <c r="BA228" s="37">
        <f>developmentdata2019[[#This Row],[Total]]*BA$1</f>
        <v>0.38935000000000003</v>
      </c>
      <c r="BB228" s="37">
        <f>developmentdata2019[[#This Row],[Trash (tons/day)]]*BB$1</f>
        <v>7.3976500000000001E-2</v>
      </c>
      <c r="BC228" s="37">
        <f>developmentdata2019[[#This Row],[MGP (tons/day)]]*BC$1</f>
        <v>5.1783550000000008E-3</v>
      </c>
      <c r="BD228" s="37">
        <f>developmentdata2019[[#This Row],[Cardboard (tons/day)]]*BD$1</f>
        <v>3.6248485000000007E-4</v>
      </c>
      <c r="BE228" s="37">
        <f>developmentdata2019[[#This Row],[Paper (tons/day)]]*BE$1</f>
        <v>1.1599515200000002E-4</v>
      </c>
      <c r="BF228" s="37">
        <f>developmentdata2019[[#This Row],[Organics (tons/day)]]*BF$1</f>
        <v>1.1599515200000002E-6</v>
      </c>
      <c r="BG228" s="37">
        <f>developmentdata2019[[#This Row],[E-Waste (tons/day)]]*BG$1</f>
        <v>9.2796121600000018E-8</v>
      </c>
      <c r="BH228" s="37">
        <f>developmentdata2019[[#This Row],[Trash (tons/day)]]*BH$1</f>
        <v>8.1958175000000004</v>
      </c>
      <c r="BI228" s="37">
        <f>developmentdata2019[[#This Row],[MGP (tons/day)]]*BI$1</f>
        <v>1.3330565299999999</v>
      </c>
      <c r="BJ228" s="37">
        <f>developmentdata2019[[#This Row],[Cardboard (tons/day)]]*BJ$1</f>
        <v>0.13810672785000003</v>
      </c>
      <c r="BK228" s="37">
        <f>developmentdata2019[[#This Row],[Paper (tons/day)]]*BK$1</f>
        <v>2.2437812215000004E-3</v>
      </c>
      <c r="BL228" s="37">
        <f>developmentdata2019[[#This Row],[Organics (tons/day)]]*BL$1</f>
        <v>5.0109905664000017E-4</v>
      </c>
      <c r="BM228" s="37">
        <f>developmentdata2019[[#This Row],[E-Waste (tons/day)]]*BM$1</f>
        <v>6.5537260880000019E-6</v>
      </c>
      <c r="BN228" s="37">
        <f>developmentdata2019[[#This Row],[Textiles (tons/day)]]*BN$1</f>
        <v>1.2369723009280003E-6</v>
      </c>
      <c r="BO228" s="37">
        <f>developmentdata2019[[#This Row],[Trash (CY/day)]]*201.974</f>
        <v>1655.342043745</v>
      </c>
      <c r="BP228" s="37">
        <f>developmentdata2019[[#This Row],[MGP (CY/day)]]*201.974</f>
        <v>269.24275959021998</v>
      </c>
      <c r="BQ228" s="37">
        <f>developmentdata2019[[#This Row],[Cardboard (CY/day)]]*201.974</f>
        <v>27.893968250775902</v>
      </c>
      <c r="BR228" s="37">
        <f>developmentdata2019[[#This Row],[Paper  (CY/day)]]*201.974</f>
        <v>0.45318546843124108</v>
      </c>
      <c r="BS228" s="37">
        <f>developmentdata2019[[#This Row],[Organics (CY/day)]]*201.974</f>
        <v>0.10120898086580739</v>
      </c>
      <c r="BT228" s="37">
        <f>developmentdata2019[[#This Row],[E-Waste (CY/day)]]*201.974</f>
        <v>1.3236822728977123E-3</v>
      </c>
      <c r="BU228" s="37">
        <f>developmentdata2019[[#This Row],[Textiles (CY/day)]]*201.974</f>
        <v>2.4983624350763189E-4</v>
      </c>
    </row>
    <row r="229" spans="1:73" x14ac:dyDescent="0.2">
      <c r="A229" s="37" t="s">
        <v>1637</v>
      </c>
      <c r="B229" s="115">
        <v>43466</v>
      </c>
      <c r="C229" s="37" t="s">
        <v>776</v>
      </c>
      <c r="D229">
        <v>143</v>
      </c>
      <c r="E229">
        <v>186</v>
      </c>
      <c r="F229">
        <v>297</v>
      </c>
      <c r="G229">
        <v>290</v>
      </c>
      <c r="H229" s="37" t="s">
        <v>1638</v>
      </c>
      <c r="I229" s="37" t="s">
        <v>577</v>
      </c>
      <c r="J229" s="37" t="s">
        <v>578</v>
      </c>
      <c r="K229" s="37" t="s">
        <v>1161</v>
      </c>
      <c r="M229">
        <v>13</v>
      </c>
      <c r="N229">
        <v>13</v>
      </c>
      <c r="O229">
        <v>32.5</v>
      </c>
      <c r="P229">
        <v>2.5</v>
      </c>
      <c r="R229">
        <v>13</v>
      </c>
      <c r="S229">
        <v>13</v>
      </c>
      <c r="T229">
        <v>12</v>
      </c>
      <c r="U229">
        <v>0.92300000000000004</v>
      </c>
      <c r="V229">
        <v>1</v>
      </c>
      <c r="W229">
        <v>0</v>
      </c>
      <c r="X229">
        <v>1</v>
      </c>
      <c r="Y229">
        <v>1</v>
      </c>
      <c r="Z229">
        <v>15000</v>
      </c>
      <c r="AA229">
        <v>0.34</v>
      </c>
      <c r="AB229">
        <v>15000</v>
      </c>
      <c r="AC229">
        <v>0.34</v>
      </c>
      <c r="AD229">
        <v>9320</v>
      </c>
      <c r="AE229">
        <v>115995</v>
      </c>
      <c r="AF229">
        <v>0.62129999999999996</v>
      </c>
      <c r="AG229">
        <v>38</v>
      </c>
      <c r="AH229">
        <v>5909934</v>
      </c>
      <c r="AI229">
        <v>4821</v>
      </c>
      <c r="AJ229">
        <v>235</v>
      </c>
      <c r="AK229" s="37" t="s">
        <v>1639</v>
      </c>
      <c r="AL229" s="37" t="s">
        <v>1640</v>
      </c>
      <c r="AM229" s="37" t="s">
        <v>1641</v>
      </c>
      <c r="AN229" s="37"/>
      <c r="AO229" s="37" t="s">
        <v>703</v>
      </c>
      <c r="AP229">
        <v>7</v>
      </c>
      <c r="AQ229">
        <v>14</v>
      </c>
      <c r="AR229">
        <v>11</v>
      </c>
      <c r="AS229">
        <v>27</v>
      </c>
      <c r="AT229">
        <v>19</v>
      </c>
      <c r="AU229" s="115">
        <v>23407</v>
      </c>
      <c r="AV229" s="37"/>
      <c r="AW229" s="37" t="s">
        <v>736</v>
      </c>
      <c r="AX229" s="37"/>
      <c r="AY229" s="37"/>
      <c r="AZ229" s="37">
        <f>developmentdata2019[[#This Row],[NUMBER OF CURRENT APARTMENTS]]*5/2000</f>
        <v>3.2500000000000001E-2</v>
      </c>
      <c r="BA229" s="37">
        <f>developmentdata2019[[#This Row],[Total]]*BA$1</f>
        <v>8.4500000000000009E-3</v>
      </c>
      <c r="BB229" s="37">
        <f>developmentdata2019[[#This Row],[Trash (tons/day)]]*BB$1</f>
        <v>1.6055000000000002E-3</v>
      </c>
      <c r="BC229" s="37">
        <f>developmentdata2019[[#This Row],[MGP (tons/day)]]*BC$1</f>
        <v>1.1238500000000002E-4</v>
      </c>
      <c r="BD229" s="37">
        <f>developmentdata2019[[#This Row],[Cardboard (tons/day)]]*BD$1</f>
        <v>7.8669500000000027E-6</v>
      </c>
      <c r="BE229" s="37">
        <f>developmentdata2019[[#This Row],[Paper (tons/day)]]*BE$1</f>
        <v>2.5174240000000009E-6</v>
      </c>
      <c r="BF229" s="37">
        <f>developmentdata2019[[#This Row],[Organics (tons/day)]]*BF$1</f>
        <v>2.5174240000000008E-8</v>
      </c>
      <c r="BG229" s="37">
        <f>developmentdata2019[[#This Row],[E-Waste (tons/day)]]*BG$1</f>
        <v>2.0139392000000008E-9</v>
      </c>
      <c r="BH229" s="37">
        <f>developmentdata2019[[#This Row],[Trash (tons/day)]]*BH$1</f>
        <v>0.17787250000000002</v>
      </c>
      <c r="BI229" s="37">
        <f>developmentdata2019[[#This Row],[MGP (tons/day)]]*BI$1</f>
        <v>2.8931110000000003E-2</v>
      </c>
      <c r="BJ229" s="37">
        <f>developmentdata2019[[#This Row],[Cardboard (tons/day)]]*BJ$1</f>
        <v>2.9973079500000008E-3</v>
      </c>
      <c r="BK229" s="37">
        <f>developmentdata2019[[#This Row],[Paper (tons/day)]]*BK$1</f>
        <v>4.8696420500000017E-5</v>
      </c>
      <c r="BL229" s="37">
        <f>developmentdata2019[[#This Row],[Organics (tons/day)]]*BL$1</f>
        <v>1.0875271680000005E-5</v>
      </c>
      <c r="BM229" s="37">
        <f>developmentdata2019[[#This Row],[E-Waste (tons/day)]]*BM$1</f>
        <v>1.4223445600000004E-7</v>
      </c>
      <c r="BN229" s="37">
        <f>developmentdata2019[[#This Row],[Textiles (tons/day)]]*BN$1</f>
        <v>2.684580953600001E-8</v>
      </c>
      <c r="BO229" s="37">
        <f>developmentdata2019[[#This Row],[Trash (CY/day)]]*201.974</f>
        <v>35.925620315000003</v>
      </c>
      <c r="BP229" s="37">
        <f>developmentdata2019[[#This Row],[MGP (CY/day)]]*201.974</f>
        <v>5.8433320111400002</v>
      </c>
      <c r="BQ229" s="37">
        <f>developmentdata2019[[#This Row],[Cardboard (CY/day)]]*201.974</f>
        <v>0.60537827589330018</v>
      </c>
      <c r="BR229" s="37">
        <f>developmentdata2019[[#This Row],[Paper  (CY/day)]]*201.974</f>
        <v>9.8354108340670023E-3</v>
      </c>
      <c r="BS229" s="37">
        <f>developmentdata2019[[#This Row],[Organics (CY/day)]]*201.974</f>
        <v>2.1965221222963209E-3</v>
      </c>
      <c r="BT229" s="37">
        <f>developmentdata2019[[#This Row],[E-Waste (CY/day)]]*201.974</f>
        <v>2.8727662016144006E-5</v>
      </c>
      <c r="BU229" s="37">
        <f>developmentdata2019[[#This Row],[Textiles (CY/day)]]*201.974</f>
        <v>5.4221555352240662E-6</v>
      </c>
    </row>
    <row r="230" spans="1:73" x14ac:dyDescent="0.2">
      <c r="A230" s="37" t="s">
        <v>1642</v>
      </c>
      <c r="B230" s="115">
        <v>43466</v>
      </c>
      <c r="C230" s="37" t="s">
        <v>1643</v>
      </c>
      <c r="D230">
        <v>515</v>
      </c>
      <c r="E230">
        <v>359</v>
      </c>
      <c r="F230" t="s">
        <v>1644</v>
      </c>
      <c r="G230">
        <v>255</v>
      </c>
      <c r="H230" s="37" t="s">
        <v>1645</v>
      </c>
      <c r="I230" s="37" t="s">
        <v>577</v>
      </c>
      <c r="J230" s="37" t="s">
        <v>578</v>
      </c>
      <c r="K230" s="37" t="s">
        <v>597</v>
      </c>
      <c r="M230">
        <v>112</v>
      </c>
      <c r="N230">
        <v>112</v>
      </c>
      <c r="O230">
        <v>413</v>
      </c>
      <c r="P230">
        <v>3.69</v>
      </c>
      <c r="R230">
        <v>182</v>
      </c>
      <c r="S230">
        <v>182</v>
      </c>
      <c r="T230">
        <v>43</v>
      </c>
      <c r="U230">
        <v>0.38400000000000001</v>
      </c>
      <c r="V230">
        <v>4</v>
      </c>
      <c r="W230">
        <v>0</v>
      </c>
      <c r="X230">
        <v>9</v>
      </c>
      <c r="Y230">
        <v>39147</v>
      </c>
      <c r="Z230">
        <v>24462</v>
      </c>
      <c r="AA230">
        <v>0.56000000000000005</v>
      </c>
      <c r="AB230">
        <v>24462</v>
      </c>
      <c r="AC230">
        <v>0.56000000000000005</v>
      </c>
      <c r="AD230">
        <v>16326</v>
      </c>
      <c r="AE230">
        <v>1247684</v>
      </c>
      <c r="AF230">
        <v>0.66739999999999999</v>
      </c>
      <c r="AG230">
        <v>325</v>
      </c>
      <c r="AJ230">
        <v>543</v>
      </c>
      <c r="AK230" s="37" t="s">
        <v>1025</v>
      </c>
      <c r="AL230" s="37" t="s">
        <v>1020</v>
      </c>
      <c r="AM230" s="37" t="s">
        <v>657</v>
      </c>
      <c r="AN230" s="37" t="s">
        <v>679</v>
      </c>
      <c r="AO230" s="37" t="s">
        <v>608</v>
      </c>
      <c r="AP230">
        <v>7</v>
      </c>
      <c r="AQ230">
        <v>10</v>
      </c>
      <c r="AR230">
        <v>31</v>
      </c>
      <c r="AS230">
        <v>69</v>
      </c>
      <c r="AT230">
        <v>6</v>
      </c>
      <c r="AU230" s="115">
        <v>23407</v>
      </c>
      <c r="AV230" s="37"/>
      <c r="AW230" s="37"/>
      <c r="AX230" s="37"/>
      <c r="AY230" s="37" t="s">
        <v>621</v>
      </c>
      <c r="AZ230" s="37">
        <f>developmentdata2019[[#This Row],[NUMBER OF CURRENT APARTMENTS]]*5/2000</f>
        <v>0.28000000000000003</v>
      </c>
      <c r="BA230" s="37">
        <f>developmentdata2019[[#This Row],[Total]]*BA$1</f>
        <v>7.2800000000000004E-2</v>
      </c>
      <c r="BB230" s="37">
        <f>developmentdata2019[[#This Row],[Trash (tons/day)]]*BB$1</f>
        <v>1.3832000000000001E-2</v>
      </c>
      <c r="BC230" s="37">
        <f>developmentdata2019[[#This Row],[MGP (tons/day)]]*BC$1</f>
        <v>9.6824000000000009E-4</v>
      </c>
      <c r="BD230" s="37">
        <f>developmentdata2019[[#This Row],[Cardboard (tons/day)]]*BD$1</f>
        <v>6.7776800000000011E-5</v>
      </c>
      <c r="BE230" s="37">
        <f>developmentdata2019[[#This Row],[Paper (tons/day)]]*BE$1</f>
        <v>2.1688576000000005E-5</v>
      </c>
      <c r="BF230" s="37">
        <f>developmentdata2019[[#This Row],[Organics (tons/day)]]*BF$1</f>
        <v>2.1688576000000006E-7</v>
      </c>
      <c r="BG230" s="37">
        <f>developmentdata2019[[#This Row],[E-Waste (tons/day)]]*BG$1</f>
        <v>1.7350860800000006E-8</v>
      </c>
      <c r="BH230" s="37">
        <f>developmentdata2019[[#This Row],[Trash (tons/day)]]*BH$1</f>
        <v>1.53244</v>
      </c>
      <c r="BI230" s="37">
        <f>developmentdata2019[[#This Row],[MGP (tons/day)]]*BI$1</f>
        <v>0.24925264</v>
      </c>
      <c r="BJ230" s="37">
        <f>developmentdata2019[[#This Row],[Cardboard (tons/day)]]*BJ$1</f>
        <v>2.5822960800000003E-2</v>
      </c>
      <c r="BK230" s="37">
        <f>developmentdata2019[[#This Row],[Paper (tons/day)]]*BK$1</f>
        <v>4.1953839200000012E-4</v>
      </c>
      <c r="BL230" s="37">
        <f>developmentdata2019[[#This Row],[Organics (tons/day)]]*BL$1</f>
        <v>9.3694648320000035E-5</v>
      </c>
      <c r="BM230" s="37">
        <f>developmentdata2019[[#This Row],[E-Waste (tons/day)]]*BM$1</f>
        <v>1.2254045440000003E-6</v>
      </c>
      <c r="BN230" s="37">
        <f>developmentdata2019[[#This Row],[Textiles (tons/day)]]*BN$1</f>
        <v>2.3128697446400008E-7</v>
      </c>
      <c r="BO230" s="37">
        <f>developmentdata2019[[#This Row],[Trash (CY/day)]]*201.974</f>
        <v>309.51303655999999</v>
      </c>
      <c r="BP230" s="37">
        <f>developmentdata2019[[#This Row],[MGP (CY/day)]]*201.974</f>
        <v>50.34255271136</v>
      </c>
      <c r="BQ230" s="37">
        <f>developmentdata2019[[#This Row],[Cardboard (CY/day)]]*201.974</f>
        <v>5.2155666846192004</v>
      </c>
      <c r="BR230" s="37">
        <f>developmentdata2019[[#This Row],[Paper  (CY/day)]]*201.974</f>
        <v>8.4735847185808025E-2</v>
      </c>
      <c r="BS230" s="37">
        <f>developmentdata2019[[#This Row],[Organics (CY/day)]]*201.974</f>
        <v>1.8923882899783685E-2</v>
      </c>
      <c r="BT230" s="37">
        <f>developmentdata2019[[#This Row],[E-Waste (CY/day)]]*201.974</f>
        <v>2.4749985736985603E-4</v>
      </c>
      <c r="BU230" s="37">
        <f>developmentdata2019[[#This Row],[Textiles (CY/day)]]*201.974</f>
        <v>4.671395538039195E-5</v>
      </c>
    </row>
    <row r="231" spans="1:73" x14ac:dyDescent="0.2">
      <c r="A231" s="37" t="s">
        <v>1646</v>
      </c>
      <c r="B231" s="115">
        <v>43466</v>
      </c>
      <c r="C231" s="37" t="s">
        <v>1643</v>
      </c>
      <c r="D231">
        <v>516</v>
      </c>
      <c r="E231">
        <v>359</v>
      </c>
      <c r="F231" t="s">
        <v>1647</v>
      </c>
      <c r="G231">
        <v>295</v>
      </c>
      <c r="H231" s="37" t="s">
        <v>1648</v>
      </c>
      <c r="I231" s="37" t="s">
        <v>577</v>
      </c>
      <c r="J231" s="37" t="s">
        <v>578</v>
      </c>
      <c r="K231" s="37" t="s">
        <v>597</v>
      </c>
      <c r="M231">
        <v>156</v>
      </c>
      <c r="N231">
        <v>156</v>
      </c>
      <c r="O231">
        <v>602</v>
      </c>
      <c r="P231">
        <v>3.86</v>
      </c>
      <c r="R231">
        <v>290</v>
      </c>
      <c r="S231">
        <v>290</v>
      </c>
      <c r="T231">
        <v>44</v>
      </c>
      <c r="U231">
        <v>0.28399999999999997</v>
      </c>
      <c r="V231">
        <v>4</v>
      </c>
      <c r="W231">
        <v>0</v>
      </c>
      <c r="X231">
        <v>4</v>
      </c>
      <c r="Y231">
        <v>7</v>
      </c>
      <c r="Z231">
        <v>27171</v>
      </c>
      <c r="AA231">
        <v>0.62</v>
      </c>
      <c r="AB231">
        <v>27171</v>
      </c>
      <c r="AC231">
        <v>0.62</v>
      </c>
      <c r="AD231">
        <v>22914</v>
      </c>
      <c r="AE231">
        <v>1809773</v>
      </c>
      <c r="AF231">
        <v>0.84330000000000005</v>
      </c>
      <c r="AG231">
        <v>468</v>
      </c>
      <c r="AJ231">
        <v>540</v>
      </c>
      <c r="AK231" s="37" t="s">
        <v>605</v>
      </c>
      <c r="AL231" s="37" t="s">
        <v>1206</v>
      </c>
      <c r="AM231" s="37" t="s">
        <v>1315</v>
      </c>
      <c r="AN231" s="37" t="s">
        <v>1314</v>
      </c>
      <c r="AO231" s="37" t="s">
        <v>608</v>
      </c>
      <c r="AP231">
        <v>10</v>
      </c>
      <c r="AQ231">
        <v>13</v>
      </c>
      <c r="AR231">
        <v>30</v>
      </c>
      <c r="AS231">
        <v>70</v>
      </c>
      <c r="AT231">
        <v>9</v>
      </c>
      <c r="AU231" s="115">
        <v>23407</v>
      </c>
      <c r="AV231" s="37"/>
      <c r="AW231" s="37"/>
      <c r="AX231" s="37"/>
      <c r="AY231" s="37" t="s">
        <v>621</v>
      </c>
      <c r="AZ231" s="37">
        <f>developmentdata2019[[#This Row],[NUMBER OF CURRENT APARTMENTS]]*5/2000</f>
        <v>0.39</v>
      </c>
      <c r="BA231" s="37">
        <f>developmentdata2019[[#This Row],[Total]]*BA$1</f>
        <v>0.1014</v>
      </c>
      <c r="BB231" s="37">
        <f>developmentdata2019[[#This Row],[Trash (tons/day)]]*BB$1</f>
        <v>1.9266000000000002E-2</v>
      </c>
      <c r="BC231" s="37">
        <f>developmentdata2019[[#This Row],[MGP (tons/day)]]*BC$1</f>
        <v>1.3486200000000002E-3</v>
      </c>
      <c r="BD231" s="37">
        <f>developmentdata2019[[#This Row],[Cardboard (tons/day)]]*BD$1</f>
        <v>9.4403400000000025E-5</v>
      </c>
      <c r="BE231" s="37">
        <f>developmentdata2019[[#This Row],[Paper (tons/day)]]*BE$1</f>
        <v>3.0209088000000009E-5</v>
      </c>
      <c r="BF231" s="37">
        <f>developmentdata2019[[#This Row],[Organics (tons/day)]]*BF$1</f>
        <v>3.020908800000001E-7</v>
      </c>
      <c r="BG231" s="37">
        <f>developmentdata2019[[#This Row],[E-Waste (tons/day)]]*BG$1</f>
        <v>2.4167270400000007E-8</v>
      </c>
      <c r="BH231" s="37">
        <f>developmentdata2019[[#This Row],[Trash (tons/day)]]*BH$1</f>
        <v>2.1344700000000003</v>
      </c>
      <c r="BI231" s="37">
        <f>developmentdata2019[[#This Row],[MGP (tons/day)]]*BI$1</f>
        <v>0.34717332000000001</v>
      </c>
      <c r="BJ231" s="37">
        <f>developmentdata2019[[#This Row],[Cardboard (tons/day)]]*BJ$1</f>
        <v>3.5967695400000006E-2</v>
      </c>
      <c r="BK231" s="37">
        <f>developmentdata2019[[#This Row],[Paper (tons/day)]]*BK$1</f>
        <v>5.8435704600000023E-4</v>
      </c>
      <c r="BL231" s="37">
        <f>developmentdata2019[[#This Row],[Organics (tons/day)]]*BL$1</f>
        <v>1.3050326016000004E-4</v>
      </c>
      <c r="BM231" s="37">
        <f>developmentdata2019[[#This Row],[E-Waste (tons/day)]]*BM$1</f>
        <v>1.7068134720000007E-6</v>
      </c>
      <c r="BN231" s="37">
        <f>developmentdata2019[[#This Row],[Textiles (tons/day)]]*BN$1</f>
        <v>3.2214971443200012E-7</v>
      </c>
      <c r="BO231" s="37">
        <f>developmentdata2019[[#This Row],[Trash (CY/day)]]*201.974</f>
        <v>431.10744378000004</v>
      </c>
      <c r="BP231" s="37">
        <f>developmentdata2019[[#This Row],[MGP (CY/day)]]*201.974</f>
        <v>70.119984133679992</v>
      </c>
      <c r="BQ231" s="37">
        <f>developmentdata2019[[#This Row],[Cardboard (CY/day)]]*201.974</f>
        <v>7.2645393107196012</v>
      </c>
      <c r="BR231" s="37">
        <f>developmentdata2019[[#This Row],[Paper  (CY/day)]]*201.974</f>
        <v>0.11802493000880404</v>
      </c>
      <c r="BS231" s="37">
        <f>developmentdata2019[[#This Row],[Organics (CY/day)]]*201.974</f>
        <v>2.6358265467555847E-2</v>
      </c>
      <c r="BT231" s="37">
        <f>developmentdata2019[[#This Row],[E-Waste (CY/day)]]*201.974</f>
        <v>3.4473194419372812E-4</v>
      </c>
      <c r="BU231" s="37">
        <f>developmentdata2019[[#This Row],[Textiles (CY/day)]]*201.974</f>
        <v>6.5065866422688791E-5</v>
      </c>
    </row>
    <row r="232" spans="1:73" x14ac:dyDescent="0.2">
      <c r="A232" s="37" t="s">
        <v>1649</v>
      </c>
      <c r="B232" s="115">
        <v>43466</v>
      </c>
      <c r="C232" s="37" t="s">
        <v>1017</v>
      </c>
      <c r="D232">
        <v>517</v>
      </c>
      <c r="E232">
        <v>127</v>
      </c>
      <c r="F232">
        <v>298</v>
      </c>
      <c r="G232">
        <v>259</v>
      </c>
      <c r="H232" s="37" t="s">
        <v>1650</v>
      </c>
      <c r="I232" s="37" t="s">
        <v>577</v>
      </c>
      <c r="J232" s="37" t="s">
        <v>578</v>
      </c>
      <c r="K232" s="37" t="s">
        <v>597</v>
      </c>
      <c r="M232">
        <v>40</v>
      </c>
      <c r="N232">
        <v>40</v>
      </c>
      <c r="O232">
        <v>159</v>
      </c>
      <c r="P232">
        <v>3.98</v>
      </c>
      <c r="R232">
        <v>67</v>
      </c>
      <c r="S232">
        <v>67</v>
      </c>
      <c r="T232">
        <v>18</v>
      </c>
      <c r="U232">
        <v>0.45</v>
      </c>
      <c r="V232">
        <v>1</v>
      </c>
      <c r="W232">
        <v>0</v>
      </c>
      <c r="X232">
        <v>1</v>
      </c>
      <c r="Y232">
        <v>5</v>
      </c>
      <c r="Z232">
        <v>10071</v>
      </c>
      <c r="AA232">
        <v>0.23</v>
      </c>
      <c r="AB232">
        <v>10071</v>
      </c>
      <c r="AC232">
        <v>0.23</v>
      </c>
      <c r="AD232">
        <v>7367</v>
      </c>
      <c r="AE232">
        <v>472901</v>
      </c>
      <c r="AF232">
        <v>0.73150000000000004</v>
      </c>
      <c r="AG232">
        <v>291</v>
      </c>
      <c r="AJ232">
        <v>628</v>
      </c>
      <c r="AK232" s="37" t="s">
        <v>620</v>
      </c>
      <c r="AL232" s="37" t="s">
        <v>1021</v>
      </c>
      <c r="AM232" s="37" t="s">
        <v>1651</v>
      </c>
      <c r="AN232" s="37" t="s">
        <v>1019</v>
      </c>
      <c r="AO232" s="37" t="s">
        <v>608</v>
      </c>
      <c r="AP232">
        <v>7</v>
      </c>
      <c r="AQ232">
        <v>10</v>
      </c>
      <c r="AR232">
        <v>30</v>
      </c>
      <c r="AS232">
        <v>69</v>
      </c>
      <c r="AT232">
        <v>6</v>
      </c>
      <c r="AU232" s="115">
        <v>23407</v>
      </c>
      <c r="AV232" s="37"/>
      <c r="AW232" s="37"/>
      <c r="AX232" s="37"/>
      <c r="AY232" s="37"/>
      <c r="AZ232" s="37">
        <f>developmentdata2019[[#This Row],[NUMBER OF CURRENT APARTMENTS]]*5/2000</f>
        <v>0.1</v>
      </c>
      <c r="BA232" s="37">
        <f>developmentdata2019[[#This Row],[Total]]*BA$1</f>
        <v>2.6000000000000002E-2</v>
      </c>
      <c r="BB232" s="37">
        <f>developmentdata2019[[#This Row],[Trash (tons/day)]]*BB$1</f>
        <v>4.9400000000000008E-3</v>
      </c>
      <c r="BC232" s="37">
        <f>developmentdata2019[[#This Row],[MGP (tons/day)]]*BC$1</f>
        <v>3.4580000000000011E-4</v>
      </c>
      <c r="BD232" s="37">
        <f>developmentdata2019[[#This Row],[Cardboard (tons/day)]]*BD$1</f>
        <v>2.4206000000000008E-5</v>
      </c>
      <c r="BE232" s="37">
        <f>developmentdata2019[[#This Row],[Paper (tons/day)]]*BE$1</f>
        <v>7.7459200000000029E-6</v>
      </c>
      <c r="BF232" s="37">
        <f>developmentdata2019[[#This Row],[Organics (tons/day)]]*BF$1</f>
        <v>7.745920000000003E-8</v>
      </c>
      <c r="BG232" s="37">
        <f>developmentdata2019[[#This Row],[E-Waste (tons/day)]]*BG$1</f>
        <v>6.1967360000000027E-9</v>
      </c>
      <c r="BH232" s="37">
        <f>developmentdata2019[[#This Row],[Trash (tons/day)]]*BH$1</f>
        <v>0.54730000000000012</v>
      </c>
      <c r="BI232" s="37">
        <f>developmentdata2019[[#This Row],[MGP (tons/day)]]*BI$1</f>
        <v>8.9018800000000009E-2</v>
      </c>
      <c r="BJ232" s="37">
        <f>developmentdata2019[[#This Row],[Cardboard (tons/day)]]*BJ$1</f>
        <v>9.2224860000000037E-3</v>
      </c>
      <c r="BK232" s="37">
        <f>developmentdata2019[[#This Row],[Paper (tons/day)]]*BK$1</f>
        <v>1.4983514000000005E-4</v>
      </c>
      <c r="BL232" s="37">
        <f>developmentdata2019[[#This Row],[Organics (tons/day)]]*BL$1</f>
        <v>3.3462374400000016E-5</v>
      </c>
      <c r="BM232" s="37">
        <f>developmentdata2019[[#This Row],[E-Waste (tons/day)]]*BM$1</f>
        <v>4.376444800000002E-7</v>
      </c>
      <c r="BN232" s="37">
        <f>developmentdata2019[[#This Row],[Textiles (tons/day)]]*BN$1</f>
        <v>8.260249088000003E-8</v>
      </c>
      <c r="BO232" s="37">
        <f>developmentdata2019[[#This Row],[Trash (CY/day)]]*201.974</f>
        <v>110.54037020000001</v>
      </c>
      <c r="BP232" s="37">
        <f>developmentdata2019[[#This Row],[MGP (CY/day)]]*201.974</f>
        <v>17.9794831112</v>
      </c>
      <c r="BQ232" s="37">
        <f>developmentdata2019[[#This Row],[Cardboard (CY/day)]]*201.974</f>
        <v>1.8627023873640007</v>
      </c>
      <c r="BR232" s="37">
        <f>developmentdata2019[[#This Row],[Paper  (CY/day)]]*201.974</f>
        <v>3.0262802566360009E-2</v>
      </c>
      <c r="BS232" s="37">
        <f>developmentdata2019[[#This Row],[Organics (CY/day)]]*201.974</f>
        <v>6.7585296070656027E-3</v>
      </c>
      <c r="BT232" s="37">
        <f>developmentdata2019[[#This Row],[E-Waste (CY/day)]]*201.974</f>
        <v>8.8392806203520043E-5</v>
      </c>
      <c r="BU232" s="37">
        <f>developmentdata2019[[#This Row],[Textiles (CY/day)]]*201.974</f>
        <v>1.6683555492997127E-5</v>
      </c>
    </row>
    <row r="233" spans="1:73" x14ac:dyDescent="0.2">
      <c r="A233" s="37" t="s">
        <v>1652</v>
      </c>
      <c r="B233" s="115">
        <v>43466</v>
      </c>
      <c r="C233" s="37" t="s">
        <v>586</v>
      </c>
      <c r="D233">
        <v>167</v>
      </c>
      <c r="E233">
        <v>167</v>
      </c>
      <c r="F233">
        <v>283</v>
      </c>
      <c r="G233">
        <v>283</v>
      </c>
      <c r="H233" s="37" t="s">
        <v>1653</v>
      </c>
      <c r="I233" s="37" t="s">
        <v>577</v>
      </c>
      <c r="J233" s="37" t="s">
        <v>578</v>
      </c>
      <c r="K233" s="37" t="s">
        <v>735</v>
      </c>
      <c r="M233">
        <v>227</v>
      </c>
      <c r="N233">
        <v>230</v>
      </c>
      <c r="O233">
        <v>681.5</v>
      </c>
      <c r="P233">
        <v>3</v>
      </c>
      <c r="R233">
        <v>235</v>
      </c>
      <c r="S233">
        <v>235</v>
      </c>
      <c r="T233">
        <v>206</v>
      </c>
      <c r="U233">
        <v>0.92</v>
      </c>
      <c r="V233">
        <v>1</v>
      </c>
      <c r="W233">
        <v>0</v>
      </c>
      <c r="X233">
        <v>1</v>
      </c>
      <c r="Y233">
        <v>20</v>
      </c>
      <c r="Z233">
        <v>68762</v>
      </c>
      <c r="AA233">
        <v>1.58</v>
      </c>
      <c r="AB233">
        <v>68762</v>
      </c>
      <c r="AC233">
        <v>1.58</v>
      </c>
      <c r="AD233">
        <v>13285</v>
      </c>
      <c r="AE233">
        <v>1397832</v>
      </c>
      <c r="AF233">
        <v>0.19320000000000001</v>
      </c>
      <c r="AG233">
        <v>149</v>
      </c>
      <c r="AH233">
        <v>3910160</v>
      </c>
      <c r="AI233">
        <v>5227</v>
      </c>
      <c r="AJ233">
        <v>318</v>
      </c>
      <c r="AK233" s="37" t="s">
        <v>669</v>
      </c>
      <c r="AL233" s="37" t="s">
        <v>667</v>
      </c>
      <c r="AM233" s="37" t="s">
        <v>1173</v>
      </c>
      <c r="AN233" s="37" t="s">
        <v>1654</v>
      </c>
      <c r="AO233" s="37" t="s">
        <v>593</v>
      </c>
      <c r="AP233">
        <v>9</v>
      </c>
      <c r="AQ233">
        <v>9</v>
      </c>
      <c r="AR233">
        <v>20</v>
      </c>
      <c r="AS233">
        <v>43</v>
      </c>
      <c r="AT233">
        <v>41</v>
      </c>
      <c r="AU233" s="115">
        <v>25537</v>
      </c>
      <c r="AV233" s="37"/>
      <c r="AW233" s="37" t="s">
        <v>736</v>
      </c>
      <c r="AX233" s="37"/>
      <c r="AY233" s="37"/>
      <c r="AZ233" s="37">
        <f>developmentdata2019[[#This Row],[NUMBER OF CURRENT APARTMENTS]]*5/2000</f>
        <v>0.5675</v>
      </c>
      <c r="BA233" s="37">
        <f>developmentdata2019[[#This Row],[Total]]*BA$1</f>
        <v>0.14755000000000001</v>
      </c>
      <c r="BB233" s="37">
        <f>developmentdata2019[[#This Row],[Trash (tons/day)]]*BB$1</f>
        <v>2.8034500000000004E-2</v>
      </c>
      <c r="BC233" s="37">
        <f>developmentdata2019[[#This Row],[MGP (tons/day)]]*BC$1</f>
        <v>1.9624150000000003E-3</v>
      </c>
      <c r="BD233" s="37">
        <f>developmentdata2019[[#This Row],[Cardboard (tons/day)]]*BD$1</f>
        <v>1.3736905000000005E-4</v>
      </c>
      <c r="BE233" s="37">
        <f>developmentdata2019[[#This Row],[Paper (tons/day)]]*BE$1</f>
        <v>4.3958096000000018E-5</v>
      </c>
      <c r="BF233" s="37">
        <f>developmentdata2019[[#This Row],[Organics (tons/day)]]*BF$1</f>
        <v>4.3958096000000017E-7</v>
      </c>
      <c r="BG233" s="37">
        <f>developmentdata2019[[#This Row],[E-Waste (tons/day)]]*BG$1</f>
        <v>3.5166476800000012E-8</v>
      </c>
      <c r="BH233" s="37">
        <f>developmentdata2019[[#This Row],[Trash (tons/day)]]*BH$1</f>
        <v>3.1059275000000004</v>
      </c>
      <c r="BI233" s="37">
        <f>developmentdata2019[[#This Row],[MGP (tons/day)]]*BI$1</f>
        <v>0.50518169000000002</v>
      </c>
      <c r="BJ233" s="37">
        <f>developmentdata2019[[#This Row],[Cardboard (tons/day)]]*BJ$1</f>
        <v>5.2337608050000012E-2</v>
      </c>
      <c r="BK233" s="37">
        <f>developmentdata2019[[#This Row],[Paper (tons/day)]]*BK$1</f>
        <v>8.503144195000004E-4</v>
      </c>
      <c r="BL233" s="37">
        <f>developmentdata2019[[#This Row],[Organics (tons/day)]]*BL$1</f>
        <v>1.8989897472000008E-4</v>
      </c>
      <c r="BM233" s="37">
        <f>developmentdata2019[[#This Row],[E-Waste (tons/day)]]*BM$1</f>
        <v>2.483632424000001E-6</v>
      </c>
      <c r="BN233" s="37">
        <f>developmentdata2019[[#This Row],[Textiles (tons/day)]]*BN$1</f>
        <v>4.6876913574400014E-7</v>
      </c>
      <c r="BO233" s="37">
        <f>developmentdata2019[[#This Row],[Trash (CY/day)]]*201.974</f>
        <v>627.31660088500007</v>
      </c>
      <c r="BP233" s="37">
        <f>developmentdata2019[[#This Row],[MGP (CY/day)]]*201.974</f>
        <v>102.03356665606</v>
      </c>
      <c r="BQ233" s="37">
        <f>developmentdata2019[[#This Row],[Cardboard (CY/day)]]*201.974</f>
        <v>10.570836048290701</v>
      </c>
      <c r="BR233" s="37">
        <f>developmentdata2019[[#This Row],[Paper  (CY/day)]]*201.974</f>
        <v>0.17174140456409306</v>
      </c>
      <c r="BS233" s="37">
        <f>developmentdata2019[[#This Row],[Organics (CY/day)]]*201.974</f>
        <v>3.8354655520097293E-2</v>
      </c>
      <c r="BT233" s="37">
        <f>developmentdata2019[[#This Row],[E-Waste (CY/day)]]*201.974</f>
        <v>5.0162917520497614E-4</v>
      </c>
      <c r="BU233" s="37">
        <f>developmentdata2019[[#This Row],[Textiles (CY/day)]]*201.974</f>
        <v>9.4679177422758674E-5</v>
      </c>
    </row>
    <row r="234" spans="1:73" x14ac:dyDescent="0.2">
      <c r="A234" s="37" t="s">
        <v>516</v>
      </c>
      <c r="B234" s="115">
        <v>43466</v>
      </c>
      <c r="C234" s="37" t="s">
        <v>907</v>
      </c>
      <c r="D234">
        <v>117</v>
      </c>
      <c r="E234">
        <v>117</v>
      </c>
      <c r="F234">
        <v>241</v>
      </c>
      <c r="G234">
        <v>241</v>
      </c>
      <c r="H234" s="37" t="s">
        <v>1655</v>
      </c>
      <c r="I234" s="37" t="s">
        <v>577</v>
      </c>
      <c r="J234" s="37" t="s">
        <v>578</v>
      </c>
      <c r="K234" s="37" t="s">
        <v>579</v>
      </c>
      <c r="M234">
        <v>488</v>
      </c>
      <c r="N234">
        <v>489</v>
      </c>
      <c r="O234">
        <v>2308</v>
      </c>
      <c r="P234">
        <v>4.7300000000000004</v>
      </c>
      <c r="R234">
        <v>1269</v>
      </c>
      <c r="S234">
        <v>1269</v>
      </c>
      <c r="T234">
        <v>137</v>
      </c>
      <c r="U234">
        <v>0.28399999999999997</v>
      </c>
      <c r="V234">
        <v>6</v>
      </c>
      <c r="W234">
        <v>1</v>
      </c>
      <c r="X234">
        <v>7</v>
      </c>
      <c r="Y234">
        <v>8</v>
      </c>
      <c r="Z234">
        <v>464184</v>
      </c>
      <c r="AA234">
        <v>10.66</v>
      </c>
      <c r="AB234">
        <v>440715</v>
      </c>
      <c r="AC234">
        <v>10.119999999999999</v>
      </c>
      <c r="AD234">
        <v>57285</v>
      </c>
      <c r="AE234">
        <v>4498022</v>
      </c>
      <c r="AF234">
        <v>0.1234</v>
      </c>
      <c r="AG234">
        <v>119</v>
      </c>
      <c r="AH234">
        <v>9551430</v>
      </c>
      <c r="AI234">
        <v>4129</v>
      </c>
      <c r="AJ234">
        <v>530</v>
      </c>
      <c r="AK234" s="37" t="s">
        <v>1656</v>
      </c>
      <c r="AL234" s="37" t="s">
        <v>1657</v>
      </c>
      <c r="AM234" s="37" t="s">
        <v>1658</v>
      </c>
      <c r="AN234" s="37"/>
      <c r="AO234" s="37" t="s">
        <v>765</v>
      </c>
      <c r="AP234">
        <v>1</v>
      </c>
      <c r="AQ234">
        <v>11</v>
      </c>
      <c r="AR234">
        <v>23</v>
      </c>
      <c r="AS234">
        <v>61</v>
      </c>
      <c r="AT234">
        <v>49</v>
      </c>
      <c r="AU234" s="115">
        <v>23497</v>
      </c>
      <c r="AV234" s="37"/>
      <c r="AW234" s="37"/>
      <c r="AX234" s="37"/>
      <c r="AY234" s="37"/>
      <c r="AZ234" s="37">
        <f>developmentdata2019[[#This Row],[NUMBER OF CURRENT APARTMENTS]]*5/2000</f>
        <v>1.22</v>
      </c>
      <c r="BA234" s="37">
        <f>developmentdata2019[[#This Row],[Total]]*BA$1</f>
        <v>0.31719999999999998</v>
      </c>
      <c r="BB234" s="37">
        <f>developmentdata2019[[#This Row],[Trash (tons/day)]]*BB$1</f>
        <v>6.0267999999999995E-2</v>
      </c>
      <c r="BC234" s="37">
        <f>developmentdata2019[[#This Row],[MGP (tons/day)]]*BC$1</f>
        <v>4.2187600000000002E-3</v>
      </c>
      <c r="BD234" s="37">
        <f>developmentdata2019[[#This Row],[Cardboard (tons/day)]]*BD$1</f>
        <v>2.9531320000000002E-4</v>
      </c>
      <c r="BE234" s="37">
        <f>developmentdata2019[[#This Row],[Paper (tons/day)]]*BE$1</f>
        <v>9.4500224000000006E-5</v>
      </c>
      <c r="BF234" s="37">
        <f>developmentdata2019[[#This Row],[Organics (tons/day)]]*BF$1</f>
        <v>9.4500224000000003E-7</v>
      </c>
      <c r="BG234" s="37">
        <f>developmentdata2019[[#This Row],[E-Waste (tons/day)]]*BG$1</f>
        <v>7.5600179200000006E-8</v>
      </c>
      <c r="BH234" s="37">
        <f>developmentdata2019[[#This Row],[Trash (tons/day)]]*BH$1</f>
        <v>6.67706</v>
      </c>
      <c r="BI234" s="37">
        <f>developmentdata2019[[#This Row],[MGP (tons/day)]]*BI$1</f>
        <v>1.0860293599999999</v>
      </c>
      <c r="BJ234" s="37">
        <f>developmentdata2019[[#This Row],[Cardboard (tons/day)]]*BJ$1</f>
        <v>0.11251432920000001</v>
      </c>
      <c r="BK234" s="37">
        <f>developmentdata2019[[#This Row],[Paper (tons/day)]]*BK$1</f>
        <v>1.8279887080000002E-3</v>
      </c>
      <c r="BL234" s="37">
        <f>developmentdata2019[[#This Row],[Organics (tons/day)]]*BL$1</f>
        <v>4.0824096768000008E-4</v>
      </c>
      <c r="BM234" s="37">
        <f>developmentdata2019[[#This Row],[E-Waste (tons/day)]]*BM$1</f>
        <v>5.3392626560000008E-6</v>
      </c>
      <c r="BN234" s="37">
        <f>developmentdata2019[[#This Row],[Textiles (tons/day)]]*BN$1</f>
        <v>1.007750388736E-6</v>
      </c>
      <c r="BO234" s="37">
        <f>developmentdata2019[[#This Row],[Trash (CY/day)]]*201.974</f>
        <v>1348.5925164399998</v>
      </c>
      <c r="BP234" s="37">
        <f>developmentdata2019[[#This Row],[MGP (CY/day)]]*201.974</f>
        <v>219.34969395663998</v>
      </c>
      <c r="BQ234" s="37">
        <f>developmentdata2019[[#This Row],[Cardboard (CY/day)]]*201.974</f>
        <v>22.724969125840801</v>
      </c>
      <c r="BR234" s="37">
        <f>developmentdata2019[[#This Row],[Paper  (CY/day)]]*201.974</f>
        <v>0.36920619130959204</v>
      </c>
      <c r="BS234" s="37">
        <f>developmentdata2019[[#This Row],[Organics (CY/day)]]*201.974</f>
        <v>8.245406120620033E-2</v>
      </c>
      <c r="BT234" s="37">
        <f>developmentdata2019[[#This Row],[E-Waste (CY/day)]]*201.974</f>
        <v>1.0783922356829441E-3</v>
      </c>
      <c r="BU234" s="37">
        <f>developmentdata2019[[#This Row],[Textiles (CY/day)]]*201.974</f>
        <v>2.0353937701456486E-4</v>
      </c>
    </row>
    <row r="235" spans="1:73" x14ac:dyDescent="0.2">
      <c r="A235" s="37" t="s">
        <v>329</v>
      </c>
      <c r="B235" s="115">
        <v>43466</v>
      </c>
      <c r="C235" s="37" t="s">
        <v>1659</v>
      </c>
      <c r="D235">
        <v>18</v>
      </c>
      <c r="E235">
        <v>18</v>
      </c>
      <c r="F235">
        <v>210</v>
      </c>
      <c r="G235">
        <v>210</v>
      </c>
      <c r="H235" s="37" t="s">
        <v>1660</v>
      </c>
      <c r="I235" s="37" t="s">
        <v>577</v>
      </c>
      <c r="J235" s="37" t="s">
        <v>578</v>
      </c>
      <c r="K235" s="37" t="s">
        <v>579</v>
      </c>
      <c r="M235">
        <v>1191</v>
      </c>
      <c r="N235">
        <v>1191</v>
      </c>
      <c r="O235">
        <v>5666.5</v>
      </c>
      <c r="P235">
        <v>4.76</v>
      </c>
      <c r="R235">
        <v>2715</v>
      </c>
      <c r="S235">
        <v>2715</v>
      </c>
      <c r="T235">
        <v>464</v>
      </c>
      <c r="U235">
        <v>0.39800000000000002</v>
      </c>
      <c r="V235">
        <v>13</v>
      </c>
      <c r="W235">
        <v>0</v>
      </c>
      <c r="X235">
        <v>18</v>
      </c>
      <c r="Y235">
        <v>41803</v>
      </c>
      <c r="Z235">
        <v>510926</v>
      </c>
      <c r="AA235">
        <v>11.73</v>
      </c>
      <c r="AB235">
        <v>510926</v>
      </c>
      <c r="AC235">
        <v>11.73</v>
      </c>
      <c r="AD235">
        <v>103446</v>
      </c>
      <c r="AE235">
        <v>9657260</v>
      </c>
      <c r="AF235">
        <v>0.20250000000000001</v>
      </c>
      <c r="AG235">
        <v>231</v>
      </c>
      <c r="AH235">
        <v>13510289</v>
      </c>
      <c r="AI235">
        <v>2411</v>
      </c>
      <c r="AJ235">
        <v>595</v>
      </c>
      <c r="AK235" s="37" t="s">
        <v>1661</v>
      </c>
      <c r="AL235" s="37" t="s">
        <v>1396</v>
      </c>
      <c r="AM235" s="37" t="s">
        <v>1400</v>
      </c>
      <c r="AN235" s="37" t="s">
        <v>891</v>
      </c>
      <c r="AO235" s="37" t="s">
        <v>608</v>
      </c>
      <c r="AP235">
        <v>3</v>
      </c>
      <c r="AQ235">
        <v>7</v>
      </c>
      <c r="AR235">
        <v>27</v>
      </c>
      <c r="AS235">
        <v>74</v>
      </c>
      <c r="AT235">
        <v>2</v>
      </c>
      <c r="AU235" s="115">
        <v>17915</v>
      </c>
      <c r="AV235" s="37"/>
      <c r="AW235" s="37"/>
      <c r="AX235" s="37"/>
      <c r="AY235" s="37"/>
      <c r="AZ235" s="37">
        <f>developmentdata2019[[#This Row],[NUMBER OF CURRENT APARTMENTS]]*5/2000</f>
        <v>2.9775</v>
      </c>
      <c r="BA235" s="37">
        <f>developmentdata2019[[#This Row],[Total]]*BA$1</f>
        <v>0.77415</v>
      </c>
      <c r="BB235" s="37">
        <f>developmentdata2019[[#This Row],[Trash (tons/day)]]*BB$1</f>
        <v>0.14708850000000001</v>
      </c>
      <c r="BC235" s="37">
        <f>developmentdata2019[[#This Row],[MGP (tons/day)]]*BC$1</f>
        <v>1.0296195000000001E-2</v>
      </c>
      <c r="BD235" s="37">
        <f>developmentdata2019[[#This Row],[Cardboard (tons/day)]]*BD$1</f>
        <v>7.207336500000001E-4</v>
      </c>
      <c r="BE235" s="37">
        <f>developmentdata2019[[#This Row],[Paper (tons/day)]]*BE$1</f>
        <v>2.3063476800000004E-4</v>
      </c>
      <c r="BF235" s="37">
        <f>developmentdata2019[[#This Row],[Organics (tons/day)]]*BF$1</f>
        <v>2.3063476800000004E-6</v>
      </c>
      <c r="BG235" s="37">
        <f>developmentdata2019[[#This Row],[E-Waste (tons/day)]]*BG$1</f>
        <v>1.8450781440000005E-7</v>
      </c>
      <c r="BH235" s="37">
        <f>developmentdata2019[[#This Row],[Trash (tons/day)]]*BH$1</f>
        <v>16.2958575</v>
      </c>
      <c r="BI235" s="37">
        <f>developmentdata2019[[#This Row],[MGP (tons/day)]]*BI$1</f>
        <v>2.6505347700000002</v>
      </c>
      <c r="BJ235" s="37">
        <f>developmentdata2019[[#This Row],[Cardboard (tons/day)]]*BJ$1</f>
        <v>0.27459952065000004</v>
      </c>
      <c r="BK235" s="37">
        <f>developmentdata2019[[#This Row],[Paper (tons/day)]]*BK$1</f>
        <v>4.461341293500001E-3</v>
      </c>
      <c r="BL235" s="37">
        <f>developmentdata2019[[#This Row],[Organics (tons/day)]]*BL$1</f>
        <v>9.9634219776000032E-4</v>
      </c>
      <c r="BM235" s="37">
        <f>developmentdata2019[[#This Row],[E-Waste (tons/day)]]*BM$1</f>
        <v>1.3030864392000003E-5</v>
      </c>
      <c r="BN235" s="37">
        <f>developmentdata2019[[#This Row],[Textiles (tons/day)]]*BN$1</f>
        <v>2.4594891659520006E-6</v>
      </c>
      <c r="BO235" s="37">
        <f>developmentdata2019[[#This Row],[Trash (CY/day)]]*201.974</f>
        <v>3291.339522705</v>
      </c>
      <c r="BP235" s="37">
        <f>developmentdata2019[[#This Row],[MGP (CY/day)]]*201.974</f>
        <v>535.33910963597998</v>
      </c>
      <c r="BQ235" s="37">
        <f>developmentdata2019[[#This Row],[Cardboard (CY/day)]]*201.974</f>
        <v>55.461963583763108</v>
      </c>
      <c r="BR235" s="37">
        <f>developmentdata2019[[#This Row],[Paper  (CY/day)]]*201.974</f>
        <v>0.90107494641336916</v>
      </c>
      <c r="BS235" s="37">
        <f>developmentdata2019[[#This Row],[Organics (CY/day)]]*201.974</f>
        <v>0.20123521905037831</v>
      </c>
      <c r="BT235" s="37">
        <f>developmentdata2019[[#This Row],[E-Waste (CY/day)]]*201.974</f>
        <v>2.6318958047098083E-3</v>
      </c>
      <c r="BU235" s="37">
        <f>developmentdata2019[[#This Row],[Textiles (CY/day)]]*201.974</f>
        <v>4.9675286480398931E-4</v>
      </c>
    </row>
    <row r="236" spans="1:73" x14ac:dyDescent="0.2">
      <c r="A236" s="37" t="s">
        <v>330</v>
      </c>
      <c r="B236" s="115">
        <v>43466</v>
      </c>
      <c r="C236" s="37" t="s">
        <v>1659</v>
      </c>
      <c r="D236">
        <v>19</v>
      </c>
      <c r="E236">
        <v>18</v>
      </c>
      <c r="F236">
        <v>372</v>
      </c>
      <c r="G236">
        <v>210</v>
      </c>
      <c r="H236" s="37" t="s">
        <v>1662</v>
      </c>
      <c r="I236" s="37" t="s">
        <v>577</v>
      </c>
      <c r="J236" s="37" t="s">
        <v>578</v>
      </c>
      <c r="K236" s="37" t="s">
        <v>579</v>
      </c>
      <c r="M236">
        <v>577</v>
      </c>
      <c r="N236">
        <v>578</v>
      </c>
      <c r="O236">
        <v>2720.5</v>
      </c>
      <c r="P236">
        <v>4.71</v>
      </c>
      <c r="R236">
        <v>1271</v>
      </c>
      <c r="S236">
        <v>1271</v>
      </c>
      <c r="T236">
        <v>244</v>
      </c>
      <c r="U236">
        <v>0.42599999999999999</v>
      </c>
      <c r="V236">
        <v>6</v>
      </c>
      <c r="W236">
        <v>0</v>
      </c>
      <c r="X236">
        <v>8</v>
      </c>
      <c r="Y236">
        <v>41803</v>
      </c>
      <c r="Z236">
        <v>258562</v>
      </c>
      <c r="AA236">
        <v>5.94</v>
      </c>
      <c r="AB236">
        <v>258562</v>
      </c>
      <c r="AC236">
        <v>5.94</v>
      </c>
      <c r="AD236">
        <v>43916</v>
      </c>
      <c r="AE236">
        <v>4497120</v>
      </c>
      <c r="AF236">
        <v>0.16980000000000001</v>
      </c>
      <c r="AG236">
        <v>214</v>
      </c>
      <c r="AH236">
        <v>6339520</v>
      </c>
      <c r="AI236">
        <v>2344</v>
      </c>
      <c r="AJ236">
        <v>542</v>
      </c>
      <c r="AK236" s="37" t="s">
        <v>1661</v>
      </c>
      <c r="AL236" s="37" t="s">
        <v>1396</v>
      </c>
      <c r="AM236" s="37" t="s">
        <v>1663</v>
      </c>
      <c r="AN236" s="37" t="s">
        <v>1664</v>
      </c>
      <c r="AO236" s="37" t="s">
        <v>608</v>
      </c>
      <c r="AP236">
        <v>3</v>
      </c>
      <c r="AQ236">
        <v>7</v>
      </c>
      <c r="AR236">
        <v>27</v>
      </c>
      <c r="AS236">
        <v>74</v>
      </c>
      <c r="AT236">
        <v>2</v>
      </c>
      <c r="AU236" s="115">
        <v>17929</v>
      </c>
      <c r="AV236" s="37" t="s">
        <v>1044</v>
      </c>
      <c r="AW236" s="37"/>
      <c r="AX236" s="37"/>
      <c r="AY236" s="37"/>
      <c r="AZ236" s="37">
        <f>developmentdata2019[[#This Row],[NUMBER OF CURRENT APARTMENTS]]*5/2000</f>
        <v>1.4424999999999999</v>
      </c>
      <c r="BA236" s="37">
        <f>developmentdata2019[[#This Row],[Total]]*BA$1</f>
        <v>0.37504999999999999</v>
      </c>
      <c r="BB236" s="37">
        <f>developmentdata2019[[#This Row],[Trash (tons/day)]]*BB$1</f>
        <v>7.1259500000000003E-2</v>
      </c>
      <c r="BC236" s="37">
        <f>developmentdata2019[[#This Row],[MGP (tons/day)]]*BC$1</f>
        <v>4.988165000000001E-3</v>
      </c>
      <c r="BD236" s="37">
        <f>developmentdata2019[[#This Row],[Cardboard (tons/day)]]*BD$1</f>
        <v>3.4917155000000009E-4</v>
      </c>
      <c r="BE236" s="37">
        <f>developmentdata2019[[#This Row],[Paper (tons/day)]]*BE$1</f>
        <v>1.1173489600000004E-4</v>
      </c>
      <c r="BF236" s="37">
        <f>developmentdata2019[[#This Row],[Organics (tons/day)]]*BF$1</f>
        <v>1.1173489600000004E-6</v>
      </c>
      <c r="BG236" s="37">
        <f>developmentdata2019[[#This Row],[E-Waste (tons/day)]]*BG$1</f>
        <v>8.9387916800000032E-8</v>
      </c>
      <c r="BH236" s="37">
        <f>developmentdata2019[[#This Row],[Trash (tons/day)]]*BH$1</f>
        <v>7.8948024999999999</v>
      </c>
      <c r="BI236" s="37">
        <f>developmentdata2019[[#This Row],[MGP (tons/day)]]*BI$1</f>
        <v>1.2840961900000001</v>
      </c>
      <c r="BJ236" s="37">
        <f>developmentdata2019[[#This Row],[Cardboard (tons/day)]]*BJ$1</f>
        <v>0.13303436055000004</v>
      </c>
      <c r="BK236" s="37">
        <f>developmentdata2019[[#This Row],[Paper (tons/day)]]*BK$1</f>
        <v>2.1613718945000006E-3</v>
      </c>
      <c r="BL236" s="37">
        <f>developmentdata2019[[#This Row],[Organics (tons/day)]]*BL$1</f>
        <v>4.826947507200002E-4</v>
      </c>
      <c r="BM236" s="37">
        <f>developmentdata2019[[#This Row],[E-Waste (tons/day)]]*BM$1</f>
        <v>6.3130216240000026E-6</v>
      </c>
      <c r="BN236" s="37">
        <f>developmentdata2019[[#This Row],[Textiles (tons/day)]]*BN$1</f>
        <v>1.1915409309440004E-6</v>
      </c>
      <c r="BO236" s="37">
        <f>developmentdata2019[[#This Row],[Trash (CY/day)]]*201.974</f>
        <v>1594.544840135</v>
      </c>
      <c r="BP236" s="37">
        <f>developmentdata2019[[#This Row],[MGP (CY/day)]]*201.974</f>
        <v>259.35404387905999</v>
      </c>
      <c r="BQ236" s="37">
        <f>developmentdata2019[[#This Row],[Cardboard (CY/day)]]*201.974</f>
        <v>26.869481937725705</v>
      </c>
      <c r="BR236" s="37">
        <f>developmentdata2019[[#This Row],[Paper  (CY/day)]]*201.974</f>
        <v>0.43654092701974312</v>
      </c>
      <c r="BS236" s="37">
        <f>developmentdata2019[[#This Row],[Organics (CY/day)]]*201.974</f>
        <v>9.7491789581921312E-2</v>
      </c>
      <c r="BT236" s="37">
        <f>developmentdata2019[[#This Row],[E-Waste (CY/day)]]*201.974</f>
        <v>1.2750662294857763E-3</v>
      </c>
      <c r="BU236" s="37">
        <f>developmentdata2019[[#This Row],[Textiles (CY/day)]]*201.974</f>
        <v>2.4066028798648353E-4</v>
      </c>
    </row>
    <row r="237" spans="1:73" x14ac:dyDescent="0.2">
      <c r="A237" s="37" t="s">
        <v>1665</v>
      </c>
      <c r="B237" s="115">
        <v>43466</v>
      </c>
      <c r="C237" s="37" t="s">
        <v>1263</v>
      </c>
      <c r="D237">
        <v>218</v>
      </c>
      <c r="E237">
        <v>139</v>
      </c>
      <c r="F237">
        <v>329</v>
      </c>
      <c r="G237">
        <v>253</v>
      </c>
      <c r="H237" s="37" t="s">
        <v>1666</v>
      </c>
      <c r="I237" s="37" t="s">
        <v>577</v>
      </c>
      <c r="J237" s="37" t="s">
        <v>578</v>
      </c>
      <c r="K237" s="37" t="s">
        <v>735</v>
      </c>
      <c r="M237">
        <v>150</v>
      </c>
      <c r="N237">
        <v>150</v>
      </c>
      <c r="O237">
        <v>470</v>
      </c>
      <c r="P237">
        <v>3.13</v>
      </c>
      <c r="R237">
        <v>160</v>
      </c>
      <c r="S237">
        <v>160</v>
      </c>
      <c r="T237">
        <v>136</v>
      </c>
      <c r="U237">
        <v>0.91900000000000004</v>
      </c>
      <c r="V237">
        <v>1</v>
      </c>
      <c r="W237">
        <v>0</v>
      </c>
      <c r="X237">
        <v>1</v>
      </c>
      <c r="Y237">
        <v>20</v>
      </c>
      <c r="Z237">
        <v>12553</v>
      </c>
      <c r="AA237">
        <v>0.28999999999999998</v>
      </c>
      <c r="AB237">
        <v>12553</v>
      </c>
      <c r="AC237">
        <v>0.28999999999999998</v>
      </c>
      <c r="AD237">
        <v>6773</v>
      </c>
      <c r="AE237">
        <v>974866</v>
      </c>
      <c r="AF237">
        <v>0.53959999999999997</v>
      </c>
      <c r="AG237">
        <v>552</v>
      </c>
      <c r="AH237">
        <v>4855905</v>
      </c>
      <c r="AI237">
        <v>9568</v>
      </c>
      <c r="AJ237">
        <v>340</v>
      </c>
      <c r="AK237" s="37" t="s">
        <v>1667</v>
      </c>
      <c r="AL237" s="37" t="s">
        <v>633</v>
      </c>
      <c r="AM237" s="37" t="s">
        <v>1668</v>
      </c>
      <c r="AN237" s="37" t="s">
        <v>631</v>
      </c>
      <c r="AO237" s="37" t="s">
        <v>608</v>
      </c>
      <c r="AP237">
        <v>8</v>
      </c>
      <c r="AQ237">
        <v>12</v>
      </c>
      <c r="AR237">
        <v>28</v>
      </c>
      <c r="AS237">
        <v>76</v>
      </c>
      <c r="AT237">
        <v>5</v>
      </c>
      <c r="AU237" s="115">
        <v>27453</v>
      </c>
      <c r="AV237" s="37"/>
      <c r="AW237" s="37" t="s">
        <v>736</v>
      </c>
      <c r="AX237" s="37"/>
      <c r="AY237" s="37"/>
      <c r="AZ237" s="37">
        <f>developmentdata2019[[#This Row],[NUMBER OF CURRENT APARTMENTS]]*5/2000</f>
        <v>0.375</v>
      </c>
      <c r="BA237" s="37">
        <f>developmentdata2019[[#This Row],[Total]]*BA$1</f>
        <v>9.7500000000000003E-2</v>
      </c>
      <c r="BB237" s="37">
        <f>developmentdata2019[[#This Row],[Trash (tons/day)]]*BB$1</f>
        <v>1.8525E-2</v>
      </c>
      <c r="BC237" s="37">
        <f>developmentdata2019[[#This Row],[MGP (tons/day)]]*BC$1</f>
        <v>1.2967500000000002E-3</v>
      </c>
      <c r="BD237" s="37">
        <f>developmentdata2019[[#This Row],[Cardboard (tons/day)]]*BD$1</f>
        <v>9.0772500000000026E-5</v>
      </c>
      <c r="BE237" s="37">
        <f>developmentdata2019[[#This Row],[Paper (tons/day)]]*BE$1</f>
        <v>2.9047200000000009E-5</v>
      </c>
      <c r="BF237" s="37">
        <f>developmentdata2019[[#This Row],[Organics (tons/day)]]*BF$1</f>
        <v>2.9047200000000009E-7</v>
      </c>
      <c r="BG237" s="37">
        <f>developmentdata2019[[#This Row],[E-Waste (tons/day)]]*BG$1</f>
        <v>2.3237760000000009E-8</v>
      </c>
      <c r="BH237" s="37">
        <f>developmentdata2019[[#This Row],[Trash (tons/day)]]*BH$1</f>
        <v>2.0523750000000001</v>
      </c>
      <c r="BI237" s="37">
        <f>developmentdata2019[[#This Row],[MGP (tons/day)]]*BI$1</f>
        <v>0.33382049999999996</v>
      </c>
      <c r="BJ237" s="37">
        <f>developmentdata2019[[#This Row],[Cardboard (tons/day)]]*BJ$1</f>
        <v>3.4584322500000007E-2</v>
      </c>
      <c r="BK237" s="37">
        <f>developmentdata2019[[#This Row],[Paper (tons/day)]]*BK$1</f>
        <v>5.6188177500000023E-4</v>
      </c>
      <c r="BL237" s="37">
        <f>developmentdata2019[[#This Row],[Organics (tons/day)]]*BL$1</f>
        <v>1.2548390400000004E-4</v>
      </c>
      <c r="BM237" s="37">
        <f>developmentdata2019[[#This Row],[E-Waste (tons/day)]]*BM$1</f>
        <v>1.6411668000000005E-6</v>
      </c>
      <c r="BN237" s="37">
        <f>developmentdata2019[[#This Row],[Textiles (tons/day)]]*BN$1</f>
        <v>3.097593408000001E-7</v>
      </c>
      <c r="BO237" s="37">
        <f>developmentdata2019[[#This Row],[Trash (CY/day)]]*201.974</f>
        <v>414.52638824999997</v>
      </c>
      <c r="BP237" s="37">
        <f>developmentdata2019[[#This Row],[MGP (CY/day)]]*201.974</f>
        <v>67.423061666999985</v>
      </c>
      <c r="BQ237" s="37">
        <f>developmentdata2019[[#This Row],[Cardboard (CY/day)]]*201.974</f>
        <v>6.9851339526150014</v>
      </c>
      <c r="BR237" s="37">
        <f>developmentdata2019[[#This Row],[Paper  (CY/day)]]*201.974</f>
        <v>0.11348550962385004</v>
      </c>
      <c r="BS237" s="37">
        <f>developmentdata2019[[#This Row],[Organics (CY/day)]]*201.974</f>
        <v>2.5344486026496006E-2</v>
      </c>
      <c r="BT237" s="37">
        <f>developmentdata2019[[#This Row],[E-Waste (CY/day)]]*201.974</f>
        <v>3.3147302326320011E-4</v>
      </c>
      <c r="BU237" s="37">
        <f>developmentdata2019[[#This Row],[Textiles (CY/day)]]*201.974</f>
        <v>6.2563333098739215E-5</v>
      </c>
    </row>
    <row r="238" spans="1:73" x14ac:dyDescent="0.2">
      <c r="A238" s="37" t="s">
        <v>370</v>
      </c>
      <c r="B238" s="115">
        <v>43466</v>
      </c>
      <c r="C238" s="37" t="s">
        <v>1489</v>
      </c>
      <c r="D238">
        <v>241</v>
      </c>
      <c r="E238">
        <v>241</v>
      </c>
      <c r="F238">
        <v>346</v>
      </c>
      <c r="G238">
        <v>346</v>
      </c>
      <c r="H238" s="37" t="s">
        <v>1669</v>
      </c>
      <c r="I238" s="37" t="s">
        <v>577</v>
      </c>
      <c r="J238" s="37" t="s">
        <v>588</v>
      </c>
      <c r="K238" s="37" t="s">
        <v>579</v>
      </c>
      <c r="M238">
        <v>188</v>
      </c>
      <c r="N238">
        <v>189</v>
      </c>
      <c r="O238">
        <v>834</v>
      </c>
      <c r="P238">
        <v>4.4400000000000004</v>
      </c>
      <c r="R238">
        <v>421</v>
      </c>
      <c r="S238">
        <v>421</v>
      </c>
      <c r="T238">
        <v>70</v>
      </c>
      <c r="U238">
        <v>0.376</v>
      </c>
      <c r="V238">
        <v>1</v>
      </c>
      <c r="W238">
        <v>0</v>
      </c>
      <c r="X238">
        <v>2</v>
      </c>
      <c r="Y238">
        <v>8</v>
      </c>
      <c r="Z238">
        <v>64945</v>
      </c>
      <c r="AA238">
        <v>1.49</v>
      </c>
      <c r="AB238">
        <v>64945</v>
      </c>
      <c r="AC238">
        <v>1.49</v>
      </c>
      <c r="AD238">
        <v>22776</v>
      </c>
      <c r="AE238">
        <v>1802766</v>
      </c>
      <c r="AF238">
        <v>0.35070000000000001</v>
      </c>
      <c r="AG238">
        <v>283</v>
      </c>
      <c r="AH238">
        <v>5990000</v>
      </c>
      <c r="AI238">
        <v>7068</v>
      </c>
      <c r="AJ238">
        <v>565</v>
      </c>
      <c r="AK238" s="37" t="s">
        <v>1670</v>
      </c>
      <c r="AL238" s="37" t="s">
        <v>1671</v>
      </c>
      <c r="AM238" s="37" t="s">
        <v>1426</v>
      </c>
      <c r="AN238" s="37" t="s">
        <v>887</v>
      </c>
      <c r="AO238" s="37" t="s">
        <v>608</v>
      </c>
      <c r="AP238">
        <v>11</v>
      </c>
      <c r="AQ238">
        <v>13</v>
      </c>
      <c r="AR238">
        <v>30</v>
      </c>
      <c r="AS238">
        <v>68</v>
      </c>
      <c r="AT238">
        <v>9</v>
      </c>
      <c r="AU238" s="115">
        <v>26815</v>
      </c>
      <c r="AV238" s="37"/>
      <c r="AW238" s="37"/>
      <c r="AX238" s="37"/>
      <c r="AY238" s="37"/>
      <c r="AZ238" s="37">
        <f>developmentdata2019[[#This Row],[NUMBER OF CURRENT APARTMENTS]]*5/2000</f>
        <v>0.47</v>
      </c>
      <c r="BA238" s="37">
        <f>developmentdata2019[[#This Row],[Total]]*BA$1</f>
        <v>0.1222</v>
      </c>
      <c r="BB238" s="37">
        <f>developmentdata2019[[#This Row],[Trash (tons/day)]]*BB$1</f>
        <v>2.3218000000000003E-2</v>
      </c>
      <c r="BC238" s="37">
        <f>developmentdata2019[[#This Row],[MGP (tons/day)]]*BC$1</f>
        <v>1.6252600000000003E-3</v>
      </c>
      <c r="BD238" s="37">
        <f>developmentdata2019[[#This Row],[Cardboard (tons/day)]]*BD$1</f>
        <v>1.1376820000000004E-4</v>
      </c>
      <c r="BE238" s="37">
        <f>developmentdata2019[[#This Row],[Paper (tons/day)]]*BE$1</f>
        <v>3.6405824000000016E-5</v>
      </c>
      <c r="BF238" s="37">
        <f>developmentdata2019[[#This Row],[Organics (tons/day)]]*BF$1</f>
        <v>3.6405824000000017E-7</v>
      </c>
      <c r="BG238" s="37">
        <f>developmentdata2019[[#This Row],[E-Waste (tons/day)]]*BG$1</f>
        <v>2.9124659200000015E-8</v>
      </c>
      <c r="BH238" s="37">
        <f>developmentdata2019[[#This Row],[Trash (tons/day)]]*BH$1</f>
        <v>2.5723100000000003</v>
      </c>
      <c r="BI238" s="37">
        <f>developmentdata2019[[#This Row],[MGP (tons/day)]]*BI$1</f>
        <v>0.41838836000000001</v>
      </c>
      <c r="BJ238" s="37">
        <f>developmentdata2019[[#This Row],[Cardboard (tons/day)]]*BJ$1</f>
        <v>4.3345684200000012E-2</v>
      </c>
      <c r="BK238" s="37">
        <f>developmentdata2019[[#This Row],[Paper (tons/day)]]*BK$1</f>
        <v>7.0422515800000029E-4</v>
      </c>
      <c r="BL238" s="37">
        <f>developmentdata2019[[#This Row],[Organics (tons/day)]]*BL$1</f>
        <v>1.5727315968000008E-4</v>
      </c>
      <c r="BM238" s="37">
        <f>developmentdata2019[[#This Row],[E-Waste (tons/day)]]*BM$1</f>
        <v>2.056929056000001E-6</v>
      </c>
      <c r="BN238" s="37">
        <f>developmentdata2019[[#This Row],[Textiles (tons/day)]]*BN$1</f>
        <v>3.8823170713600022E-7</v>
      </c>
      <c r="BO238" s="37">
        <f>developmentdata2019[[#This Row],[Trash (CY/day)]]*201.974</f>
        <v>519.53973994</v>
      </c>
      <c r="BP238" s="37">
        <f>developmentdata2019[[#This Row],[MGP (CY/day)]]*201.974</f>
        <v>84.503570622639998</v>
      </c>
      <c r="BQ238" s="37">
        <f>developmentdata2019[[#This Row],[Cardboard (CY/day)]]*201.974</f>
        <v>8.7547012206108015</v>
      </c>
      <c r="BR238" s="37">
        <f>developmentdata2019[[#This Row],[Paper  (CY/day)]]*201.974</f>
        <v>0.14223517206189204</v>
      </c>
      <c r="BS238" s="37">
        <f>developmentdata2019[[#This Row],[Organics (CY/day)]]*201.974</f>
        <v>3.1765089153208338E-2</v>
      </c>
      <c r="BT238" s="37">
        <f>developmentdata2019[[#This Row],[E-Waste (CY/day)]]*201.974</f>
        <v>4.1544618915654419E-4</v>
      </c>
      <c r="BU238" s="37">
        <f>developmentdata2019[[#This Row],[Textiles (CY/day)]]*201.974</f>
        <v>7.84127108170865E-5</v>
      </c>
    </row>
    <row r="239" spans="1:73" x14ac:dyDescent="0.2">
      <c r="A239" s="37" t="s">
        <v>448</v>
      </c>
      <c r="B239" s="115">
        <v>43466</v>
      </c>
      <c r="C239" s="37" t="s">
        <v>1672</v>
      </c>
      <c r="D239">
        <v>135</v>
      </c>
      <c r="E239">
        <v>135</v>
      </c>
      <c r="F239">
        <v>227</v>
      </c>
      <c r="G239">
        <v>227</v>
      </c>
      <c r="H239" s="37" t="s">
        <v>1673</v>
      </c>
      <c r="I239" s="37" t="s">
        <v>577</v>
      </c>
      <c r="J239" s="37" t="s">
        <v>578</v>
      </c>
      <c r="K239" s="37" t="s">
        <v>579</v>
      </c>
      <c r="M239">
        <v>761</v>
      </c>
      <c r="N239">
        <v>763</v>
      </c>
      <c r="O239">
        <v>3575.5</v>
      </c>
      <c r="P239">
        <v>4.7</v>
      </c>
      <c r="R239">
        <v>1814</v>
      </c>
      <c r="S239">
        <v>1814</v>
      </c>
      <c r="T239">
        <v>323</v>
      </c>
      <c r="U239">
        <v>0.42799999999999999</v>
      </c>
      <c r="V239">
        <v>6</v>
      </c>
      <c r="W239">
        <v>0</v>
      </c>
      <c r="X239">
        <v>6</v>
      </c>
      <c r="Y239" t="s">
        <v>1674</v>
      </c>
      <c r="Z239">
        <v>340000</v>
      </c>
      <c r="AA239">
        <v>7.81</v>
      </c>
      <c r="AB239">
        <v>340000</v>
      </c>
      <c r="AC239">
        <v>7.81</v>
      </c>
      <c r="AD239">
        <v>52168</v>
      </c>
      <c r="AE239">
        <v>6754320</v>
      </c>
      <c r="AF239">
        <v>0.15340000000000001</v>
      </c>
      <c r="AG239">
        <v>232</v>
      </c>
      <c r="AH239">
        <v>14017427</v>
      </c>
      <c r="AI239">
        <v>3914</v>
      </c>
      <c r="AJ239">
        <v>526</v>
      </c>
      <c r="AK239" s="37" t="s">
        <v>1675</v>
      </c>
      <c r="AL239" s="37" t="s">
        <v>1676</v>
      </c>
      <c r="AM239" s="37" t="s">
        <v>626</v>
      </c>
      <c r="AN239" s="37" t="s">
        <v>1677</v>
      </c>
      <c r="AO239" s="37" t="s">
        <v>593</v>
      </c>
      <c r="AP239">
        <v>3</v>
      </c>
      <c r="AQ239">
        <v>8</v>
      </c>
      <c r="AR239">
        <v>18</v>
      </c>
      <c r="AS239" t="s">
        <v>1678</v>
      </c>
      <c r="AT239">
        <v>36</v>
      </c>
      <c r="AU239" s="115">
        <v>23650</v>
      </c>
      <c r="AV239" s="37"/>
      <c r="AW239" s="37" t="s">
        <v>693</v>
      </c>
      <c r="AX239" s="37"/>
      <c r="AY239" s="37"/>
      <c r="AZ239" s="37">
        <f>developmentdata2019[[#This Row],[NUMBER OF CURRENT APARTMENTS]]*5/2000</f>
        <v>1.9025000000000001</v>
      </c>
      <c r="BA239" s="37">
        <f>developmentdata2019[[#This Row],[Total]]*BA$1</f>
        <v>0.49465000000000003</v>
      </c>
      <c r="BB239" s="37">
        <f>developmentdata2019[[#This Row],[Trash (tons/day)]]*BB$1</f>
        <v>9.3983500000000011E-2</v>
      </c>
      <c r="BC239" s="37">
        <f>developmentdata2019[[#This Row],[MGP (tons/day)]]*BC$1</f>
        <v>6.5788450000000016E-3</v>
      </c>
      <c r="BD239" s="37">
        <f>developmentdata2019[[#This Row],[Cardboard (tons/day)]]*BD$1</f>
        <v>4.6051915000000016E-4</v>
      </c>
      <c r="BE239" s="37">
        <f>developmentdata2019[[#This Row],[Paper (tons/day)]]*BE$1</f>
        <v>1.4736612800000004E-4</v>
      </c>
      <c r="BF239" s="37">
        <f>developmentdata2019[[#This Row],[Organics (tons/day)]]*BF$1</f>
        <v>1.4736612800000005E-6</v>
      </c>
      <c r="BG239" s="37">
        <f>developmentdata2019[[#This Row],[E-Waste (tons/day)]]*BG$1</f>
        <v>1.1789290240000004E-7</v>
      </c>
      <c r="BH239" s="37">
        <f>developmentdata2019[[#This Row],[Trash (tons/day)]]*BH$1</f>
        <v>10.412382500000001</v>
      </c>
      <c r="BI239" s="37">
        <f>developmentdata2019[[#This Row],[MGP (tons/day)]]*BI$1</f>
        <v>1.6935826700000001</v>
      </c>
      <c r="BJ239" s="37">
        <f>developmentdata2019[[#This Row],[Cardboard (tons/day)]]*BJ$1</f>
        <v>0.17545779615000004</v>
      </c>
      <c r="BK239" s="37">
        <f>developmentdata2019[[#This Row],[Paper (tons/day)]]*BK$1</f>
        <v>2.8506135385000012E-3</v>
      </c>
      <c r="BL239" s="37">
        <f>developmentdata2019[[#This Row],[Organics (tons/day)]]*BL$1</f>
        <v>6.366216729600002E-4</v>
      </c>
      <c r="BM239" s="37">
        <f>developmentdata2019[[#This Row],[E-Waste (tons/day)]]*BM$1</f>
        <v>8.3261862320000034E-6</v>
      </c>
      <c r="BN239" s="37">
        <f>developmentdata2019[[#This Row],[Textiles (tons/day)]]*BN$1</f>
        <v>1.5715123889920007E-6</v>
      </c>
      <c r="BO239" s="37">
        <f>developmentdata2019[[#This Row],[Trash (CY/day)]]*201.974</f>
        <v>2103.0305430550002</v>
      </c>
      <c r="BP239" s="37">
        <f>developmentdata2019[[#This Row],[MGP (CY/day)]]*201.974</f>
        <v>342.05966619058</v>
      </c>
      <c r="BQ239" s="37">
        <f>developmentdata2019[[#This Row],[Cardboard (CY/day)]]*201.974</f>
        <v>35.437912919600109</v>
      </c>
      <c r="BR239" s="37">
        <f>developmentdata2019[[#This Row],[Paper  (CY/day)]]*201.974</f>
        <v>0.5757498188249992</v>
      </c>
      <c r="BS239" s="37">
        <f>developmentdata2019[[#This Row],[Organics (CY/day)]]*201.974</f>
        <v>0.12858102577442307</v>
      </c>
      <c r="BT239" s="37">
        <f>developmentdata2019[[#This Row],[E-Waste (CY/day)]]*201.974</f>
        <v>1.6816731380219687E-3</v>
      </c>
      <c r="BU239" s="37">
        <f>developmentdata2019[[#This Row],[Textiles (CY/day)]]*201.974</f>
        <v>3.1740464325427035E-4</v>
      </c>
    </row>
    <row r="240" spans="1:73" x14ac:dyDescent="0.2">
      <c r="A240" s="37" t="s">
        <v>1679</v>
      </c>
      <c r="B240" s="115">
        <v>43466</v>
      </c>
      <c r="C240" s="37" t="s">
        <v>1672</v>
      </c>
      <c r="D240">
        <v>177</v>
      </c>
      <c r="E240">
        <v>135</v>
      </c>
      <c r="F240">
        <v>281</v>
      </c>
      <c r="G240">
        <v>227</v>
      </c>
      <c r="H240" s="37" t="s">
        <v>1680</v>
      </c>
      <c r="I240" s="37" t="s">
        <v>577</v>
      </c>
      <c r="J240" s="37" t="s">
        <v>578</v>
      </c>
      <c r="K240" s="37" t="s">
        <v>579</v>
      </c>
      <c r="M240">
        <v>342</v>
      </c>
      <c r="N240">
        <v>342</v>
      </c>
      <c r="O240">
        <v>1496</v>
      </c>
      <c r="P240">
        <v>4.37</v>
      </c>
      <c r="R240">
        <v>727</v>
      </c>
      <c r="S240">
        <v>727</v>
      </c>
      <c r="T240">
        <v>139</v>
      </c>
      <c r="U240">
        <v>0.41</v>
      </c>
      <c r="V240">
        <v>3</v>
      </c>
      <c r="W240">
        <v>0</v>
      </c>
      <c r="X240">
        <v>3</v>
      </c>
      <c r="Y240" t="s">
        <v>1231</v>
      </c>
      <c r="Z240">
        <v>146506</v>
      </c>
      <c r="AA240">
        <v>3.36</v>
      </c>
      <c r="AB240">
        <v>146506</v>
      </c>
      <c r="AC240">
        <v>3.36</v>
      </c>
      <c r="AD240">
        <v>24067</v>
      </c>
      <c r="AE240">
        <v>2801874</v>
      </c>
      <c r="AF240">
        <v>0.1643</v>
      </c>
      <c r="AG240">
        <v>216</v>
      </c>
      <c r="AH240">
        <v>6450218</v>
      </c>
      <c r="AI240">
        <v>4312</v>
      </c>
      <c r="AJ240">
        <v>538</v>
      </c>
      <c r="AK240" s="37" t="s">
        <v>1681</v>
      </c>
      <c r="AL240" s="37" t="s">
        <v>1677</v>
      </c>
      <c r="AM240" s="37" t="s">
        <v>752</v>
      </c>
      <c r="AN240" s="37" t="s">
        <v>1676</v>
      </c>
      <c r="AO240" s="37" t="s">
        <v>593</v>
      </c>
      <c r="AP240">
        <v>3</v>
      </c>
      <c r="AQ240">
        <v>8</v>
      </c>
      <c r="AR240">
        <v>18</v>
      </c>
      <c r="AS240">
        <v>54</v>
      </c>
      <c r="AT240">
        <v>36</v>
      </c>
      <c r="AU240" s="115">
        <v>24472</v>
      </c>
      <c r="AV240" s="37"/>
      <c r="AW240" s="37"/>
      <c r="AX240" s="37"/>
      <c r="AY240" s="37"/>
      <c r="AZ240" s="37">
        <f>developmentdata2019[[#This Row],[NUMBER OF CURRENT APARTMENTS]]*5/2000</f>
        <v>0.85499999999999998</v>
      </c>
      <c r="BA240" s="37">
        <f>developmentdata2019[[#This Row],[Total]]*BA$1</f>
        <v>0.2223</v>
      </c>
      <c r="BB240" s="37">
        <f>developmentdata2019[[#This Row],[Trash (tons/day)]]*BB$1</f>
        <v>4.2236999999999997E-2</v>
      </c>
      <c r="BC240" s="37">
        <f>developmentdata2019[[#This Row],[MGP (tons/day)]]*BC$1</f>
        <v>2.9565900000000003E-3</v>
      </c>
      <c r="BD240" s="37">
        <f>developmentdata2019[[#This Row],[Cardboard (tons/day)]]*BD$1</f>
        <v>2.0696130000000005E-4</v>
      </c>
      <c r="BE240" s="37">
        <f>developmentdata2019[[#This Row],[Paper (tons/day)]]*BE$1</f>
        <v>6.622761600000002E-5</v>
      </c>
      <c r="BF240" s="37">
        <f>developmentdata2019[[#This Row],[Organics (tons/day)]]*BF$1</f>
        <v>6.6227616000000023E-7</v>
      </c>
      <c r="BG240" s="37">
        <f>developmentdata2019[[#This Row],[E-Waste (tons/day)]]*BG$1</f>
        <v>5.2982092800000021E-8</v>
      </c>
      <c r="BH240" s="37">
        <f>developmentdata2019[[#This Row],[Trash (tons/day)]]*BH$1</f>
        <v>4.6794150000000005</v>
      </c>
      <c r="BI240" s="37">
        <f>developmentdata2019[[#This Row],[MGP (tons/day)]]*BI$1</f>
        <v>0.7611107399999999</v>
      </c>
      <c r="BJ240" s="37">
        <f>developmentdata2019[[#This Row],[Cardboard (tons/day)]]*BJ$1</f>
        <v>7.8852255300000007E-2</v>
      </c>
      <c r="BK240" s="37">
        <f>developmentdata2019[[#This Row],[Paper (tons/day)]]*BK$1</f>
        <v>1.2810904470000003E-3</v>
      </c>
      <c r="BL240" s="37">
        <f>developmentdata2019[[#This Row],[Organics (tons/day)]]*BL$1</f>
        <v>2.8610330112000009E-4</v>
      </c>
      <c r="BM240" s="37">
        <f>developmentdata2019[[#This Row],[E-Waste (tons/day)]]*BM$1</f>
        <v>3.7418603040000014E-6</v>
      </c>
      <c r="BN240" s="37">
        <f>developmentdata2019[[#This Row],[Textiles (tons/day)]]*BN$1</f>
        <v>7.0625129702400032E-7</v>
      </c>
      <c r="BO240" s="37">
        <f>developmentdata2019[[#This Row],[Trash (CY/day)]]*201.974</f>
        <v>945.1201652100001</v>
      </c>
      <c r="BP240" s="37">
        <f>developmentdata2019[[#This Row],[MGP (CY/day)]]*201.974</f>
        <v>153.72458060075996</v>
      </c>
      <c r="BQ240" s="37">
        <f>developmentdata2019[[#This Row],[Cardboard (CY/day)]]*201.974</f>
        <v>15.926105411962201</v>
      </c>
      <c r="BR240" s="37">
        <f>developmentdata2019[[#This Row],[Paper  (CY/day)]]*201.974</f>
        <v>0.25874696194237806</v>
      </c>
      <c r="BS240" s="37">
        <f>developmentdata2019[[#This Row],[Organics (CY/day)]]*201.974</f>
        <v>5.7785428140410898E-2</v>
      </c>
      <c r="BT240" s="37">
        <f>developmentdata2019[[#This Row],[E-Waste (CY/day)]]*201.974</f>
        <v>7.557584930400962E-4</v>
      </c>
      <c r="BU240" s="37">
        <f>developmentdata2019[[#This Row],[Textiles (CY/day)]]*201.974</f>
        <v>1.4264439946512543E-4</v>
      </c>
    </row>
    <row r="241" spans="1:73" x14ac:dyDescent="0.2">
      <c r="A241" s="37" t="s">
        <v>331</v>
      </c>
      <c r="B241" s="115">
        <v>43466</v>
      </c>
      <c r="C241" s="37" t="s">
        <v>1682</v>
      </c>
      <c r="D241">
        <v>99</v>
      </c>
      <c r="E241">
        <v>99</v>
      </c>
      <c r="F241">
        <v>439</v>
      </c>
      <c r="G241">
        <v>439</v>
      </c>
      <c r="H241" s="37" t="s">
        <v>1683</v>
      </c>
      <c r="I241" s="37" t="s">
        <v>683</v>
      </c>
      <c r="J241" s="37" t="s">
        <v>578</v>
      </c>
      <c r="K241" s="37" t="s">
        <v>579</v>
      </c>
      <c r="L241">
        <v>102</v>
      </c>
      <c r="M241">
        <v>721</v>
      </c>
      <c r="N241">
        <v>721</v>
      </c>
      <c r="O241">
        <v>3358.5</v>
      </c>
      <c r="P241">
        <v>4.66</v>
      </c>
      <c r="Q241">
        <v>26</v>
      </c>
      <c r="R241">
        <v>1325</v>
      </c>
      <c r="S241">
        <v>1585</v>
      </c>
      <c r="T241">
        <v>343</v>
      </c>
      <c r="U241">
        <v>0.48</v>
      </c>
      <c r="V241">
        <v>5</v>
      </c>
      <c r="W241">
        <v>0</v>
      </c>
      <c r="X241">
        <v>5</v>
      </c>
      <c r="Y241">
        <v>20</v>
      </c>
      <c r="Z241">
        <v>227341</v>
      </c>
      <c r="AA241">
        <v>5.22</v>
      </c>
      <c r="AB241">
        <v>227341</v>
      </c>
      <c r="AC241">
        <v>5.22</v>
      </c>
      <c r="AD241">
        <v>39355</v>
      </c>
      <c r="AE241">
        <v>5936573</v>
      </c>
      <c r="AF241">
        <v>0.1731</v>
      </c>
      <c r="AG241">
        <v>304</v>
      </c>
      <c r="AH241">
        <v>14090000</v>
      </c>
      <c r="AI241">
        <v>4277</v>
      </c>
      <c r="AJ241">
        <v>544</v>
      </c>
      <c r="AK241" s="37" t="s">
        <v>1331</v>
      </c>
      <c r="AL241" s="37" t="s">
        <v>1684</v>
      </c>
      <c r="AM241" s="37" t="s">
        <v>1329</v>
      </c>
      <c r="AN241" s="37" t="s">
        <v>1328</v>
      </c>
      <c r="AO241" s="37" t="s">
        <v>608</v>
      </c>
      <c r="AP241">
        <v>3</v>
      </c>
      <c r="AQ241">
        <v>7</v>
      </c>
      <c r="AR241">
        <v>26</v>
      </c>
      <c r="AS241">
        <v>65</v>
      </c>
      <c r="AT241">
        <v>1</v>
      </c>
      <c r="AU241" s="115">
        <v>23832</v>
      </c>
      <c r="AV241" s="37"/>
      <c r="AW241" s="37"/>
      <c r="AX241" s="37"/>
      <c r="AY241" s="37"/>
      <c r="AZ241" s="37">
        <f>developmentdata2019[[#This Row],[NUMBER OF CURRENT APARTMENTS]]*5/2000</f>
        <v>1.8025</v>
      </c>
      <c r="BA241" s="37">
        <f>developmentdata2019[[#This Row],[Total]]*BA$1</f>
        <v>0.46865000000000001</v>
      </c>
      <c r="BB241" s="37">
        <f>developmentdata2019[[#This Row],[Trash (tons/day)]]*BB$1</f>
        <v>8.9043499999999998E-2</v>
      </c>
      <c r="BC241" s="37">
        <f>developmentdata2019[[#This Row],[MGP (tons/day)]]*BC$1</f>
        <v>6.2330450000000004E-3</v>
      </c>
      <c r="BD241" s="37">
        <f>developmentdata2019[[#This Row],[Cardboard (tons/day)]]*BD$1</f>
        <v>4.3631315000000007E-4</v>
      </c>
      <c r="BE241" s="37">
        <f>developmentdata2019[[#This Row],[Paper (tons/day)]]*BE$1</f>
        <v>1.3962020800000003E-4</v>
      </c>
      <c r="BF241" s="37">
        <f>developmentdata2019[[#This Row],[Organics (tons/day)]]*BF$1</f>
        <v>1.3962020800000004E-6</v>
      </c>
      <c r="BG241" s="37">
        <f>developmentdata2019[[#This Row],[E-Waste (tons/day)]]*BG$1</f>
        <v>1.1169616640000004E-7</v>
      </c>
      <c r="BH241" s="37">
        <f>developmentdata2019[[#This Row],[Trash (tons/day)]]*BH$1</f>
        <v>9.8650824999999998</v>
      </c>
      <c r="BI241" s="37">
        <f>developmentdata2019[[#This Row],[MGP (tons/day)]]*BI$1</f>
        <v>1.60456387</v>
      </c>
      <c r="BJ241" s="37">
        <f>developmentdata2019[[#This Row],[Cardboard (tons/day)]]*BJ$1</f>
        <v>0.16623531015000001</v>
      </c>
      <c r="BK241" s="37">
        <f>developmentdata2019[[#This Row],[Paper (tons/day)]]*BK$1</f>
        <v>2.7007783985000008E-3</v>
      </c>
      <c r="BL241" s="37">
        <f>developmentdata2019[[#This Row],[Organics (tons/day)]]*BL$1</f>
        <v>6.0315929856000021E-4</v>
      </c>
      <c r="BM241" s="37">
        <f>developmentdata2019[[#This Row],[E-Waste (tons/day)]]*BM$1</f>
        <v>7.8885417520000023E-6</v>
      </c>
      <c r="BN241" s="37">
        <f>developmentdata2019[[#This Row],[Textiles (tons/day)]]*BN$1</f>
        <v>1.4889098981120006E-6</v>
      </c>
      <c r="BO241" s="37">
        <f>developmentdata2019[[#This Row],[Trash (CY/day)]]*201.974</f>
        <v>1992.4901728549999</v>
      </c>
      <c r="BP241" s="37">
        <f>developmentdata2019[[#This Row],[MGP (CY/day)]]*201.974</f>
        <v>324.08018307937999</v>
      </c>
      <c r="BQ241" s="37">
        <f>developmentdata2019[[#This Row],[Cardboard (CY/day)]]*201.974</f>
        <v>33.575210532236099</v>
      </c>
      <c r="BR241" s="37">
        <f>developmentdata2019[[#This Row],[Paper  (CY/day)]]*201.974</f>
        <v>0.54548701625863916</v>
      </c>
      <c r="BS241" s="37">
        <f>developmentdata2019[[#This Row],[Organics (CY/day)]]*201.974</f>
        <v>0.12182249616735748</v>
      </c>
      <c r="BT241" s="37">
        <f>developmentdata2019[[#This Row],[E-Waste (CY/day)]]*201.974</f>
        <v>1.5932803318184485E-3</v>
      </c>
      <c r="BU241" s="37">
        <f>developmentdata2019[[#This Row],[Textiles (CY/day)]]*201.974</f>
        <v>3.0072108776127318E-4</v>
      </c>
    </row>
    <row r="242" spans="1:73" x14ac:dyDescent="0.2">
      <c r="A242" s="37" t="s">
        <v>1685</v>
      </c>
      <c r="B242" s="115">
        <v>43466</v>
      </c>
      <c r="C242" s="37" t="s">
        <v>586</v>
      </c>
      <c r="D242">
        <v>282</v>
      </c>
      <c r="E242">
        <v>167</v>
      </c>
      <c r="F242">
        <v>508</v>
      </c>
      <c r="G242">
        <v>283</v>
      </c>
      <c r="H242" s="37" t="s">
        <v>1686</v>
      </c>
      <c r="I242" s="37" t="s">
        <v>577</v>
      </c>
      <c r="J242" s="37" t="s">
        <v>578</v>
      </c>
      <c r="K242" s="37" t="s">
        <v>597</v>
      </c>
      <c r="M242">
        <v>60</v>
      </c>
      <c r="N242">
        <v>61</v>
      </c>
      <c r="O242">
        <v>218</v>
      </c>
      <c r="P242">
        <v>3.63</v>
      </c>
      <c r="R242">
        <v>100</v>
      </c>
      <c r="S242">
        <v>100</v>
      </c>
      <c r="T242">
        <v>29</v>
      </c>
      <c r="U242">
        <v>0.49199999999999999</v>
      </c>
      <c r="V242">
        <v>1</v>
      </c>
      <c r="W242">
        <v>0</v>
      </c>
      <c r="X242">
        <v>1</v>
      </c>
      <c r="Y242">
        <v>6</v>
      </c>
      <c r="Z242">
        <v>19400</v>
      </c>
      <c r="AA242">
        <v>0.45</v>
      </c>
      <c r="AB242">
        <v>19400</v>
      </c>
      <c r="AC242">
        <v>0.45</v>
      </c>
      <c r="AD242">
        <v>13470</v>
      </c>
      <c r="AE242">
        <v>642963</v>
      </c>
      <c r="AF242">
        <v>0.69430000000000003</v>
      </c>
      <c r="AG242">
        <v>222</v>
      </c>
      <c r="AH242">
        <v>1594181</v>
      </c>
      <c r="AI242">
        <v>6727</v>
      </c>
      <c r="AJ242">
        <v>502</v>
      </c>
      <c r="AK242" s="37" t="s">
        <v>1173</v>
      </c>
      <c r="AL242" s="37" t="s">
        <v>1687</v>
      </c>
      <c r="AM242" s="37" t="s">
        <v>1266</v>
      </c>
      <c r="AN242" s="37" t="s">
        <v>1688</v>
      </c>
      <c r="AO242" s="37" t="s">
        <v>593</v>
      </c>
      <c r="AP242">
        <v>17</v>
      </c>
      <c r="AQ242">
        <v>9</v>
      </c>
      <c r="AR242">
        <v>20</v>
      </c>
      <c r="AS242">
        <v>58</v>
      </c>
      <c r="AT242">
        <v>41</v>
      </c>
      <c r="AU242" s="115">
        <v>28262</v>
      </c>
      <c r="AV242" s="37"/>
      <c r="AW242" s="37"/>
      <c r="AX242" s="37"/>
      <c r="AY242" s="37"/>
      <c r="AZ242" s="37">
        <f>developmentdata2019[[#This Row],[NUMBER OF CURRENT APARTMENTS]]*5/2000</f>
        <v>0.15</v>
      </c>
      <c r="BA242" s="37">
        <f>developmentdata2019[[#This Row],[Total]]*BA$1</f>
        <v>3.9E-2</v>
      </c>
      <c r="BB242" s="37">
        <f>developmentdata2019[[#This Row],[Trash (tons/day)]]*BB$1</f>
        <v>7.4099999999999999E-3</v>
      </c>
      <c r="BC242" s="37">
        <f>developmentdata2019[[#This Row],[MGP (tons/day)]]*BC$1</f>
        <v>5.1870000000000009E-4</v>
      </c>
      <c r="BD242" s="37">
        <f>developmentdata2019[[#This Row],[Cardboard (tons/day)]]*BD$1</f>
        <v>3.6309000000000008E-5</v>
      </c>
      <c r="BE242" s="37">
        <f>developmentdata2019[[#This Row],[Paper (tons/day)]]*BE$1</f>
        <v>1.1618880000000004E-5</v>
      </c>
      <c r="BF242" s="37">
        <f>developmentdata2019[[#This Row],[Organics (tons/day)]]*BF$1</f>
        <v>1.1618880000000004E-7</v>
      </c>
      <c r="BG242" s="37">
        <f>developmentdata2019[[#This Row],[E-Waste (tons/day)]]*BG$1</f>
        <v>9.2951040000000032E-9</v>
      </c>
      <c r="BH242" s="37">
        <f>developmentdata2019[[#This Row],[Trash (tons/day)]]*BH$1</f>
        <v>0.82095000000000007</v>
      </c>
      <c r="BI242" s="37">
        <f>developmentdata2019[[#This Row],[MGP (tons/day)]]*BI$1</f>
        <v>0.13352819999999999</v>
      </c>
      <c r="BJ242" s="37">
        <f>developmentdata2019[[#This Row],[Cardboard (tons/day)]]*BJ$1</f>
        <v>1.3833729000000003E-2</v>
      </c>
      <c r="BK242" s="37">
        <f>developmentdata2019[[#This Row],[Paper (tons/day)]]*BK$1</f>
        <v>2.2475271000000006E-4</v>
      </c>
      <c r="BL242" s="37">
        <f>developmentdata2019[[#This Row],[Organics (tons/day)]]*BL$1</f>
        <v>5.0193561600000017E-5</v>
      </c>
      <c r="BM242" s="37">
        <f>developmentdata2019[[#This Row],[E-Waste (tons/day)]]*BM$1</f>
        <v>6.5646672000000028E-7</v>
      </c>
      <c r="BN242" s="37">
        <f>developmentdata2019[[#This Row],[Textiles (tons/day)]]*BN$1</f>
        <v>1.2390373632000004E-7</v>
      </c>
      <c r="BO242" s="37">
        <f>developmentdata2019[[#This Row],[Trash (CY/day)]]*201.974</f>
        <v>165.8105553</v>
      </c>
      <c r="BP242" s="37">
        <f>developmentdata2019[[#This Row],[MGP (CY/day)]]*201.974</f>
        <v>26.969224666799995</v>
      </c>
      <c r="BQ242" s="37">
        <f>developmentdata2019[[#This Row],[Cardboard (CY/day)]]*201.974</f>
        <v>2.7940535810460005</v>
      </c>
      <c r="BR242" s="37">
        <f>developmentdata2019[[#This Row],[Paper  (CY/day)]]*201.974</f>
        <v>4.5394203849540009E-2</v>
      </c>
      <c r="BS242" s="37">
        <f>developmentdata2019[[#This Row],[Organics (CY/day)]]*201.974</f>
        <v>1.0137794410598403E-2</v>
      </c>
      <c r="BT242" s="37">
        <f>developmentdata2019[[#This Row],[E-Waste (CY/day)]]*201.974</f>
        <v>1.3258920930528004E-4</v>
      </c>
      <c r="BU242" s="37">
        <f>developmentdata2019[[#This Row],[Textiles (CY/day)]]*201.974</f>
        <v>2.5025333239495685E-5</v>
      </c>
    </row>
    <row r="243" spans="1:73" x14ac:dyDescent="0.2">
      <c r="A243" s="37" t="s">
        <v>1689</v>
      </c>
      <c r="B243" s="115">
        <v>43466</v>
      </c>
      <c r="C243" s="37" t="s">
        <v>948</v>
      </c>
      <c r="D243">
        <v>280</v>
      </c>
      <c r="E243">
        <v>280</v>
      </c>
      <c r="F243">
        <v>506</v>
      </c>
      <c r="G243">
        <v>506</v>
      </c>
      <c r="H243" s="37" t="s">
        <v>1690</v>
      </c>
      <c r="I243" s="37" t="s">
        <v>577</v>
      </c>
      <c r="J243" s="37" t="s">
        <v>578</v>
      </c>
      <c r="K243" s="37" t="s">
        <v>597</v>
      </c>
      <c r="M243">
        <v>411</v>
      </c>
      <c r="N243">
        <v>413</v>
      </c>
      <c r="O243">
        <v>1891.5</v>
      </c>
      <c r="P243">
        <v>4.5999999999999996</v>
      </c>
      <c r="R243">
        <v>864</v>
      </c>
      <c r="S243">
        <v>864</v>
      </c>
      <c r="T243">
        <v>166</v>
      </c>
      <c r="U243">
        <v>0.40899999999999997</v>
      </c>
      <c r="V243">
        <v>7</v>
      </c>
      <c r="W243">
        <v>1</v>
      </c>
      <c r="X243">
        <v>8</v>
      </c>
      <c r="Y243">
        <v>6</v>
      </c>
      <c r="Z243">
        <v>226969</v>
      </c>
      <c r="AA243">
        <v>5.21</v>
      </c>
      <c r="AB243">
        <v>226969</v>
      </c>
      <c r="AC243">
        <v>5.21</v>
      </c>
      <c r="AD243">
        <v>63056</v>
      </c>
      <c r="AE243">
        <v>3782352</v>
      </c>
      <c r="AF243">
        <v>0.27779999999999999</v>
      </c>
      <c r="AG243">
        <v>166</v>
      </c>
      <c r="AH243">
        <v>8699894</v>
      </c>
      <c r="AI243">
        <v>4528</v>
      </c>
      <c r="AJ243">
        <v>573</v>
      </c>
      <c r="AK243" s="37" t="s">
        <v>1691</v>
      </c>
      <c r="AL243" s="37" t="s">
        <v>1475</v>
      </c>
      <c r="AM243" s="37" t="s">
        <v>952</v>
      </c>
      <c r="AN243" s="37" t="s">
        <v>1692</v>
      </c>
      <c r="AO243" s="37" t="s">
        <v>584</v>
      </c>
      <c r="AP243">
        <v>9</v>
      </c>
      <c r="AQ243">
        <v>15</v>
      </c>
      <c r="AR243">
        <v>34</v>
      </c>
      <c r="AS243">
        <v>85</v>
      </c>
      <c r="AT243">
        <v>18</v>
      </c>
      <c r="AU243" s="115">
        <v>28257</v>
      </c>
      <c r="AV243" s="37"/>
      <c r="AW243" s="37"/>
      <c r="AX243" s="37"/>
      <c r="AY243" s="37"/>
      <c r="AZ243" s="37">
        <f>developmentdata2019[[#This Row],[NUMBER OF CURRENT APARTMENTS]]*5/2000</f>
        <v>1.0275000000000001</v>
      </c>
      <c r="BA243" s="37">
        <f>developmentdata2019[[#This Row],[Total]]*BA$1</f>
        <v>0.26715000000000005</v>
      </c>
      <c r="BB243" s="37">
        <f>developmentdata2019[[#This Row],[Trash (tons/day)]]*BB$1</f>
        <v>5.0758500000000012E-2</v>
      </c>
      <c r="BC243" s="37">
        <f>developmentdata2019[[#This Row],[MGP (tons/day)]]*BC$1</f>
        <v>3.5530950000000013E-3</v>
      </c>
      <c r="BD243" s="37">
        <f>developmentdata2019[[#This Row],[Cardboard (tons/day)]]*BD$1</f>
        <v>2.4871665000000012E-4</v>
      </c>
      <c r="BE243" s="37">
        <f>developmentdata2019[[#This Row],[Paper (tons/day)]]*BE$1</f>
        <v>7.9589328000000044E-5</v>
      </c>
      <c r="BF243" s="37">
        <f>developmentdata2019[[#This Row],[Organics (tons/day)]]*BF$1</f>
        <v>7.9589328000000048E-7</v>
      </c>
      <c r="BG243" s="37">
        <f>developmentdata2019[[#This Row],[E-Waste (tons/day)]]*BG$1</f>
        <v>6.3671462400000043E-8</v>
      </c>
      <c r="BH243" s="37">
        <f>developmentdata2019[[#This Row],[Trash (tons/day)]]*BH$1</f>
        <v>5.6235075000000014</v>
      </c>
      <c r="BI243" s="37">
        <f>developmentdata2019[[#This Row],[MGP (tons/day)]]*BI$1</f>
        <v>0.91466817000000022</v>
      </c>
      <c r="BJ243" s="37">
        <f>developmentdata2019[[#This Row],[Cardboard (tons/day)]]*BJ$1</f>
        <v>9.4761043650000043E-2</v>
      </c>
      <c r="BK243" s="37">
        <f>developmentdata2019[[#This Row],[Paper (tons/day)]]*BK$1</f>
        <v>1.5395560635000009E-3</v>
      </c>
      <c r="BL243" s="37">
        <f>developmentdata2019[[#This Row],[Organics (tons/day)]]*BL$1</f>
        <v>3.4382589696000022E-4</v>
      </c>
      <c r="BM243" s="37">
        <f>developmentdata2019[[#This Row],[E-Waste (tons/day)]]*BM$1</f>
        <v>4.4967970320000027E-6</v>
      </c>
      <c r="BN243" s="37">
        <f>developmentdata2019[[#This Row],[Textiles (tons/day)]]*BN$1</f>
        <v>8.4874059379200058E-7</v>
      </c>
      <c r="BO243" s="37">
        <f>developmentdata2019[[#This Row],[Trash (CY/day)]]*201.974</f>
        <v>1135.8023038050003</v>
      </c>
      <c r="BP243" s="37">
        <f>developmentdata2019[[#This Row],[MGP (CY/day)]]*201.974</f>
        <v>184.73918896758005</v>
      </c>
      <c r="BQ243" s="37">
        <f>developmentdata2019[[#This Row],[Cardboard (CY/day)]]*201.974</f>
        <v>19.139267030165108</v>
      </c>
      <c r="BR243" s="37">
        <f>developmentdata2019[[#This Row],[Paper  (CY/day)]]*201.974</f>
        <v>0.31095029636934918</v>
      </c>
      <c r="BS243" s="37">
        <f>developmentdata2019[[#This Row],[Organics (CY/day)]]*201.974</f>
        <v>6.9443891712599085E-2</v>
      </c>
      <c r="BT243" s="37">
        <f>developmentdata2019[[#This Row],[E-Waste (CY/day)]]*201.974</f>
        <v>9.082360837411685E-4</v>
      </c>
      <c r="BU243" s="37">
        <f>developmentdata2019[[#This Row],[Textiles (CY/day)]]*201.974</f>
        <v>1.7142353269054551E-4</v>
      </c>
    </row>
    <row r="244" spans="1:73" x14ac:dyDescent="0.2">
      <c r="A244" s="37" t="s">
        <v>393</v>
      </c>
      <c r="B244" s="115">
        <v>43466</v>
      </c>
      <c r="C244" s="37" t="s">
        <v>1693</v>
      </c>
      <c r="D244">
        <v>93</v>
      </c>
      <c r="E244">
        <v>93</v>
      </c>
      <c r="F244">
        <v>673</v>
      </c>
      <c r="G244">
        <v>673</v>
      </c>
      <c r="H244" s="37" t="s">
        <v>1694</v>
      </c>
      <c r="I244" s="37" t="s">
        <v>683</v>
      </c>
      <c r="J244" s="37" t="s">
        <v>578</v>
      </c>
      <c r="K244" s="37" t="s">
        <v>579</v>
      </c>
      <c r="L244">
        <v>210</v>
      </c>
      <c r="M244">
        <v>1005</v>
      </c>
      <c r="N244">
        <v>1007</v>
      </c>
      <c r="O244">
        <v>4523.5</v>
      </c>
      <c r="P244">
        <v>4.5</v>
      </c>
      <c r="Q244">
        <v>539</v>
      </c>
      <c r="R244">
        <v>1760</v>
      </c>
      <c r="S244">
        <v>2299</v>
      </c>
      <c r="T244">
        <v>344</v>
      </c>
      <c r="U244">
        <v>0.34699999999999998</v>
      </c>
      <c r="V244">
        <v>6</v>
      </c>
      <c r="W244">
        <v>0</v>
      </c>
      <c r="X244">
        <v>6</v>
      </c>
      <c r="Y244">
        <v>21</v>
      </c>
      <c r="Z244">
        <v>588851</v>
      </c>
      <c r="AA244">
        <v>13.52</v>
      </c>
      <c r="AB244">
        <v>545801</v>
      </c>
      <c r="AC244">
        <v>12.53</v>
      </c>
      <c r="AD244">
        <v>57006</v>
      </c>
      <c r="AE244">
        <v>8922933</v>
      </c>
      <c r="AF244">
        <v>9.6799999999999997E-2</v>
      </c>
      <c r="AG244">
        <v>170</v>
      </c>
      <c r="AH244">
        <v>16351823</v>
      </c>
      <c r="AI244">
        <v>3607</v>
      </c>
      <c r="AJ244">
        <v>512</v>
      </c>
      <c r="AK244" s="37" t="s">
        <v>1695</v>
      </c>
      <c r="AL244" s="37" t="s">
        <v>1308</v>
      </c>
      <c r="AM244" s="37" t="s">
        <v>662</v>
      </c>
      <c r="AN244" s="37" t="s">
        <v>1154</v>
      </c>
      <c r="AO244" s="37" t="s">
        <v>584</v>
      </c>
      <c r="AP244">
        <v>1</v>
      </c>
      <c r="AQ244">
        <v>15</v>
      </c>
      <c r="AR244" t="s">
        <v>1696</v>
      </c>
      <c r="AS244" t="s">
        <v>1449</v>
      </c>
      <c r="AT244">
        <v>17</v>
      </c>
      <c r="AU244" s="115">
        <v>21670</v>
      </c>
      <c r="AV244" s="37"/>
      <c r="AW244" s="37"/>
      <c r="AX244" s="37"/>
      <c r="AY244" s="37"/>
      <c r="AZ244" s="37">
        <f>developmentdata2019[[#This Row],[NUMBER OF CURRENT APARTMENTS]]*5/2000</f>
        <v>2.5125000000000002</v>
      </c>
      <c r="BA244" s="37">
        <f>developmentdata2019[[#This Row],[Total]]*BA$1</f>
        <v>0.65325000000000011</v>
      </c>
      <c r="BB244" s="37">
        <f>developmentdata2019[[#This Row],[Trash (tons/day)]]*BB$1</f>
        <v>0.12411750000000002</v>
      </c>
      <c r="BC244" s="37">
        <f>developmentdata2019[[#This Row],[MGP (tons/day)]]*BC$1</f>
        <v>8.6882250000000025E-3</v>
      </c>
      <c r="BD244" s="37">
        <f>developmentdata2019[[#This Row],[Cardboard (tons/day)]]*BD$1</f>
        <v>6.0817575000000023E-4</v>
      </c>
      <c r="BE244" s="37">
        <f>developmentdata2019[[#This Row],[Paper (tons/day)]]*BE$1</f>
        <v>1.9461624000000007E-4</v>
      </c>
      <c r="BF244" s="37">
        <f>developmentdata2019[[#This Row],[Organics (tons/day)]]*BF$1</f>
        <v>1.9461624000000005E-6</v>
      </c>
      <c r="BG244" s="37">
        <f>developmentdata2019[[#This Row],[E-Waste (tons/day)]]*BG$1</f>
        <v>1.5569299200000004E-7</v>
      </c>
      <c r="BH244" s="37">
        <f>developmentdata2019[[#This Row],[Trash (tons/day)]]*BH$1</f>
        <v>13.750912500000002</v>
      </c>
      <c r="BI244" s="37">
        <f>developmentdata2019[[#This Row],[MGP (tons/day)]]*BI$1</f>
        <v>2.2365973500000003</v>
      </c>
      <c r="BJ244" s="37">
        <f>developmentdata2019[[#This Row],[Cardboard (tons/day)]]*BJ$1</f>
        <v>0.23171496075000009</v>
      </c>
      <c r="BK244" s="37">
        <f>developmentdata2019[[#This Row],[Paper (tons/day)]]*BK$1</f>
        <v>3.7646078925000015E-3</v>
      </c>
      <c r="BL244" s="37">
        <f>developmentdata2019[[#This Row],[Organics (tons/day)]]*BL$1</f>
        <v>8.4074215680000029E-4</v>
      </c>
      <c r="BM244" s="37">
        <f>developmentdata2019[[#This Row],[E-Waste (tons/day)]]*BM$1</f>
        <v>1.0995817560000004E-5</v>
      </c>
      <c r="BN244" s="37">
        <f>developmentdata2019[[#This Row],[Textiles (tons/day)]]*BN$1</f>
        <v>2.0753875833600005E-6</v>
      </c>
      <c r="BO244" s="37">
        <f>developmentdata2019[[#This Row],[Trash (CY/day)]]*201.974</f>
        <v>2777.3268012750004</v>
      </c>
      <c r="BP244" s="37">
        <f>developmentdata2019[[#This Row],[MGP (CY/day)]]*201.974</f>
        <v>451.73451316890004</v>
      </c>
      <c r="BQ244" s="37">
        <f>developmentdata2019[[#This Row],[Cardboard (CY/day)]]*201.974</f>
        <v>46.800397482520516</v>
      </c>
      <c r="BR244" s="37">
        <f>developmentdata2019[[#This Row],[Paper  (CY/day)]]*201.974</f>
        <v>0.76035291447979525</v>
      </c>
      <c r="BS244" s="37">
        <f>developmentdata2019[[#This Row],[Organics (CY/day)]]*201.974</f>
        <v>0.16980805637752325</v>
      </c>
      <c r="BT244" s="37">
        <f>developmentdata2019[[#This Row],[E-Waste (CY/day)]]*201.974</f>
        <v>2.2208692558634406E-3</v>
      </c>
      <c r="BU244" s="37">
        <f>developmentdata2019[[#This Row],[Textiles (CY/day)]]*201.974</f>
        <v>4.1917433176155271E-4</v>
      </c>
    </row>
    <row r="245" spans="1:73" x14ac:dyDescent="0.2">
      <c r="A245" s="37" t="s">
        <v>361</v>
      </c>
      <c r="B245" s="115">
        <v>43466</v>
      </c>
      <c r="C245" s="37" t="s">
        <v>1697</v>
      </c>
      <c r="D245">
        <v>38</v>
      </c>
      <c r="E245">
        <v>38</v>
      </c>
      <c r="F245">
        <v>211</v>
      </c>
      <c r="G245">
        <v>211</v>
      </c>
      <c r="H245" s="37" t="s">
        <v>1698</v>
      </c>
      <c r="I245" s="37" t="s">
        <v>577</v>
      </c>
      <c r="J245" s="37" t="s">
        <v>578</v>
      </c>
      <c r="K245" s="37" t="s">
        <v>579</v>
      </c>
      <c r="M245">
        <v>1525</v>
      </c>
      <c r="N245">
        <v>1526</v>
      </c>
      <c r="O245">
        <v>7109.5</v>
      </c>
      <c r="P245">
        <v>4.66</v>
      </c>
      <c r="R245">
        <v>3426</v>
      </c>
      <c r="S245">
        <v>3426</v>
      </c>
      <c r="T245">
        <v>533</v>
      </c>
      <c r="U245">
        <v>0.35799999999999998</v>
      </c>
      <c r="V245">
        <v>13</v>
      </c>
      <c r="W245">
        <v>0</v>
      </c>
      <c r="X245">
        <v>14</v>
      </c>
      <c r="Y245">
        <v>14</v>
      </c>
      <c r="Z245">
        <v>680670</v>
      </c>
      <c r="AA245">
        <v>15.63</v>
      </c>
      <c r="AB245">
        <v>625559</v>
      </c>
      <c r="AC245">
        <v>14.36</v>
      </c>
      <c r="AD245">
        <v>105458</v>
      </c>
      <c r="AE245">
        <v>13112212</v>
      </c>
      <c r="AF245">
        <v>0.15490000000000001</v>
      </c>
      <c r="AG245">
        <v>219</v>
      </c>
      <c r="AH245">
        <v>20560063</v>
      </c>
      <c r="AI245">
        <v>2891</v>
      </c>
      <c r="AJ245">
        <v>529</v>
      </c>
      <c r="AK245" s="37" t="s">
        <v>1699</v>
      </c>
      <c r="AL245" s="37" t="s">
        <v>1038</v>
      </c>
      <c r="AM245" s="37" t="s">
        <v>1037</v>
      </c>
      <c r="AN245" s="37" t="s">
        <v>1700</v>
      </c>
      <c r="AO245" s="37" t="s">
        <v>608</v>
      </c>
      <c r="AP245">
        <v>10</v>
      </c>
      <c r="AQ245">
        <v>13</v>
      </c>
      <c r="AR245">
        <v>30</v>
      </c>
      <c r="AS245">
        <v>70</v>
      </c>
      <c r="AT245">
        <v>9</v>
      </c>
      <c r="AU245" s="115">
        <v>19997</v>
      </c>
      <c r="AV245" s="37"/>
      <c r="AW245" s="37"/>
      <c r="AX245" s="37"/>
      <c r="AY245" s="37"/>
      <c r="AZ245" s="37">
        <f>developmentdata2019[[#This Row],[NUMBER OF CURRENT APARTMENTS]]*5/2000</f>
        <v>3.8125</v>
      </c>
      <c r="BA245" s="37">
        <f>developmentdata2019[[#This Row],[Total]]*BA$1</f>
        <v>0.99125000000000008</v>
      </c>
      <c r="BB245" s="37">
        <f>developmentdata2019[[#This Row],[Trash (tons/day)]]*BB$1</f>
        <v>0.18833750000000002</v>
      </c>
      <c r="BC245" s="37">
        <f>developmentdata2019[[#This Row],[MGP (tons/day)]]*BC$1</f>
        <v>1.3183625000000003E-2</v>
      </c>
      <c r="BD245" s="37">
        <f>developmentdata2019[[#This Row],[Cardboard (tons/day)]]*BD$1</f>
        <v>9.2285375000000032E-4</v>
      </c>
      <c r="BE245" s="37">
        <f>developmentdata2019[[#This Row],[Paper (tons/day)]]*BE$1</f>
        <v>2.9531320000000013E-4</v>
      </c>
      <c r="BF245" s="37">
        <f>developmentdata2019[[#This Row],[Organics (tons/day)]]*BF$1</f>
        <v>2.9531320000000015E-6</v>
      </c>
      <c r="BG245" s="37">
        <f>developmentdata2019[[#This Row],[E-Waste (tons/day)]]*BG$1</f>
        <v>2.3625056000000011E-7</v>
      </c>
      <c r="BH245" s="37">
        <f>developmentdata2019[[#This Row],[Trash (tons/day)]]*BH$1</f>
        <v>20.865812500000001</v>
      </c>
      <c r="BI245" s="37">
        <f>developmentdata2019[[#This Row],[MGP (tons/day)]]*BI$1</f>
        <v>3.3938417500000004</v>
      </c>
      <c r="BJ245" s="37">
        <f>developmentdata2019[[#This Row],[Cardboard (tons/day)]]*BJ$1</f>
        <v>0.35160727875000009</v>
      </c>
      <c r="BK245" s="37">
        <f>developmentdata2019[[#This Row],[Paper (tons/day)]]*BK$1</f>
        <v>5.7124647125000021E-3</v>
      </c>
      <c r="BL245" s="37">
        <f>developmentdata2019[[#This Row],[Organics (tons/day)]]*BL$1</f>
        <v>1.2757530240000007E-3</v>
      </c>
      <c r="BM245" s="37">
        <f>developmentdata2019[[#This Row],[E-Waste (tons/day)]]*BM$1</f>
        <v>1.668519580000001E-5</v>
      </c>
      <c r="BN245" s="37">
        <f>developmentdata2019[[#This Row],[Textiles (tons/day)]]*BN$1</f>
        <v>3.1492199648000017E-6</v>
      </c>
      <c r="BO245" s="37">
        <f>developmentdata2019[[#This Row],[Trash (CY/day)]]*201.974</f>
        <v>4214.3516138750001</v>
      </c>
      <c r="BP245" s="37">
        <f>developmentdata2019[[#This Row],[MGP (CY/day)]]*201.974</f>
        <v>685.46779361450001</v>
      </c>
      <c r="BQ245" s="37">
        <f>developmentdata2019[[#This Row],[Cardboard (CY/day)]]*201.974</f>
        <v>71.015528518252509</v>
      </c>
      <c r="BR245" s="37">
        <f>developmentdata2019[[#This Row],[Paper  (CY/day)]]*201.974</f>
        <v>1.1537693478424753</v>
      </c>
      <c r="BS245" s="37">
        <f>developmentdata2019[[#This Row],[Organics (CY/day)]]*201.974</f>
        <v>0.25766894126937612</v>
      </c>
      <c r="BT245" s="37">
        <f>developmentdata2019[[#This Row],[E-Waste (CY/day)]]*201.974</f>
        <v>3.369975736509202E-3</v>
      </c>
      <c r="BU245" s="37">
        <f>developmentdata2019[[#This Row],[Textiles (CY/day)]]*201.974</f>
        <v>6.360605531705155E-4</v>
      </c>
    </row>
    <row r="246" spans="1:73" x14ac:dyDescent="0.2">
      <c r="A246" s="37" t="s">
        <v>1701</v>
      </c>
      <c r="B246" s="115">
        <v>43466</v>
      </c>
      <c r="C246" s="37" t="s">
        <v>1702</v>
      </c>
      <c r="D246">
        <v>377</v>
      </c>
      <c r="E246">
        <v>377</v>
      </c>
      <c r="F246">
        <v>650</v>
      </c>
      <c r="G246">
        <v>650</v>
      </c>
      <c r="H246" s="37" t="s">
        <v>1703</v>
      </c>
      <c r="I246" s="37" t="s">
        <v>683</v>
      </c>
      <c r="J246" s="37" t="s">
        <v>578</v>
      </c>
      <c r="K246" s="37" t="s">
        <v>597</v>
      </c>
      <c r="L246">
        <v>105</v>
      </c>
      <c r="M246">
        <v>664</v>
      </c>
      <c r="N246">
        <v>664</v>
      </c>
      <c r="O246">
        <v>2824</v>
      </c>
      <c r="P246">
        <v>4.25</v>
      </c>
      <c r="Q246">
        <v>241</v>
      </c>
      <c r="R246">
        <v>1171</v>
      </c>
      <c r="S246">
        <v>1412</v>
      </c>
      <c r="T246">
        <v>173</v>
      </c>
      <c r="U246">
        <v>0.26500000000000001</v>
      </c>
      <c r="V246">
        <v>40</v>
      </c>
      <c r="W246">
        <v>2</v>
      </c>
      <c r="X246">
        <v>43</v>
      </c>
      <c r="Y246">
        <v>39208</v>
      </c>
      <c r="Z246">
        <v>201872</v>
      </c>
      <c r="AA246">
        <v>4.63</v>
      </c>
      <c r="AB246">
        <v>201872</v>
      </c>
      <c r="AC246">
        <v>4.63</v>
      </c>
      <c r="AD246">
        <v>116528</v>
      </c>
      <c r="AE246">
        <v>7142241</v>
      </c>
      <c r="AF246">
        <v>0.57720000000000005</v>
      </c>
      <c r="AG246">
        <v>305</v>
      </c>
      <c r="AH246">
        <v>0</v>
      </c>
      <c r="AJ246">
        <v>660</v>
      </c>
      <c r="AK246" s="37" t="s">
        <v>1315</v>
      </c>
      <c r="AL246" s="37" t="s">
        <v>1704</v>
      </c>
      <c r="AM246" s="37" t="s">
        <v>1705</v>
      </c>
      <c r="AN246" s="37" t="s">
        <v>1706</v>
      </c>
      <c r="AO246" s="37" t="s">
        <v>608</v>
      </c>
      <c r="AP246">
        <v>10</v>
      </c>
      <c r="AQ246">
        <v>13</v>
      </c>
      <c r="AR246">
        <v>30</v>
      </c>
      <c r="AS246" t="s">
        <v>1707</v>
      </c>
      <c r="AT246">
        <v>9</v>
      </c>
      <c r="AU246" s="115">
        <v>34577</v>
      </c>
      <c r="AV246" s="37"/>
      <c r="AW246" s="37"/>
      <c r="AX246" s="37" t="s">
        <v>621</v>
      </c>
      <c r="AY246" s="37"/>
      <c r="AZ246" s="37">
        <f>developmentdata2019[[#This Row],[NUMBER OF CURRENT APARTMENTS]]*5/2000</f>
        <v>1.66</v>
      </c>
      <c r="BA246" s="37">
        <f>developmentdata2019[[#This Row],[Total]]*BA$1</f>
        <v>0.43159999999999998</v>
      </c>
      <c r="BB246" s="37">
        <f>developmentdata2019[[#This Row],[Trash (tons/day)]]*BB$1</f>
        <v>8.2003999999999994E-2</v>
      </c>
      <c r="BC246" s="37">
        <f>developmentdata2019[[#This Row],[MGP (tons/day)]]*BC$1</f>
        <v>5.7402800000000004E-3</v>
      </c>
      <c r="BD246" s="37">
        <f>developmentdata2019[[#This Row],[Cardboard (tons/day)]]*BD$1</f>
        <v>4.0181960000000008E-4</v>
      </c>
      <c r="BE246" s="37">
        <f>developmentdata2019[[#This Row],[Paper (tons/day)]]*BE$1</f>
        <v>1.2858227200000002E-4</v>
      </c>
      <c r="BF246" s="37">
        <f>developmentdata2019[[#This Row],[Organics (tons/day)]]*BF$1</f>
        <v>1.2858227200000003E-6</v>
      </c>
      <c r="BG246" s="37">
        <f>developmentdata2019[[#This Row],[E-Waste (tons/day)]]*BG$1</f>
        <v>1.0286581760000002E-7</v>
      </c>
      <c r="BH246" s="37">
        <f>developmentdata2019[[#This Row],[Trash (tons/day)]]*BH$1</f>
        <v>9.0851799999999994</v>
      </c>
      <c r="BI246" s="37">
        <f>developmentdata2019[[#This Row],[MGP (tons/day)]]*BI$1</f>
        <v>1.4777120799999999</v>
      </c>
      <c r="BJ246" s="37">
        <f>developmentdata2019[[#This Row],[Cardboard (tons/day)]]*BJ$1</f>
        <v>0.15309326760000003</v>
      </c>
      <c r="BK246" s="37">
        <f>developmentdata2019[[#This Row],[Paper (tons/day)]]*BK$1</f>
        <v>2.4872633240000008E-3</v>
      </c>
      <c r="BL246" s="37">
        <f>developmentdata2019[[#This Row],[Organics (tons/day)]]*BL$1</f>
        <v>5.5547541504000013E-4</v>
      </c>
      <c r="BM246" s="37">
        <f>developmentdata2019[[#This Row],[E-Waste (tons/day)]]*BM$1</f>
        <v>7.2648983680000022E-6</v>
      </c>
      <c r="BN246" s="37">
        <f>developmentdata2019[[#This Row],[Textiles (tons/day)]]*BN$1</f>
        <v>1.3712013486080004E-6</v>
      </c>
      <c r="BO246" s="37">
        <f>developmentdata2019[[#This Row],[Trash (CY/day)]]*201.974</f>
        <v>1834.9701453199998</v>
      </c>
      <c r="BP246" s="37">
        <f>developmentdata2019[[#This Row],[MGP (CY/day)]]*201.974</f>
        <v>298.45941964591998</v>
      </c>
      <c r="BQ246" s="37">
        <f>developmentdata2019[[#This Row],[Cardboard (CY/day)]]*201.974</f>
        <v>30.920859630242404</v>
      </c>
      <c r="BR246" s="37">
        <f>developmentdata2019[[#This Row],[Paper  (CY/day)]]*201.974</f>
        <v>0.5023625226015761</v>
      </c>
      <c r="BS246" s="37">
        <f>developmentdata2019[[#This Row],[Organics (CY/day)]]*201.974</f>
        <v>0.11219159147728898</v>
      </c>
      <c r="BT246" s="37">
        <f>developmentdata2019[[#This Row],[E-Waste (CY/day)]]*201.974</f>
        <v>1.4673205829784323E-3</v>
      </c>
      <c r="BU246" s="37">
        <f>developmentdata2019[[#This Row],[Textiles (CY/day)]]*201.974</f>
        <v>2.7694702118375228E-4</v>
      </c>
    </row>
    <row r="247" spans="1:73" x14ac:dyDescent="0.2">
      <c r="A247" s="37" t="s">
        <v>1708</v>
      </c>
      <c r="B247" s="115">
        <v>43466</v>
      </c>
      <c r="C247" s="37" t="s">
        <v>1643</v>
      </c>
      <c r="D247">
        <v>389</v>
      </c>
      <c r="E247">
        <v>359</v>
      </c>
      <c r="F247">
        <v>847</v>
      </c>
      <c r="G247">
        <v>847</v>
      </c>
      <c r="H247" s="37" t="s">
        <v>1709</v>
      </c>
      <c r="I247" s="37" t="s">
        <v>1710</v>
      </c>
      <c r="J247" s="37" t="s">
        <v>578</v>
      </c>
      <c r="K247" s="37" t="s">
        <v>597</v>
      </c>
      <c r="M247">
        <v>24</v>
      </c>
      <c r="N247">
        <v>53</v>
      </c>
      <c r="O247">
        <v>108</v>
      </c>
      <c r="P247">
        <v>4.5</v>
      </c>
      <c r="R247">
        <v>38</v>
      </c>
      <c r="S247">
        <v>38</v>
      </c>
      <c r="T247">
        <v>10</v>
      </c>
      <c r="U247">
        <v>0.41699999999999998</v>
      </c>
      <c r="V247">
        <v>5</v>
      </c>
      <c r="W247">
        <v>0</v>
      </c>
      <c r="X247">
        <v>5</v>
      </c>
      <c r="Y247">
        <v>5</v>
      </c>
      <c r="Z247">
        <v>13819</v>
      </c>
      <c r="AA247">
        <v>0.32</v>
      </c>
      <c r="AB247">
        <v>13819</v>
      </c>
      <c r="AC247">
        <v>0.32</v>
      </c>
      <c r="AD247">
        <v>11274</v>
      </c>
      <c r="AE247">
        <v>607774</v>
      </c>
      <c r="AF247">
        <v>0.81579999999999997</v>
      </c>
      <c r="AG247">
        <v>119</v>
      </c>
      <c r="AH247">
        <v>4630200</v>
      </c>
      <c r="AI247">
        <v>19661</v>
      </c>
      <c r="AJ247">
        <v>800</v>
      </c>
      <c r="AK247" s="37" t="s">
        <v>1704</v>
      </c>
      <c r="AL247" s="37" t="s">
        <v>1706</v>
      </c>
      <c r="AM247" s="37" t="s">
        <v>1035</v>
      </c>
      <c r="AN247" s="37" t="s">
        <v>1315</v>
      </c>
      <c r="AO247" s="37" t="s">
        <v>608</v>
      </c>
      <c r="AP247">
        <v>10</v>
      </c>
      <c r="AQ247">
        <v>13</v>
      </c>
      <c r="AR247">
        <v>30</v>
      </c>
      <c r="AS247">
        <v>70</v>
      </c>
      <c r="AT247">
        <v>9</v>
      </c>
      <c r="AU247" s="115">
        <v>34365</v>
      </c>
      <c r="AV247" s="37"/>
      <c r="AW247" s="37"/>
      <c r="AX247" s="37" t="s">
        <v>621</v>
      </c>
      <c r="AY247" s="37" t="s">
        <v>621</v>
      </c>
      <c r="AZ247" s="37">
        <f>developmentdata2019[[#This Row],[NUMBER OF CURRENT APARTMENTS]]*5/2000</f>
        <v>0.06</v>
      </c>
      <c r="BA247" s="37">
        <f>developmentdata2019[[#This Row],[Total]]*BA$1</f>
        <v>1.5599999999999999E-2</v>
      </c>
      <c r="BB247" s="37">
        <f>developmentdata2019[[#This Row],[Trash (tons/day)]]*BB$1</f>
        <v>2.9640000000000001E-3</v>
      </c>
      <c r="BC247" s="37">
        <f>developmentdata2019[[#This Row],[MGP (tons/day)]]*BC$1</f>
        <v>2.0748000000000001E-4</v>
      </c>
      <c r="BD247" s="37">
        <f>developmentdata2019[[#This Row],[Cardboard (tons/day)]]*BD$1</f>
        <v>1.4523600000000003E-5</v>
      </c>
      <c r="BE247" s="37">
        <f>developmentdata2019[[#This Row],[Paper (tons/day)]]*BE$1</f>
        <v>4.6475520000000006E-6</v>
      </c>
      <c r="BF247" s="37">
        <f>developmentdata2019[[#This Row],[Organics (tons/day)]]*BF$1</f>
        <v>4.6475520000000005E-8</v>
      </c>
      <c r="BG247" s="37">
        <f>developmentdata2019[[#This Row],[E-Waste (tons/day)]]*BG$1</f>
        <v>3.7180416000000006E-9</v>
      </c>
      <c r="BH247" s="37">
        <f>developmentdata2019[[#This Row],[Trash (tons/day)]]*BH$1</f>
        <v>0.32838000000000001</v>
      </c>
      <c r="BI247" s="37">
        <f>developmentdata2019[[#This Row],[MGP (tons/day)]]*BI$1</f>
        <v>5.3411279999999998E-2</v>
      </c>
      <c r="BJ247" s="37">
        <f>developmentdata2019[[#This Row],[Cardboard (tons/day)]]*BJ$1</f>
        <v>5.5334916000000008E-3</v>
      </c>
      <c r="BK247" s="37">
        <f>developmentdata2019[[#This Row],[Paper (tons/day)]]*BK$1</f>
        <v>8.9901084000000022E-5</v>
      </c>
      <c r="BL247" s="37">
        <f>developmentdata2019[[#This Row],[Organics (tons/day)]]*BL$1</f>
        <v>2.0077424640000003E-5</v>
      </c>
      <c r="BM247" s="37">
        <f>developmentdata2019[[#This Row],[E-Waste (tons/day)]]*BM$1</f>
        <v>2.6258668800000003E-7</v>
      </c>
      <c r="BN247" s="37">
        <f>developmentdata2019[[#This Row],[Textiles (tons/day)]]*BN$1</f>
        <v>4.9561494528000008E-8</v>
      </c>
      <c r="BO247" s="37">
        <f>developmentdata2019[[#This Row],[Trash (CY/day)]]*201.974</f>
        <v>66.324222120000002</v>
      </c>
      <c r="BP247" s="37">
        <f>developmentdata2019[[#This Row],[MGP (CY/day)]]*201.974</f>
        <v>10.787689866719999</v>
      </c>
      <c r="BQ247" s="37">
        <f>developmentdata2019[[#This Row],[Cardboard (CY/day)]]*201.974</f>
        <v>1.1176214324184002</v>
      </c>
      <c r="BR247" s="37">
        <f>developmentdata2019[[#This Row],[Paper  (CY/day)]]*201.974</f>
        <v>1.8157681539816003E-2</v>
      </c>
      <c r="BS247" s="37">
        <f>developmentdata2019[[#This Row],[Organics (CY/day)]]*201.974</f>
        <v>4.0551177642393606E-3</v>
      </c>
      <c r="BT247" s="37">
        <f>developmentdata2019[[#This Row],[E-Waste (CY/day)]]*201.974</f>
        <v>5.3035683722112004E-5</v>
      </c>
      <c r="BU247" s="37">
        <f>developmentdata2019[[#This Row],[Textiles (CY/day)]]*201.974</f>
        <v>1.0010133295798274E-5</v>
      </c>
    </row>
    <row r="248" spans="1:73" x14ac:dyDescent="0.2">
      <c r="A248" s="37" t="s">
        <v>1711</v>
      </c>
      <c r="B248" s="115">
        <v>43466</v>
      </c>
      <c r="C248" s="37" t="s">
        <v>1643</v>
      </c>
      <c r="D248">
        <v>398</v>
      </c>
      <c r="E248">
        <v>359</v>
      </c>
      <c r="F248">
        <v>871</v>
      </c>
      <c r="G248">
        <v>871</v>
      </c>
      <c r="H248" s="37" t="s">
        <v>1712</v>
      </c>
      <c r="I248" s="37" t="s">
        <v>1710</v>
      </c>
      <c r="J248" s="37" t="s">
        <v>578</v>
      </c>
      <c r="K248" s="37" t="s">
        <v>597</v>
      </c>
      <c r="M248">
        <v>4</v>
      </c>
      <c r="N248">
        <v>10</v>
      </c>
      <c r="O248">
        <v>20</v>
      </c>
      <c r="P248">
        <v>5</v>
      </c>
      <c r="R248">
        <v>12</v>
      </c>
      <c r="S248">
        <v>12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5</v>
      </c>
      <c r="Z248">
        <v>3098</v>
      </c>
      <c r="AA248">
        <v>7.0000000000000007E-2</v>
      </c>
      <c r="AB248">
        <v>3098</v>
      </c>
      <c r="AC248">
        <v>7.0000000000000007E-2</v>
      </c>
      <c r="AD248">
        <v>2326</v>
      </c>
      <c r="AE248">
        <v>114675</v>
      </c>
      <c r="AF248">
        <v>0.75080000000000002</v>
      </c>
      <c r="AG248">
        <v>171</v>
      </c>
      <c r="AH248">
        <v>967700</v>
      </c>
      <c r="AI248">
        <v>20160</v>
      </c>
      <c r="AJ248">
        <v>1036</v>
      </c>
      <c r="AK248" s="37" t="s">
        <v>1706</v>
      </c>
      <c r="AL248" s="37" t="s">
        <v>1704</v>
      </c>
      <c r="AM248" s="37" t="s">
        <v>1315</v>
      </c>
      <c r="AN248" s="37"/>
      <c r="AO248" s="37" t="s">
        <v>608</v>
      </c>
      <c r="AP248">
        <v>10</v>
      </c>
      <c r="AQ248">
        <v>13</v>
      </c>
      <c r="AR248">
        <v>30</v>
      </c>
      <c r="AS248">
        <v>70</v>
      </c>
      <c r="AT248">
        <v>9</v>
      </c>
      <c r="AU248" s="115">
        <v>34181</v>
      </c>
      <c r="AV248" s="37"/>
      <c r="AW248" s="37"/>
      <c r="AX248" s="37" t="s">
        <v>621</v>
      </c>
      <c r="AY248" s="37" t="s">
        <v>621</v>
      </c>
      <c r="AZ248" s="37">
        <f>developmentdata2019[[#This Row],[NUMBER OF CURRENT APARTMENTS]]*5/2000</f>
        <v>0.01</v>
      </c>
      <c r="BA248" s="37">
        <f>developmentdata2019[[#This Row],[Total]]*BA$1</f>
        <v>2.6000000000000003E-3</v>
      </c>
      <c r="BB248" s="37">
        <f>developmentdata2019[[#This Row],[Trash (tons/day)]]*BB$1</f>
        <v>4.9400000000000008E-4</v>
      </c>
      <c r="BC248" s="37">
        <f>developmentdata2019[[#This Row],[MGP (tons/day)]]*BC$1</f>
        <v>3.4580000000000011E-5</v>
      </c>
      <c r="BD248" s="37">
        <f>developmentdata2019[[#This Row],[Cardboard (tons/day)]]*BD$1</f>
        <v>2.420600000000001E-6</v>
      </c>
      <c r="BE248" s="37">
        <f>developmentdata2019[[#This Row],[Paper (tons/day)]]*BE$1</f>
        <v>7.7459200000000038E-7</v>
      </c>
      <c r="BF248" s="37">
        <f>developmentdata2019[[#This Row],[Organics (tons/day)]]*BF$1</f>
        <v>7.7459200000000046E-9</v>
      </c>
      <c r="BG248" s="37">
        <f>developmentdata2019[[#This Row],[E-Waste (tons/day)]]*BG$1</f>
        <v>6.1967360000000041E-10</v>
      </c>
      <c r="BH248" s="37">
        <f>developmentdata2019[[#This Row],[Trash (tons/day)]]*BH$1</f>
        <v>5.4730000000000008E-2</v>
      </c>
      <c r="BI248" s="37">
        <f>developmentdata2019[[#This Row],[MGP (tons/day)]]*BI$1</f>
        <v>8.9018800000000009E-3</v>
      </c>
      <c r="BJ248" s="37">
        <f>developmentdata2019[[#This Row],[Cardboard (tons/day)]]*BJ$1</f>
        <v>9.2224860000000039E-4</v>
      </c>
      <c r="BK248" s="37">
        <f>developmentdata2019[[#This Row],[Paper (tons/day)]]*BK$1</f>
        <v>1.4983514000000007E-5</v>
      </c>
      <c r="BL248" s="37">
        <f>developmentdata2019[[#This Row],[Organics (tons/day)]]*BL$1</f>
        <v>3.3462374400000018E-6</v>
      </c>
      <c r="BM248" s="37">
        <f>developmentdata2019[[#This Row],[E-Waste (tons/day)]]*BM$1</f>
        <v>4.3764448000000031E-8</v>
      </c>
      <c r="BN248" s="37">
        <f>developmentdata2019[[#This Row],[Textiles (tons/day)]]*BN$1</f>
        <v>8.2602490880000057E-9</v>
      </c>
      <c r="BO248" s="37">
        <f>developmentdata2019[[#This Row],[Trash (CY/day)]]*201.974</f>
        <v>11.054037020000001</v>
      </c>
      <c r="BP248" s="37">
        <f>developmentdata2019[[#This Row],[MGP (CY/day)]]*201.974</f>
        <v>1.7979483111200001</v>
      </c>
      <c r="BQ248" s="37">
        <f>developmentdata2019[[#This Row],[Cardboard (CY/day)]]*201.974</f>
        <v>0.18627023873640006</v>
      </c>
      <c r="BR248" s="37">
        <f>developmentdata2019[[#This Row],[Paper  (CY/day)]]*201.974</f>
        <v>3.0262802566360012E-3</v>
      </c>
      <c r="BS248" s="37">
        <f>developmentdata2019[[#This Row],[Organics (CY/day)]]*201.974</f>
        <v>6.7585296070656032E-4</v>
      </c>
      <c r="BT248" s="37">
        <f>developmentdata2019[[#This Row],[E-Waste (CY/day)]]*201.974</f>
        <v>8.8392806203520064E-6</v>
      </c>
      <c r="BU248" s="37">
        <f>developmentdata2019[[#This Row],[Textiles (CY/day)]]*201.974</f>
        <v>1.6683555492997131E-6</v>
      </c>
    </row>
    <row r="249" spans="1:73" x14ac:dyDescent="0.2">
      <c r="A249" s="37" t="s">
        <v>1713</v>
      </c>
      <c r="B249" s="115">
        <v>43466</v>
      </c>
      <c r="C249" s="37" t="s">
        <v>1643</v>
      </c>
      <c r="D249">
        <v>399</v>
      </c>
      <c r="E249">
        <v>359</v>
      </c>
      <c r="F249">
        <v>483</v>
      </c>
      <c r="G249">
        <v>483</v>
      </c>
      <c r="H249" s="37" t="s">
        <v>1714</v>
      </c>
      <c r="I249" s="37" t="s">
        <v>1710</v>
      </c>
      <c r="J249" s="37" t="s">
        <v>578</v>
      </c>
      <c r="K249" s="37" t="s">
        <v>597</v>
      </c>
      <c r="M249">
        <v>1</v>
      </c>
      <c r="N249">
        <v>10</v>
      </c>
      <c r="O249">
        <v>4.5</v>
      </c>
      <c r="P249">
        <v>4.5</v>
      </c>
      <c r="R249">
        <v>3</v>
      </c>
      <c r="S249">
        <v>3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5</v>
      </c>
      <c r="Z249">
        <v>5396</v>
      </c>
      <c r="AA249">
        <v>0.12</v>
      </c>
      <c r="AB249">
        <v>5396</v>
      </c>
      <c r="AC249">
        <v>0.12</v>
      </c>
      <c r="AD249">
        <v>1599</v>
      </c>
      <c r="AE249">
        <v>114675</v>
      </c>
      <c r="AF249">
        <v>0.29630000000000001</v>
      </c>
      <c r="AG249">
        <v>25</v>
      </c>
      <c r="AH249">
        <v>887005</v>
      </c>
      <c r="AI249">
        <v>20159</v>
      </c>
      <c r="AJ249">
        <v>1431</v>
      </c>
      <c r="AK249" s="37" t="s">
        <v>1706</v>
      </c>
      <c r="AL249" s="37" t="s">
        <v>1715</v>
      </c>
      <c r="AM249" s="37" t="s">
        <v>1315</v>
      </c>
      <c r="AN249" s="37"/>
      <c r="AO249" s="37" t="s">
        <v>608</v>
      </c>
      <c r="AP249">
        <v>10</v>
      </c>
      <c r="AQ249">
        <v>13</v>
      </c>
      <c r="AR249">
        <v>30</v>
      </c>
      <c r="AS249">
        <v>71</v>
      </c>
      <c r="AT249">
        <v>9</v>
      </c>
      <c r="AU249" s="115">
        <v>34880</v>
      </c>
      <c r="AV249" s="37"/>
      <c r="AW249" s="37"/>
      <c r="AX249" s="37" t="s">
        <v>621</v>
      </c>
      <c r="AY249" s="37" t="s">
        <v>621</v>
      </c>
      <c r="AZ249" s="37">
        <f>developmentdata2019[[#This Row],[NUMBER OF CURRENT APARTMENTS]]*5/2000</f>
        <v>2.5000000000000001E-3</v>
      </c>
      <c r="BA249" s="37">
        <f>developmentdata2019[[#This Row],[Total]]*BA$1</f>
        <v>6.5000000000000008E-4</v>
      </c>
      <c r="BB249" s="37">
        <f>developmentdata2019[[#This Row],[Trash (tons/day)]]*BB$1</f>
        <v>1.2350000000000002E-4</v>
      </c>
      <c r="BC249" s="37">
        <f>developmentdata2019[[#This Row],[MGP (tons/day)]]*BC$1</f>
        <v>8.6450000000000028E-6</v>
      </c>
      <c r="BD249" s="37">
        <f>developmentdata2019[[#This Row],[Cardboard (tons/day)]]*BD$1</f>
        <v>6.0515000000000025E-7</v>
      </c>
      <c r="BE249" s="37">
        <f>developmentdata2019[[#This Row],[Paper (tons/day)]]*BE$1</f>
        <v>1.9364800000000009E-7</v>
      </c>
      <c r="BF249" s="37">
        <f>developmentdata2019[[#This Row],[Organics (tons/day)]]*BF$1</f>
        <v>1.9364800000000012E-9</v>
      </c>
      <c r="BG249" s="37">
        <f>developmentdata2019[[#This Row],[E-Waste (tons/day)]]*BG$1</f>
        <v>1.549184000000001E-10</v>
      </c>
      <c r="BH249" s="37">
        <f>developmentdata2019[[#This Row],[Trash (tons/day)]]*BH$1</f>
        <v>1.3682500000000002E-2</v>
      </c>
      <c r="BI249" s="37">
        <f>developmentdata2019[[#This Row],[MGP (tons/day)]]*BI$1</f>
        <v>2.2254700000000002E-3</v>
      </c>
      <c r="BJ249" s="37">
        <f>developmentdata2019[[#This Row],[Cardboard (tons/day)]]*BJ$1</f>
        <v>2.305621500000001E-4</v>
      </c>
      <c r="BK249" s="37">
        <f>developmentdata2019[[#This Row],[Paper (tons/day)]]*BK$1</f>
        <v>3.7458785000000016E-6</v>
      </c>
      <c r="BL249" s="37">
        <f>developmentdata2019[[#This Row],[Organics (tons/day)]]*BL$1</f>
        <v>8.3655936000000045E-7</v>
      </c>
      <c r="BM249" s="37">
        <f>developmentdata2019[[#This Row],[E-Waste (tons/day)]]*BM$1</f>
        <v>1.0941112000000008E-8</v>
      </c>
      <c r="BN249" s="37">
        <f>developmentdata2019[[#This Row],[Textiles (tons/day)]]*BN$1</f>
        <v>2.0650622720000014E-9</v>
      </c>
      <c r="BO249" s="37">
        <f>developmentdata2019[[#This Row],[Trash (CY/day)]]*201.974</f>
        <v>2.7635092550000002</v>
      </c>
      <c r="BP249" s="37">
        <f>developmentdata2019[[#This Row],[MGP (CY/day)]]*201.974</f>
        <v>0.44948707778000002</v>
      </c>
      <c r="BQ249" s="37">
        <f>developmentdata2019[[#This Row],[Cardboard (CY/day)]]*201.974</f>
        <v>4.6567559684100014E-2</v>
      </c>
      <c r="BR249" s="37">
        <f>developmentdata2019[[#This Row],[Paper  (CY/day)]]*201.974</f>
        <v>7.565700641590003E-4</v>
      </c>
      <c r="BS249" s="37">
        <f>developmentdata2019[[#This Row],[Organics (CY/day)]]*201.974</f>
        <v>1.6896324017664008E-4</v>
      </c>
      <c r="BT249" s="37">
        <f>developmentdata2019[[#This Row],[E-Waste (CY/day)]]*201.974</f>
        <v>2.2098201550880016E-6</v>
      </c>
      <c r="BU249" s="37">
        <f>developmentdata2019[[#This Row],[Textiles (CY/day)]]*201.974</f>
        <v>4.1708888732492827E-7</v>
      </c>
    </row>
    <row r="250" spans="1:73" x14ac:dyDescent="0.2">
      <c r="A250" s="37" t="s">
        <v>1716</v>
      </c>
      <c r="B250" s="115">
        <v>43466</v>
      </c>
      <c r="C250" s="37" t="s">
        <v>1521</v>
      </c>
      <c r="D250">
        <v>158</v>
      </c>
      <c r="E250">
        <v>162</v>
      </c>
      <c r="F250">
        <v>274</v>
      </c>
      <c r="G250">
        <v>269</v>
      </c>
      <c r="H250" s="37" t="s">
        <v>1717</v>
      </c>
      <c r="I250" s="37" t="s">
        <v>577</v>
      </c>
      <c r="J250" s="37" t="s">
        <v>578</v>
      </c>
      <c r="K250" s="37" t="s">
        <v>579</v>
      </c>
      <c r="M250">
        <v>125</v>
      </c>
      <c r="N250">
        <v>125</v>
      </c>
      <c r="O250">
        <v>562.5</v>
      </c>
      <c r="P250">
        <v>4.5</v>
      </c>
      <c r="R250">
        <v>298</v>
      </c>
      <c r="S250">
        <v>298</v>
      </c>
      <c r="T250">
        <v>42</v>
      </c>
      <c r="U250">
        <v>0.33600000000000002</v>
      </c>
      <c r="V250">
        <v>1</v>
      </c>
      <c r="W250">
        <v>0</v>
      </c>
      <c r="X250">
        <v>1</v>
      </c>
      <c r="Y250">
        <v>16</v>
      </c>
      <c r="Z250">
        <v>54935</v>
      </c>
      <c r="AA250">
        <v>1.26</v>
      </c>
      <c r="AB250">
        <v>54935</v>
      </c>
      <c r="AC250">
        <v>1.26</v>
      </c>
      <c r="AD250">
        <v>6911</v>
      </c>
      <c r="AE250">
        <v>1037975</v>
      </c>
      <c r="AF250">
        <v>0.1258</v>
      </c>
      <c r="AG250">
        <v>237</v>
      </c>
      <c r="AH250">
        <v>2334676</v>
      </c>
      <c r="AI250">
        <v>4147</v>
      </c>
      <c r="AJ250">
        <v>613</v>
      </c>
      <c r="AK250" s="37" t="s">
        <v>1526</v>
      </c>
      <c r="AL250" s="37" t="s">
        <v>1718</v>
      </c>
      <c r="AM250" s="37" t="s">
        <v>870</v>
      </c>
      <c r="AN250" s="37"/>
      <c r="AO250" s="37" t="s">
        <v>593</v>
      </c>
      <c r="AP250">
        <v>16</v>
      </c>
      <c r="AQ250">
        <v>8</v>
      </c>
      <c r="AR250">
        <v>18</v>
      </c>
      <c r="AS250">
        <v>55</v>
      </c>
      <c r="AT250">
        <v>41</v>
      </c>
      <c r="AU250" s="115">
        <v>24472</v>
      </c>
      <c r="AV250" s="37"/>
      <c r="AW250" s="37"/>
      <c r="AX250" s="37"/>
      <c r="AY250" s="37"/>
      <c r="AZ250" s="37">
        <f>developmentdata2019[[#This Row],[NUMBER OF CURRENT APARTMENTS]]*5/2000</f>
        <v>0.3125</v>
      </c>
      <c r="BA250" s="37">
        <f>developmentdata2019[[#This Row],[Total]]*BA$1</f>
        <v>8.1250000000000003E-2</v>
      </c>
      <c r="BB250" s="37">
        <f>developmentdata2019[[#This Row],[Trash (tons/day)]]*BB$1</f>
        <v>1.5437500000000002E-2</v>
      </c>
      <c r="BC250" s="37">
        <f>developmentdata2019[[#This Row],[MGP (tons/day)]]*BC$1</f>
        <v>1.0806250000000002E-3</v>
      </c>
      <c r="BD250" s="37">
        <f>developmentdata2019[[#This Row],[Cardboard (tons/day)]]*BD$1</f>
        <v>7.5643750000000019E-5</v>
      </c>
      <c r="BE250" s="37">
        <f>developmentdata2019[[#This Row],[Paper (tons/day)]]*BE$1</f>
        <v>2.4206000000000005E-5</v>
      </c>
      <c r="BF250" s="37">
        <f>developmentdata2019[[#This Row],[Organics (tons/day)]]*BF$1</f>
        <v>2.4206000000000004E-7</v>
      </c>
      <c r="BG250" s="37">
        <f>developmentdata2019[[#This Row],[E-Waste (tons/day)]]*BG$1</f>
        <v>1.9364800000000004E-8</v>
      </c>
      <c r="BH250" s="37">
        <f>developmentdata2019[[#This Row],[Trash (tons/day)]]*BH$1</f>
        <v>1.7103125000000001</v>
      </c>
      <c r="BI250" s="37">
        <f>developmentdata2019[[#This Row],[MGP (tons/day)]]*BI$1</f>
        <v>0.27818375000000001</v>
      </c>
      <c r="BJ250" s="37">
        <f>developmentdata2019[[#This Row],[Cardboard (tons/day)]]*BJ$1</f>
        <v>2.8820268750000006E-2</v>
      </c>
      <c r="BK250" s="37">
        <f>developmentdata2019[[#This Row],[Paper (tons/day)]]*BK$1</f>
        <v>4.6823481250000016E-4</v>
      </c>
      <c r="BL250" s="37">
        <f>developmentdata2019[[#This Row],[Organics (tons/day)]]*BL$1</f>
        <v>1.0456992000000003E-4</v>
      </c>
      <c r="BM250" s="37">
        <f>developmentdata2019[[#This Row],[E-Waste (tons/day)]]*BM$1</f>
        <v>1.3676390000000003E-6</v>
      </c>
      <c r="BN250" s="37">
        <f>developmentdata2019[[#This Row],[Textiles (tons/day)]]*BN$1</f>
        <v>2.5813278400000004E-7</v>
      </c>
      <c r="BO250" s="37">
        <f>developmentdata2019[[#This Row],[Trash (CY/day)]]*201.974</f>
        <v>345.43865687499999</v>
      </c>
      <c r="BP250" s="37">
        <f>developmentdata2019[[#This Row],[MGP (CY/day)]]*201.974</f>
        <v>56.185884722499999</v>
      </c>
      <c r="BQ250" s="37">
        <f>developmentdata2019[[#This Row],[Cardboard (CY/day)]]*201.974</f>
        <v>5.8209449605125005</v>
      </c>
      <c r="BR250" s="37">
        <f>developmentdata2019[[#This Row],[Paper  (CY/day)]]*201.974</f>
        <v>9.4571258019875024E-2</v>
      </c>
      <c r="BS250" s="37">
        <f>developmentdata2019[[#This Row],[Organics (CY/day)]]*201.974</f>
        <v>2.1120405022080006E-2</v>
      </c>
      <c r="BT250" s="37">
        <f>developmentdata2019[[#This Row],[E-Waste (CY/day)]]*201.974</f>
        <v>2.7622751938600007E-4</v>
      </c>
      <c r="BU250" s="37">
        <f>developmentdata2019[[#This Row],[Textiles (CY/day)]]*201.974</f>
        <v>5.2136110915616003E-5</v>
      </c>
    </row>
    <row r="251" spans="1:73" x14ac:dyDescent="0.2">
      <c r="A251" s="37" t="s">
        <v>406</v>
      </c>
      <c r="B251" s="115">
        <v>43466</v>
      </c>
      <c r="C251" s="37" t="s">
        <v>1719</v>
      </c>
      <c r="D251">
        <v>45</v>
      </c>
      <c r="E251">
        <v>45</v>
      </c>
      <c r="F251">
        <v>368</v>
      </c>
      <c r="G251">
        <v>368</v>
      </c>
      <c r="H251" s="37" t="s">
        <v>1720</v>
      </c>
      <c r="I251" s="37" t="s">
        <v>577</v>
      </c>
      <c r="J251" s="37" t="s">
        <v>578</v>
      </c>
      <c r="K251" s="37" t="s">
        <v>579</v>
      </c>
      <c r="M251">
        <v>783</v>
      </c>
      <c r="N251">
        <v>786</v>
      </c>
      <c r="O251">
        <v>3316.5</v>
      </c>
      <c r="P251">
        <v>4.24</v>
      </c>
      <c r="R251">
        <v>1457</v>
      </c>
      <c r="S251">
        <v>1457</v>
      </c>
      <c r="T251">
        <v>341</v>
      </c>
      <c r="U251">
        <v>0.439</v>
      </c>
      <c r="V251">
        <v>7</v>
      </c>
      <c r="W251">
        <v>0</v>
      </c>
      <c r="X251">
        <v>7</v>
      </c>
      <c r="Y251" t="s">
        <v>1231</v>
      </c>
      <c r="Z251">
        <v>319008</v>
      </c>
      <c r="AA251">
        <v>7.32</v>
      </c>
      <c r="AB251">
        <v>319008</v>
      </c>
      <c r="AC251">
        <v>7.32</v>
      </c>
      <c r="AD251">
        <v>59598</v>
      </c>
      <c r="AE251">
        <v>6642484</v>
      </c>
      <c r="AF251">
        <v>0.18679999999999999</v>
      </c>
      <c r="AG251">
        <v>199</v>
      </c>
      <c r="AH251">
        <v>8397841</v>
      </c>
      <c r="AI251">
        <v>2529</v>
      </c>
      <c r="AJ251">
        <v>491</v>
      </c>
      <c r="AK251" s="37" t="s">
        <v>1721</v>
      </c>
      <c r="AL251" s="37" t="s">
        <v>1722</v>
      </c>
      <c r="AM251" s="37" t="s">
        <v>1259</v>
      </c>
      <c r="AN251" s="37"/>
      <c r="AO251" s="37" t="s">
        <v>584</v>
      </c>
      <c r="AP251">
        <v>5</v>
      </c>
      <c r="AQ251">
        <v>13</v>
      </c>
      <c r="AR251">
        <v>29</v>
      </c>
      <c r="AS251">
        <v>77</v>
      </c>
      <c r="AT251">
        <v>16</v>
      </c>
      <c r="AU251" s="115">
        <v>18710</v>
      </c>
      <c r="AV251" s="37" t="s">
        <v>1044</v>
      </c>
      <c r="AW251" s="37"/>
      <c r="AX251" s="37"/>
      <c r="AY251" s="37"/>
      <c r="AZ251" s="37">
        <f>developmentdata2019[[#This Row],[NUMBER OF CURRENT APARTMENTS]]*5/2000</f>
        <v>1.9575</v>
      </c>
      <c r="BA251" s="37">
        <f>developmentdata2019[[#This Row],[Total]]*BA$1</f>
        <v>0.50895000000000001</v>
      </c>
      <c r="BB251" s="37">
        <f>developmentdata2019[[#This Row],[Trash (tons/day)]]*BB$1</f>
        <v>9.6700500000000009E-2</v>
      </c>
      <c r="BC251" s="37">
        <f>developmentdata2019[[#This Row],[MGP (tons/day)]]*BC$1</f>
        <v>6.7690350000000014E-3</v>
      </c>
      <c r="BD251" s="37">
        <f>developmentdata2019[[#This Row],[Cardboard (tons/day)]]*BD$1</f>
        <v>4.7383245000000014E-4</v>
      </c>
      <c r="BE251" s="37">
        <f>developmentdata2019[[#This Row],[Paper (tons/day)]]*BE$1</f>
        <v>1.5162638400000004E-4</v>
      </c>
      <c r="BF251" s="37">
        <f>developmentdata2019[[#This Row],[Organics (tons/day)]]*BF$1</f>
        <v>1.5162638400000003E-6</v>
      </c>
      <c r="BG251" s="37">
        <f>developmentdata2019[[#This Row],[E-Waste (tons/day)]]*BG$1</f>
        <v>1.2130110720000002E-7</v>
      </c>
      <c r="BH251" s="37">
        <f>developmentdata2019[[#This Row],[Trash (tons/day)]]*BH$1</f>
        <v>10.713397500000001</v>
      </c>
      <c r="BI251" s="37">
        <f>developmentdata2019[[#This Row],[MGP (tons/day)]]*BI$1</f>
        <v>1.7425430100000001</v>
      </c>
      <c r="BJ251" s="37">
        <f>developmentdata2019[[#This Row],[Cardboard (tons/day)]]*BJ$1</f>
        <v>0.18053016345000006</v>
      </c>
      <c r="BK251" s="37">
        <f>developmentdata2019[[#This Row],[Paper (tons/day)]]*BK$1</f>
        <v>2.9330228655000011E-3</v>
      </c>
      <c r="BL251" s="37">
        <f>developmentdata2019[[#This Row],[Organics (tons/day)]]*BL$1</f>
        <v>6.5502597888000022E-4</v>
      </c>
      <c r="BM251" s="37">
        <f>developmentdata2019[[#This Row],[E-Waste (tons/day)]]*BM$1</f>
        <v>8.5668906960000019E-6</v>
      </c>
      <c r="BN251" s="37">
        <f>developmentdata2019[[#This Row],[Textiles (tons/day)]]*BN$1</f>
        <v>1.6169437589760003E-6</v>
      </c>
      <c r="BO251" s="37">
        <f>developmentdata2019[[#This Row],[Trash (CY/day)]]*201.974</f>
        <v>2163.8277466650002</v>
      </c>
      <c r="BP251" s="37">
        <f>developmentdata2019[[#This Row],[MGP (CY/day)]]*201.974</f>
        <v>351.94838190173999</v>
      </c>
      <c r="BQ251" s="37">
        <f>developmentdata2019[[#This Row],[Cardboard (CY/day)]]*201.974</f>
        <v>36.462399232650313</v>
      </c>
      <c r="BR251" s="37">
        <f>developmentdata2019[[#This Row],[Paper  (CY/day)]]*201.974</f>
        <v>0.59239436023649716</v>
      </c>
      <c r="BS251" s="37">
        <f>developmentdata2019[[#This Row],[Organics (CY/day)]]*201.974</f>
        <v>0.13229821705830916</v>
      </c>
      <c r="BT251" s="37">
        <f>developmentdata2019[[#This Row],[E-Waste (CY/day)]]*201.974</f>
        <v>1.7302891814339042E-3</v>
      </c>
      <c r="BU251" s="37">
        <f>developmentdata2019[[#This Row],[Textiles (CY/day)]]*201.974</f>
        <v>3.2658059877541866E-4</v>
      </c>
    </row>
    <row r="252" spans="1:73" x14ac:dyDescent="0.2">
      <c r="A252" s="37" t="s">
        <v>332</v>
      </c>
      <c r="B252" s="115">
        <v>43466</v>
      </c>
      <c r="C252" s="37" t="s">
        <v>642</v>
      </c>
      <c r="D252">
        <v>192</v>
      </c>
      <c r="E252">
        <v>100</v>
      </c>
      <c r="F252">
        <v>312</v>
      </c>
      <c r="G252">
        <v>312</v>
      </c>
      <c r="H252" s="37" t="s">
        <v>1723</v>
      </c>
      <c r="I252" s="37" t="s">
        <v>577</v>
      </c>
      <c r="J252" s="37" t="s">
        <v>578</v>
      </c>
      <c r="K252" s="37" t="s">
        <v>579</v>
      </c>
      <c r="M252">
        <v>360</v>
      </c>
      <c r="N252">
        <v>360</v>
      </c>
      <c r="O252">
        <v>1591</v>
      </c>
      <c r="P252">
        <v>4.42</v>
      </c>
      <c r="R252">
        <v>796</v>
      </c>
      <c r="S252">
        <v>796</v>
      </c>
      <c r="T252">
        <v>146</v>
      </c>
      <c r="U252">
        <v>0.41199999999999998</v>
      </c>
      <c r="V252">
        <v>2</v>
      </c>
      <c r="W252">
        <v>2</v>
      </c>
      <c r="X252">
        <v>5</v>
      </c>
      <c r="Y252">
        <v>23</v>
      </c>
      <c r="Z252">
        <v>90637</v>
      </c>
      <c r="AA252">
        <v>2.08</v>
      </c>
      <c r="AB252">
        <v>90637</v>
      </c>
      <c r="AC252">
        <v>2.08</v>
      </c>
      <c r="AD252">
        <v>23922</v>
      </c>
      <c r="AE252">
        <v>3370430</v>
      </c>
      <c r="AF252">
        <v>0.26390000000000002</v>
      </c>
      <c r="AG252">
        <v>383</v>
      </c>
      <c r="AH252">
        <v>11871465</v>
      </c>
      <c r="AI252">
        <v>7394</v>
      </c>
      <c r="AJ252">
        <v>511</v>
      </c>
      <c r="AK252" s="37" t="s">
        <v>1724</v>
      </c>
      <c r="AL252" s="37" t="s">
        <v>1725</v>
      </c>
      <c r="AM252" s="37" t="s">
        <v>644</v>
      </c>
      <c r="AN252" s="37" t="s">
        <v>1726</v>
      </c>
      <c r="AO252" s="37" t="s">
        <v>608</v>
      </c>
      <c r="AP252">
        <v>3</v>
      </c>
      <c r="AQ252">
        <v>12</v>
      </c>
      <c r="AR252">
        <v>26</v>
      </c>
      <c r="AS252">
        <v>65</v>
      </c>
      <c r="AT252">
        <v>1</v>
      </c>
      <c r="AU252" s="115">
        <v>26968</v>
      </c>
      <c r="AV252" s="37"/>
      <c r="AW252" s="37"/>
      <c r="AX252" s="37"/>
      <c r="AY252" s="37"/>
      <c r="AZ252" s="37">
        <f>developmentdata2019[[#This Row],[NUMBER OF CURRENT APARTMENTS]]*5/2000</f>
        <v>0.9</v>
      </c>
      <c r="BA252" s="37">
        <f>developmentdata2019[[#This Row],[Total]]*BA$1</f>
        <v>0.23400000000000001</v>
      </c>
      <c r="BB252" s="37">
        <f>developmentdata2019[[#This Row],[Trash (tons/day)]]*BB$1</f>
        <v>4.4460000000000006E-2</v>
      </c>
      <c r="BC252" s="37">
        <f>developmentdata2019[[#This Row],[MGP (tons/day)]]*BC$1</f>
        <v>3.1122000000000007E-3</v>
      </c>
      <c r="BD252" s="37">
        <f>developmentdata2019[[#This Row],[Cardboard (tons/day)]]*BD$1</f>
        <v>2.1785400000000007E-4</v>
      </c>
      <c r="BE252" s="37">
        <f>developmentdata2019[[#This Row],[Paper (tons/day)]]*BE$1</f>
        <v>6.9713280000000021E-5</v>
      </c>
      <c r="BF252" s="37">
        <f>developmentdata2019[[#This Row],[Organics (tons/day)]]*BF$1</f>
        <v>6.9713280000000025E-7</v>
      </c>
      <c r="BG252" s="37">
        <f>developmentdata2019[[#This Row],[E-Waste (tons/day)]]*BG$1</f>
        <v>5.5770624000000023E-8</v>
      </c>
      <c r="BH252" s="37">
        <f>developmentdata2019[[#This Row],[Trash (tons/day)]]*BH$1</f>
        <v>4.9257000000000009</v>
      </c>
      <c r="BI252" s="37">
        <f>developmentdata2019[[#This Row],[MGP (tons/day)]]*BI$1</f>
        <v>0.80116920000000014</v>
      </c>
      <c r="BJ252" s="37">
        <f>developmentdata2019[[#This Row],[Cardboard (tons/day)]]*BJ$1</f>
        <v>8.3002374000000032E-2</v>
      </c>
      <c r="BK252" s="37">
        <f>developmentdata2019[[#This Row],[Paper (tons/day)]]*BK$1</f>
        <v>1.3485162600000006E-3</v>
      </c>
      <c r="BL252" s="37">
        <f>developmentdata2019[[#This Row],[Organics (tons/day)]]*BL$1</f>
        <v>3.0116136960000011E-4</v>
      </c>
      <c r="BM252" s="37">
        <f>developmentdata2019[[#This Row],[E-Waste (tons/day)]]*BM$1</f>
        <v>3.9388003200000015E-6</v>
      </c>
      <c r="BN252" s="37">
        <f>developmentdata2019[[#This Row],[Textiles (tons/day)]]*BN$1</f>
        <v>7.4342241792000034E-7</v>
      </c>
      <c r="BO252" s="37">
        <f>developmentdata2019[[#This Row],[Trash (CY/day)]]*201.974</f>
        <v>994.86333180000008</v>
      </c>
      <c r="BP252" s="37">
        <f>developmentdata2019[[#This Row],[MGP (CY/day)]]*201.974</f>
        <v>161.81534800080001</v>
      </c>
      <c r="BQ252" s="37">
        <f>developmentdata2019[[#This Row],[Cardboard (CY/day)]]*201.974</f>
        <v>16.764321486276007</v>
      </c>
      <c r="BR252" s="37">
        <f>developmentdata2019[[#This Row],[Paper  (CY/day)]]*201.974</f>
        <v>0.27236522309724009</v>
      </c>
      <c r="BS252" s="37">
        <f>developmentdata2019[[#This Row],[Organics (CY/day)]]*201.974</f>
        <v>6.082676646359042E-2</v>
      </c>
      <c r="BT252" s="37">
        <f>developmentdata2019[[#This Row],[E-Waste (CY/day)]]*201.974</f>
        <v>7.9553525583168027E-4</v>
      </c>
      <c r="BU252" s="37">
        <f>developmentdata2019[[#This Row],[Textiles (CY/day)]]*201.974</f>
        <v>1.5015199943697413E-4</v>
      </c>
    </row>
    <row r="253" spans="1:73" x14ac:dyDescent="0.2">
      <c r="A253" s="37" t="s">
        <v>480</v>
      </c>
      <c r="B253" s="115">
        <v>43466</v>
      </c>
      <c r="C253" s="37" t="s">
        <v>1510</v>
      </c>
      <c r="D253">
        <v>36</v>
      </c>
      <c r="E253">
        <v>36</v>
      </c>
      <c r="F253">
        <v>314</v>
      </c>
      <c r="G253">
        <v>314</v>
      </c>
      <c r="H253" s="37" t="s">
        <v>1727</v>
      </c>
      <c r="I253" s="37" t="s">
        <v>577</v>
      </c>
      <c r="J253" s="37" t="s">
        <v>578</v>
      </c>
      <c r="K253" s="37" t="s">
        <v>579</v>
      </c>
      <c r="M253">
        <v>1054</v>
      </c>
      <c r="N253">
        <v>1056</v>
      </c>
      <c r="O253">
        <v>4911</v>
      </c>
      <c r="P253">
        <v>4.66</v>
      </c>
      <c r="R253">
        <v>2383</v>
      </c>
      <c r="S253">
        <v>2383</v>
      </c>
      <c r="T253">
        <v>371</v>
      </c>
      <c r="U253">
        <v>0.35399999999999998</v>
      </c>
      <c r="V253">
        <v>18</v>
      </c>
      <c r="W253">
        <v>0</v>
      </c>
      <c r="X253">
        <v>36</v>
      </c>
      <c r="Y253">
        <v>6</v>
      </c>
      <c r="Z253">
        <v>1036600</v>
      </c>
      <c r="AA253">
        <v>23.8</v>
      </c>
      <c r="AB253">
        <v>953637</v>
      </c>
      <c r="AC253">
        <v>21.89</v>
      </c>
      <c r="AD253">
        <v>159727</v>
      </c>
      <c r="AE253">
        <v>10080777</v>
      </c>
      <c r="AF253">
        <v>0.15409999999999999</v>
      </c>
      <c r="AG253">
        <v>100</v>
      </c>
      <c r="AH253">
        <v>12596000</v>
      </c>
      <c r="AI253">
        <v>2573</v>
      </c>
      <c r="AJ253">
        <v>542</v>
      </c>
      <c r="AK253" s="37" t="s">
        <v>1440</v>
      </c>
      <c r="AL253" s="37" t="s">
        <v>1513</v>
      </c>
      <c r="AM253" s="37" t="s">
        <v>1438</v>
      </c>
      <c r="AN253" s="37" t="s">
        <v>1104</v>
      </c>
      <c r="AO253" s="37" t="s">
        <v>593</v>
      </c>
      <c r="AP253">
        <v>15</v>
      </c>
      <c r="AQ253">
        <v>9</v>
      </c>
      <c r="AR253">
        <v>19</v>
      </c>
      <c r="AS253">
        <v>41</v>
      </c>
      <c r="AT253">
        <v>46</v>
      </c>
      <c r="AU253" s="115">
        <v>18483</v>
      </c>
      <c r="AV253" s="37" t="s">
        <v>1085</v>
      </c>
      <c r="AW253" s="37"/>
      <c r="AX253" s="37"/>
      <c r="AY253" s="37"/>
      <c r="AZ253" s="37">
        <f>developmentdata2019[[#This Row],[NUMBER OF CURRENT APARTMENTS]]*5/2000</f>
        <v>2.6349999999999998</v>
      </c>
      <c r="BA253" s="37">
        <f>developmentdata2019[[#This Row],[Total]]*BA$1</f>
        <v>0.68509999999999993</v>
      </c>
      <c r="BB253" s="37">
        <f>developmentdata2019[[#This Row],[Trash (tons/day)]]*BB$1</f>
        <v>0.13016899999999998</v>
      </c>
      <c r="BC253" s="37">
        <f>developmentdata2019[[#This Row],[MGP (tons/day)]]*BC$1</f>
        <v>9.1118299999999996E-3</v>
      </c>
      <c r="BD253" s="37">
        <f>developmentdata2019[[#This Row],[Cardboard (tons/day)]]*BD$1</f>
        <v>6.3782810000000004E-4</v>
      </c>
      <c r="BE253" s="37">
        <f>developmentdata2019[[#This Row],[Paper (tons/day)]]*BE$1</f>
        <v>2.0410499200000003E-4</v>
      </c>
      <c r="BF253" s="37">
        <f>developmentdata2019[[#This Row],[Organics (tons/day)]]*BF$1</f>
        <v>2.0410499200000003E-6</v>
      </c>
      <c r="BG253" s="37">
        <f>developmentdata2019[[#This Row],[E-Waste (tons/day)]]*BG$1</f>
        <v>1.6328399360000002E-7</v>
      </c>
      <c r="BH253" s="37">
        <f>developmentdata2019[[#This Row],[Trash (tons/day)]]*BH$1</f>
        <v>14.421354999999998</v>
      </c>
      <c r="BI253" s="37">
        <f>developmentdata2019[[#This Row],[MGP (tons/day)]]*BI$1</f>
        <v>2.3456453799999997</v>
      </c>
      <c r="BJ253" s="37">
        <f>developmentdata2019[[#This Row],[Cardboard (tons/day)]]*BJ$1</f>
        <v>0.2430125061</v>
      </c>
      <c r="BK253" s="37">
        <f>developmentdata2019[[#This Row],[Paper (tons/day)]]*BK$1</f>
        <v>3.9481559390000002E-3</v>
      </c>
      <c r="BL253" s="37">
        <f>developmentdata2019[[#This Row],[Organics (tons/day)]]*BL$1</f>
        <v>8.8173356544000016E-4</v>
      </c>
      <c r="BM253" s="37">
        <f>developmentdata2019[[#This Row],[E-Waste (tons/day)]]*BM$1</f>
        <v>1.1531932048000002E-5</v>
      </c>
      <c r="BN253" s="37">
        <f>developmentdata2019[[#This Row],[Textiles (tons/day)]]*BN$1</f>
        <v>2.1765756346880004E-6</v>
      </c>
      <c r="BO253" s="37">
        <f>developmentdata2019[[#This Row],[Trash (CY/day)]]*201.974</f>
        <v>2912.7387547699996</v>
      </c>
      <c r="BP253" s="37">
        <f>developmentdata2019[[#This Row],[MGP (CY/day)]]*201.974</f>
        <v>473.75937998011989</v>
      </c>
      <c r="BQ253" s="37">
        <f>developmentdata2019[[#This Row],[Cardboard (CY/day)]]*201.974</f>
        <v>49.082207907041393</v>
      </c>
      <c r="BR253" s="37">
        <f>developmentdata2019[[#This Row],[Paper  (CY/day)]]*201.974</f>
        <v>0.79742484762358601</v>
      </c>
      <c r="BS253" s="37">
        <f>developmentdata2019[[#This Row],[Organics (CY/day)]]*201.974</f>
        <v>0.17808725514617857</v>
      </c>
      <c r="BT253" s="37">
        <f>developmentdata2019[[#This Row],[E-Waste (CY/day)]]*201.974</f>
        <v>2.3291504434627521E-3</v>
      </c>
      <c r="BU253" s="37">
        <f>developmentdata2019[[#This Row],[Textiles (CY/day)]]*201.974</f>
        <v>4.3961168724047418E-4</v>
      </c>
    </row>
    <row r="254" spans="1:73" x14ac:dyDescent="0.2">
      <c r="A254" s="37" t="s">
        <v>1728</v>
      </c>
      <c r="B254" s="115">
        <v>43466</v>
      </c>
      <c r="C254" s="37" t="s">
        <v>721</v>
      </c>
      <c r="D254">
        <v>279</v>
      </c>
      <c r="E254">
        <v>91</v>
      </c>
      <c r="F254">
        <v>505</v>
      </c>
      <c r="G254">
        <v>240</v>
      </c>
      <c r="H254" s="37" t="s">
        <v>1729</v>
      </c>
      <c r="I254" s="37" t="s">
        <v>577</v>
      </c>
      <c r="J254" s="37" t="s">
        <v>578</v>
      </c>
      <c r="K254" s="37" t="s">
        <v>1161</v>
      </c>
      <c r="M254">
        <v>153</v>
      </c>
      <c r="N254">
        <v>155</v>
      </c>
      <c r="O254">
        <v>475.5</v>
      </c>
      <c r="P254">
        <v>3.11</v>
      </c>
      <c r="R254">
        <v>164</v>
      </c>
      <c r="S254">
        <v>164</v>
      </c>
      <c r="T254">
        <v>138</v>
      </c>
      <c r="U254">
        <v>0.92</v>
      </c>
      <c r="V254">
        <v>1</v>
      </c>
      <c r="W254">
        <v>0</v>
      </c>
      <c r="X254">
        <v>1</v>
      </c>
      <c r="Y254">
        <v>12</v>
      </c>
      <c r="Z254">
        <v>21844</v>
      </c>
      <c r="AA254">
        <v>0.5</v>
      </c>
      <c r="AB254">
        <v>21844</v>
      </c>
      <c r="AC254">
        <v>0.5</v>
      </c>
      <c r="AD254">
        <v>14991</v>
      </c>
      <c r="AE254">
        <v>1287831</v>
      </c>
      <c r="AF254">
        <v>0.68630000000000002</v>
      </c>
      <c r="AG254">
        <v>328</v>
      </c>
      <c r="AH254">
        <v>3615000</v>
      </c>
      <c r="AI254">
        <v>7061</v>
      </c>
      <c r="AJ254">
        <v>325</v>
      </c>
      <c r="AK254" s="37" t="s">
        <v>1730</v>
      </c>
      <c r="AL254" s="37" t="s">
        <v>1731</v>
      </c>
      <c r="AM254" s="37" t="s">
        <v>1732</v>
      </c>
      <c r="AN254" s="37" t="s">
        <v>985</v>
      </c>
      <c r="AO254" s="37" t="s">
        <v>703</v>
      </c>
      <c r="AP254">
        <v>12</v>
      </c>
      <c r="AQ254">
        <v>5</v>
      </c>
      <c r="AR254">
        <v>14</v>
      </c>
      <c r="AS254">
        <v>32</v>
      </c>
      <c r="AT254">
        <v>24</v>
      </c>
      <c r="AU254" s="115">
        <v>28794</v>
      </c>
      <c r="AV254" s="37"/>
      <c r="AW254" s="37" t="s">
        <v>736</v>
      </c>
      <c r="AX254" s="37" t="s">
        <v>621</v>
      </c>
      <c r="AY254" s="37"/>
      <c r="AZ254" s="37">
        <f>developmentdata2019[[#This Row],[NUMBER OF CURRENT APARTMENTS]]*5/2000</f>
        <v>0.38250000000000001</v>
      </c>
      <c r="BA254" s="37">
        <f>developmentdata2019[[#This Row],[Total]]*BA$1</f>
        <v>9.9450000000000011E-2</v>
      </c>
      <c r="BB254" s="37">
        <f>developmentdata2019[[#This Row],[Trash (tons/day)]]*BB$1</f>
        <v>1.8895500000000003E-2</v>
      </c>
      <c r="BC254" s="37">
        <f>developmentdata2019[[#This Row],[MGP (tons/day)]]*BC$1</f>
        <v>1.3226850000000003E-3</v>
      </c>
      <c r="BD254" s="37">
        <f>developmentdata2019[[#This Row],[Cardboard (tons/day)]]*BD$1</f>
        <v>9.2587950000000026E-5</v>
      </c>
      <c r="BE254" s="37">
        <f>developmentdata2019[[#This Row],[Paper (tons/day)]]*BE$1</f>
        <v>2.9628144000000009E-5</v>
      </c>
      <c r="BF254" s="37">
        <f>developmentdata2019[[#This Row],[Organics (tons/day)]]*BF$1</f>
        <v>2.9628144000000009E-7</v>
      </c>
      <c r="BG254" s="37">
        <f>developmentdata2019[[#This Row],[E-Waste (tons/day)]]*BG$1</f>
        <v>2.3702515200000008E-8</v>
      </c>
      <c r="BH254" s="37">
        <f>developmentdata2019[[#This Row],[Trash (tons/day)]]*BH$1</f>
        <v>2.0934225000000004</v>
      </c>
      <c r="BI254" s="37">
        <f>developmentdata2019[[#This Row],[MGP (tons/day)]]*BI$1</f>
        <v>0.34049691000000004</v>
      </c>
      <c r="BJ254" s="37">
        <f>developmentdata2019[[#This Row],[Cardboard (tons/day)]]*BJ$1</f>
        <v>3.5276008950000014E-2</v>
      </c>
      <c r="BK254" s="37">
        <f>developmentdata2019[[#This Row],[Paper (tons/day)]]*BK$1</f>
        <v>5.7311941050000018E-4</v>
      </c>
      <c r="BL254" s="37">
        <f>developmentdata2019[[#This Row],[Organics (tons/day)]]*BL$1</f>
        <v>1.2799358208000005E-4</v>
      </c>
      <c r="BM254" s="37">
        <f>developmentdata2019[[#This Row],[E-Waste (tons/day)]]*BM$1</f>
        <v>1.6739901360000006E-6</v>
      </c>
      <c r="BN254" s="37">
        <f>developmentdata2019[[#This Row],[Textiles (tons/day)]]*BN$1</f>
        <v>3.1595452761600014E-7</v>
      </c>
      <c r="BO254" s="37">
        <f>developmentdata2019[[#This Row],[Trash (CY/day)]]*201.974</f>
        <v>422.81691601500006</v>
      </c>
      <c r="BP254" s="37">
        <f>developmentdata2019[[#This Row],[MGP (CY/day)]]*201.974</f>
        <v>68.771522900340003</v>
      </c>
      <c r="BQ254" s="37">
        <f>developmentdata2019[[#This Row],[Cardboard (CY/day)]]*201.974</f>
        <v>7.1248366316673026</v>
      </c>
      <c r="BR254" s="37">
        <f>developmentdata2019[[#This Row],[Paper  (CY/day)]]*201.974</f>
        <v>0.11575521981632703</v>
      </c>
      <c r="BS254" s="37">
        <f>developmentdata2019[[#This Row],[Organics (CY/day)]]*201.974</f>
        <v>2.585137574702593E-2</v>
      </c>
      <c r="BT254" s="37">
        <f>developmentdata2019[[#This Row],[E-Waste (CY/day)]]*201.974</f>
        <v>3.3810248372846409E-4</v>
      </c>
      <c r="BU254" s="37">
        <f>developmentdata2019[[#This Row],[Textiles (CY/day)]]*201.974</f>
        <v>6.3814599760714003E-5</v>
      </c>
    </row>
    <row r="255" spans="1:73" x14ac:dyDescent="0.2">
      <c r="A255" s="37" t="s">
        <v>333</v>
      </c>
      <c r="B255" s="115">
        <v>43466</v>
      </c>
      <c r="C255" s="37" t="s">
        <v>1733</v>
      </c>
      <c r="D255">
        <v>27</v>
      </c>
      <c r="E255">
        <v>27</v>
      </c>
      <c r="F255">
        <v>531</v>
      </c>
      <c r="G255">
        <v>531</v>
      </c>
      <c r="H255" s="37" t="s">
        <v>1734</v>
      </c>
      <c r="I255" s="37" t="s">
        <v>577</v>
      </c>
      <c r="J255" s="37" t="s">
        <v>578</v>
      </c>
      <c r="K255" s="37" t="s">
        <v>579</v>
      </c>
      <c r="M255">
        <v>1934</v>
      </c>
      <c r="N255">
        <v>1935</v>
      </c>
      <c r="O255">
        <v>8988</v>
      </c>
      <c r="P255">
        <v>4.6500000000000004</v>
      </c>
      <c r="R255">
        <v>4126</v>
      </c>
      <c r="S255">
        <v>4126</v>
      </c>
      <c r="T255">
        <v>923</v>
      </c>
      <c r="U255">
        <v>0.48099999999999998</v>
      </c>
      <c r="V255">
        <v>12</v>
      </c>
      <c r="W255">
        <v>0</v>
      </c>
      <c r="X255">
        <v>12</v>
      </c>
      <c r="Y255">
        <v>17</v>
      </c>
      <c r="Z255">
        <v>947493</v>
      </c>
      <c r="AA255">
        <v>21.75</v>
      </c>
      <c r="AB255">
        <v>806175</v>
      </c>
      <c r="AC255">
        <v>18.510000000000002</v>
      </c>
      <c r="AD255">
        <v>126462</v>
      </c>
      <c r="AE255">
        <v>15937490</v>
      </c>
      <c r="AF255">
        <v>0.13350000000000001</v>
      </c>
      <c r="AG255">
        <v>190</v>
      </c>
      <c r="AH255">
        <v>29083000</v>
      </c>
      <c r="AI255">
        <v>3270</v>
      </c>
      <c r="AJ255">
        <v>551</v>
      </c>
      <c r="AK255" s="37" t="s">
        <v>1329</v>
      </c>
      <c r="AL255" s="37" t="s">
        <v>1735</v>
      </c>
      <c r="AM255" s="37" t="s">
        <v>1736</v>
      </c>
      <c r="AN255" s="37" t="s">
        <v>1737</v>
      </c>
      <c r="AO255" s="37" t="s">
        <v>608</v>
      </c>
      <c r="AP255">
        <v>3</v>
      </c>
      <c r="AQ255">
        <v>7</v>
      </c>
      <c r="AR255">
        <v>26</v>
      </c>
      <c r="AS255">
        <v>65</v>
      </c>
      <c r="AT255">
        <v>1</v>
      </c>
      <c r="AU255" s="115">
        <v>19476</v>
      </c>
      <c r="AV255" s="37" t="s">
        <v>680</v>
      </c>
      <c r="AW255" s="37"/>
      <c r="AX255" s="37"/>
      <c r="AY255" s="37"/>
      <c r="AZ255" s="37">
        <f>developmentdata2019[[#This Row],[NUMBER OF CURRENT APARTMENTS]]*5/2000</f>
        <v>4.835</v>
      </c>
      <c r="BA255" s="37">
        <f>developmentdata2019[[#This Row],[Total]]*BA$1</f>
        <v>1.2571000000000001</v>
      </c>
      <c r="BB255" s="37">
        <f>developmentdata2019[[#This Row],[Trash (tons/day)]]*BB$1</f>
        <v>0.23884900000000003</v>
      </c>
      <c r="BC255" s="37">
        <f>developmentdata2019[[#This Row],[MGP (tons/day)]]*BC$1</f>
        <v>1.6719430000000004E-2</v>
      </c>
      <c r="BD255" s="37">
        <f>developmentdata2019[[#This Row],[Cardboard (tons/day)]]*BD$1</f>
        <v>1.1703601000000003E-3</v>
      </c>
      <c r="BE255" s="37">
        <f>developmentdata2019[[#This Row],[Paper (tons/day)]]*BE$1</f>
        <v>3.7451523200000012E-4</v>
      </c>
      <c r="BF255" s="37">
        <f>developmentdata2019[[#This Row],[Organics (tons/day)]]*BF$1</f>
        <v>3.7451523200000013E-6</v>
      </c>
      <c r="BG255" s="37">
        <f>developmentdata2019[[#This Row],[E-Waste (tons/day)]]*BG$1</f>
        <v>2.9961218560000008E-7</v>
      </c>
      <c r="BH255" s="37">
        <f>developmentdata2019[[#This Row],[Trash (tons/day)]]*BH$1</f>
        <v>26.461955000000003</v>
      </c>
      <c r="BI255" s="37">
        <f>developmentdata2019[[#This Row],[MGP (tons/day)]]*BI$1</f>
        <v>4.3040589800000006</v>
      </c>
      <c r="BJ255" s="37">
        <f>developmentdata2019[[#This Row],[Cardboard (tons/day)]]*BJ$1</f>
        <v>0.44590719810000012</v>
      </c>
      <c r="BK255" s="37">
        <f>developmentdata2019[[#This Row],[Paper (tons/day)]]*BK$1</f>
        <v>7.2445290190000025E-3</v>
      </c>
      <c r="BL255" s="37">
        <f>developmentdata2019[[#This Row],[Organics (tons/day)]]*BL$1</f>
        <v>1.6179058022400006E-3</v>
      </c>
      <c r="BM255" s="37">
        <f>developmentdata2019[[#This Row],[E-Waste (tons/day)]]*BM$1</f>
        <v>2.1160110608000007E-5</v>
      </c>
      <c r="BN255" s="37">
        <f>developmentdata2019[[#This Row],[Textiles (tons/day)]]*BN$1</f>
        <v>3.9938304340480012E-6</v>
      </c>
      <c r="BO255" s="37">
        <f>developmentdata2019[[#This Row],[Trash (CY/day)]]*201.974</f>
        <v>5344.6268991700008</v>
      </c>
      <c r="BP255" s="37">
        <f>developmentdata2019[[#This Row],[MGP (CY/day)]]*201.974</f>
        <v>869.30800842652013</v>
      </c>
      <c r="BQ255" s="37">
        <f>developmentdata2019[[#This Row],[Cardboard (CY/day)]]*201.974</f>
        <v>90.061660429049425</v>
      </c>
      <c r="BR255" s="37">
        <f>developmentdata2019[[#This Row],[Paper  (CY/day)]]*201.974</f>
        <v>1.4632065040835065</v>
      </c>
      <c r="BS255" s="37">
        <f>developmentdata2019[[#This Row],[Organics (CY/day)]]*201.974</f>
        <v>0.32677490650162183</v>
      </c>
      <c r="BT255" s="37">
        <f>developmentdata2019[[#This Row],[E-Waste (CY/day)]]*201.974</f>
        <v>4.2737921799401932E-3</v>
      </c>
      <c r="BU255" s="37">
        <f>developmentdata2019[[#This Row],[Textiles (CY/day)]]*201.974</f>
        <v>8.0664990808641097E-4</v>
      </c>
    </row>
    <row r="256" spans="1:73" x14ac:dyDescent="0.2">
      <c r="A256" s="37" t="s">
        <v>1738</v>
      </c>
      <c r="B256" s="115">
        <v>43466</v>
      </c>
      <c r="C256" s="37" t="s">
        <v>610</v>
      </c>
      <c r="D256">
        <v>67</v>
      </c>
      <c r="E256">
        <v>67</v>
      </c>
      <c r="F256">
        <v>222</v>
      </c>
      <c r="G256">
        <v>222</v>
      </c>
      <c r="H256" s="37" t="s">
        <v>1739</v>
      </c>
      <c r="I256" s="37" t="s">
        <v>577</v>
      </c>
      <c r="J256" s="37" t="s">
        <v>578</v>
      </c>
      <c r="K256" s="37" t="s">
        <v>579</v>
      </c>
      <c r="M256">
        <v>1495</v>
      </c>
      <c r="N256">
        <v>1497</v>
      </c>
      <c r="O256">
        <v>6963.5</v>
      </c>
      <c r="P256">
        <v>4.66</v>
      </c>
      <c r="R256">
        <v>3286</v>
      </c>
      <c r="S256">
        <v>3286</v>
      </c>
      <c r="T256">
        <v>567</v>
      </c>
      <c r="U256">
        <v>0.38400000000000001</v>
      </c>
      <c r="V256">
        <v>28</v>
      </c>
      <c r="W256">
        <v>3</v>
      </c>
      <c r="X256">
        <v>31</v>
      </c>
      <c r="Y256">
        <v>7</v>
      </c>
      <c r="Z256">
        <v>1340519</v>
      </c>
      <c r="AA256">
        <v>30.77</v>
      </c>
      <c r="AB256">
        <v>1340519</v>
      </c>
      <c r="AC256">
        <v>30.77</v>
      </c>
      <c r="AD256">
        <v>190435</v>
      </c>
      <c r="AE256">
        <v>12238008</v>
      </c>
      <c r="AF256">
        <v>0.1421</v>
      </c>
      <c r="AG256">
        <v>107</v>
      </c>
      <c r="AH256">
        <v>17963549</v>
      </c>
      <c r="AI256">
        <v>2564</v>
      </c>
      <c r="AJ256">
        <v>542</v>
      </c>
      <c r="AK256" s="37" t="s">
        <v>612</v>
      </c>
      <c r="AL256" s="37" t="s">
        <v>814</v>
      </c>
      <c r="AM256" s="37" t="s">
        <v>1474</v>
      </c>
      <c r="AN256" s="37" t="s">
        <v>1740</v>
      </c>
      <c r="AO256" s="37" t="s">
        <v>584</v>
      </c>
      <c r="AP256">
        <v>9</v>
      </c>
      <c r="AQ256">
        <v>15</v>
      </c>
      <c r="AR256">
        <v>32</v>
      </c>
      <c r="AS256">
        <v>85</v>
      </c>
      <c r="AT256">
        <v>18</v>
      </c>
      <c r="AU256" s="115">
        <v>20148</v>
      </c>
      <c r="AV256" s="37"/>
      <c r="AW256" s="37"/>
      <c r="AX256" s="37"/>
      <c r="AY256" s="37"/>
      <c r="AZ256" s="37">
        <f>developmentdata2019[[#This Row],[NUMBER OF CURRENT APARTMENTS]]*5/2000</f>
        <v>3.7374999999999998</v>
      </c>
      <c r="BA256" s="37">
        <f>developmentdata2019[[#This Row],[Total]]*BA$1</f>
        <v>0.97175</v>
      </c>
      <c r="BB256" s="37">
        <f>developmentdata2019[[#This Row],[Trash (tons/day)]]*BB$1</f>
        <v>0.1846325</v>
      </c>
      <c r="BC256" s="37">
        <f>developmentdata2019[[#This Row],[MGP (tons/day)]]*BC$1</f>
        <v>1.2924275000000002E-2</v>
      </c>
      <c r="BD256" s="37">
        <f>developmentdata2019[[#This Row],[Cardboard (tons/day)]]*BD$1</f>
        <v>9.0469925000000021E-4</v>
      </c>
      <c r="BE256" s="37">
        <f>developmentdata2019[[#This Row],[Paper (tons/day)]]*BE$1</f>
        <v>2.8950376000000009E-4</v>
      </c>
      <c r="BF256" s="37">
        <f>developmentdata2019[[#This Row],[Organics (tons/day)]]*BF$1</f>
        <v>2.8950376000000011E-6</v>
      </c>
      <c r="BG256" s="37">
        <f>developmentdata2019[[#This Row],[E-Waste (tons/day)]]*BG$1</f>
        <v>2.3160300800000009E-7</v>
      </c>
      <c r="BH256" s="37">
        <f>developmentdata2019[[#This Row],[Trash (tons/day)]]*BH$1</f>
        <v>20.455337500000002</v>
      </c>
      <c r="BI256" s="37">
        <f>developmentdata2019[[#This Row],[MGP (tons/day)]]*BI$1</f>
        <v>3.3270776500000001</v>
      </c>
      <c r="BJ256" s="37">
        <f>developmentdata2019[[#This Row],[Cardboard (tons/day)]]*BJ$1</f>
        <v>0.34469041425000008</v>
      </c>
      <c r="BK256" s="37">
        <f>developmentdata2019[[#This Row],[Paper (tons/day)]]*BK$1</f>
        <v>5.6000883575000014E-3</v>
      </c>
      <c r="BL256" s="37">
        <f>developmentdata2019[[#This Row],[Organics (tons/day)]]*BL$1</f>
        <v>1.2506562432000004E-3</v>
      </c>
      <c r="BM256" s="37">
        <f>developmentdata2019[[#This Row],[E-Waste (tons/day)]]*BM$1</f>
        <v>1.6356962440000008E-5</v>
      </c>
      <c r="BN256" s="37">
        <f>developmentdata2019[[#This Row],[Textiles (tons/day)]]*BN$1</f>
        <v>3.0872680966400011E-6</v>
      </c>
      <c r="BO256" s="37">
        <f>developmentdata2019[[#This Row],[Trash (CY/day)]]*201.974</f>
        <v>4131.4463362249999</v>
      </c>
      <c r="BP256" s="37">
        <f>developmentdata2019[[#This Row],[MGP (CY/day)]]*201.974</f>
        <v>671.98318128109997</v>
      </c>
      <c r="BQ256" s="37">
        <f>developmentdata2019[[#This Row],[Cardboard (CY/day)]]*201.974</f>
        <v>69.618501727729509</v>
      </c>
      <c r="BR256" s="37">
        <f>developmentdata2019[[#This Row],[Paper  (CY/day)]]*201.974</f>
        <v>1.1310722459177052</v>
      </c>
      <c r="BS256" s="37">
        <f>developmentdata2019[[#This Row],[Organics (CY/day)]]*201.974</f>
        <v>0.25260004406407688</v>
      </c>
      <c r="BT256" s="37">
        <f>developmentdata2019[[#This Row],[E-Waste (CY/day)]]*201.974</f>
        <v>3.3036811318565614E-3</v>
      </c>
      <c r="BU256" s="37">
        <f>developmentdata2019[[#This Row],[Textiles (CY/day)]]*201.974</f>
        <v>6.235478865507676E-4</v>
      </c>
    </row>
    <row r="257" spans="1:73" x14ac:dyDescent="0.2">
      <c r="A257" s="37" t="s">
        <v>423</v>
      </c>
      <c r="B257" s="115">
        <v>43466</v>
      </c>
      <c r="C257" s="37" t="s">
        <v>1741</v>
      </c>
      <c r="D257">
        <v>71</v>
      </c>
      <c r="E257">
        <v>71</v>
      </c>
      <c r="F257">
        <v>537</v>
      </c>
      <c r="G257">
        <v>537</v>
      </c>
      <c r="H257" s="37" t="s">
        <v>1742</v>
      </c>
      <c r="I257" s="37" t="s">
        <v>577</v>
      </c>
      <c r="J257" s="37" t="s">
        <v>578</v>
      </c>
      <c r="K257" s="37" t="s">
        <v>579</v>
      </c>
      <c r="M257">
        <v>1258</v>
      </c>
      <c r="N257">
        <v>1259</v>
      </c>
      <c r="O257">
        <v>5863</v>
      </c>
      <c r="P257">
        <v>4.66</v>
      </c>
      <c r="R257">
        <v>2901</v>
      </c>
      <c r="S257">
        <v>2901</v>
      </c>
      <c r="T257">
        <v>493</v>
      </c>
      <c r="U257">
        <v>0.39600000000000002</v>
      </c>
      <c r="V257">
        <v>13</v>
      </c>
      <c r="W257">
        <v>2</v>
      </c>
      <c r="X257">
        <v>28</v>
      </c>
      <c r="Y257">
        <v>7</v>
      </c>
      <c r="Z257">
        <v>1076761</v>
      </c>
      <c r="AA257">
        <v>24.72</v>
      </c>
      <c r="AB257">
        <v>1076761</v>
      </c>
      <c r="AC257">
        <v>24.72</v>
      </c>
      <c r="AD257">
        <v>164048</v>
      </c>
      <c r="AE257">
        <v>10481330</v>
      </c>
      <c r="AF257">
        <v>0.14319999999999999</v>
      </c>
      <c r="AG257">
        <v>117</v>
      </c>
      <c r="AH257">
        <v>13445000</v>
      </c>
      <c r="AI257">
        <v>2308</v>
      </c>
      <c r="AJ257">
        <v>500</v>
      </c>
      <c r="AK257" s="37" t="s">
        <v>1692</v>
      </c>
      <c r="AL257" s="37" t="s">
        <v>917</v>
      </c>
      <c r="AM257" s="37" t="s">
        <v>836</v>
      </c>
      <c r="AN257" s="37" t="s">
        <v>1743</v>
      </c>
      <c r="AO257" s="37" t="s">
        <v>584</v>
      </c>
      <c r="AP257">
        <v>9</v>
      </c>
      <c r="AQ257">
        <v>15</v>
      </c>
      <c r="AR257">
        <v>32</v>
      </c>
      <c r="AS257">
        <v>85</v>
      </c>
      <c r="AT257">
        <v>18</v>
      </c>
      <c r="AU257" s="115">
        <v>20026</v>
      </c>
      <c r="AV257" s="37" t="s">
        <v>680</v>
      </c>
      <c r="AW257" s="37"/>
      <c r="AX257" s="37"/>
      <c r="AY257" s="37"/>
      <c r="AZ257" s="37">
        <f>developmentdata2019[[#This Row],[NUMBER OF CURRENT APARTMENTS]]*5/2000</f>
        <v>3.145</v>
      </c>
      <c r="BA257" s="37">
        <f>developmentdata2019[[#This Row],[Total]]*BA$1</f>
        <v>0.81769999999999998</v>
      </c>
      <c r="BB257" s="37">
        <f>developmentdata2019[[#This Row],[Trash (tons/day)]]*BB$1</f>
        <v>0.155363</v>
      </c>
      <c r="BC257" s="37">
        <f>developmentdata2019[[#This Row],[MGP (tons/day)]]*BC$1</f>
        <v>1.087541E-2</v>
      </c>
      <c r="BD257" s="37">
        <f>developmentdata2019[[#This Row],[Cardboard (tons/day)]]*BD$1</f>
        <v>7.6127870000000013E-4</v>
      </c>
      <c r="BE257" s="37">
        <f>developmentdata2019[[#This Row],[Paper (tons/day)]]*BE$1</f>
        <v>2.4360918400000004E-4</v>
      </c>
      <c r="BF257" s="37">
        <f>developmentdata2019[[#This Row],[Organics (tons/day)]]*BF$1</f>
        <v>2.4360918400000003E-6</v>
      </c>
      <c r="BG257" s="37">
        <f>developmentdata2019[[#This Row],[E-Waste (tons/day)]]*BG$1</f>
        <v>1.9488734720000002E-7</v>
      </c>
      <c r="BH257" s="37">
        <f>developmentdata2019[[#This Row],[Trash (tons/day)]]*BH$1</f>
        <v>17.212585000000001</v>
      </c>
      <c r="BI257" s="37">
        <f>developmentdata2019[[#This Row],[MGP (tons/day)]]*BI$1</f>
        <v>2.79964126</v>
      </c>
      <c r="BJ257" s="37">
        <f>developmentdata2019[[#This Row],[Cardboard (tons/day)]]*BJ$1</f>
        <v>0.29004718470000002</v>
      </c>
      <c r="BK257" s="37">
        <f>developmentdata2019[[#This Row],[Paper (tons/day)]]*BK$1</f>
        <v>4.7123151530000015E-3</v>
      </c>
      <c r="BL257" s="37">
        <f>developmentdata2019[[#This Row],[Organics (tons/day)]]*BL$1</f>
        <v>1.0523916748800002E-3</v>
      </c>
      <c r="BM257" s="37">
        <f>developmentdata2019[[#This Row],[E-Waste (tons/day)]]*BM$1</f>
        <v>1.3763918896000003E-5</v>
      </c>
      <c r="BN257" s="37">
        <f>developmentdata2019[[#This Row],[Textiles (tons/day)]]*BN$1</f>
        <v>2.5978483381760005E-6</v>
      </c>
      <c r="BO257" s="37">
        <f>developmentdata2019[[#This Row],[Trash (CY/day)]]*201.974</f>
        <v>3476.4946427899999</v>
      </c>
      <c r="BP257" s="37">
        <f>developmentdata2019[[#This Row],[MGP (CY/day)]]*201.974</f>
        <v>565.45474384724002</v>
      </c>
      <c r="BQ257" s="37">
        <f>developmentdata2019[[#This Row],[Cardboard (CY/day)]]*201.974</f>
        <v>58.581990082597798</v>
      </c>
      <c r="BR257" s="37">
        <f>developmentdata2019[[#This Row],[Paper  (CY/day)]]*201.974</f>
        <v>0.95176514071202223</v>
      </c>
      <c r="BS257" s="37">
        <f>developmentdata2019[[#This Row],[Organics (CY/day)]]*201.974</f>
        <v>0.21255575614221314</v>
      </c>
      <c r="BT257" s="37">
        <f>developmentdata2019[[#This Row],[E-Waste (CY/day)]]*201.974</f>
        <v>2.7799537551007046E-3</v>
      </c>
      <c r="BU257" s="37">
        <f>developmentdata2019[[#This Row],[Textiles (CY/day)]]*201.974</f>
        <v>5.2469782025475948E-4</v>
      </c>
    </row>
    <row r="258" spans="1:73" x14ac:dyDescent="0.2">
      <c r="A258" s="37" t="s">
        <v>522</v>
      </c>
      <c r="B258" s="115">
        <v>43466</v>
      </c>
      <c r="C258" s="37" t="s">
        <v>1506</v>
      </c>
      <c r="D258">
        <v>35</v>
      </c>
      <c r="E258">
        <v>35</v>
      </c>
      <c r="F258">
        <v>315</v>
      </c>
      <c r="G258">
        <v>315</v>
      </c>
      <c r="H258" s="37" t="s">
        <v>1744</v>
      </c>
      <c r="I258" s="37" t="s">
        <v>577</v>
      </c>
      <c r="J258" s="37" t="s">
        <v>578</v>
      </c>
      <c r="K258" s="37" t="s">
        <v>579</v>
      </c>
      <c r="M258">
        <v>421</v>
      </c>
      <c r="N258">
        <v>422</v>
      </c>
      <c r="O258">
        <v>1936.5</v>
      </c>
      <c r="P258">
        <v>4.5999999999999996</v>
      </c>
      <c r="R258">
        <v>891</v>
      </c>
      <c r="S258">
        <v>891</v>
      </c>
      <c r="T258">
        <v>183</v>
      </c>
      <c r="U258">
        <v>0.441</v>
      </c>
      <c r="V258">
        <v>8</v>
      </c>
      <c r="W258">
        <v>0</v>
      </c>
      <c r="X258">
        <v>15</v>
      </c>
      <c r="Y258">
        <v>6</v>
      </c>
      <c r="Z258">
        <v>708283</v>
      </c>
      <c r="AA258">
        <v>16.260000000000002</v>
      </c>
      <c r="AB258">
        <v>638737</v>
      </c>
      <c r="AC258">
        <v>14.66</v>
      </c>
      <c r="AD258">
        <v>68084</v>
      </c>
      <c r="AE258">
        <v>3921651</v>
      </c>
      <c r="AF258">
        <v>9.6100000000000005E-2</v>
      </c>
      <c r="AG258">
        <v>55</v>
      </c>
      <c r="AH258">
        <v>5377000</v>
      </c>
      <c r="AI258">
        <v>2795</v>
      </c>
      <c r="AJ258">
        <v>479</v>
      </c>
      <c r="AK258" s="37" t="s">
        <v>1745</v>
      </c>
      <c r="AL258" s="37" t="s">
        <v>1746</v>
      </c>
      <c r="AM258" s="37" t="s">
        <v>1747</v>
      </c>
      <c r="AN258" s="37" t="s">
        <v>1748</v>
      </c>
      <c r="AO258" s="37" t="s">
        <v>765</v>
      </c>
      <c r="AP258">
        <v>2</v>
      </c>
      <c r="AQ258">
        <v>11</v>
      </c>
      <c r="AR258">
        <v>23</v>
      </c>
      <c r="AS258">
        <v>64</v>
      </c>
      <c r="AT258">
        <v>50</v>
      </c>
      <c r="AU258" s="115">
        <v>18342</v>
      </c>
      <c r="AV258" s="37" t="s">
        <v>1085</v>
      </c>
      <c r="AW258" s="37"/>
      <c r="AX258" s="37"/>
      <c r="AY258" s="37"/>
      <c r="AZ258" s="37">
        <f>developmentdata2019[[#This Row],[NUMBER OF CURRENT APARTMENTS]]*5/2000</f>
        <v>1.0525</v>
      </c>
      <c r="BA258" s="37">
        <f>developmentdata2019[[#This Row],[Total]]*BA$1</f>
        <v>0.27365</v>
      </c>
      <c r="BB258" s="37">
        <f>developmentdata2019[[#This Row],[Trash (tons/day)]]*BB$1</f>
        <v>5.1993499999999998E-2</v>
      </c>
      <c r="BC258" s="37">
        <f>developmentdata2019[[#This Row],[MGP (tons/day)]]*BC$1</f>
        <v>3.6395450000000001E-3</v>
      </c>
      <c r="BD258" s="37">
        <f>developmentdata2019[[#This Row],[Cardboard (tons/day)]]*BD$1</f>
        <v>2.5476815000000005E-4</v>
      </c>
      <c r="BE258" s="37">
        <f>developmentdata2019[[#This Row],[Paper (tons/day)]]*BE$1</f>
        <v>8.1525808000000013E-5</v>
      </c>
      <c r="BF258" s="37">
        <f>developmentdata2019[[#This Row],[Organics (tons/day)]]*BF$1</f>
        <v>8.1525808000000014E-7</v>
      </c>
      <c r="BG258" s="37">
        <f>developmentdata2019[[#This Row],[E-Waste (tons/day)]]*BG$1</f>
        <v>6.5220646400000018E-8</v>
      </c>
      <c r="BH258" s="37">
        <f>developmentdata2019[[#This Row],[Trash (tons/day)]]*BH$1</f>
        <v>5.7603325000000005</v>
      </c>
      <c r="BI258" s="37">
        <f>developmentdata2019[[#This Row],[MGP (tons/day)]]*BI$1</f>
        <v>0.93692286999999996</v>
      </c>
      <c r="BJ258" s="37">
        <f>developmentdata2019[[#This Row],[Cardboard (tons/day)]]*BJ$1</f>
        <v>9.7066665150000009E-2</v>
      </c>
      <c r="BK258" s="37">
        <f>developmentdata2019[[#This Row],[Paper (tons/day)]]*BK$1</f>
        <v>1.5770148485000004E-3</v>
      </c>
      <c r="BL258" s="37">
        <f>developmentdata2019[[#This Row],[Organics (tons/day)]]*BL$1</f>
        <v>3.5219149056000008E-4</v>
      </c>
      <c r="BM258" s="37">
        <f>developmentdata2019[[#This Row],[E-Waste (tons/day)]]*BM$1</f>
        <v>4.6062081520000008E-6</v>
      </c>
      <c r="BN258" s="37">
        <f>developmentdata2019[[#This Row],[Textiles (tons/day)]]*BN$1</f>
        <v>8.6939121651200028E-7</v>
      </c>
      <c r="BO258" s="37">
        <f>developmentdata2019[[#This Row],[Trash (CY/day)]]*201.974</f>
        <v>1163.4373963550001</v>
      </c>
      <c r="BP258" s="37">
        <f>developmentdata2019[[#This Row],[MGP (CY/day)]]*201.974</f>
        <v>189.23405974537999</v>
      </c>
      <c r="BQ258" s="37">
        <f>developmentdata2019[[#This Row],[Cardboard (CY/day)]]*201.974</f>
        <v>19.6049426270061</v>
      </c>
      <c r="BR258" s="37">
        <f>developmentdata2019[[#This Row],[Paper  (CY/day)]]*201.974</f>
        <v>0.31851599701093908</v>
      </c>
      <c r="BS258" s="37">
        <f>developmentdata2019[[#This Row],[Organics (CY/day)]]*201.974</f>
        <v>7.1133524114365451E-2</v>
      </c>
      <c r="BT258" s="37">
        <f>developmentdata2019[[#This Row],[E-Waste (CY/day)]]*201.974</f>
        <v>9.3033428529204812E-4</v>
      </c>
      <c r="BU258" s="37">
        <f>developmentdata2019[[#This Row],[Textiles (CY/day)]]*201.974</f>
        <v>1.7559442156379472E-4</v>
      </c>
    </row>
    <row r="259" spans="1:73" x14ac:dyDescent="0.2">
      <c r="A259" s="37" t="s">
        <v>1749</v>
      </c>
      <c r="B259" s="115">
        <v>43466</v>
      </c>
      <c r="C259" s="37" t="s">
        <v>929</v>
      </c>
      <c r="D259">
        <v>305</v>
      </c>
      <c r="E259">
        <v>342</v>
      </c>
      <c r="F259">
        <v>550</v>
      </c>
      <c r="G259">
        <v>753</v>
      </c>
      <c r="H259" s="37" t="s">
        <v>1750</v>
      </c>
      <c r="I259" s="37" t="s">
        <v>577</v>
      </c>
      <c r="J259" s="37" t="s">
        <v>588</v>
      </c>
      <c r="K259" s="37" t="s">
        <v>579</v>
      </c>
      <c r="M259">
        <v>112</v>
      </c>
      <c r="N259">
        <v>114</v>
      </c>
      <c r="O259">
        <v>592</v>
      </c>
      <c r="P259">
        <v>5.29</v>
      </c>
      <c r="R259">
        <v>383</v>
      </c>
      <c r="S259">
        <v>383</v>
      </c>
      <c r="T259">
        <v>18</v>
      </c>
      <c r="U259">
        <v>0.16200000000000001</v>
      </c>
      <c r="V259">
        <v>4</v>
      </c>
      <c r="W259">
        <v>0</v>
      </c>
      <c r="X259">
        <v>19</v>
      </c>
      <c r="Y259">
        <v>3</v>
      </c>
      <c r="Z259">
        <v>149500</v>
      </c>
      <c r="AA259">
        <v>3.43</v>
      </c>
      <c r="AB259">
        <v>149500</v>
      </c>
      <c r="AC259">
        <v>3.43</v>
      </c>
      <c r="AD259">
        <v>41764</v>
      </c>
      <c r="AE259">
        <v>1301202</v>
      </c>
      <c r="AF259">
        <v>0.27939999999999998</v>
      </c>
      <c r="AG259">
        <v>112</v>
      </c>
      <c r="AH259">
        <v>8902455</v>
      </c>
      <c r="AI259">
        <v>14764</v>
      </c>
      <c r="AJ259">
        <v>636</v>
      </c>
      <c r="AK259" s="37" t="s">
        <v>1307</v>
      </c>
      <c r="AL259" s="37" t="s">
        <v>1050</v>
      </c>
      <c r="AM259" s="37" t="s">
        <v>1695</v>
      </c>
      <c r="AN259" s="37" t="s">
        <v>1048</v>
      </c>
      <c r="AO259" s="37" t="s">
        <v>584</v>
      </c>
      <c r="AP259">
        <v>1</v>
      </c>
      <c r="AQ259">
        <v>15</v>
      </c>
      <c r="AR259">
        <v>32</v>
      </c>
      <c r="AS259">
        <v>79</v>
      </c>
      <c r="AT259">
        <v>17</v>
      </c>
      <c r="AU259" s="115">
        <v>32264</v>
      </c>
      <c r="AV259" s="37"/>
      <c r="AW259" s="37"/>
      <c r="AX259" s="37" t="s">
        <v>621</v>
      </c>
      <c r="AY259" s="37"/>
      <c r="AZ259" s="37">
        <f>developmentdata2019[[#This Row],[NUMBER OF CURRENT APARTMENTS]]*5/2000</f>
        <v>0.28000000000000003</v>
      </c>
      <c r="BA259" s="37">
        <f>developmentdata2019[[#This Row],[Total]]*BA$1</f>
        <v>7.2800000000000004E-2</v>
      </c>
      <c r="BB259" s="37">
        <f>developmentdata2019[[#This Row],[Trash (tons/day)]]*BB$1</f>
        <v>1.3832000000000001E-2</v>
      </c>
      <c r="BC259" s="37">
        <f>developmentdata2019[[#This Row],[MGP (tons/day)]]*BC$1</f>
        <v>9.6824000000000009E-4</v>
      </c>
      <c r="BD259" s="37">
        <f>developmentdata2019[[#This Row],[Cardboard (tons/day)]]*BD$1</f>
        <v>6.7776800000000011E-5</v>
      </c>
      <c r="BE259" s="37">
        <f>developmentdata2019[[#This Row],[Paper (tons/day)]]*BE$1</f>
        <v>2.1688576000000005E-5</v>
      </c>
      <c r="BF259" s="37">
        <f>developmentdata2019[[#This Row],[Organics (tons/day)]]*BF$1</f>
        <v>2.1688576000000006E-7</v>
      </c>
      <c r="BG259" s="37">
        <f>developmentdata2019[[#This Row],[E-Waste (tons/day)]]*BG$1</f>
        <v>1.7350860800000006E-8</v>
      </c>
      <c r="BH259" s="37">
        <f>developmentdata2019[[#This Row],[Trash (tons/day)]]*BH$1</f>
        <v>1.53244</v>
      </c>
      <c r="BI259" s="37">
        <f>developmentdata2019[[#This Row],[MGP (tons/day)]]*BI$1</f>
        <v>0.24925264</v>
      </c>
      <c r="BJ259" s="37">
        <f>developmentdata2019[[#This Row],[Cardboard (tons/day)]]*BJ$1</f>
        <v>2.5822960800000003E-2</v>
      </c>
      <c r="BK259" s="37">
        <f>developmentdata2019[[#This Row],[Paper (tons/day)]]*BK$1</f>
        <v>4.1953839200000012E-4</v>
      </c>
      <c r="BL259" s="37">
        <f>developmentdata2019[[#This Row],[Organics (tons/day)]]*BL$1</f>
        <v>9.3694648320000035E-5</v>
      </c>
      <c r="BM259" s="37">
        <f>developmentdata2019[[#This Row],[E-Waste (tons/day)]]*BM$1</f>
        <v>1.2254045440000003E-6</v>
      </c>
      <c r="BN259" s="37">
        <f>developmentdata2019[[#This Row],[Textiles (tons/day)]]*BN$1</f>
        <v>2.3128697446400008E-7</v>
      </c>
      <c r="BO259" s="37">
        <f>developmentdata2019[[#This Row],[Trash (CY/day)]]*201.974</f>
        <v>309.51303655999999</v>
      </c>
      <c r="BP259" s="37">
        <f>developmentdata2019[[#This Row],[MGP (CY/day)]]*201.974</f>
        <v>50.34255271136</v>
      </c>
      <c r="BQ259" s="37">
        <f>developmentdata2019[[#This Row],[Cardboard (CY/day)]]*201.974</f>
        <v>5.2155666846192004</v>
      </c>
      <c r="BR259" s="37">
        <f>developmentdata2019[[#This Row],[Paper  (CY/day)]]*201.974</f>
        <v>8.4735847185808025E-2</v>
      </c>
      <c r="BS259" s="37">
        <f>developmentdata2019[[#This Row],[Organics (CY/day)]]*201.974</f>
        <v>1.8923882899783685E-2</v>
      </c>
      <c r="BT259" s="37">
        <f>developmentdata2019[[#This Row],[E-Waste (CY/day)]]*201.974</f>
        <v>2.4749985736985603E-4</v>
      </c>
      <c r="BU259" s="37">
        <f>developmentdata2019[[#This Row],[Textiles (CY/day)]]*201.974</f>
        <v>4.671395538039195E-5</v>
      </c>
    </row>
    <row r="260" spans="1:73" x14ac:dyDescent="0.2">
      <c r="A260" s="37" t="s">
        <v>1751</v>
      </c>
      <c r="B260" s="115">
        <v>43466</v>
      </c>
      <c r="C260" s="37" t="s">
        <v>1752</v>
      </c>
      <c r="D260">
        <v>8</v>
      </c>
      <c r="E260">
        <v>8</v>
      </c>
      <c r="F260">
        <v>206</v>
      </c>
      <c r="G260">
        <v>206</v>
      </c>
      <c r="H260" s="37" t="s">
        <v>1753</v>
      </c>
      <c r="I260" s="37" t="s">
        <v>577</v>
      </c>
      <c r="J260" s="37" t="s">
        <v>578</v>
      </c>
      <c r="K260" s="37" t="s">
        <v>579</v>
      </c>
      <c r="M260">
        <v>448</v>
      </c>
      <c r="N260">
        <v>448</v>
      </c>
      <c r="O260">
        <v>1797</v>
      </c>
      <c r="P260">
        <v>4.01</v>
      </c>
      <c r="R260">
        <v>841</v>
      </c>
      <c r="S260">
        <v>841</v>
      </c>
      <c r="T260">
        <v>144</v>
      </c>
      <c r="U260">
        <v>0.33900000000000002</v>
      </c>
      <c r="V260">
        <v>11</v>
      </c>
      <c r="W260">
        <v>1</v>
      </c>
      <c r="X260">
        <v>33</v>
      </c>
      <c r="Y260">
        <v>43528</v>
      </c>
      <c r="Z260">
        <v>392989</v>
      </c>
      <c r="AA260">
        <v>9.02</v>
      </c>
      <c r="AB260">
        <v>392989</v>
      </c>
      <c r="AC260">
        <v>9.02</v>
      </c>
      <c r="AD260">
        <v>82310</v>
      </c>
      <c r="AE260">
        <v>2940659</v>
      </c>
      <c r="AF260">
        <v>0.2094</v>
      </c>
      <c r="AG260">
        <v>93</v>
      </c>
      <c r="AH260">
        <v>2117392</v>
      </c>
      <c r="AI260">
        <v>1182</v>
      </c>
      <c r="AJ260">
        <v>515</v>
      </c>
      <c r="AK260" s="37" t="s">
        <v>1754</v>
      </c>
      <c r="AL260" s="37" t="s">
        <v>1755</v>
      </c>
      <c r="AM260" s="37" t="s">
        <v>1756</v>
      </c>
      <c r="AN260" s="37" t="s">
        <v>1757</v>
      </c>
      <c r="AO260" s="37" t="s">
        <v>703</v>
      </c>
      <c r="AP260">
        <v>12</v>
      </c>
      <c r="AQ260">
        <v>5</v>
      </c>
      <c r="AR260" t="s">
        <v>727</v>
      </c>
      <c r="AS260">
        <v>32</v>
      </c>
      <c r="AT260">
        <v>28</v>
      </c>
      <c r="AU260" s="115">
        <v>14824</v>
      </c>
      <c r="AV260" s="37"/>
      <c r="AW260" s="37"/>
      <c r="AX260" s="37"/>
      <c r="AY260" s="37"/>
      <c r="AZ260" s="37">
        <f>developmentdata2019[[#This Row],[NUMBER OF CURRENT APARTMENTS]]*5/2000</f>
        <v>1.1200000000000001</v>
      </c>
      <c r="BA260" s="37">
        <f>developmentdata2019[[#This Row],[Total]]*BA$1</f>
        <v>0.29120000000000001</v>
      </c>
      <c r="BB260" s="37">
        <f>developmentdata2019[[#This Row],[Trash (tons/day)]]*BB$1</f>
        <v>5.5328000000000002E-2</v>
      </c>
      <c r="BC260" s="37">
        <f>developmentdata2019[[#This Row],[MGP (tons/day)]]*BC$1</f>
        <v>3.8729600000000004E-3</v>
      </c>
      <c r="BD260" s="37">
        <f>developmentdata2019[[#This Row],[Cardboard (tons/day)]]*BD$1</f>
        <v>2.7110720000000005E-4</v>
      </c>
      <c r="BE260" s="37">
        <f>developmentdata2019[[#This Row],[Paper (tons/day)]]*BE$1</f>
        <v>8.6754304000000022E-5</v>
      </c>
      <c r="BF260" s="37">
        <f>developmentdata2019[[#This Row],[Organics (tons/day)]]*BF$1</f>
        <v>8.6754304000000023E-7</v>
      </c>
      <c r="BG260" s="37">
        <f>developmentdata2019[[#This Row],[E-Waste (tons/day)]]*BG$1</f>
        <v>6.9403443200000025E-8</v>
      </c>
      <c r="BH260" s="37">
        <f>developmentdata2019[[#This Row],[Trash (tons/day)]]*BH$1</f>
        <v>6.1297600000000001</v>
      </c>
      <c r="BI260" s="37">
        <f>developmentdata2019[[#This Row],[MGP (tons/day)]]*BI$1</f>
        <v>0.99701055999999999</v>
      </c>
      <c r="BJ260" s="37">
        <f>developmentdata2019[[#This Row],[Cardboard (tons/day)]]*BJ$1</f>
        <v>0.10329184320000001</v>
      </c>
      <c r="BK260" s="37">
        <f>developmentdata2019[[#This Row],[Paper (tons/day)]]*BK$1</f>
        <v>1.6781535680000005E-3</v>
      </c>
      <c r="BL260" s="37">
        <f>developmentdata2019[[#This Row],[Organics (tons/day)]]*BL$1</f>
        <v>3.7477859328000014E-4</v>
      </c>
      <c r="BM260" s="37">
        <f>developmentdata2019[[#This Row],[E-Waste (tons/day)]]*BM$1</f>
        <v>4.9016181760000014E-6</v>
      </c>
      <c r="BN260" s="37">
        <f>developmentdata2019[[#This Row],[Textiles (tons/day)]]*BN$1</f>
        <v>9.2514789785600032E-7</v>
      </c>
      <c r="BO260" s="37">
        <f>developmentdata2019[[#This Row],[Trash (CY/day)]]*201.974</f>
        <v>1238.05214624</v>
      </c>
      <c r="BP260" s="37">
        <f>developmentdata2019[[#This Row],[MGP (CY/day)]]*201.974</f>
        <v>201.37021084544</v>
      </c>
      <c r="BQ260" s="37">
        <f>developmentdata2019[[#This Row],[Cardboard (CY/day)]]*201.974</f>
        <v>20.862266738476801</v>
      </c>
      <c r="BR260" s="37">
        <f>developmentdata2019[[#This Row],[Paper  (CY/day)]]*201.974</f>
        <v>0.3389433887432321</v>
      </c>
      <c r="BS260" s="37">
        <f>developmentdata2019[[#This Row],[Organics (CY/day)]]*201.974</f>
        <v>7.5695531599134738E-2</v>
      </c>
      <c r="BT260" s="37">
        <f>developmentdata2019[[#This Row],[E-Waste (CY/day)]]*201.974</f>
        <v>9.8999942947942412E-4</v>
      </c>
      <c r="BU260" s="37">
        <f>developmentdata2019[[#This Row],[Textiles (CY/day)]]*201.974</f>
        <v>1.868558215215678E-4</v>
      </c>
    </row>
    <row r="261" spans="1:73" x14ac:dyDescent="0.2">
      <c r="A261" s="37" t="s">
        <v>1758</v>
      </c>
      <c r="B261" s="115">
        <v>43466</v>
      </c>
      <c r="C261" s="37" t="s">
        <v>1752</v>
      </c>
      <c r="D261">
        <v>66</v>
      </c>
      <c r="E261">
        <v>8</v>
      </c>
      <c r="F261">
        <v>220</v>
      </c>
      <c r="G261">
        <v>206</v>
      </c>
      <c r="H261" s="37" t="s">
        <v>1759</v>
      </c>
      <c r="I261" s="37" t="s">
        <v>577</v>
      </c>
      <c r="J261" s="37" t="s">
        <v>578</v>
      </c>
      <c r="K261" s="37" t="s">
        <v>579</v>
      </c>
      <c r="M261">
        <v>598</v>
      </c>
      <c r="N261">
        <v>600</v>
      </c>
      <c r="O261">
        <v>2811</v>
      </c>
      <c r="P261">
        <v>4.7</v>
      </c>
      <c r="R261">
        <v>1449</v>
      </c>
      <c r="S261">
        <v>1449</v>
      </c>
      <c r="T261">
        <v>166</v>
      </c>
      <c r="U261">
        <v>0.28299999999999997</v>
      </c>
      <c r="V261">
        <v>16</v>
      </c>
      <c r="W261">
        <v>0</v>
      </c>
      <c r="X261">
        <v>27</v>
      </c>
      <c r="Y261">
        <v>43531</v>
      </c>
      <c r="Z261">
        <v>579217</v>
      </c>
      <c r="AA261">
        <v>13.3</v>
      </c>
      <c r="AB261">
        <v>579217</v>
      </c>
      <c r="AC261">
        <v>13.36</v>
      </c>
      <c r="AD261">
        <v>116506</v>
      </c>
      <c r="AE261">
        <v>5268542</v>
      </c>
      <c r="AF261">
        <v>0.2011</v>
      </c>
      <c r="AG261">
        <v>109</v>
      </c>
      <c r="AH261">
        <v>8541145</v>
      </c>
      <c r="AI261">
        <v>3030</v>
      </c>
      <c r="AJ261">
        <v>592</v>
      </c>
      <c r="AK261" s="37" t="s">
        <v>1755</v>
      </c>
      <c r="AL261" s="37" t="s">
        <v>1756</v>
      </c>
      <c r="AM261" s="37" t="s">
        <v>1760</v>
      </c>
      <c r="AN261" s="37" t="s">
        <v>1754</v>
      </c>
      <c r="AO261" s="37" t="s">
        <v>703</v>
      </c>
      <c r="AP261">
        <v>12</v>
      </c>
      <c r="AQ261">
        <v>5</v>
      </c>
      <c r="AR261" t="s">
        <v>727</v>
      </c>
      <c r="AS261">
        <v>32</v>
      </c>
      <c r="AT261">
        <v>28</v>
      </c>
      <c r="AU261" s="115">
        <v>20022</v>
      </c>
      <c r="AV261" s="37"/>
      <c r="AW261" s="37"/>
      <c r="AX261" s="37"/>
      <c r="AY261" s="37"/>
      <c r="AZ261" s="37">
        <f>developmentdata2019[[#This Row],[NUMBER OF CURRENT APARTMENTS]]*5/2000</f>
        <v>1.4950000000000001</v>
      </c>
      <c r="BA261" s="37">
        <f>developmentdata2019[[#This Row],[Total]]*BA$1</f>
        <v>0.38870000000000005</v>
      </c>
      <c r="BB261" s="37">
        <f>developmentdata2019[[#This Row],[Trash (tons/day)]]*BB$1</f>
        <v>7.3853000000000016E-2</v>
      </c>
      <c r="BC261" s="37">
        <f>developmentdata2019[[#This Row],[MGP (tons/day)]]*BC$1</f>
        <v>5.1697100000000018E-3</v>
      </c>
      <c r="BD261" s="37">
        <f>developmentdata2019[[#This Row],[Cardboard (tons/day)]]*BD$1</f>
        <v>3.6187970000000014E-4</v>
      </c>
      <c r="BE261" s="37">
        <f>developmentdata2019[[#This Row],[Paper (tons/day)]]*BE$1</f>
        <v>1.1580150400000004E-4</v>
      </c>
      <c r="BF261" s="37">
        <f>developmentdata2019[[#This Row],[Organics (tons/day)]]*BF$1</f>
        <v>1.1580150400000005E-6</v>
      </c>
      <c r="BG261" s="37">
        <f>developmentdata2019[[#This Row],[E-Waste (tons/day)]]*BG$1</f>
        <v>9.264120320000004E-8</v>
      </c>
      <c r="BH261" s="37">
        <f>developmentdata2019[[#This Row],[Trash (tons/day)]]*BH$1</f>
        <v>8.1821350000000006</v>
      </c>
      <c r="BI261" s="37">
        <f>developmentdata2019[[#This Row],[MGP (tons/day)]]*BI$1</f>
        <v>1.3308310600000002</v>
      </c>
      <c r="BJ261" s="37">
        <f>developmentdata2019[[#This Row],[Cardboard (tons/day)]]*BJ$1</f>
        <v>0.13787616570000005</v>
      </c>
      <c r="BK261" s="37">
        <f>developmentdata2019[[#This Row],[Paper (tons/day)]]*BK$1</f>
        <v>2.2400353430000008E-3</v>
      </c>
      <c r="BL261" s="37">
        <f>developmentdata2019[[#This Row],[Organics (tons/day)]]*BL$1</f>
        <v>5.0026249728000018E-4</v>
      </c>
      <c r="BM261" s="37">
        <f>developmentdata2019[[#This Row],[E-Waste (tons/day)]]*BM$1</f>
        <v>6.5427849760000034E-6</v>
      </c>
      <c r="BN261" s="37">
        <f>developmentdata2019[[#This Row],[Textiles (tons/day)]]*BN$1</f>
        <v>1.2349072386560006E-6</v>
      </c>
      <c r="BO261" s="37">
        <f>developmentdata2019[[#This Row],[Trash (CY/day)]]*201.974</f>
        <v>1652.57853449</v>
      </c>
      <c r="BP261" s="37">
        <f>developmentdata2019[[#This Row],[MGP (CY/day)]]*201.974</f>
        <v>268.79327251244001</v>
      </c>
      <c r="BQ261" s="37">
        <f>developmentdata2019[[#This Row],[Cardboard (CY/day)]]*201.974</f>
        <v>27.84740069109181</v>
      </c>
      <c r="BR261" s="37">
        <f>developmentdata2019[[#This Row],[Paper  (CY/day)]]*201.974</f>
        <v>0.45242889836708217</v>
      </c>
      <c r="BS261" s="37">
        <f>developmentdata2019[[#This Row],[Organics (CY/day)]]*201.974</f>
        <v>0.10104001762563075</v>
      </c>
      <c r="BT261" s="37">
        <f>developmentdata2019[[#This Row],[E-Waste (CY/day)]]*201.974</f>
        <v>1.3214724527426246E-3</v>
      </c>
      <c r="BU261" s="37">
        <f>developmentdata2019[[#This Row],[Textiles (CY/day)]]*201.974</f>
        <v>2.4941915462030703E-4</v>
      </c>
    </row>
    <row r="262" spans="1:73" x14ac:dyDescent="0.2">
      <c r="A262" s="37" t="s">
        <v>1761</v>
      </c>
      <c r="B262" s="115">
        <v>43466</v>
      </c>
      <c r="C262" s="37" t="s">
        <v>616</v>
      </c>
      <c r="D262">
        <v>559</v>
      </c>
      <c r="E262">
        <v>359</v>
      </c>
      <c r="F262">
        <v>841</v>
      </c>
      <c r="G262">
        <v>840</v>
      </c>
      <c r="H262" s="37" t="s">
        <v>1762</v>
      </c>
      <c r="I262" s="37" t="s">
        <v>577</v>
      </c>
      <c r="J262" s="37" t="s">
        <v>588</v>
      </c>
      <c r="K262" s="37" t="s">
        <v>579</v>
      </c>
      <c r="M262">
        <v>13</v>
      </c>
      <c r="N262">
        <v>13</v>
      </c>
      <c r="O262">
        <v>66.5</v>
      </c>
      <c r="P262">
        <v>5.12</v>
      </c>
      <c r="R262">
        <v>35</v>
      </c>
      <c r="S262">
        <v>35</v>
      </c>
      <c r="T262">
        <v>2</v>
      </c>
      <c r="U262">
        <v>0.154</v>
      </c>
      <c r="V262">
        <v>1</v>
      </c>
      <c r="W262">
        <v>0</v>
      </c>
      <c r="X262">
        <v>1</v>
      </c>
      <c r="Y262">
        <v>6</v>
      </c>
      <c r="Z262">
        <v>5000</v>
      </c>
      <c r="AA262">
        <v>0.11</v>
      </c>
      <c r="AB262">
        <v>5000</v>
      </c>
      <c r="AC262">
        <v>0.11</v>
      </c>
      <c r="AD262">
        <v>3600</v>
      </c>
      <c r="AF262">
        <v>0.72</v>
      </c>
      <c r="AG262">
        <v>318</v>
      </c>
      <c r="AH262">
        <v>4561538</v>
      </c>
      <c r="AI262">
        <v>68595</v>
      </c>
      <c r="AJ262">
        <v>468</v>
      </c>
      <c r="AK262" s="37" t="s">
        <v>1763</v>
      </c>
      <c r="AL262" s="37" t="s">
        <v>1195</v>
      </c>
      <c r="AM262" s="37" t="s">
        <v>1764</v>
      </c>
      <c r="AN262" s="37"/>
      <c r="AO262" s="37" t="s">
        <v>608</v>
      </c>
      <c r="AP262">
        <v>3</v>
      </c>
      <c r="AQ262">
        <v>12</v>
      </c>
      <c r="AR262">
        <v>26</v>
      </c>
      <c r="AS262">
        <v>65</v>
      </c>
      <c r="AT262">
        <v>1</v>
      </c>
      <c r="AU262" s="115">
        <v>37956</v>
      </c>
      <c r="AV262" s="37"/>
      <c r="AW262" s="37"/>
      <c r="AX262" s="37" t="s">
        <v>621</v>
      </c>
      <c r="AY262" s="37" t="s">
        <v>621</v>
      </c>
      <c r="AZ262" s="37">
        <f>developmentdata2019[[#This Row],[NUMBER OF CURRENT APARTMENTS]]*5/2000</f>
        <v>3.2500000000000001E-2</v>
      </c>
      <c r="BA262" s="37">
        <f>developmentdata2019[[#This Row],[Total]]*BA$1</f>
        <v>8.4500000000000009E-3</v>
      </c>
      <c r="BB262" s="37">
        <f>developmentdata2019[[#This Row],[Trash (tons/day)]]*BB$1</f>
        <v>1.6055000000000002E-3</v>
      </c>
      <c r="BC262" s="37">
        <f>developmentdata2019[[#This Row],[MGP (tons/day)]]*BC$1</f>
        <v>1.1238500000000002E-4</v>
      </c>
      <c r="BD262" s="37">
        <f>developmentdata2019[[#This Row],[Cardboard (tons/day)]]*BD$1</f>
        <v>7.8669500000000027E-6</v>
      </c>
      <c r="BE262" s="37">
        <f>developmentdata2019[[#This Row],[Paper (tons/day)]]*BE$1</f>
        <v>2.5174240000000009E-6</v>
      </c>
      <c r="BF262" s="37">
        <f>developmentdata2019[[#This Row],[Organics (tons/day)]]*BF$1</f>
        <v>2.5174240000000008E-8</v>
      </c>
      <c r="BG262" s="37">
        <f>developmentdata2019[[#This Row],[E-Waste (tons/day)]]*BG$1</f>
        <v>2.0139392000000008E-9</v>
      </c>
      <c r="BH262" s="37">
        <f>developmentdata2019[[#This Row],[Trash (tons/day)]]*BH$1</f>
        <v>0.17787250000000002</v>
      </c>
      <c r="BI262" s="37">
        <f>developmentdata2019[[#This Row],[MGP (tons/day)]]*BI$1</f>
        <v>2.8931110000000003E-2</v>
      </c>
      <c r="BJ262" s="37">
        <f>developmentdata2019[[#This Row],[Cardboard (tons/day)]]*BJ$1</f>
        <v>2.9973079500000008E-3</v>
      </c>
      <c r="BK262" s="37">
        <f>developmentdata2019[[#This Row],[Paper (tons/day)]]*BK$1</f>
        <v>4.8696420500000017E-5</v>
      </c>
      <c r="BL262" s="37">
        <f>developmentdata2019[[#This Row],[Organics (tons/day)]]*BL$1</f>
        <v>1.0875271680000005E-5</v>
      </c>
      <c r="BM262" s="37">
        <f>developmentdata2019[[#This Row],[E-Waste (tons/day)]]*BM$1</f>
        <v>1.4223445600000004E-7</v>
      </c>
      <c r="BN262" s="37">
        <f>developmentdata2019[[#This Row],[Textiles (tons/day)]]*BN$1</f>
        <v>2.684580953600001E-8</v>
      </c>
      <c r="BO262" s="37">
        <f>developmentdata2019[[#This Row],[Trash (CY/day)]]*201.974</f>
        <v>35.925620315000003</v>
      </c>
      <c r="BP262" s="37">
        <f>developmentdata2019[[#This Row],[MGP (CY/day)]]*201.974</f>
        <v>5.8433320111400002</v>
      </c>
      <c r="BQ262" s="37">
        <f>developmentdata2019[[#This Row],[Cardboard (CY/day)]]*201.974</f>
        <v>0.60537827589330018</v>
      </c>
      <c r="BR262" s="37">
        <f>developmentdata2019[[#This Row],[Paper  (CY/day)]]*201.974</f>
        <v>9.8354108340670023E-3</v>
      </c>
      <c r="BS262" s="37">
        <f>developmentdata2019[[#This Row],[Organics (CY/day)]]*201.974</f>
        <v>2.1965221222963209E-3</v>
      </c>
      <c r="BT262" s="37">
        <f>developmentdata2019[[#This Row],[E-Waste (CY/day)]]*201.974</f>
        <v>2.8727662016144006E-5</v>
      </c>
      <c r="BU262" s="37">
        <f>developmentdata2019[[#This Row],[Textiles (CY/day)]]*201.974</f>
        <v>5.4221555352240662E-6</v>
      </c>
    </row>
    <row r="263" spans="1:73" x14ac:dyDescent="0.2">
      <c r="A263" s="37" t="s">
        <v>517</v>
      </c>
      <c r="B263" s="115">
        <v>43466</v>
      </c>
      <c r="C263" s="37" t="s">
        <v>1765</v>
      </c>
      <c r="D263">
        <v>114</v>
      </c>
      <c r="E263">
        <v>114</v>
      </c>
      <c r="F263">
        <v>436</v>
      </c>
      <c r="G263">
        <v>436</v>
      </c>
      <c r="H263" s="37" t="s">
        <v>1766</v>
      </c>
      <c r="I263" s="37" t="s">
        <v>683</v>
      </c>
      <c r="J263" s="37" t="s">
        <v>578</v>
      </c>
      <c r="K263" s="37" t="s">
        <v>579</v>
      </c>
      <c r="L263">
        <v>125</v>
      </c>
      <c r="M263">
        <v>693</v>
      </c>
      <c r="N263">
        <v>693</v>
      </c>
      <c r="O263">
        <v>3358.5</v>
      </c>
      <c r="P263">
        <v>4.8499999999999996</v>
      </c>
      <c r="Q263">
        <v>355</v>
      </c>
      <c r="R263">
        <v>1711</v>
      </c>
      <c r="S263">
        <v>2066</v>
      </c>
      <c r="T263">
        <v>202</v>
      </c>
      <c r="U263">
        <v>0.30599999999999999</v>
      </c>
      <c r="V263">
        <v>6</v>
      </c>
      <c r="W263">
        <v>1</v>
      </c>
      <c r="X263">
        <v>12</v>
      </c>
      <c r="Y263" t="s">
        <v>1767</v>
      </c>
      <c r="Z263">
        <v>734857</v>
      </c>
      <c r="AA263">
        <v>16.87</v>
      </c>
      <c r="AB263">
        <v>611147</v>
      </c>
      <c r="AC263">
        <v>14.03</v>
      </c>
      <c r="AD263">
        <v>76976</v>
      </c>
      <c r="AE263">
        <v>6441281</v>
      </c>
      <c r="AF263">
        <v>0.1047</v>
      </c>
      <c r="AG263">
        <v>122</v>
      </c>
      <c r="AH263">
        <v>12271000</v>
      </c>
      <c r="AI263">
        <v>3654</v>
      </c>
      <c r="AJ263">
        <v>521</v>
      </c>
      <c r="AK263" s="37" t="s">
        <v>1768</v>
      </c>
      <c r="AL263" s="37" t="s">
        <v>697</v>
      </c>
      <c r="AM263" s="37" t="s">
        <v>651</v>
      </c>
      <c r="AN263" s="37" t="s">
        <v>1769</v>
      </c>
      <c r="AO263" s="37" t="s">
        <v>765</v>
      </c>
      <c r="AP263">
        <v>1</v>
      </c>
      <c r="AQ263">
        <v>11</v>
      </c>
      <c r="AR263">
        <v>23</v>
      </c>
      <c r="AS263">
        <v>61</v>
      </c>
      <c r="AT263">
        <v>49</v>
      </c>
      <c r="AU263" s="115">
        <v>22797</v>
      </c>
      <c r="AV263" s="37"/>
      <c r="AW263" s="37"/>
      <c r="AX263" s="37"/>
      <c r="AY263" s="37"/>
      <c r="AZ263" s="37">
        <f>developmentdata2019[[#This Row],[NUMBER OF CURRENT APARTMENTS]]*5/2000</f>
        <v>1.7324999999999999</v>
      </c>
      <c r="BA263" s="37">
        <f>developmentdata2019[[#This Row],[Total]]*BA$1</f>
        <v>0.45045000000000002</v>
      </c>
      <c r="BB263" s="37">
        <f>developmentdata2019[[#This Row],[Trash (tons/day)]]*BB$1</f>
        <v>8.5585500000000009E-2</v>
      </c>
      <c r="BC263" s="37">
        <f>developmentdata2019[[#This Row],[MGP (tons/day)]]*BC$1</f>
        <v>5.9909850000000008E-3</v>
      </c>
      <c r="BD263" s="37">
        <f>developmentdata2019[[#This Row],[Cardboard (tons/day)]]*BD$1</f>
        <v>4.1936895000000009E-4</v>
      </c>
      <c r="BE263" s="37">
        <f>developmentdata2019[[#This Row],[Paper (tons/day)]]*BE$1</f>
        <v>1.3419806400000002E-4</v>
      </c>
      <c r="BF263" s="37">
        <f>developmentdata2019[[#This Row],[Organics (tons/day)]]*BF$1</f>
        <v>1.3419806400000003E-6</v>
      </c>
      <c r="BG263" s="37">
        <f>developmentdata2019[[#This Row],[E-Waste (tons/day)]]*BG$1</f>
        <v>1.0735845120000003E-7</v>
      </c>
      <c r="BH263" s="37">
        <f>developmentdata2019[[#This Row],[Trash (tons/day)]]*BH$1</f>
        <v>9.4819725000000012</v>
      </c>
      <c r="BI263" s="37">
        <f>developmentdata2019[[#This Row],[MGP (tons/day)]]*BI$1</f>
        <v>1.54225071</v>
      </c>
      <c r="BJ263" s="37">
        <f>developmentdata2019[[#This Row],[Cardboard (tons/day)]]*BJ$1</f>
        <v>0.15977956995000003</v>
      </c>
      <c r="BK263" s="37">
        <f>developmentdata2019[[#This Row],[Paper (tons/day)]]*BK$1</f>
        <v>2.5958938005000006E-3</v>
      </c>
      <c r="BL263" s="37">
        <f>developmentdata2019[[#This Row],[Organics (tons/day)]]*BL$1</f>
        <v>5.7973563648000017E-4</v>
      </c>
      <c r="BM263" s="37">
        <f>developmentdata2019[[#This Row],[E-Waste (tons/day)]]*BM$1</f>
        <v>7.5821906160000024E-6</v>
      </c>
      <c r="BN263" s="37">
        <f>developmentdata2019[[#This Row],[Textiles (tons/day)]]*BN$1</f>
        <v>1.4310881544960004E-6</v>
      </c>
      <c r="BO263" s="37">
        <f>developmentdata2019[[#This Row],[Trash (CY/day)]]*201.974</f>
        <v>1915.1119137150001</v>
      </c>
      <c r="BP263" s="37">
        <f>developmentdata2019[[#This Row],[MGP (CY/day)]]*201.974</f>
        <v>311.49454490154</v>
      </c>
      <c r="BQ263" s="37">
        <f>developmentdata2019[[#This Row],[Cardboard (CY/day)]]*201.974</f>
        <v>32.271318861081305</v>
      </c>
      <c r="BR263" s="37">
        <f>developmentdata2019[[#This Row],[Paper  (CY/day)]]*201.974</f>
        <v>0.52430305446218706</v>
      </c>
      <c r="BS263" s="37">
        <f>developmentdata2019[[#This Row],[Organics (CY/day)]]*201.974</f>
        <v>0.11709152544241155</v>
      </c>
      <c r="BT263" s="37">
        <f>developmentdata2019[[#This Row],[E-Waste (CY/day)]]*201.974</f>
        <v>1.5314053674759843E-3</v>
      </c>
      <c r="BU263" s="37">
        <f>developmentdata2019[[#This Row],[Textiles (CY/day)]]*201.974</f>
        <v>2.8904259891617516E-4</v>
      </c>
    </row>
    <row r="264" spans="1:73" x14ac:dyDescent="0.2">
      <c r="A264" s="37" t="s">
        <v>1770</v>
      </c>
      <c r="B264" s="115">
        <v>43466</v>
      </c>
      <c r="C264" s="37" t="s">
        <v>929</v>
      </c>
      <c r="D264">
        <v>353</v>
      </c>
      <c r="E264">
        <v>342</v>
      </c>
      <c r="F264">
        <v>770</v>
      </c>
      <c r="G264">
        <v>753</v>
      </c>
      <c r="H264" s="37" t="s">
        <v>1771</v>
      </c>
      <c r="I264" s="37" t="s">
        <v>577</v>
      </c>
      <c r="J264" s="37" t="s">
        <v>588</v>
      </c>
      <c r="K264" s="37" t="s">
        <v>579</v>
      </c>
      <c r="M264">
        <v>119</v>
      </c>
      <c r="N264">
        <v>120</v>
      </c>
      <c r="O264">
        <v>535.5</v>
      </c>
      <c r="P264">
        <v>4.5</v>
      </c>
      <c r="R264">
        <v>274</v>
      </c>
      <c r="S264">
        <v>274</v>
      </c>
      <c r="T264">
        <v>37</v>
      </c>
      <c r="U264">
        <v>0.311</v>
      </c>
      <c r="V264">
        <v>2</v>
      </c>
      <c r="W264">
        <v>0</v>
      </c>
      <c r="X264">
        <v>14</v>
      </c>
      <c r="Y264">
        <v>3</v>
      </c>
      <c r="Z264">
        <v>123156</v>
      </c>
      <c r="AA264">
        <v>2.83</v>
      </c>
      <c r="AB264">
        <v>123156</v>
      </c>
      <c r="AC264">
        <v>2.83</v>
      </c>
      <c r="AD264">
        <v>42267</v>
      </c>
      <c r="AE264">
        <v>1098942</v>
      </c>
      <c r="AF264">
        <v>0.34320000000000001</v>
      </c>
      <c r="AG264">
        <v>97</v>
      </c>
      <c r="AH264">
        <v>8851338</v>
      </c>
      <c r="AI264">
        <v>16391</v>
      </c>
      <c r="AJ264">
        <v>648</v>
      </c>
      <c r="AK264" s="37" t="s">
        <v>1772</v>
      </c>
      <c r="AL264" s="37" t="s">
        <v>662</v>
      </c>
      <c r="AM264" s="37" t="s">
        <v>1773</v>
      </c>
      <c r="AN264" s="37" t="s">
        <v>1774</v>
      </c>
      <c r="AO264" s="37" t="s">
        <v>584</v>
      </c>
      <c r="AP264">
        <v>2</v>
      </c>
      <c r="AQ264">
        <v>15</v>
      </c>
      <c r="AR264">
        <v>32</v>
      </c>
      <c r="AS264">
        <v>85</v>
      </c>
      <c r="AT264">
        <v>17</v>
      </c>
      <c r="AU264" s="115">
        <v>31884</v>
      </c>
      <c r="AV264" s="37"/>
      <c r="AW264" s="37"/>
      <c r="AX264" s="37" t="s">
        <v>621</v>
      </c>
      <c r="AY264" s="37"/>
      <c r="AZ264" s="37">
        <f>developmentdata2019[[#This Row],[NUMBER OF CURRENT APARTMENTS]]*5/2000</f>
        <v>0.29749999999999999</v>
      </c>
      <c r="BA264" s="37">
        <f>developmentdata2019[[#This Row],[Total]]*BA$1</f>
        <v>7.7350000000000002E-2</v>
      </c>
      <c r="BB264" s="37">
        <f>developmentdata2019[[#This Row],[Trash (tons/day)]]*BB$1</f>
        <v>1.4696500000000001E-2</v>
      </c>
      <c r="BC264" s="37">
        <f>developmentdata2019[[#This Row],[MGP (tons/day)]]*BC$1</f>
        <v>1.0287550000000001E-3</v>
      </c>
      <c r="BD264" s="37">
        <f>developmentdata2019[[#This Row],[Cardboard (tons/day)]]*BD$1</f>
        <v>7.201285000000002E-5</v>
      </c>
      <c r="BE264" s="37">
        <f>developmentdata2019[[#This Row],[Paper (tons/day)]]*BE$1</f>
        <v>2.3044112000000008E-5</v>
      </c>
      <c r="BF264" s="37">
        <f>developmentdata2019[[#This Row],[Organics (tons/day)]]*BF$1</f>
        <v>2.3044112000000008E-7</v>
      </c>
      <c r="BG264" s="37">
        <f>developmentdata2019[[#This Row],[E-Waste (tons/day)]]*BG$1</f>
        <v>1.8435289600000006E-8</v>
      </c>
      <c r="BH264" s="37">
        <f>developmentdata2019[[#This Row],[Trash (tons/day)]]*BH$1</f>
        <v>1.6282175000000001</v>
      </c>
      <c r="BI264" s="37">
        <f>developmentdata2019[[#This Row],[MGP (tons/day)]]*BI$1</f>
        <v>0.26483093000000002</v>
      </c>
      <c r="BJ264" s="37">
        <f>developmentdata2019[[#This Row],[Cardboard (tons/day)]]*BJ$1</f>
        <v>2.7436895850000004E-2</v>
      </c>
      <c r="BK264" s="37">
        <f>developmentdata2019[[#This Row],[Paper (tons/day)]]*BK$1</f>
        <v>4.4575954150000017E-4</v>
      </c>
      <c r="BL264" s="37">
        <f>developmentdata2019[[#This Row],[Organics (tons/day)]]*BL$1</f>
        <v>9.9550563840000047E-5</v>
      </c>
      <c r="BM264" s="37">
        <f>developmentdata2019[[#This Row],[E-Waste (tons/day)]]*BM$1</f>
        <v>1.3019923280000005E-6</v>
      </c>
      <c r="BN264" s="37">
        <f>developmentdata2019[[#This Row],[Textiles (tons/day)]]*BN$1</f>
        <v>2.4574241036800006E-7</v>
      </c>
      <c r="BO264" s="37">
        <f>developmentdata2019[[#This Row],[Trash (CY/day)]]*201.974</f>
        <v>328.85760134499998</v>
      </c>
      <c r="BP264" s="37">
        <f>developmentdata2019[[#This Row],[MGP (CY/day)]]*201.974</f>
        <v>53.488962255819999</v>
      </c>
      <c r="BQ264" s="37">
        <f>developmentdata2019[[#This Row],[Cardboard (CY/day)]]*201.974</f>
        <v>5.5415396024079007</v>
      </c>
      <c r="BR264" s="37">
        <f>developmentdata2019[[#This Row],[Paper  (CY/day)]]*201.974</f>
        <v>9.0031837634921036E-2</v>
      </c>
      <c r="BS264" s="37">
        <f>developmentdata2019[[#This Row],[Organics (CY/day)]]*201.974</f>
        <v>2.0106625581020169E-2</v>
      </c>
      <c r="BT264" s="37">
        <f>developmentdata2019[[#This Row],[E-Waste (CY/day)]]*201.974</f>
        <v>2.6296859845547212E-4</v>
      </c>
      <c r="BU264" s="37">
        <f>developmentdata2019[[#This Row],[Textiles (CY/day)]]*201.974</f>
        <v>4.9633577591666441E-5</v>
      </c>
    </row>
    <row r="265" spans="1:73" x14ac:dyDescent="0.2">
      <c r="A265" s="37" t="s">
        <v>1775</v>
      </c>
      <c r="B265" s="115">
        <v>43466</v>
      </c>
      <c r="C265" s="37" t="s">
        <v>999</v>
      </c>
      <c r="D265">
        <v>366</v>
      </c>
      <c r="E265">
        <v>351</v>
      </c>
      <c r="F265">
        <v>801</v>
      </c>
      <c r="G265">
        <v>765</v>
      </c>
      <c r="H265" s="37" t="s">
        <v>1776</v>
      </c>
      <c r="I265" s="37" t="s">
        <v>577</v>
      </c>
      <c r="J265" s="37" t="s">
        <v>588</v>
      </c>
      <c r="K265" s="37" t="s">
        <v>597</v>
      </c>
      <c r="M265">
        <v>83</v>
      </c>
      <c r="N265">
        <v>83</v>
      </c>
      <c r="O265">
        <v>440.5</v>
      </c>
      <c r="P265">
        <v>5.31</v>
      </c>
      <c r="R265">
        <v>275</v>
      </c>
      <c r="S265">
        <v>275</v>
      </c>
      <c r="T265">
        <v>12</v>
      </c>
      <c r="U265">
        <v>0.14599999999999999</v>
      </c>
      <c r="V265">
        <v>5</v>
      </c>
      <c r="W265">
        <v>0</v>
      </c>
      <c r="X265">
        <v>5</v>
      </c>
      <c r="Y265">
        <v>4</v>
      </c>
      <c r="Z265">
        <v>49149</v>
      </c>
      <c r="AA265">
        <v>1.1299999999999999</v>
      </c>
      <c r="AB265">
        <v>49149</v>
      </c>
      <c r="AC265">
        <v>1.1299999999999999</v>
      </c>
      <c r="AD265">
        <v>28039</v>
      </c>
      <c r="AE265">
        <v>1312849</v>
      </c>
      <c r="AF265">
        <v>0.57050000000000001</v>
      </c>
      <c r="AG265">
        <v>243</v>
      </c>
      <c r="AH265">
        <v>9091865</v>
      </c>
      <c r="AI265">
        <v>20640</v>
      </c>
      <c r="AJ265">
        <v>709</v>
      </c>
      <c r="AK265" s="37" t="s">
        <v>1777</v>
      </c>
      <c r="AL265" s="37" t="s">
        <v>1278</v>
      </c>
      <c r="AM265" s="37" t="s">
        <v>1778</v>
      </c>
      <c r="AN265" s="37" t="s">
        <v>833</v>
      </c>
      <c r="AO265" s="37" t="s">
        <v>593</v>
      </c>
      <c r="AP265">
        <v>8</v>
      </c>
      <c r="AQ265">
        <v>9</v>
      </c>
      <c r="AR265" t="s">
        <v>1004</v>
      </c>
      <c r="AS265">
        <v>55</v>
      </c>
      <c r="AT265" t="s">
        <v>1779</v>
      </c>
      <c r="AU265" s="115">
        <v>33369</v>
      </c>
      <c r="AV265" s="37"/>
      <c r="AW265" s="37"/>
      <c r="AX265" s="37" t="s">
        <v>621</v>
      </c>
      <c r="AY265" s="37"/>
      <c r="AZ265" s="37">
        <f>developmentdata2019[[#This Row],[NUMBER OF CURRENT APARTMENTS]]*5/2000</f>
        <v>0.20749999999999999</v>
      </c>
      <c r="BA265" s="37">
        <f>developmentdata2019[[#This Row],[Total]]*BA$1</f>
        <v>5.3949999999999998E-2</v>
      </c>
      <c r="BB265" s="37">
        <f>developmentdata2019[[#This Row],[Trash (tons/day)]]*BB$1</f>
        <v>1.0250499999999999E-2</v>
      </c>
      <c r="BC265" s="37">
        <f>developmentdata2019[[#This Row],[MGP (tons/day)]]*BC$1</f>
        <v>7.1753500000000005E-4</v>
      </c>
      <c r="BD265" s="37">
        <f>developmentdata2019[[#This Row],[Cardboard (tons/day)]]*BD$1</f>
        <v>5.022745000000001E-5</v>
      </c>
      <c r="BE265" s="37">
        <f>developmentdata2019[[#This Row],[Paper (tons/day)]]*BE$1</f>
        <v>1.6072784000000003E-5</v>
      </c>
      <c r="BF265" s="37">
        <f>developmentdata2019[[#This Row],[Organics (tons/day)]]*BF$1</f>
        <v>1.6072784000000004E-7</v>
      </c>
      <c r="BG265" s="37">
        <f>developmentdata2019[[#This Row],[E-Waste (tons/day)]]*BG$1</f>
        <v>1.2858227200000003E-8</v>
      </c>
      <c r="BH265" s="37">
        <f>developmentdata2019[[#This Row],[Trash (tons/day)]]*BH$1</f>
        <v>1.1356474999999999</v>
      </c>
      <c r="BI265" s="37">
        <f>developmentdata2019[[#This Row],[MGP (tons/day)]]*BI$1</f>
        <v>0.18471400999999998</v>
      </c>
      <c r="BJ265" s="37">
        <f>developmentdata2019[[#This Row],[Cardboard (tons/day)]]*BJ$1</f>
        <v>1.9136658450000003E-2</v>
      </c>
      <c r="BK265" s="37">
        <f>developmentdata2019[[#This Row],[Paper (tons/day)]]*BK$1</f>
        <v>3.1090791550000011E-4</v>
      </c>
      <c r="BL265" s="37">
        <f>developmentdata2019[[#This Row],[Organics (tons/day)]]*BL$1</f>
        <v>6.9434426880000017E-5</v>
      </c>
      <c r="BM265" s="37">
        <f>developmentdata2019[[#This Row],[E-Waste (tons/day)]]*BM$1</f>
        <v>9.0811229600000028E-7</v>
      </c>
      <c r="BN265" s="37">
        <f>developmentdata2019[[#This Row],[Textiles (tons/day)]]*BN$1</f>
        <v>1.7140016857600005E-7</v>
      </c>
      <c r="BO265" s="37">
        <f>developmentdata2019[[#This Row],[Trash (CY/day)]]*201.974</f>
        <v>229.37126816499998</v>
      </c>
      <c r="BP265" s="37">
        <f>developmentdata2019[[#This Row],[MGP (CY/day)]]*201.974</f>
        <v>37.307427455739997</v>
      </c>
      <c r="BQ265" s="37">
        <f>developmentdata2019[[#This Row],[Cardboard (CY/day)]]*201.974</f>
        <v>3.8651074537803005</v>
      </c>
      <c r="BR265" s="37">
        <f>developmentdata2019[[#This Row],[Paper  (CY/day)]]*201.974</f>
        <v>6.2795315325197013E-2</v>
      </c>
      <c r="BS265" s="37">
        <f>developmentdata2019[[#This Row],[Organics (CY/day)]]*201.974</f>
        <v>1.4023948934661122E-2</v>
      </c>
      <c r="BT265" s="37">
        <f>developmentdata2019[[#This Row],[E-Waste (CY/day)]]*201.974</f>
        <v>1.8341507287230403E-4</v>
      </c>
      <c r="BU265" s="37">
        <f>developmentdata2019[[#This Row],[Textiles (CY/day)]]*201.974</f>
        <v>3.4618377647969035E-5</v>
      </c>
    </row>
    <row r="266" spans="1:73" x14ac:dyDescent="0.2">
      <c r="A266" s="37" t="s">
        <v>1780</v>
      </c>
      <c r="B266" s="115">
        <v>43466</v>
      </c>
      <c r="C266" s="37" t="s">
        <v>999</v>
      </c>
      <c r="D266">
        <v>368</v>
      </c>
      <c r="E266">
        <v>351</v>
      </c>
      <c r="F266">
        <v>837</v>
      </c>
      <c r="G266">
        <v>765</v>
      </c>
      <c r="H266" s="37" t="s">
        <v>1781</v>
      </c>
      <c r="I266" s="37" t="s">
        <v>577</v>
      </c>
      <c r="J266" s="37" t="s">
        <v>588</v>
      </c>
      <c r="K266" s="37" t="s">
        <v>597</v>
      </c>
      <c r="M266">
        <v>125</v>
      </c>
      <c r="N266">
        <v>125</v>
      </c>
      <c r="O266">
        <v>593.5</v>
      </c>
      <c r="P266">
        <v>4.75</v>
      </c>
      <c r="R266">
        <v>329</v>
      </c>
      <c r="S266">
        <v>329</v>
      </c>
      <c r="T266">
        <v>25</v>
      </c>
      <c r="U266">
        <v>0.20200000000000001</v>
      </c>
      <c r="V266">
        <v>7</v>
      </c>
      <c r="W266">
        <v>0</v>
      </c>
      <c r="X266">
        <v>7</v>
      </c>
      <c r="Y266">
        <v>4</v>
      </c>
      <c r="Z266">
        <v>48928</v>
      </c>
      <c r="AA266">
        <v>1.1200000000000001</v>
      </c>
      <c r="AB266">
        <v>48928</v>
      </c>
      <c r="AC266">
        <v>1.1200000000000001</v>
      </c>
      <c r="AD266">
        <v>36119</v>
      </c>
      <c r="AE266">
        <v>1656285</v>
      </c>
      <c r="AF266">
        <v>0.73819999999999997</v>
      </c>
      <c r="AG266">
        <v>294</v>
      </c>
      <c r="AH266">
        <v>12235716</v>
      </c>
      <c r="AI266">
        <v>20616</v>
      </c>
      <c r="AJ266">
        <v>614</v>
      </c>
      <c r="AK266" s="37" t="s">
        <v>1777</v>
      </c>
      <c r="AL266" s="37" t="s">
        <v>1278</v>
      </c>
      <c r="AM266" s="37" t="s">
        <v>1778</v>
      </c>
      <c r="AN266" s="37" t="s">
        <v>833</v>
      </c>
      <c r="AO266" s="37" t="s">
        <v>593</v>
      </c>
      <c r="AP266">
        <v>8</v>
      </c>
      <c r="AQ266">
        <v>9</v>
      </c>
      <c r="AR266" t="s">
        <v>1004</v>
      </c>
      <c r="AS266">
        <v>55</v>
      </c>
      <c r="AT266" t="s">
        <v>1779</v>
      </c>
      <c r="AU266" s="115">
        <v>33369</v>
      </c>
      <c r="AV266" s="37"/>
      <c r="AW266" s="37"/>
      <c r="AX266" s="37" t="s">
        <v>621</v>
      </c>
      <c r="AY266" s="37"/>
      <c r="AZ266" s="37">
        <f>developmentdata2019[[#This Row],[NUMBER OF CURRENT APARTMENTS]]*5/2000</f>
        <v>0.3125</v>
      </c>
      <c r="BA266" s="37">
        <f>developmentdata2019[[#This Row],[Total]]*BA$1</f>
        <v>8.1250000000000003E-2</v>
      </c>
      <c r="BB266" s="37">
        <f>developmentdata2019[[#This Row],[Trash (tons/day)]]*BB$1</f>
        <v>1.5437500000000002E-2</v>
      </c>
      <c r="BC266" s="37">
        <f>developmentdata2019[[#This Row],[MGP (tons/day)]]*BC$1</f>
        <v>1.0806250000000002E-3</v>
      </c>
      <c r="BD266" s="37">
        <f>developmentdata2019[[#This Row],[Cardboard (tons/day)]]*BD$1</f>
        <v>7.5643750000000019E-5</v>
      </c>
      <c r="BE266" s="37">
        <f>developmentdata2019[[#This Row],[Paper (tons/day)]]*BE$1</f>
        <v>2.4206000000000005E-5</v>
      </c>
      <c r="BF266" s="37">
        <f>developmentdata2019[[#This Row],[Organics (tons/day)]]*BF$1</f>
        <v>2.4206000000000004E-7</v>
      </c>
      <c r="BG266" s="37">
        <f>developmentdata2019[[#This Row],[E-Waste (tons/day)]]*BG$1</f>
        <v>1.9364800000000004E-8</v>
      </c>
      <c r="BH266" s="37">
        <f>developmentdata2019[[#This Row],[Trash (tons/day)]]*BH$1</f>
        <v>1.7103125000000001</v>
      </c>
      <c r="BI266" s="37">
        <f>developmentdata2019[[#This Row],[MGP (tons/day)]]*BI$1</f>
        <v>0.27818375000000001</v>
      </c>
      <c r="BJ266" s="37">
        <f>developmentdata2019[[#This Row],[Cardboard (tons/day)]]*BJ$1</f>
        <v>2.8820268750000006E-2</v>
      </c>
      <c r="BK266" s="37">
        <f>developmentdata2019[[#This Row],[Paper (tons/day)]]*BK$1</f>
        <v>4.6823481250000016E-4</v>
      </c>
      <c r="BL266" s="37">
        <f>developmentdata2019[[#This Row],[Organics (tons/day)]]*BL$1</f>
        <v>1.0456992000000003E-4</v>
      </c>
      <c r="BM266" s="37">
        <f>developmentdata2019[[#This Row],[E-Waste (tons/day)]]*BM$1</f>
        <v>1.3676390000000003E-6</v>
      </c>
      <c r="BN266" s="37">
        <f>developmentdata2019[[#This Row],[Textiles (tons/day)]]*BN$1</f>
        <v>2.5813278400000004E-7</v>
      </c>
      <c r="BO266" s="37">
        <f>developmentdata2019[[#This Row],[Trash (CY/day)]]*201.974</f>
        <v>345.43865687499999</v>
      </c>
      <c r="BP266" s="37">
        <f>developmentdata2019[[#This Row],[MGP (CY/day)]]*201.974</f>
        <v>56.185884722499999</v>
      </c>
      <c r="BQ266" s="37">
        <f>developmentdata2019[[#This Row],[Cardboard (CY/day)]]*201.974</f>
        <v>5.8209449605125005</v>
      </c>
      <c r="BR266" s="37">
        <f>developmentdata2019[[#This Row],[Paper  (CY/day)]]*201.974</f>
        <v>9.4571258019875024E-2</v>
      </c>
      <c r="BS266" s="37">
        <f>developmentdata2019[[#This Row],[Organics (CY/day)]]*201.974</f>
        <v>2.1120405022080006E-2</v>
      </c>
      <c r="BT266" s="37">
        <f>developmentdata2019[[#This Row],[E-Waste (CY/day)]]*201.974</f>
        <v>2.7622751938600007E-4</v>
      </c>
      <c r="BU266" s="37">
        <f>developmentdata2019[[#This Row],[Textiles (CY/day)]]*201.974</f>
        <v>5.2136110915616003E-5</v>
      </c>
    </row>
    <row r="267" spans="1:73" x14ac:dyDescent="0.2">
      <c r="A267" s="37" t="s">
        <v>1782</v>
      </c>
      <c r="B267" s="115">
        <v>43466</v>
      </c>
      <c r="C267" s="37" t="s">
        <v>1783</v>
      </c>
      <c r="D267">
        <v>153</v>
      </c>
      <c r="E267">
        <v>153</v>
      </c>
      <c r="F267">
        <v>263</v>
      </c>
      <c r="G267">
        <v>263</v>
      </c>
      <c r="H267" s="37" t="s">
        <v>1784</v>
      </c>
      <c r="I267" s="37" t="s">
        <v>577</v>
      </c>
      <c r="J267" s="37" t="s">
        <v>578</v>
      </c>
      <c r="K267" s="37" t="s">
        <v>579</v>
      </c>
      <c r="M267">
        <v>267</v>
      </c>
      <c r="N267">
        <v>267</v>
      </c>
      <c r="O267">
        <v>1162.5</v>
      </c>
      <c r="P267">
        <v>4.3499999999999996</v>
      </c>
      <c r="R267">
        <v>550</v>
      </c>
      <c r="S267">
        <v>550</v>
      </c>
      <c r="T267">
        <v>127</v>
      </c>
      <c r="U267">
        <v>0.48099999999999998</v>
      </c>
      <c r="V267">
        <v>2</v>
      </c>
      <c r="W267">
        <v>0</v>
      </c>
      <c r="X267">
        <v>2</v>
      </c>
      <c r="Y267" t="s">
        <v>1785</v>
      </c>
      <c r="Z267">
        <v>46018</v>
      </c>
      <c r="AA267">
        <v>1.06</v>
      </c>
      <c r="AB267">
        <v>46018</v>
      </c>
      <c r="AC267">
        <v>1.06</v>
      </c>
      <c r="AD267">
        <v>12476</v>
      </c>
      <c r="AE267">
        <v>2133126</v>
      </c>
      <c r="AF267">
        <v>0.27110000000000001</v>
      </c>
      <c r="AG267">
        <v>519</v>
      </c>
      <c r="AH267">
        <v>5442401</v>
      </c>
      <c r="AI267">
        <v>4674</v>
      </c>
      <c r="AJ267">
        <v>564</v>
      </c>
      <c r="AK267" s="37" t="s">
        <v>600</v>
      </c>
      <c r="AL267" s="37" t="s">
        <v>641</v>
      </c>
      <c r="AM267" s="37" t="s">
        <v>631</v>
      </c>
      <c r="AN267" s="37" t="s">
        <v>639</v>
      </c>
      <c r="AO267" s="37" t="s">
        <v>608</v>
      </c>
      <c r="AP267">
        <v>6</v>
      </c>
      <c r="AQ267">
        <v>12</v>
      </c>
      <c r="AR267">
        <v>28</v>
      </c>
      <c r="AS267">
        <v>74</v>
      </c>
      <c r="AT267">
        <v>2</v>
      </c>
      <c r="AU267" s="115">
        <v>23773</v>
      </c>
      <c r="AV267" s="37"/>
      <c r="AW267" s="37"/>
      <c r="AX267" s="37"/>
      <c r="AY267" s="37"/>
      <c r="AZ267" s="37">
        <f>developmentdata2019[[#This Row],[NUMBER OF CURRENT APARTMENTS]]*5/2000</f>
        <v>0.66749999999999998</v>
      </c>
      <c r="BA267" s="37">
        <f>developmentdata2019[[#This Row],[Total]]*BA$1</f>
        <v>0.17355000000000001</v>
      </c>
      <c r="BB267" s="37">
        <f>developmentdata2019[[#This Row],[Trash (tons/day)]]*BB$1</f>
        <v>3.2974500000000004E-2</v>
      </c>
      <c r="BC267" s="37">
        <f>developmentdata2019[[#This Row],[MGP (tons/day)]]*BC$1</f>
        <v>2.3082150000000006E-3</v>
      </c>
      <c r="BD267" s="37">
        <f>developmentdata2019[[#This Row],[Cardboard (tons/day)]]*BD$1</f>
        <v>1.6157505000000005E-4</v>
      </c>
      <c r="BE267" s="37">
        <f>developmentdata2019[[#This Row],[Paper (tons/day)]]*BE$1</f>
        <v>5.1704016000000016E-5</v>
      </c>
      <c r="BF267" s="37">
        <f>developmentdata2019[[#This Row],[Organics (tons/day)]]*BF$1</f>
        <v>5.1704016000000019E-7</v>
      </c>
      <c r="BG267" s="37">
        <f>developmentdata2019[[#This Row],[E-Waste (tons/day)]]*BG$1</f>
        <v>4.1363212800000013E-8</v>
      </c>
      <c r="BH267" s="37">
        <f>developmentdata2019[[#This Row],[Trash (tons/day)]]*BH$1</f>
        <v>3.6532275000000003</v>
      </c>
      <c r="BI267" s="37">
        <f>developmentdata2019[[#This Row],[MGP (tons/day)]]*BI$1</f>
        <v>0.59420049000000008</v>
      </c>
      <c r="BJ267" s="37">
        <f>developmentdata2019[[#This Row],[Cardboard (tons/day)]]*BJ$1</f>
        <v>6.1560094050000021E-2</v>
      </c>
      <c r="BK267" s="37">
        <f>developmentdata2019[[#This Row],[Paper (tons/day)]]*BK$1</f>
        <v>1.0001495595000005E-3</v>
      </c>
      <c r="BL267" s="37">
        <f>developmentdata2019[[#This Row],[Organics (tons/day)]]*BL$1</f>
        <v>2.2336134912000007E-4</v>
      </c>
      <c r="BM267" s="37">
        <f>developmentdata2019[[#This Row],[E-Waste (tons/day)]]*BM$1</f>
        <v>2.9212769040000012E-6</v>
      </c>
      <c r="BN267" s="37">
        <f>developmentdata2019[[#This Row],[Textiles (tons/day)]]*BN$1</f>
        <v>5.5137162662400019E-7</v>
      </c>
      <c r="BO267" s="37">
        <f>developmentdata2019[[#This Row],[Trash (CY/day)]]*201.974</f>
        <v>737.85697108500005</v>
      </c>
      <c r="BP267" s="37">
        <f>developmentdata2019[[#This Row],[MGP (CY/day)]]*201.974</f>
        <v>120.01304976726001</v>
      </c>
      <c r="BQ267" s="37">
        <f>developmentdata2019[[#This Row],[Cardboard (CY/day)]]*201.974</f>
        <v>12.433538435654704</v>
      </c>
      <c r="BR267" s="37">
        <f>developmentdata2019[[#This Row],[Paper  (CY/day)]]*201.974</f>
        <v>0.20200420713045308</v>
      </c>
      <c r="BS267" s="37">
        <f>developmentdata2019[[#This Row],[Organics (CY/day)]]*201.974</f>
        <v>4.5113185127162891E-2</v>
      </c>
      <c r="BT267" s="37">
        <f>developmentdata2019[[#This Row],[E-Waste (CY/day)]]*201.974</f>
        <v>5.9002198140849617E-4</v>
      </c>
      <c r="BU267" s="37">
        <f>developmentdata2019[[#This Row],[Textiles (CY/day)]]*201.974</f>
        <v>1.113627329157558E-4</v>
      </c>
    </row>
    <row r="268" spans="1:73" x14ac:dyDescent="0.2">
      <c r="A268" s="37" t="s">
        <v>450</v>
      </c>
      <c r="B268" s="115">
        <v>43466</v>
      </c>
      <c r="C268" s="37" t="s">
        <v>1786</v>
      </c>
      <c r="D268">
        <v>221</v>
      </c>
      <c r="E268">
        <v>221</v>
      </c>
      <c r="F268">
        <v>337</v>
      </c>
      <c r="G268">
        <v>337</v>
      </c>
      <c r="H268" s="37" t="s">
        <v>1787</v>
      </c>
      <c r="I268" s="37" t="s">
        <v>577</v>
      </c>
      <c r="J268" s="37" t="s">
        <v>588</v>
      </c>
      <c r="K268" s="37" t="s">
        <v>579</v>
      </c>
      <c r="M268">
        <v>329</v>
      </c>
      <c r="N268">
        <v>331</v>
      </c>
      <c r="O268">
        <v>1614.5</v>
      </c>
      <c r="P268">
        <v>4.91</v>
      </c>
      <c r="R268">
        <v>828</v>
      </c>
      <c r="S268">
        <v>828</v>
      </c>
      <c r="T268">
        <v>96</v>
      </c>
      <c r="U268">
        <v>0.29299999999999998</v>
      </c>
      <c r="V268">
        <v>5</v>
      </c>
      <c r="W268">
        <v>0</v>
      </c>
      <c r="X268">
        <v>25</v>
      </c>
      <c r="Y268">
        <v>4</v>
      </c>
      <c r="Z268">
        <v>202058</v>
      </c>
      <c r="AA268">
        <v>4.6399999999999997</v>
      </c>
      <c r="AB268">
        <v>202058</v>
      </c>
      <c r="AC268">
        <v>4.6399999999999997</v>
      </c>
      <c r="AD268">
        <v>92431</v>
      </c>
      <c r="AE268">
        <v>3341149</v>
      </c>
      <c r="AF268">
        <v>0.45739999999999997</v>
      </c>
      <c r="AG268">
        <v>178</v>
      </c>
      <c r="AH268">
        <v>10070462</v>
      </c>
      <c r="AI268">
        <v>6212</v>
      </c>
      <c r="AJ268">
        <v>626</v>
      </c>
      <c r="AK268" s="37" t="s">
        <v>1788</v>
      </c>
      <c r="AL268" s="37" t="s">
        <v>1789</v>
      </c>
      <c r="AM268" s="37" t="s">
        <v>1790</v>
      </c>
      <c r="AN268" s="37" t="s">
        <v>1681</v>
      </c>
      <c r="AO268" s="37" t="s">
        <v>593</v>
      </c>
      <c r="AP268">
        <v>3</v>
      </c>
      <c r="AQ268">
        <v>8</v>
      </c>
      <c r="AR268">
        <v>25</v>
      </c>
      <c r="AS268">
        <v>56</v>
      </c>
      <c r="AT268">
        <v>36</v>
      </c>
      <c r="AU268" s="115">
        <v>26542</v>
      </c>
      <c r="AV268" s="37"/>
      <c r="AW268" s="37"/>
      <c r="AX268" s="37"/>
      <c r="AY268" s="37"/>
      <c r="AZ268" s="37">
        <f>developmentdata2019[[#This Row],[NUMBER OF CURRENT APARTMENTS]]*5/2000</f>
        <v>0.82250000000000001</v>
      </c>
      <c r="BA268" s="37">
        <f>developmentdata2019[[#This Row],[Total]]*BA$1</f>
        <v>0.21385000000000001</v>
      </c>
      <c r="BB268" s="37">
        <f>developmentdata2019[[#This Row],[Trash (tons/day)]]*BB$1</f>
        <v>4.0631500000000001E-2</v>
      </c>
      <c r="BC268" s="37">
        <f>developmentdata2019[[#This Row],[MGP (tons/day)]]*BC$1</f>
        <v>2.8442050000000003E-3</v>
      </c>
      <c r="BD268" s="37">
        <f>developmentdata2019[[#This Row],[Cardboard (tons/day)]]*BD$1</f>
        <v>1.9909435000000004E-4</v>
      </c>
      <c r="BE268" s="37">
        <f>developmentdata2019[[#This Row],[Paper (tons/day)]]*BE$1</f>
        <v>6.3710192000000017E-5</v>
      </c>
      <c r="BF268" s="37">
        <f>developmentdata2019[[#This Row],[Organics (tons/day)]]*BF$1</f>
        <v>6.371019200000002E-7</v>
      </c>
      <c r="BG268" s="37">
        <f>developmentdata2019[[#This Row],[E-Waste (tons/day)]]*BG$1</f>
        <v>5.0968153600000019E-8</v>
      </c>
      <c r="BH268" s="37">
        <f>developmentdata2019[[#This Row],[Trash (tons/day)]]*BH$1</f>
        <v>4.5015425000000002</v>
      </c>
      <c r="BI268" s="37">
        <f>developmentdata2019[[#This Row],[MGP (tons/day)]]*BI$1</f>
        <v>0.73217962999999997</v>
      </c>
      <c r="BJ268" s="37">
        <f>developmentdata2019[[#This Row],[Cardboard (tons/day)]]*BJ$1</f>
        <v>7.5854947350000007E-2</v>
      </c>
      <c r="BK268" s="37">
        <f>developmentdata2019[[#This Row],[Paper (tons/day)]]*BK$1</f>
        <v>1.2323940265000003E-3</v>
      </c>
      <c r="BL268" s="37">
        <f>developmentdata2019[[#This Row],[Organics (tons/day)]]*BL$1</f>
        <v>2.7522802944000011E-4</v>
      </c>
      <c r="BM268" s="37">
        <f>developmentdata2019[[#This Row],[E-Waste (tons/day)]]*BM$1</f>
        <v>3.5996258480000012E-6</v>
      </c>
      <c r="BN268" s="37">
        <f>developmentdata2019[[#This Row],[Textiles (tons/day)]]*BN$1</f>
        <v>6.7940548748800025E-7</v>
      </c>
      <c r="BO268" s="37">
        <f>developmentdata2019[[#This Row],[Trash (CY/day)]]*201.974</f>
        <v>909.19454489500004</v>
      </c>
      <c r="BP268" s="37">
        <f>developmentdata2019[[#This Row],[MGP (CY/day)]]*201.974</f>
        <v>147.88124858961999</v>
      </c>
      <c r="BQ268" s="37">
        <f>developmentdata2019[[#This Row],[Cardboard (CY/day)]]*201.974</f>
        <v>15.3207271360689</v>
      </c>
      <c r="BR268" s="37">
        <f>developmentdata2019[[#This Row],[Paper  (CY/day)]]*201.974</f>
        <v>0.24891155110831104</v>
      </c>
      <c r="BS268" s="37">
        <f>developmentdata2019[[#This Row],[Organics (CY/day)]]*201.974</f>
        <v>5.558890601811458E-2</v>
      </c>
      <c r="BT268" s="37">
        <f>developmentdata2019[[#This Row],[E-Waste (CY/day)]]*201.974</f>
        <v>7.2703083102395216E-4</v>
      </c>
      <c r="BU268" s="37">
        <f>developmentdata2019[[#This Row],[Textiles (CY/day)]]*201.974</f>
        <v>1.3722224392990137E-4</v>
      </c>
    </row>
    <row r="269" spans="1:73" x14ac:dyDescent="0.2">
      <c r="A269" s="37" t="s">
        <v>1791</v>
      </c>
      <c r="B269" s="115">
        <v>43466</v>
      </c>
      <c r="C269" s="37" t="s">
        <v>1786</v>
      </c>
      <c r="D269">
        <v>333</v>
      </c>
      <c r="E269">
        <v>221</v>
      </c>
      <c r="F269">
        <v>755</v>
      </c>
      <c r="G269">
        <v>755</v>
      </c>
      <c r="H269" s="37" t="s">
        <v>1792</v>
      </c>
      <c r="I269" s="37" t="s">
        <v>577</v>
      </c>
      <c r="J269" s="37" t="s">
        <v>588</v>
      </c>
      <c r="K269" s="37" t="s">
        <v>735</v>
      </c>
      <c r="M269">
        <v>150</v>
      </c>
      <c r="N269">
        <v>150</v>
      </c>
      <c r="O269">
        <v>525</v>
      </c>
      <c r="P269">
        <v>3.5</v>
      </c>
      <c r="R269">
        <v>166</v>
      </c>
      <c r="S269">
        <v>166</v>
      </c>
      <c r="T269">
        <v>135</v>
      </c>
      <c r="U269">
        <v>0.91200000000000003</v>
      </c>
      <c r="V269">
        <v>1</v>
      </c>
      <c r="W269">
        <v>0</v>
      </c>
      <c r="X269">
        <v>1</v>
      </c>
      <c r="Y269">
        <v>7</v>
      </c>
      <c r="Z269">
        <v>70050</v>
      </c>
      <c r="AA269">
        <v>1.61</v>
      </c>
      <c r="AB269">
        <v>70050</v>
      </c>
      <c r="AC269">
        <v>1.61</v>
      </c>
      <c r="AD269">
        <v>16458</v>
      </c>
      <c r="AE269">
        <v>1044874</v>
      </c>
      <c r="AF269">
        <v>0.2349</v>
      </c>
      <c r="AG269">
        <v>103</v>
      </c>
      <c r="AH269">
        <v>9991893</v>
      </c>
      <c r="AI269">
        <v>19032</v>
      </c>
      <c r="AJ269">
        <v>396</v>
      </c>
      <c r="AK269" s="37" t="s">
        <v>1788</v>
      </c>
      <c r="AL269" s="37" t="s">
        <v>1789</v>
      </c>
      <c r="AM269" s="37" t="s">
        <v>1790</v>
      </c>
      <c r="AN269" s="37" t="s">
        <v>1677</v>
      </c>
      <c r="AO269" s="37" t="s">
        <v>593</v>
      </c>
      <c r="AP269">
        <v>3</v>
      </c>
      <c r="AQ269">
        <v>8</v>
      </c>
      <c r="AR269">
        <v>25</v>
      </c>
      <c r="AS269">
        <v>56</v>
      </c>
      <c r="AT269">
        <v>36</v>
      </c>
      <c r="AU269" s="115">
        <v>31471</v>
      </c>
      <c r="AV269" s="37"/>
      <c r="AW269" s="37" t="s">
        <v>736</v>
      </c>
      <c r="AX269" s="37" t="s">
        <v>621</v>
      </c>
      <c r="AY269" s="37"/>
      <c r="AZ269" s="37">
        <f>developmentdata2019[[#This Row],[NUMBER OF CURRENT APARTMENTS]]*5/2000</f>
        <v>0.375</v>
      </c>
      <c r="BA269" s="37">
        <f>developmentdata2019[[#This Row],[Total]]*BA$1</f>
        <v>9.7500000000000003E-2</v>
      </c>
      <c r="BB269" s="37">
        <f>developmentdata2019[[#This Row],[Trash (tons/day)]]*BB$1</f>
        <v>1.8525E-2</v>
      </c>
      <c r="BC269" s="37">
        <f>developmentdata2019[[#This Row],[MGP (tons/day)]]*BC$1</f>
        <v>1.2967500000000002E-3</v>
      </c>
      <c r="BD269" s="37">
        <f>developmentdata2019[[#This Row],[Cardboard (tons/day)]]*BD$1</f>
        <v>9.0772500000000026E-5</v>
      </c>
      <c r="BE269" s="37">
        <f>developmentdata2019[[#This Row],[Paper (tons/day)]]*BE$1</f>
        <v>2.9047200000000009E-5</v>
      </c>
      <c r="BF269" s="37">
        <f>developmentdata2019[[#This Row],[Organics (tons/day)]]*BF$1</f>
        <v>2.9047200000000009E-7</v>
      </c>
      <c r="BG269" s="37">
        <f>developmentdata2019[[#This Row],[E-Waste (tons/day)]]*BG$1</f>
        <v>2.3237760000000009E-8</v>
      </c>
      <c r="BH269" s="37">
        <f>developmentdata2019[[#This Row],[Trash (tons/day)]]*BH$1</f>
        <v>2.0523750000000001</v>
      </c>
      <c r="BI269" s="37">
        <f>developmentdata2019[[#This Row],[MGP (tons/day)]]*BI$1</f>
        <v>0.33382049999999996</v>
      </c>
      <c r="BJ269" s="37">
        <f>developmentdata2019[[#This Row],[Cardboard (tons/day)]]*BJ$1</f>
        <v>3.4584322500000007E-2</v>
      </c>
      <c r="BK269" s="37">
        <f>developmentdata2019[[#This Row],[Paper (tons/day)]]*BK$1</f>
        <v>5.6188177500000023E-4</v>
      </c>
      <c r="BL269" s="37">
        <f>developmentdata2019[[#This Row],[Organics (tons/day)]]*BL$1</f>
        <v>1.2548390400000004E-4</v>
      </c>
      <c r="BM269" s="37">
        <f>developmentdata2019[[#This Row],[E-Waste (tons/day)]]*BM$1</f>
        <v>1.6411668000000005E-6</v>
      </c>
      <c r="BN269" s="37">
        <f>developmentdata2019[[#This Row],[Textiles (tons/day)]]*BN$1</f>
        <v>3.097593408000001E-7</v>
      </c>
      <c r="BO269" s="37">
        <f>developmentdata2019[[#This Row],[Trash (CY/day)]]*201.974</f>
        <v>414.52638824999997</v>
      </c>
      <c r="BP269" s="37">
        <f>developmentdata2019[[#This Row],[MGP (CY/day)]]*201.974</f>
        <v>67.423061666999985</v>
      </c>
      <c r="BQ269" s="37">
        <f>developmentdata2019[[#This Row],[Cardboard (CY/day)]]*201.974</f>
        <v>6.9851339526150014</v>
      </c>
      <c r="BR269" s="37">
        <f>developmentdata2019[[#This Row],[Paper  (CY/day)]]*201.974</f>
        <v>0.11348550962385004</v>
      </c>
      <c r="BS269" s="37">
        <f>developmentdata2019[[#This Row],[Organics (CY/day)]]*201.974</f>
        <v>2.5344486026496006E-2</v>
      </c>
      <c r="BT269" s="37">
        <f>developmentdata2019[[#This Row],[E-Waste (CY/day)]]*201.974</f>
        <v>3.3147302326320011E-4</v>
      </c>
      <c r="BU269" s="37">
        <f>developmentdata2019[[#This Row],[Textiles (CY/day)]]*201.974</f>
        <v>6.2563333098739215E-5</v>
      </c>
    </row>
    <row r="270" spans="1:73" x14ac:dyDescent="0.2">
      <c r="A270" s="37" t="s">
        <v>451</v>
      </c>
      <c r="B270" s="115">
        <v>43466</v>
      </c>
      <c r="C270" s="37" t="s">
        <v>623</v>
      </c>
      <c r="D270">
        <v>73</v>
      </c>
      <c r="E270">
        <v>73</v>
      </c>
      <c r="F270">
        <v>538</v>
      </c>
      <c r="G270">
        <v>538</v>
      </c>
      <c r="H270" s="37" t="s">
        <v>1793</v>
      </c>
      <c r="I270" s="37" t="s">
        <v>577</v>
      </c>
      <c r="J270" s="37" t="s">
        <v>578</v>
      </c>
      <c r="K270" s="37" t="s">
        <v>579</v>
      </c>
      <c r="M270">
        <v>1098</v>
      </c>
      <c r="N270">
        <v>1099</v>
      </c>
      <c r="O270">
        <v>5007</v>
      </c>
      <c r="P270">
        <v>4.5599999999999996</v>
      </c>
      <c r="R270">
        <v>2288</v>
      </c>
      <c r="S270">
        <v>2288</v>
      </c>
      <c r="T270">
        <v>470</v>
      </c>
      <c r="U270">
        <v>0.432</v>
      </c>
      <c r="V270">
        <v>13</v>
      </c>
      <c r="W270">
        <v>0</v>
      </c>
      <c r="X270">
        <v>24</v>
      </c>
      <c r="Y270">
        <v>43658</v>
      </c>
      <c r="Z270">
        <v>963265</v>
      </c>
      <c r="AA270">
        <v>22.11</v>
      </c>
      <c r="AB270">
        <v>905577</v>
      </c>
      <c r="AC270">
        <v>20.79</v>
      </c>
      <c r="AD270">
        <v>131812</v>
      </c>
      <c r="AE270">
        <v>8881677</v>
      </c>
      <c r="AF270">
        <v>0.1368</v>
      </c>
      <c r="AG270">
        <v>103</v>
      </c>
      <c r="AH270">
        <v>18007000</v>
      </c>
      <c r="AI270">
        <v>3608</v>
      </c>
      <c r="AJ270">
        <v>528</v>
      </c>
      <c r="AK270" s="37" t="s">
        <v>887</v>
      </c>
      <c r="AL270" s="37" t="s">
        <v>1681</v>
      </c>
      <c r="AM270" s="37" t="s">
        <v>627</v>
      </c>
      <c r="AN270" s="37" t="s">
        <v>751</v>
      </c>
      <c r="AO270" s="37" t="s">
        <v>593</v>
      </c>
      <c r="AP270">
        <v>3</v>
      </c>
      <c r="AQ270">
        <v>8</v>
      </c>
      <c r="AR270">
        <v>18</v>
      </c>
      <c r="AS270">
        <v>56</v>
      </c>
      <c r="AT270">
        <v>36</v>
      </c>
      <c r="AU270" s="115">
        <v>21319</v>
      </c>
      <c r="AV270" s="37" t="s">
        <v>680</v>
      </c>
      <c r="AW270" s="37"/>
      <c r="AX270" s="37"/>
      <c r="AY270" s="37"/>
      <c r="AZ270" s="37">
        <f>developmentdata2019[[#This Row],[NUMBER OF CURRENT APARTMENTS]]*5/2000</f>
        <v>2.7450000000000001</v>
      </c>
      <c r="BA270" s="37">
        <f>developmentdata2019[[#This Row],[Total]]*BA$1</f>
        <v>0.7137</v>
      </c>
      <c r="BB270" s="37">
        <f>developmentdata2019[[#This Row],[Trash (tons/day)]]*BB$1</f>
        <v>0.135603</v>
      </c>
      <c r="BC270" s="37">
        <f>developmentdata2019[[#This Row],[MGP (tons/day)]]*BC$1</f>
        <v>9.4922100000000009E-3</v>
      </c>
      <c r="BD270" s="37">
        <f>developmentdata2019[[#This Row],[Cardboard (tons/day)]]*BD$1</f>
        <v>6.6445470000000011E-4</v>
      </c>
      <c r="BE270" s="37">
        <f>developmentdata2019[[#This Row],[Paper (tons/day)]]*BE$1</f>
        <v>2.1262550400000005E-4</v>
      </c>
      <c r="BF270" s="37">
        <f>developmentdata2019[[#This Row],[Organics (tons/day)]]*BF$1</f>
        <v>2.1262550400000007E-6</v>
      </c>
      <c r="BG270" s="37">
        <f>developmentdata2019[[#This Row],[E-Waste (tons/day)]]*BG$1</f>
        <v>1.7010040320000007E-7</v>
      </c>
      <c r="BH270" s="37">
        <f>developmentdata2019[[#This Row],[Trash (tons/day)]]*BH$1</f>
        <v>15.023385000000001</v>
      </c>
      <c r="BI270" s="37">
        <f>developmentdata2019[[#This Row],[MGP (tons/day)]]*BI$1</f>
        <v>2.4435660599999998</v>
      </c>
      <c r="BJ270" s="37">
        <f>developmentdata2019[[#This Row],[Cardboard (tons/day)]]*BJ$1</f>
        <v>0.25315724070000006</v>
      </c>
      <c r="BK270" s="37">
        <f>developmentdata2019[[#This Row],[Paper (tons/day)]]*BK$1</f>
        <v>4.1129745930000008E-3</v>
      </c>
      <c r="BL270" s="37">
        <f>developmentdata2019[[#This Row],[Organics (tons/day)]]*BL$1</f>
        <v>9.1854217728000031E-4</v>
      </c>
      <c r="BM270" s="37">
        <f>developmentdata2019[[#This Row],[E-Waste (tons/day)]]*BM$1</f>
        <v>1.2013340976000005E-5</v>
      </c>
      <c r="BN270" s="37">
        <f>developmentdata2019[[#This Row],[Textiles (tons/day)]]*BN$1</f>
        <v>2.2674383746560009E-6</v>
      </c>
      <c r="BO270" s="37">
        <f>developmentdata2019[[#This Row],[Trash (CY/day)]]*201.974</f>
        <v>3034.33316199</v>
      </c>
      <c r="BP270" s="37">
        <f>developmentdata2019[[#This Row],[MGP (CY/day)]]*201.974</f>
        <v>493.53681140243992</v>
      </c>
      <c r="BQ270" s="37">
        <f>developmentdata2019[[#This Row],[Cardboard (CY/day)]]*201.974</f>
        <v>51.131180533141809</v>
      </c>
      <c r="BR270" s="37">
        <f>developmentdata2019[[#This Row],[Paper  (CY/day)]]*201.974</f>
        <v>0.83071393044658215</v>
      </c>
      <c r="BS270" s="37">
        <f>developmentdata2019[[#This Row],[Organics (CY/day)]]*201.974</f>
        <v>0.18552163771395078</v>
      </c>
      <c r="BT270" s="37">
        <f>developmentdata2019[[#This Row],[E-Waste (CY/day)]]*201.974</f>
        <v>2.4263825302866249E-3</v>
      </c>
      <c r="BU270" s="37">
        <f>developmentdata2019[[#This Row],[Textiles (CY/day)]]*201.974</f>
        <v>4.5796359828277112E-4</v>
      </c>
    </row>
    <row r="271" spans="1:73" x14ac:dyDescent="0.2">
      <c r="A271" s="37" t="s">
        <v>477</v>
      </c>
      <c r="B271" s="115">
        <v>43466</v>
      </c>
      <c r="C271" s="37" t="s">
        <v>963</v>
      </c>
      <c r="D271">
        <v>170</v>
      </c>
      <c r="E271">
        <v>170</v>
      </c>
      <c r="F271">
        <v>278</v>
      </c>
      <c r="G271">
        <v>278</v>
      </c>
      <c r="H271" s="37" t="s">
        <v>1794</v>
      </c>
      <c r="I271" s="37" t="s">
        <v>577</v>
      </c>
      <c r="J271" s="37" t="s">
        <v>578</v>
      </c>
      <c r="K271" s="37" t="s">
        <v>579</v>
      </c>
      <c r="M271">
        <v>594</v>
      </c>
      <c r="N271">
        <v>600</v>
      </c>
      <c r="O271">
        <v>2550</v>
      </c>
      <c r="P271">
        <v>4.29</v>
      </c>
      <c r="R271">
        <v>1141</v>
      </c>
      <c r="S271">
        <v>1141</v>
      </c>
      <c r="T271">
        <v>358</v>
      </c>
      <c r="U271">
        <v>0.61699999999999999</v>
      </c>
      <c r="V271">
        <v>5</v>
      </c>
      <c r="W271">
        <v>0</v>
      </c>
      <c r="X271">
        <v>5</v>
      </c>
      <c r="Y271" t="s">
        <v>1231</v>
      </c>
      <c r="Z271">
        <v>323050</v>
      </c>
      <c r="AA271">
        <v>7.42</v>
      </c>
      <c r="AB271">
        <v>323050</v>
      </c>
      <c r="AC271">
        <v>7.42</v>
      </c>
      <c r="AD271">
        <v>36810</v>
      </c>
      <c r="AE271">
        <v>5005316</v>
      </c>
      <c r="AF271">
        <v>0.1139</v>
      </c>
      <c r="AG271">
        <v>154</v>
      </c>
      <c r="AH271">
        <v>13577964</v>
      </c>
      <c r="AI271">
        <v>5261</v>
      </c>
      <c r="AJ271">
        <v>450</v>
      </c>
      <c r="AK271" s="37" t="s">
        <v>1795</v>
      </c>
      <c r="AL271" s="37" t="s">
        <v>896</v>
      </c>
      <c r="AM271" s="37" t="s">
        <v>1216</v>
      </c>
      <c r="AN271" s="37" t="s">
        <v>898</v>
      </c>
      <c r="AO271" s="37" t="s">
        <v>593</v>
      </c>
      <c r="AP271">
        <v>13</v>
      </c>
      <c r="AQ271">
        <v>8</v>
      </c>
      <c r="AR271">
        <v>23</v>
      </c>
      <c r="AS271">
        <v>46</v>
      </c>
      <c r="AT271">
        <v>47</v>
      </c>
      <c r="AU271" s="115">
        <v>25384</v>
      </c>
      <c r="AV271" s="37"/>
      <c r="AW271" s="37" t="s">
        <v>693</v>
      </c>
      <c r="AX271" s="37"/>
      <c r="AY271" s="37"/>
      <c r="AZ271" s="37">
        <f>developmentdata2019[[#This Row],[NUMBER OF CURRENT APARTMENTS]]*5/2000</f>
        <v>1.4850000000000001</v>
      </c>
      <c r="BA271" s="37">
        <f>developmentdata2019[[#This Row],[Total]]*BA$1</f>
        <v>0.38610000000000005</v>
      </c>
      <c r="BB271" s="37">
        <f>developmentdata2019[[#This Row],[Trash (tons/day)]]*BB$1</f>
        <v>7.3359000000000008E-2</v>
      </c>
      <c r="BC271" s="37">
        <f>developmentdata2019[[#This Row],[MGP (tons/day)]]*BC$1</f>
        <v>5.1351300000000008E-3</v>
      </c>
      <c r="BD271" s="37">
        <f>developmentdata2019[[#This Row],[Cardboard (tons/day)]]*BD$1</f>
        <v>3.594591000000001E-4</v>
      </c>
      <c r="BE271" s="37">
        <f>developmentdata2019[[#This Row],[Paper (tons/day)]]*BE$1</f>
        <v>1.1502691200000003E-4</v>
      </c>
      <c r="BF271" s="37">
        <f>developmentdata2019[[#This Row],[Organics (tons/day)]]*BF$1</f>
        <v>1.1502691200000005E-6</v>
      </c>
      <c r="BG271" s="37">
        <f>developmentdata2019[[#This Row],[E-Waste (tons/day)]]*BG$1</f>
        <v>9.2021529600000037E-8</v>
      </c>
      <c r="BH271" s="37">
        <f>developmentdata2019[[#This Row],[Trash (tons/day)]]*BH$1</f>
        <v>8.1274050000000013</v>
      </c>
      <c r="BI271" s="37">
        <f>developmentdata2019[[#This Row],[MGP (tons/day)]]*BI$1</f>
        <v>1.3219291800000001</v>
      </c>
      <c r="BJ271" s="37">
        <f>developmentdata2019[[#This Row],[Cardboard (tons/day)]]*BJ$1</f>
        <v>0.13695391710000002</v>
      </c>
      <c r="BK271" s="37">
        <f>developmentdata2019[[#This Row],[Paper (tons/day)]]*BK$1</f>
        <v>2.2250518290000006E-3</v>
      </c>
      <c r="BL271" s="37">
        <f>developmentdata2019[[#This Row],[Organics (tons/day)]]*BL$1</f>
        <v>4.9691625984000024E-4</v>
      </c>
      <c r="BM271" s="37">
        <f>developmentdata2019[[#This Row],[E-Waste (tons/day)]]*BM$1</f>
        <v>6.4990205280000033E-6</v>
      </c>
      <c r="BN271" s="37">
        <f>developmentdata2019[[#This Row],[Textiles (tons/day)]]*BN$1</f>
        <v>1.2266469895680005E-6</v>
      </c>
      <c r="BO271" s="37">
        <f>developmentdata2019[[#This Row],[Trash (CY/day)]]*201.974</f>
        <v>1641.5244974700001</v>
      </c>
      <c r="BP271" s="37">
        <f>developmentdata2019[[#This Row],[MGP (CY/day)]]*201.974</f>
        <v>266.99532420131999</v>
      </c>
      <c r="BQ271" s="37">
        <f>developmentdata2019[[#This Row],[Cardboard (CY/day)]]*201.974</f>
        <v>27.661130452355401</v>
      </c>
      <c r="BR271" s="37">
        <f>developmentdata2019[[#This Row],[Paper  (CY/day)]]*201.974</f>
        <v>0.44940261811044613</v>
      </c>
      <c r="BS271" s="37">
        <f>developmentdata2019[[#This Row],[Organics (CY/day)]]*201.974</f>
        <v>0.1003641646649242</v>
      </c>
      <c r="BT271" s="37">
        <f>developmentdata2019[[#This Row],[E-Waste (CY/day)]]*201.974</f>
        <v>1.3126331721222725E-3</v>
      </c>
      <c r="BU271" s="37">
        <f>developmentdata2019[[#This Row],[Textiles (CY/day)]]*201.974</f>
        <v>2.4775079907100731E-4</v>
      </c>
    </row>
    <row r="272" spans="1:73" x14ac:dyDescent="0.2">
      <c r="A272" s="37" t="s">
        <v>1796</v>
      </c>
      <c r="B272" s="115">
        <v>43466</v>
      </c>
      <c r="C272" s="37" t="s">
        <v>586</v>
      </c>
      <c r="D272">
        <v>369</v>
      </c>
      <c r="E272">
        <v>167</v>
      </c>
      <c r="F272">
        <v>807</v>
      </c>
      <c r="G272">
        <v>203</v>
      </c>
      <c r="H272" s="37" t="s">
        <v>1797</v>
      </c>
      <c r="I272" s="37" t="s">
        <v>577</v>
      </c>
      <c r="J272" s="37" t="s">
        <v>588</v>
      </c>
      <c r="K272" s="37" t="s">
        <v>597</v>
      </c>
      <c r="M272">
        <v>100</v>
      </c>
      <c r="N272">
        <v>100</v>
      </c>
      <c r="O272">
        <v>467</v>
      </c>
      <c r="P272">
        <v>4.67</v>
      </c>
      <c r="R272">
        <v>254</v>
      </c>
      <c r="S272">
        <v>254</v>
      </c>
      <c r="T272">
        <v>19</v>
      </c>
      <c r="U272">
        <v>0.192</v>
      </c>
      <c r="V272">
        <v>3</v>
      </c>
      <c r="W272">
        <v>0</v>
      </c>
      <c r="X272">
        <v>3</v>
      </c>
      <c r="Y272">
        <v>43561</v>
      </c>
      <c r="Z272">
        <v>37500</v>
      </c>
      <c r="AA272">
        <v>0.86</v>
      </c>
      <c r="AB272">
        <v>37500</v>
      </c>
      <c r="AC272">
        <v>0.86</v>
      </c>
      <c r="AD272">
        <v>21424</v>
      </c>
      <c r="AE272">
        <v>1011839</v>
      </c>
      <c r="AF272">
        <v>0.57130000000000003</v>
      </c>
      <c r="AG272">
        <v>295</v>
      </c>
      <c r="AH272">
        <v>9370007</v>
      </c>
      <c r="AI272">
        <v>20064</v>
      </c>
      <c r="AJ272">
        <v>678</v>
      </c>
      <c r="AK272" s="37" t="s">
        <v>591</v>
      </c>
      <c r="AL272" s="37" t="s">
        <v>1798</v>
      </c>
      <c r="AM272" s="37" t="s">
        <v>1173</v>
      </c>
      <c r="AN272" s="37"/>
      <c r="AO272" s="37" t="s">
        <v>593</v>
      </c>
      <c r="AP272">
        <v>16</v>
      </c>
      <c r="AQ272">
        <v>9</v>
      </c>
      <c r="AR272">
        <v>20</v>
      </c>
      <c r="AS272">
        <v>55</v>
      </c>
      <c r="AT272">
        <v>41</v>
      </c>
      <c r="AU272" s="115">
        <v>34942</v>
      </c>
      <c r="AV272" s="37"/>
      <c r="AW272" s="37"/>
      <c r="AX272" s="37" t="s">
        <v>621</v>
      </c>
      <c r="AY272" s="37"/>
      <c r="AZ272" s="37">
        <f>developmentdata2019[[#This Row],[NUMBER OF CURRENT APARTMENTS]]*5/2000</f>
        <v>0.25</v>
      </c>
      <c r="BA272" s="37">
        <f>developmentdata2019[[#This Row],[Total]]*BA$1</f>
        <v>6.5000000000000002E-2</v>
      </c>
      <c r="BB272" s="37">
        <f>developmentdata2019[[#This Row],[Trash (tons/day)]]*BB$1</f>
        <v>1.235E-2</v>
      </c>
      <c r="BC272" s="37">
        <f>developmentdata2019[[#This Row],[MGP (tons/day)]]*BC$1</f>
        <v>8.6450000000000003E-4</v>
      </c>
      <c r="BD272" s="37">
        <f>developmentdata2019[[#This Row],[Cardboard (tons/day)]]*BD$1</f>
        <v>6.0515000000000006E-5</v>
      </c>
      <c r="BE272" s="37">
        <f>developmentdata2019[[#This Row],[Paper (tons/day)]]*BE$1</f>
        <v>1.9364800000000001E-5</v>
      </c>
      <c r="BF272" s="37">
        <f>developmentdata2019[[#This Row],[Organics (tons/day)]]*BF$1</f>
        <v>1.9364800000000001E-7</v>
      </c>
      <c r="BG272" s="37">
        <f>developmentdata2019[[#This Row],[E-Waste (tons/day)]]*BG$1</f>
        <v>1.5491840000000003E-8</v>
      </c>
      <c r="BH272" s="37">
        <f>developmentdata2019[[#This Row],[Trash (tons/day)]]*BH$1</f>
        <v>1.3682500000000002</v>
      </c>
      <c r="BI272" s="37">
        <f>developmentdata2019[[#This Row],[MGP (tons/day)]]*BI$1</f>
        <v>0.22254699999999999</v>
      </c>
      <c r="BJ272" s="37">
        <f>developmentdata2019[[#This Row],[Cardboard (tons/day)]]*BJ$1</f>
        <v>2.3056215000000001E-2</v>
      </c>
      <c r="BK272" s="37">
        <f>developmentdata2019[[#This Row],[Paper (tons/day)]]*BK$1</f>
        <v>3.7458785000000008E-4</v>
      </c>
      <c r="BL272" s="37">
        <f>developmentdata2019[[#This Row],[Organics (tons/day)]]*BL$1</f>
        <v>8.3655936000000012E-5</v>
      </c>
      <c r="BM272" s="37">
        <f>developmentdata2019[[#This Row],[E-Waste (tons/day)]]*BM$1</f>
        <v>1.0941112000000002E-6</v>
      </c>
      <c r="BN272" s="37">
        <f>developmentdata2019[[#This Row],[Textiles (tons/day)]]*BN$1</f>
        <v>2.0650622720000003E-7</v>
      </c>
      <c r="BO272" s="37">
        <f>developmentdata2019[[#This Row],[Trash (CY/day)]]*201.974</f>
        <v>276.35092550000002</v>
      </c>
      <c r="BP272" s="37">
        <f>developmentdata2019[[#This Row],[MGP (CY/day)]]*201.974</f>
        <v>44.948707777999999</v>
      </c>
      <c r="BQ272" s="37">
        <f>developmentdata2019[[#This Row],[Cardboard (CY/day)]]*201.974</f>
        <v>4.6567559684099997</v>
      </c>
      <c r="BR272" s="37">
        <f>developmentdata2019[[#This Row],[Paper  (CY/day)]]*201.974</f>
        <v>7.5657006415900008E-2</v>
      </c>
      <c r="BS272" s="37">
        <f>developmentdata2019[[#This Row],[Organics (CY/day)]]*201.974</f>
        <v>1.6896324017664003E-2</v>
      </c>
      <c r="BT272" s="37">
        <f>developmentdata2019[[#This Row],[E-Waste (CY/day)]]*201.974</f>
        <v>2.2098201550880002E-4</v>
      </c>
      <c r="BU272" s="37">
        <f>developmentdata2019[[#This Row],[Textiles (CY/day)]]*201.974</f>
        <v>4.1708888732492805E-5</v>
      </c>
    </row>
    <row r="273" spans="1:73" x14ac:dyDescent="0.2">
      <c r="A273" s="37" t="s">
        <v>371</v>
      </c>
      <c r="B273" s="115">
        <v>43466</v>
      </c>
      <c r="C273" s="37" t="s">
        <v>603</v>
      </c>
      <c r="D273">
        <v>97</v>
      </c>
      <c r="E273">
        <v>97</v>
      </c>
      <c r="F273">
        <v>261</v>
      </c>
      <c r="G273">
        <v>261</v>
      </c>
      <c r="H273" s="37" t="s">
        <v>1799</v>
      </c>
      <c r="I273" s="37" t="s">
        <v>577</v>
      </c>
      <c r="J273" s="37" t="s">
        <v>578</v>
      </c>
      <c r="K273" s="37" t="s">
        <v>579</v>
      </c>
      <c r="M273">
        <v>1463</v>
      </c>
      <c r="N273">
        <v>1470</v>
      </c>
      <c r="O273">
        <v>6597.5</v>
      </c>
      <c r="P273">
        <v>4.51</v>
      </c>
      <c r="R273">
        <v>3074</v>
      </c>
      <c r="S273">
        <v>3074</v>
      </c>
      <c r="T273">
        <v>588</v>
      </c>
      <c r="U273">
        <v>0.40699999999999997</v>
      </c>
      <c r="V273">
        <v>9</v>
      </c>
      <c r="W273">
        <v>1</v>
      </c>
      <c r="X273">
        <v>19</v>
      </c>
      <c r="Y273">
        <v>19</v>
      </c>
      <c r="Z273">
        <v>537645</v>
      </c>
      <c r="AA273">
        <v>12.34</v>
      </c>
      <c r="AB273">
        <v>537645</v>
      </c>
      <c r="AC273">
        <v>12.34</v>
      </c>
      <c r="AD273">
        <v>105527</v>
      </c>
      <c r="AE273">
        <v>13161342</v>
      </c>
      <c r="AF273">
        <v>0.1963</v>
      </c>
      <c r="AG273">
        <v>249</v>
      </c>
      <c r="AH273">
        <v>28867029</v>
      </c>
      <c r="AI273">
        <v>4367</v>
      </c>
      <c r="AJ273">
        <v>539</v>
      </c>
      <c r="AK273" s="37" t="s">
        <v>634</v>
      </c>
      <c r="AL273" s="37" t="s">
        <v>1310</v>
      </c>
      <c r="AM273" s="37" t="s">
        <v>887</v>
      </c>
      <c r="AN273" s="37" t="s">
        <v>1317</v>
      </c>
      <c r="AO273" s="37" t="s">
        <v>608</v>
      </c>
      <c r="AP273">
        <v>11</v>
      </c>
      <c r="AQ273">
        <v>13</v>
      </c>
      <c r="AR273">
        <v>30</v>
      </c>
      <c r="AS273">
        <v>68</v>
      </c>
      <c r="AT273" t="s">
        <v>1800</v>
      </c>
      <c r="AU273" s="115">
        <v>23011</v>
      </c>
      <c r="AV273" s="37"/>
      <c r="AW273" s="37"/>
      <c r="AX273" s="37"/>
      <c r="AY273" s="37"/>
      <c r="AZ273" s="37">
        <f>developmentdata2019[[#This Row],[NUMBER OF CURRENT APARTMENTS]]*5/2000</f>
        <v>3.6575000000000002</v>
      </c>
      <c r="BA273" s="37">
        <f>developmentdata2019[[#This Row],[Total]]*BA$1</f>
        <v>0.95095000000000007</v>
      </c>
      <c r="BB273" s="37">
        <f>developmentdata2019[[#This Row],[Trash (tons/day)]]*BB$1</f>
        <v>0.18068050000000002</v>
      </c>
      <c r="BC273" s="37">
        <f>developmentdata2019[[#This Row],[MGP (tons/day)]]*BC$1</f>
        <v>1.2647635000000003E-2</v>
      </c>
      <c r="BD273" s="37">
        <f>developmentdata2019[[#This Row],[Cardboard (tons/day)]]*BD$1</f>
        <v>8.8533445000000025E-4</v>
      </c>
      <c r="BE273" s="37">
        <f>developmentdata2019[[#This Row],[Paper (tons/day)]]*BE$1</f>
        <v>2.8330702400000007E-4</v>
      </c>
      <c r="BF273" s="37">
        <f>developmentdata2019[[#This Row],[Organics (tons/day)]]*BF$1</f>
        <v>2.8330702400000009E-6</v>
      </c>
      <c r="BG273" s="37">
        <f>developmentdata2019[[#This Row],[E-Waste (tons/day)]]*BG$1</f>
        <v>2.2664561920000007E-7</v>
      </c>
      <c r="BH273" s="37">
        <f>developmentdata2019[[#This Row],[Trash (tons/day)]]*BH$1</f>
        <v>20.017497500000001</v>
      </c>
      <c r="BI273" s="37">
        <f>developmentdata2019[[#This Row],[MGP (tons/day)]]*BI$1</f>
        <v>3.2558626100000003</v>
      </c>
      <c r="BJ273" s="37">
        <f>developmentdata2019[[#This Row],[Cardboard (tons/day)]]*BJ$1</f>
        <v>0.33731242545000006</v>
      </c>
      <c r="BK273" s="37">
        <f>developmentdata2019[[#This Row],[Paper (tons/day)]]*BK$1</f>
        <v>5.4802202455000023E-3</v>
      </c>
      <c r="BL273" s="37">
        <f>developmentdata2019[[#This Row],[Organics (tons/day)]]*BL$1</f>
        <v>1.2238863436800005E-3</v>
      </c>
      <c r="BM273" s="37">
        <f>developmentdata2019[[#This Row],[E-Waste (tons/day)]]*BM$1</f>
        <v>1.6006846856000007E-5</v>
      </c>
      <c r="BN273" s="37">
        <f>developmentdata2019[[#This Row],[Textiles (tons/day)]]*BN$1</f>
        <v>3.0211861039360011E-6</v>
      </c>
      <c r="BO273" s="37">
        <f>developmentdata2019[[#This Row],[Trash (CY/day)]]*201.974</f>
        <v>4043.0140400649998</v>
      </c>
      <c r="BP273" s="37">
        <f>developmentdata2019[[#This Row],[MGP (CY/day)]]*201.974</f>
        <v>657.59959479214001</v>
      </c>
      <c r="BQ273" s="37">
        <f>developmentdata2019[[#This Row],[Cardboard (CY/day)]]*201.974</f>
        <v>68.12833981783831</v>
      </c>
      <c r="BR273" s="37">
        <f>developmentdata2019[[#This Row],[Paper  (CY/day)]]*201.974</f>
        <v>1.1068620038646173</v>
      </c>
      <c r="BS273" s="37">
        <f>developmentdata2019[[#This Row],[Organics (CY/day)]]*201.974</f>
        <v>0.24719322037842439</v>
      </c>
      <c r="BT273" s="37">
        <f>developmentdata2019[[#This Row],[E-Waste (CY/day)]]*201.974</f>
        <v>3.2329668868937454E-3</v>
      </c>
      <c r="BU273" s="37">
        <f>developmentdata2019[[#This Row],[Textiles (CY/day)]]*201.974</f>
        <v>6.1020104215636986E-4</v>
      </c>
    </row>
    <row r="274" spans="1:73" x14ac:dyDescent="0.2">
      <c r="A274" s="37" t="s">
        <v>1801</v>
      </c>
      <c r="B274" s="115">
        <v>43466</v>
      </c>
      <c r="C274" s="37" t="s">
        <v>586</v>
      </c>
      <c r="D274">
        <v>354</v>
      </c>
      <c r="E274">
        <v>167</v>
      </c>
      <c r="F274">
        <v>775</v>
      </c>
      <c r="G274">
        <v>763</v>
      </c>
      <c r="H274" s="37" t="s">
        <v>1802</v>
      </c>
      <c r="I274" s="37" t="s">
        <v>577</v>
      </c>
      <c r="J274" s="37" t="s">
        <v>588</v>
      </c>
      <c r="K274" s="37" t="s">
        <v>597</v>
      </c>
      <c r="M274">
        <v>155</v>
      </c>
      <c r="N274">
        <v>155</v>
      </c>
      <c r="O274">
        <v>687.5</v>
      </c>
      <c r="P274">
        <v>4.4400000000000004</v>
      </c>
      <c r="R274">
        <v>349</v>
      </c>
      <c r="S274">
        <v>349</v>
      </c>
      <c r="T274">
        <v>39</v>
      </c>
      <c r="U274">
        <v>0.255</v>
      </c>
      <c r="V274">
        <v>8</v>
      </c>
      <c r="W274">
        <v>0</v>
      </c>
      <c r="X274">
        <v>8</v>
      </c>
      <c r="Y274">
        <v>4</v>
      </c>
      <c r="Z274">
        <v>64755</v>
      </c>
      <c r="AA274">
        <v>1.49</v>
      </c>
      <c r="AB274">
        <v>64755</v>
      </c>
      <c r="AC274">
        <v>1.49</v>
      </c>
      <c r="AD274">
        <v>37312</v>
      </c>
      <c r="AE274">
        <v>1679040</v>
      </c>
      <c r="AF274">
        <v>0.57620000000000005</v>
      </c>
      <c r="AG274">
        <v>234</v>
      </c>
      <c r="AH274">
        <v>10106270</v>
      </c>
      <c r="AI274">
        <v>14721</v>
      </c>
      <c r="AJ274">
        <v>532</v>
      </c>
      <c r="AK274" s="37" t="s">
        <v>591</v>
      </c>
      <c r="AL274" s="37" t="s">
        <v>1274</v>
      </c>
      <c r="AM274" s="37" t="s">
        <v>850</v>
      </c>
      <c r="AN274" s="37" t="s">
        <v>590</v>
      </c>
      <c r="AO274" s="37" t="s">
        <v>593</v>
      </c>
      <c r="AP274">
        <v>16</v>
      </c>
      <c r="AQ274">
        <v>9</v>
      </c>
      <c r="AR274">
        <v>20</v>
      </c>
      <c r="AS274">
        <v>55</v>
      </c>
      <c r="AT274">
        <v>41</v>
      </c>
      <c r="AU274" s="115">
        <v>31436</v>
      </c>
      <c r="AV274" s="37"/>
      <c r="AW274" s="37"/>
      <c r="AX274" s="37" t="s">
        <v>621</v>
      </c>
      <c r="AY274" s="37"/>
      <c r="AZ274" s="37">
        <f>developmentdata2019[[#This Row],[NUMBER OF CURRENT APARTMENTS]]*5/2000</f>
        <v>0.38750000000000001</v>
      </c>
      <c r="BA274" s="37">
        <f>developmentdata2019[[#This Row],[Total]]*BA$1</f>
        <v>0.10075000000000001</v>
      </c>
      <c r="BB274" s="37">
        <f>developmentdata2019[[#This Row],[Trash (tons/day)]]*BB$1</f>
        <v>1.91425E-2</v>
      </c>
      <c r="BC274" s="37">
        <f>developmentdata2019[[#This Row],[MGP (tons/day)]]*BC$1</f>
        <v>1.3399750000000002E-3</v>
      </c>
      <c r="BD274" s="37">
        <f>developmentdata2019[[#This Row],[Cardboard (tons/day)]]*BD$1</f>
        <v>9.3798250000000016E-5</v>
      </c>
      <c r="BE274" s="37">
        <f>developmentdata2019[[#This Row],[Paper (tons/day)]]*BE$1</f>
        <v>3.0015440000000007E-5</v>
      </c>
      <c r="BF274" s="37">
        <f>developmentdata2019[[#This Row],[Organics (tons/day)]]*BF$1</f>
        <v>3.0015440000000008E-7</v>
      </c>
      <c r="BG274" s="37">
        <f>developmentdata2019[[#This Row],[E-Waste (tons/day)]]*BG$1</f>
        <v>2.4012352000000007E-8</v>
      </c>
      <c r="BH274" s="37">
        <f>developmentdata2019[[#This Row],[Trash (tons/day)]]*BH$1</f>
        <v>2.1207875</v>
      </c>
      <c r="BI274" s="37">
        <f>developmentdata2019[[#This Row],[MGP (tons/day)]]*BI$1</f>
        <v>0.34494785</v>
      </c>
      <c r="BJ274" s="37">
        <f>developmentdata2019[[#This Row],[Cardboard (tons/day)]]*BJ$1</f>
        <v>3.5737133250000004E-2</v>
      </c>
      <c r="BK274" s="37">
        <f>developmentdata2019[[#This Row],[Paper (tons/day)]]*BK$1</f>
        <v>5.8061116750000017E-4</v>
      </c>
      <c r="BL274" s="37">
        <f>developmentdata2019[[#This Row],[Organics (tons/day)]]*BL$1</f>
        <v>1.2966670080000005E-4</v>
      </c>
      <c r="BM274" s="37">
        <f>developmentdata2019[[#This Row],[E-Waste (tons/day)]]*BM$1</f>
        <v>1.6958723600000005E-6</v>
      </c>
      <c r="BN274" s="37">
        <f>developmentdata2019[[#This Row],[Textiles (tons/day)]]*BN$1</f>
        <v>3.2008465216000011E-7</v>
      </c>
      <c r="BO274" s="37">
        <f>developmentdata2019[[#This Row],[Trash (CY/day)]]*201.974</f>
        <v>428.34393452500001</v>
      </c>
      <c r="BP274" s="37">
        <f>developmentdata2019[[#This Row],[MGP (CY/day)]]*201.974</f>
        <v>69.6704970559</v>
      </c>
      <c r="BQ274" s="37">
        <f>developmentdata2019[[#This Row],[Cardboard (CY/day)]]*201.974</f>
        <v>7.2179717510355008</v>
      </c>
      <c r="BR274" s="37">
        <f>developmentdata2019[[#This Row],[Paper  (CY/day)]]*201.974</f>
        <v>0.11726835994464503</v>
      </c>
      <c r="BS274" s="37">
        <f>developmentdata2019[[#This Row],[Organics (CY/day)]]*201.974</f>
        <v>2.618930222737921E-2</v>
      </c>
      <c r="BT274" s="37">
        <f>developmentdata2019[[#This Row],[E-Waste (CY/day)]]*201.974</f>
        <v>3.4252212403864009E-4</v>
      </c>
      <c r="BU274" s="37">
        <f>developmentdata2019[[#This Row],[Textiles (CY/day)]]*201.974</f>
        <v>6.4648777535363861E-5</v>
      </c>
    </row>
    <row r="275" spans="1:73" x14ac:dyDescent="0.2">
      <c r="A275" s="37" t="s">
        <v>1803</v>
      </c>
      <c r="B275" s="115">
        <v>43466</v>
      </c>
      <c r="C275" s="37" t="s">
        <v>1804</v>
      </c>
      <c r="D275">
        <v>234</v>
      </c>
      <c r="E275">
        <v>234</v>
      </c>
      <c r="F275">
        <v>358</v>
      </c>
      <c r="G275">
        <v>358</v>
      </c>
      <c r="H275" s="37" t="s">
        <v>1805</v>
      </c>
      <c r="I275" s="37" t="s">
        <v>577</v>
      </c>
      <c r="J275" s="37" t="s">
        <v>588</v>
      </c>
      <c r="K275" s="37" t="s">
        <v>579</v>
      </c>
      <c r="M275">
        <v>525</v>
      </c>
      <c r="N275">
        <v>525</v>
      </c>
      <c r="O275">
        <v>2465.5</v>
      </c>
      <c r="P275">
        <v>4.7</v>
      </c>
      <c r="R275">
        <v>1226</v>
      </c>
      <c r="S275">
        <v>1226</v>
      </c>
      <c r="T275">
        <v>227</v>
      </c>
      <c r="U275">
        <v>0.438</v>
      </c>
      <c r="V275">
        <v>5</v>
      </c>
      <c r="W275">
        <v>1</v>
      </c>
      <c r="X275">
        <v>6</v>
      </c>
      <c r="Y275" t="s">
        <v>1806</v>
      </c>
      <c r="Z275">
        <v>183100</v>
      </c>
      <c r="AA275">
        <v>4.2</v>
      </c>
      <c r="AB275">
        <v>183100</v>
      </c>
      <c r="AC275">
        <v>4.2</v>
      </c>
      <c r="AD275">
        <v>57205</v>
      </c>
      <c r="AE275">
        <v>5051383</v>
      </c>
      <c r="AF275">
        <v>0.31240000000000001</v>
      </c>
      <c r="AG275">
        <v>292</v>
      </c>
      <c r="AH275">
        <v>20178024</v>
      </c>
      <c r="AI275">
        <v>8118</v>
      </c>
      <c r="AJ275">
        <v>477</v>
      </c>
      <c r="AK275" s="37" t="s">
        <v>772</v>
      </c>
      <c r="AL275" s="37" t="s">
        <v>1294</v>
      </c>
      <c r="AM275" s="37" t="s">
        <v>1807</v>
      </c>
      <c r="AN275" s="37"/>
      <c r="AO275" s="37" t="s">
        <v>593</v>
      </c>
      <c r="AP275">
        <v>1</v>
      </c>
      <c r="AQ275">
        <v>7</v>
      </c>
      <c r="AR275">
        <v>18</v>
      </c>
      <c r="AS275">
        <v>50</v>
      </c>
      <c r="AT275">
        <v>33</v>
      </c>
      <c r="AU275" s="115">
        <v>27210</v>
      </c>
      <c r="AV275" s="37"/>
      <c r="AW275" s="37"/>
      <c r="AX275" s="37"/>
      <c r="AY275" s="37"/>
      <c r="AZ275" s="37">
        <f>developmentdata2019[[#This Row],[NUMBER OF CURRENT APARTMENTS]]*5/2000</f>
        <v>1.3125</v>
      </c>
      <c r="BA275" s="37">
        <f>developmentdata2019[[#This Row],[Total]]*BA$1</f>
        <v>0.34125</v>
      </c>
      <c r="BB275" s="37">
        <f>developmentdata2019[[#This Row],[Trash (tons/day)]]*BB$1</f>
        <v>6.4837500000000006E-2</v>
      </c>
      <c r="BC275" s="37">
        <f>developmentdata2019[[#This Row],[MGP (tons/day)]]*BC$1</f>
        <v>4.538625000000001E-3</v>
      </c>
      <c r="BD275" s="37">
        <f>developmentdata2019[[#This Row],[Cardboard (tons/day)]]*BD$1</f>
        <v>3.1770375000000011E-4</v>
      </c>
      <c r="BE275" s="37">
        <f>developmentdata2019[[#This Row],[Paper (tons/day)]]*BE$1</f>
        <v>1.0166520000000004E-4</v>
      </c>
      <c r="BF275" s="37">
        <f>developmentdata2019[[#This Row],[Organics (tons/day)]]*BF$1</f>
        <v>1.0166520000000003E-6</v>
      </c>
      <c r="BG275" s="37">
        <f>developmentdata2019[[#This Row],[E-Waste (tons/day)]]*BG$1</f>
        <v>8.1332160000000028E-8</v>
      </c>
      <c r="BH275" s="37">
        <f>developmentdata2019[[#This Row],[Trash (tons/day)]]*BH$1</f>
        <v>7.1833125000000004</v>
      </c>
      <c r="BI275" s="37">
        <f>developmentdata2019[[#This Row],[MGP (tons/day)]]*BI$1</f>
        <v>1.1683717500000002</v>
      </c>
      <c r="BJ275" s="37">
        <f>developmentdata2019[[#This Row],[Cardboard (tons/day)]]*BJ$1</f>
        <v>0.12104512875000004</v>
      </c>
      <c r="BK275" s="37">
        <f>developmentdata2019[[#This Row],[Paper (tons/day)]]*BK$1</f>
        <v>1.9665862125000009E-3</v>
      </c>
      <c r="BL275" s="37">
        <f>developmentdata2019[[#This Row],[Organics (tons/day)]]*BL$1</f>
        <v>4.3919366400000021E-4</v>
      </c>
      <c r="BM275" s="37">
        <f>developmentdata2019[[#This Row],[E-Waste (tons/day)]]*BM$1</f>
        <v>5.744083800000002E-6</v>
      </c>
      <c r="BN275" s="37">
        <f>developmentdata2019[[#This Row],[Textiles (tons/day)]]*BN$1</f>
        <v>1.0841576928000004E-6</v>
      </c>
      <c r="BO275" s="37">
        <f>developmentdata2019[[#This Row],[Trash (CY/day)]]*201.974</f>
        <v>1450.8423588749999</v>
      </c>
      <c r="BP275" s="37">
        <f>developmentdata2019[[#This Row],[MGP (CY/day)]]*201.974</f>
        <v>235.98071583450002</v>
      </c>
      <c r="BQ275" s="37">
        <f>developmentdata2019[[#This Row],[Cardboard (CY/day)]]*201.974</f>
        <v>24.447968834152505</v>
      </c>
      <c r="BR275" s="37">
        <f>developmentdata2019[[#This Row],[Paper  (CY/day)]]*201.974</f>
        <v>0.39719928368347518</v>
      </c>
      <c r="BS275" s="37">
        <f>developmentdata2019[[#This Row],[Organics (CY/day)]]*201.974</f>
        <v>8.8705701092736039E-2</v>
      </c>
      <c r="BT275" s="37">
        <f>developmentdata2019[[#This Row],[E-Waste (CY/day)]]*201.974</f>
        <v>1.1601555814212004E-3</v>
      </c>
      <c r="BU275" s="37">
        <f>developmentdata2019[[#This Row],[Textiles (CY/day)]]*201.974</f>
        <v>2.1897166584558726E-4</v>
      </c>
    </row>
    <row r="276" spans="1:73" x14ac:dyDescent="0.2">
      <c r="A276" s="37" t="s">
        <v>1808</v>
      </c>
      <c r="B276" s="115">
        <v>43466</v>
      </c>
      <c r="C276" s="37" t="s">
        <v>595</v>
      </c>
      <c r="D276">
        <v>223</v>
      </c>
      <c r="E276">
        <v>308</v>
      </c>
      <c r="F276">
        <v>344</v>
      </c>
      <c r="G276">
        <v>344</v>
      </c>
      <c r="H276" s="37" t="s">
        <v>1809</v>
      </c>
      <c r="I276" s="37" t="s">
        <v>577</v>
      </c>
      <c r="J276" s="37" t="s">
        <v>588</v>
      </c>
      <c r="K276" s="37" t="s">
        <v>579</v>
      </c>
      <c r="M276">
        <v>90</v>
      </c>
      <c r="N276">
        <v>90</v>
      </c>
      <c r="O276">
        <v>352</v>
      </c>
      <c r="P276">
        <v>3.91</v>
      </c>
      <c r="R276">
        <v>185</v>
      </c>
      <c r="S276">
        <v>185</v>
      </c>
      <c r="T276">
        <v>41</v>
      </c>
      <c r="U276">
        <v>0.46100000000000002</v>
      </c>
      <c r="V276">
        <v>1</v>
      </c>
      <c r="W276">
        <v>0</v>
      </c>
      <c r="X276">
        <v>1</v>
      </c>
      <c r="Y276">
        <v>6</v>
      </c>
      <c r="Z276">
        <v>27481</v>
      </c>
      <c r="AA276">
        <v>0.63</v>
      </c>
      <c r="AB276">
        <v>27481</v>
      </c>
      <c r="AC276">
        <v>0.63</v>
      </c>
      <c r="AD276">
        <v>12354</v>
      </c>
      <c r="AE276">
        <v>816812</v>
      </c>
      <c r="AF276">
        <v>0.44950000000000001</v>
      </c>
      <c r="AG276">
        <v>294</v>
      </c>
      <c r="AH276">
        <v>2296895</v>
      </c>
      <c r="AI276">
        <v>6363</v>
      </c>
      <c r="AJ276">
        <v>463</v>
      </c>
      <c r="AK276" s="37" t="s">
        <v>939</v>
      </c>
      <c r="AL276" s="37" t="s">
        <v>598</v>
      </c>
      <c r="AM276" s="37" t="s">
        <v>935</v>
      </c>
      <c r="AN276" s="37" t="s">
        <v>936</v>
      </c>
      <c r="AO276" s="37" t="s">
        <v>584</v>
      </c>
      <c r="AP276">
        <v>4</v>
      </c>
      <c r="AQ276">
        <v>15</v>
      </c>
      <c r="AR276">
        <v>32</v>
      </c>
      <c r="AS276">
        <v>77</v>
      </c>
      <c r="AT276">
        <v>16</v>
      </c>
      <c r="AU276" s="115">
        <v>26206</v>
      </c>
      <c r="AV276" s="37"/>
      <c r="AW276" s="37"/>
      <c r="AX276" s="37"/>
      <c r="AY276" s="37"/>
      <c r="AZ276" s="37">
        <f>developmentdata2019[[#This Row],[NUMBER OF CURRENT APARTMENTS]]*5/2000</f>
        <v>0.22500000000000001</v>
      </c>
      <c r="BA276" s="37">
        <f>developmentdata2019[[#This Row],[Total]]*BA$1</f>
        <v>5.8500000000000003E-2</v>
      </c>
      <c r="BB276" s="37">
        <f>developmentdata2019[[#This Row],[Trash (tons/day)]]*BB$1</f>
        <v>1.1115000000000002E-2</v>
      </c>
      <c r="BC276" s="37">
        <f>developmentdata2019[[#This Row],[MGP (tons/day)]]*BC$1</f>
        <v>7.7805000000000018E-4</v>
      </c>
      <c r="BD276" s="37">
        <f>developmentdata2019[[#This Row],[Cardboard (tons/day)]]*BD$1</f>
        <v>5.4463500000000018E-5</v>
      </c>
      <c r="BE276" s="37">
        <f>developmentdata2019[[#This Row],[Paper (tons/day)]]*BE$1</f>
        <v>1.7428320000000005E-5</v>
      </c>
      <c r="BF276" s="37">
        <f>developmentdata2019[[#This Row],[Organics (tons/day)]]*BF$1</f>
        <v>1.7428320000000006E-7</v>
      </c>
      <c r="BG276" s="37">
        <f>developmentdata2019[[#This Row],[E-Waste (tons/day)]]*BG$1</f>
        <v>1.3942656000000006E-8</v>
      </c>
      <c r="BH276" s="37">
        <f>developmentdata2019[[#This Row],[Trash (tons/day)]]*BH$1</f>
        <v>1.2314250000000002</v>
      </c>
      <c r="BI276" s="37">
        <f>developmentdata2019[[#This Row],[MGP (tons/day)]]*BI$1</f>
        <v>0.20029230000000003</v>
      </c>
      <c r="BJ276" s="37">
        <f>developmentdata2019[[#This Row],[Cardboard (tons/day)]]*BJ$1</f>
        <v>2.0750593500000008E-2</v>
      </c>
      <c r="BK276" s="37">
        <f>developmentdata2019[[#This Row],[Paper (tons/day)]]*BK$1</f>
        <v>3.3712906500000015E-4</v>
      </c>
      <c r="BL276" s="37">
        <f>developmentdata2019[[#This Row],[Organics (tons/day)]]*BL$1</f>
        <v>7.5290342400000028E-5</v>
      </c>
      <c r="BM276" s="37">
        <f>developmentdata2019[[#This Row],[E-Waste (tons/day)]]*BM$1</f>
        <v>9.8470008000000037E-7</v>
      </c>
      <c r="BN276" s="37">
        <f>developmentdata2019[[#This Row],[Textiles (tons/day)]]*BN$1</f>
        <v>1.8585560448000008E-7</v>
      </c>
      <c r="BO276" s="37">
        <f>developmentdata2019[[#This Row],[Trash (CY/day)]]*201.974</f>
        <v>248.71583295000002</v>
      </c>
      <c r="BP276" s="37">
        <f>developmentdata2019[[#This Row],[MGP (CY/day)]]*201.974</f>
        <v>40.453837000200004</v>
      </c>
      <c r="BQ276" s="37">
        <f>developmentdata2019[[#This Row],[Cardboard (CY/day)]]*201.974</f>
        <v>4.1910803715690017</v>
      </c>
      <c r="BR276" s="37">
        <f>developmentdata2019[[#This Row],[Paper  (CY/day)]]*201.974</f>
        <v>6.8091305774310024E-2</v>
      </c>
      <c r="BS276" s="37">
        <f>developmentdata2019[[#This Row],[Organics (CY/day)]]*201.974</f>
        <v>1.5206691615897605E-2</v>
      </c>
      <c r="BT276" s="37">
        <f>developmentdata2019[[#This Row],[E-Waste (CY/day)]]*201.974</f>
        <v>1.9888381395792007E-4</v>
      </c>
      <c r="BU276" s="37">
        <f>developmentdata2019[[#This Row],[Textiles (CY/day)]]*201.974</f>
        <v>3.7537999859243533E-5</v>
      </c>
    </row>
    <row r="277" spans="1:73" x14ac:dyDescent="0.2">
      <c r="A277" s="37" t="s">
        <v>1810</v>
      </c>
      <c r="B277" s="115">
        <v>43466</v>
      </c>
      <c r="C277" s="37" t="s">
        <v>1017</v>
      </c>
      <c r="D277">
        <v>268</v>
      </c>
      <c r="E277">
        <v>127</v>
      </c>
      <c r="F277">
        <v>387</v>
      </c>
      <c r="G277">
        <v>259</v>
      </c>
      <c r="H277" s="37" t="s">
        <v>1811</v>
      </c>
      <c r="I277" s="37" t="s">
        <v>577</v>
      </c>
      <c r="J277" s="37" t="s">
        <v>588</v>
      </c>
      <c r="K277" s="37" t="s">
        <v>735</v>
      </c>
      <c r="M277">
        <v>87</v>
      </c>
      <c r="N277">
        <v>87</v>
      </c>
      <c r="O277">
        <v>304.5</v>
      </c>
      <c r="P277">
        <v>3.5</v>
      </c>
      <c r="R277">
        <v>96</v>
      </c>
      <c r="S277">
        <v>96</v>
      </c>
      <c r="T277">
        <v>75</v>
      </c>
      <c r="U277">
        <v>0.872</v>
      </c>
      <c r="V277">
        <v>1</v>
      </c>
      <c r="W277">
        <v>0</v>
      </c>
      <c r="X277">
        <v>1</v>
      </c>
      <c r="Y277">
        <v>11</v>
      </c>
      <c r="Z277">
        <v>9410</v>
      </c>
      <c r="AA277">
        <v>0.22</v>
      </c>
      <c r="AB277">
        <v>9410</v>
      </c>
      <c r="AC277">
        <v>0.22</v>
      </c>
      <c r="AD277">
        <v>6641</v>
      </c>
      <c r="AE277">
        <v>652000</v>
      </c>
      <c r="AF277">
        <v>0.70569999999999999</v>
      </c>
      <c r="AG277">
        <v>436</v>
      </c>
      <c r="AH277">
        <v>11188636</v>
      </c>
      <c r="AI277">
        <v>36744</v>
      </c>
      <c r="AJ277">
        <v>375</v>
      </c>
      <c r="AK277" s="37" t="s">
        <v>1812</v>
      </c>
      <c r="AL277" s="37" t="s">
        <v>618</v>
      </c>
      <c r="AM277" s="37" t="s">
        <v>1813</v>
      </c>
      <c r="AN277" s="37" t="s">
        <v>620</v>
      </c>
      <c r="AO277" s="37" t="s">
        <v>608</v>
      </c>
      <c r="AP277">
        <v>7</v>
      </c>
      <c r="AQ277">
        <v>10</v>
      </c>
      <c r="AR277">
        <v>30</v>
      </c>
      <c r="AS277">
        <v>69</v>
      </c>
      <c r="AT277">
        <v>6</v>
      </c>
      <c r="AU277" s="115">
        <v>34577</v>
      </c>
      <c r="AV277" s="37"/>
      <c r="AW277" s="37" t="s">
        <v>736</v>
      </c>
      <c r="AX277" s="37" t="s">
        <v>621</v>
      </c>
      <c r="AY277" s="37"/>
      <c r="AZ277" s="37">
        <f>developmentdata2019[[#This Row],[NUMBER OF CURRENT APARTMENTS]]*5/2000</f>
        <v>0.2175</v>
      </c>
      <c r="BA277" s="37">
        <f>developmentdata2019[[#This Row],[Total]]*BA$1</f>
        <v>5.6550000000000003E-2</v>
      </c>
      <c r="BB277" s="37">
        <f>developmentdata2019[[#This Row],[Trash (tons/day)]]*BB$1</f>
        <v>1.0744500000000001E-2</v>
      </c>
      <c r="BC277" s="37">
        <f>developmentdata2019[[#This Row],[MGP (tons/day)]]*BC$1</f>
        <v>7.5211500000000014E-4</v>
      </c>
      <c r="BD277" s="37">
        <f>developmentdata2019[[#This Row],[Cardboard (tons/day)]]*BD$1</f>
        <v>5.2648050000000012E-5</v>
      </c>
      <c r="BE277" s="37">
        <f>developmentdata2019[[#This Row],[Paper (tons/day)]]*BE$1</f>
        <v>1.6847376000000005E-5</v>
      </c>
      <c r="BF277" s="37">
        <f>developmentdata2019[[#This Row],[Organics (tons/day)]]*BF$1</f>
        <v>1.6847376000000006E-7</v>
      </c>
      <c r="BG277" s="37">
        <f>developmentdata2019[[#This Row],[E-Waste (tons/day)]]*BG$1</f>
        <v>1.3477900800000005E-8</v>
      </c>
      <c r="BH277" s="37">
        <f>developmentdata2019[[#This Row],[Trash (tons/day)]]*BH$1</f>
        <v>1.1903775000000001</v>
      </c>
      <c r="BI277" s="37">
        <f>developmentdata2019[[#This Row],[MGP (tons/day)]]*BI$1</f>
        <v>0.19361589000000001</v>
      </c>
      <c r="BJ277" s="37">
        <f>developmentdata2019[[#This Row],[Cardboard (tons/day)]]*BJ$1</f>
        <v>2.0058907050000005E-2</v>
      </c>
      <c r="BK277" s="37">
        <f>developmentdata2019[[#This Row],[Paper (tons/day)]]*BK$1</f>
        <v>3.258914295000001E-4</v>
      </c>
      <c r="BL277" s="37">
        <f>developmentdata2019[[#This Row],[Organics (tons/day)]]*BL$1</f>
        <v>7.2780664320000029E-5</v>
      </c>
      <c r="BM277" s="37">
        <f>developmentdata2019[[#This Row],[E-Waste (tons/day)]]*BM$1</f>
        <v>9.5187674400000039E-7</v>
      </c>
      <c r="BN277" s="37">
        <f>developmentdata2019[[#This Row],[Textiles (tons/day)]]*BN$1</f>
        <v>1.7966041766400007E-7</v>
      </c>
      <c r="BO277" s="37">
        <f>developmentdata2019[[#This Row],[Trash (CY/day)]]*201.974</f>
        <v>240.42530518500001</v>
      </c>
      <c r="BP277" s="37">
        <f>developmentdata2019[[#This Row],[MGP (CY/day)]]*201.974</f>
        <v>39.10537576686</v>
      </c>
      <c r="BQ277" s="37">
        <f>developmentdata2019[[#This Row],[Cardboard (CY/day)]]*201.974</f>
        <v>4.0513776925167004</v>
      </c>
      <c r="BR277" s="37">
        <f>developmentdata2019[[#This Row],[Paper  (CY/day)]]*201.974</f>
        <v>6.5821595581833023E-2</v>
      </c>
      <c r="BS277" s="37">
        <f>developmentdata2019[[#This Row],[Organics (CY/day)]]*201.974</f>
        <v>1.4699801895367685E-2</v>
      </c>
      <c r="BT277" s="37">
        <f>developmentdata2019[[#This Row],[E-Waste (CY/day)]]*201.974</f>
        <v>1.9225435349265606E-4</v>
      </c>
      <c r="BU277" s="37">
        <f>developmentdata2019[[#This Row],[Textiles (CY/day)]]*201.974</f>
        <v>3.6286733197268752E-5</v>
      </c>
    </row>
    <row r="278" spans="1:73" x14ac:dyDescent="0.2">
      <c r="A278" s="37" t="s">
        <v>424</v>
      </c>
      <c r="B278" s="115">
        <v>43466</v>
      </c>
      <c r="C278" s="37" t="s">
        <v>1592</v>
      </c>
      <c r="D278">
        <v>63</v>
      </c>
      <c r="E278">
        <v>63</v>
      </c>
      <c r="F278">
        <v>218</v>
      </c>
      <c r="G278">
        <v>218</v>
      </c>
      <c r="H278" s="37" t="s">
        <v>1814</v>
      </c>
      <c r="I278" s="37" t="s">
        <v>577</v>
      </c>
      <c r="J278" s="37" t="s">
        <v>578</v>
      </c>
      <c r="K278" s="37" t="s">
        <v>579</v>
      </c>
      <c r="M278">
        <v>1182</v>
      </c>
      <c r="N278">
        <v>1185</v>
      </c>
      <c r="O278">
        <v>5423</v>
      </c>
      <c r="P278">
        <v>4.59</v>
      </c>
      <c r="R278">
        <v>2648</v>
      </c>
      <c r="S278">
        <v>2648</v>
      </c>
      <c r="T278">
        <v>407</v>
      </c>
      <c r="U278">
        <v>0.34899999999999998</v>
      </c>
      <c r="V278">
        <v>29</v>
      </c>
      <c r="W278">
        <v>2</v>
      </c>
      <c r="X278">
        <v>66</v>
      </c>
      <c r="Y278">
        <v>43531</v>
      </c>
      <c r="Z278">
        <v>1430081</v>
      </c>
      <c r="AA278">
        <v>32.83</v>
      </c>
      <c r="AB278">
        <v>1430081</v>
      </c>
      <c r="AC278">
        <v>32.83</v>
      </c>
      <c r="AD278">
        <v>228989</v>
      </c>
      <c r="AE278">
        <v>11440850</v>
      </c>
      <c r="AF278">
        <v>0.16009999999999999</v>
      </c>
      <c r="AG278">
        <v>81</v>
      </c>
      <c r="AH278">
        <v>15541569</v>
      </c>
      <c r="AI278">
        <v>2859</v>
      </c>
      <c r="AJ278">
        <v>540</v>
      </c>
      <c r="AK278" s="37" t="s">
        <v>1594</v>
      </c>
      <c r="AL278" s="37" t="s">
        <v>1815</v>
      </c>
      <c r="AM278" s="37" t="s">
        <v>1816</v>
      </c>
      <c r="AN278" s="37" t="s">
        <v>1595</v>
      </c>
      <c r="AO278" s="37" t="s">
        <v>584</v>
      </c>
      <c r="AP278">
        <v>10</v>
      </c>
      <c r="AQ278">
        <v>14</v>
      </c>
      <c r="AR278">
        <v>34</v>
      </c>
      <c r="AS278">
        <v>82</v>
      </c>
      <c r="AT278">
        <v>13</v>
      </c>
      <c r="AU278" s="115">
        <v>19690</v>
      </c>
      <c r="AV278" s="37"/>
      <c r="AW278" s="37"/>
      <c r="AX278" s="37"/>
      <c r="AY278" s="37"/>
      <c r="AZ278" s="37">
        <f>developmentdata2019[[#This Row],[NUMBER OF CURRENT APARTMENTS]]*5/2000</f>
        <v>2.9550000000000001</v>
      </c>
      <c r="BA278" s="37">
        <f>developmentdata2019[[#This Row],[Total]]*BA$1</f>
        <v>0.76830000000000009</v>
      </c>
      <c r="BB278" s="37">
        <f>developmentdata2019[[#This Row],[Trash (tons/day)]]*BB$1</f>
        <v>0.14597700000000002</v>
      </c>
      <c r="BC278" s="37">
        <f>developmentdata2019[[#This Row],[MGP (tons/day)]]*BC$1</f>
        <v>1.0218390000000003E-2</v>
      </c>
      <c r="BD278" s="37">
        <f>developmentdata2019[[#This Row],[Cardboard (tons/day)]]*BD$1</f>
        <v>7.1528730000000021E-4</v>
      </c>
      <c r="BE278" s="37">
        <f>developmentdata2019[[#This Row],[Paper (tons/day)]]*BE$1</f>
        <v>2.2889193600000008E-4</v>
      </c>
      <c r="BF278" s="37">
        <f>developmentdata2019[[#This Row],[Organics (tons/day)]]*BF$1</f>
        <v>2.288919360000001E-6</v>
      </c>
      <c r="BG278" s="37">
        <f>developmentdata2019[[#This Row],[E-Waste (tons/day)]]*BG$1</f>
        <v>1.8311354880000008E-7</v>
      </c>
      <c r="BH278" s="37">
        <f>developmentdata2019[[#This Row],[Trash (tons/day)]]*BH$1</f>
        <v>16.172715000000004</v>
      </c>
      <c r="BI278" s="37">
        <f>developmentdata2019[[#This Row],[MGP (tons/day)]]*BI$1</f>
        <v>2.6305055400000001</v>
      </c>
      <c r="BJ278" s="37">
        <f>developmentdata2019[[#This Row],[Cardboard (tons/day)]]*BJ$1</f>
        <v>0.27252446130000008</v>
      </c>
      <c r="BK278" s="37">
        <f>developmentdata2019[[#This Row],[Paper (tons/day)]]*BK$1</f>
        <v>4.4276283870000018E-3</v>
      </c>
      <c r="BL278" s="37">
        <f>developmentdata2019[[#This Row],[Organics (tons/day)]]*BL$1</f>
        <v>9.8881316352000034E-4</v>
      </c>
      <c r="BM278" s="37">
        <f>developmentdata2019[[#This Row],[E-Waste (tons/day)]]*BM$1</f>
        <v>1.2932394384000007E-5</v>
      </c>
      <c r="BN278" s="37">
        <f>developmentdata2019[[#This Row],[Textiles (tons/day)]]*BN$1</f>
        <v>2.4409036055040012E-6</v>
      </c>
      <c r="BO278" s="37">
        <f>developmentdata2019[[#This Row],[Trash (CY/day)]]*201.974</f>
        <v>3266.4679394100008</v>
      </c>
      <c r="BP278" s="37">
        <f>developmentdata2019[[#This Row],[MGP (CY/day)]]*201.974</f>
        <v>531.29372593595997</v>
      </c>
      <c r="BQ278" s="37">
        <f>developmentdata2019[[#This Row],[Cardboard (CY/day)]]*201.974</f>
        <v>55.042855546606212</v>
      </c>
      <c r="BR278" s="37">
        <f>developmentdata2019[[#This Row],[Paper  (CY/day)]]*201.974</f>
        <v>0.89426581583593834</v>
      </c>
      <c r="BS278" s="37">
        <f>developmentdata2019[[#This Row],[Organics (CY/day)]]*201.974</f>
        <v>0.19971454988878853</v>
      </c>
      <c r="BT278" s="37">
        <f>developmentdata2019[[#This Row],[E-Waste (CY/day)]]*201.974</f>
        <v>2.612007423314017E-3</v>
      </c>
      <c r="BU278" s="37">
        <f>developmentdata2019[[#This Row],[Textiles (CY/day)]]*201.974</f>
        <v>4.9299906481806513E-4</v>
      </c>
    </row>
    <row r="279" spans="1:73" x14ac:dyDescent="0.2">
      <c r="A279" s="37" t="s">
        <v>1817</v>
      </c>
      <c r="B279" s="115">
        <v>43466</v>
      </c>
      <c r="C279" s="37" t="s">
        <v>1592</v>
      </c>
      <c r="D279">
        <v>193</v>
      </c>
      <c r="E279">
        <v>63</v>
      </c>
      <c r="F279">
        <v>303</v>
      </c>
      <c r="G279">
        <v>218</v>
      </c>
      <c r="H279" s="37" t="s">
        <v>1818</v>
      </c>
      <c r="I279" s="37" t="s">
        <v>577</v>
      </c>
      <c r="J279" s="37" t="s">
        <v>578</v>
      </c>
      <c r="K279" s="37" t="s">
        <v>579</v>
      </c>
      <c r="M279">
        <v>287</v>
      </c>
      <c r="N279">
        <v>287</v>
      </c>
      <c r="O279">
        <v>1330.5</v>
      </c>
      <c r="P279">
        <v>4.6399999999999997</v>
      </c>
      <c r="R279">
        <v>692</v>
      </c>
      <c r="S279">
        <v>692</v>
      </c>
      <c r="T279">
        <v>112</v>
      </c>
      <c r="U279">
        <v>0.4</v>
      </c>
      <c r="V279">
        <v>4</v>
      </c>
      <c r="W279">
        <v>0</v>
      </c>
      <c r="X279">
        <v>4</v>
      </c>
      <c r="Y279">
        <v>43688</v>
      </c>
      <c r="Z279">
        <v>384899</v>
      </c>
      <c r="AA279">
        <v>8.84</v>
      </c>
      <c r="AB279">
        <v>384899</v>
      </c>
      <c r="AC279">
        <v>8.84</v>
      </c>
      <c r="AD279">
        <v>39315</v>
      </c>
      <c r="AE279">
        <v>2755918</v>
      </c>
      <c r="AF279">
        <v>0.1021</v>
      </c>
      <c r="AG279">
        <v>78</v>
      </c>
      <c r="AH279">
        <v>7405898</v>
      </c>
      <c r="AI279">
        <v>5523</v>
      </c>
      <c r="AJ279">
        <v>542</v>
      </c>
      <c r="AK279" s="37" t="s">
        <v>1819</v>
      </c>
      <c r="AL279" s="37" t="s">
        <v>1820</v>
      </c>
      <c r="AM279" s="37" t="s">
        <v>1594</v>
      </c>
      <c r="AN279" s="37" t="s">
        <v>1821</v>
      </c>
      <c r="AO279" s="37" t="s">
        <v>584</v>
      </c>
      <c r="AP279">
        <v>10</v>
      </c>
      <c r="AQ279">
        <v>14</v>
      </c>
      <c r="AR279">
        <v>34</v>
      </c>
      <c r="AS279">
        <v>82</v>
      </c>
      <c r="AT279">
        <v>13</v>
      </c>
      <c r="AU279" s="115">
        <v>26206</v>
      </c>
      <c r="AV279" s="37"/>
      <c r="AW279" s="37"/>
      <c r="AX279" s="37"/>
      <c r="AY279" s="37"/>
      <c r="AZ279" s="37">
        <f>developmentdata2019[[#This Row],[NUMBER OF CURRENT APARTMENTS]]*5/2000</f>
        <v>0.71750000000000003</v>
      </c>
      <c r="BA279" s="37">
        <f>developmentdata2019[[#This Row],[Total]]*BA$1</f>
        <v>0.18655000000000002</v>
      </c>
      <c r="BB279" s="37">
        <f>developmentdata2019[[#This Row],[Trash (tons/day)]]*BB$1</f>
        <v>3.5444500000000004E-2</v>
      </c>
      <c r="BC279" s="37">
        <f>developmentdata2019[[#This Row],[MGP (tons/day)]]*BC$1</f>
        <v>2.4811150000000003E-3</v>
      </c>
      <c r="BD279" s="37">
        <f>developmentdata2019[[#This Row],[Cardboard (tons/day)]]*BD$1</f>
        <v>1.7367805000000004E-4</v>
      </c>
      <c r="BE279" s="37">
        <f>developmentdata2019[[#This Row],[Paper (tons/day)]]*BE$1</f>
        <v>5.5576976000000015E-5</v>
      </c>
      <c r="BF279" s="37">
        <f>developmentdata2019[[#This Row],[Organics (tons/day)]]*BF$1</f>
        <v>5.5576976000000014E-7</v>
      </c>
      <c r="BG279" s="37">
        <f>developmentdata2019[[#This Row],[E-Waste (tons/day)]]*BG$1</f>
        <v>4.446158080000001E-8</v>
      </c>
      <c r="BH279" s="37">
        <f>developmentdata2019[[#This Row],[Trash (tons/day)]]*BH$1</f>
        <v>3.9268775000000007</v>
      </c>
      <c r="BI279" s="37">
        <f>developmentdata2019[[#This Row],[MGP (tons/day)]]*BI$1</f>
        <v>0.63870989</v>
      </c>
      <c r="BJ279" s="37">
        <f>developmentdata2019[[#This Row],[Cardboard (tons/day)]]*BJ$1</f>
        <v>6.6171337050000015E-2</v>
      </c>
      <c r="BK279" s="37">
        <f>developmentdata2019[[#This Row],[Paper (tons/day)]]*BK$1</f>
        <v>1.0750671295000004E-3</v>
      </c>
      <c r="BL279" s="37">
        <f>developmentdata2019[[#This Row],[Organics (tons/day)]]*BL$1</f>
        <v>2.4009253632000007E-4</v>
      </c>
      <c r="BM279" s="37">
        <f>developmentdata2019[[#This Row],[E-Waste (tons/day)]]*BM$1</f>
        <v>3.1400991440000009E-6</v>
      </c>
      <c r="BN279" s="37">
        <f>developmentdata2019[[#This Row],[Textiles (tons/day)]]*BN$1</f>
        <v>5.9267287206400013E-7</v>
      </c>
      <c r="BO279" s="37">
        <f>developmentdata2019[[#This Row],[Trash (CY/day)]]*201.974</f>
        <v>793.1271561850001</v>
      </c>
      <c r="BP279" s="37">
        <f>developmentdata2019[[#This Row],[MGP (CY/day)]]*201.974</f>
        <v>129.00279132285999</v>
      </c>
      <c r="BQ279" s="37">
        <f>developmentdata2019[[#This Row],[Cardboard (CY/day)]]*201.974</f>
        <v>13.364889629336702</v>
      </c>
      <c r="BR279" s="37">
        <f>developmentdata2019[[#This Row],[Paper  (CY/day)]]*201.974</f>
        <v>0.21713560841363308</v>
      </c>
      <c r="BS279" s="37">
        <f>developmentdata2019[[#This Row],[Organics (CY/day)]]*201.974</f>
        <v>4.8492449930695694E-2</v>
      </c>
      <c r="BT279" s="37">
        <f>developmentdata2019[[#This Row],[E-Waste (CY/day)]]*201.974</f>
        <v>6.3421838451025619E-4</v>
      </c>
      <c r="BU279" s="37">
        <f>developmentdata2019[[#This Row],[Textiles (CY/day)]]*201.974</f>
        <v>1.1970451066225436E-4</v>
      </c>
    </row>
    <row r="280" spans="1:73" x14ac:dyDescent="0.2">
      <c r="A280" s="37" t="s">
        <v>488</v>
      </c>
      <c r="B280" s="115">
        <v>43466</v>
      </c>
      <c r="C280" s="37" t="s">
        <v>1270</v>
      </c>
      <c r="D280">
        <v>96</v>
      </c>
      <c r="E280">
        <v>96</v>
      </c>
      <c r="F280">
        <v>233</v>
      </c>
      <c r="G280">
        <v>233</v>
      </c>
      <c r="H280" s="37" t="s">
        <v>1822</v>
      </c>
      <c r="I280" s="37" t="s">
        <v>577</v>
      </c>
      <c r="J280" s="37" t="s">
        <v>578</v>
      </c>
      <c r="K280" s="37" t="s">
        <v>579</v>
      </c>
      <c r="M280">
        <v>998</v>
      </c>
      <c r="N280">
        <v>998</v>
      </c>
      <c r="O280">
        <v>4750</v>
      </c>
      <c r="P280">
        <v>4.76</v>
      </c>
      <c r="R280">
        <v>2556</v>
      </c>
      <c r="S280">
        <v>2556</v>
      </c>
      <c r="T280">
        <v>326</v>
      </c>
      <c r="U280">
        <v>0.33200000000000002</v>
      </c>
      <c r="V280">
        <v>8</v>
      </c>
      <c r="W280">
        <v>1</v>
      </c>
      <c r="X280">
        <v>9</v>
      </c>
      <c r="Y280">
        <v>16</v>
      </c>
      <c r="Z280">
        <v>465764</v>
      </c>
      <c r="AA280">
        <v>10.69</v>
      </c>
      <c r="AB280">
        <v>465764</v>
      </c>
      <c r="AC280">
        <v>10.69</v>
      </c>
      <c r="AD280">
        <v>66416</v>
      </c>
      <c r="AE280">
        <v>8888637</v>
      </c>
      <c r="AF280">
        <v>0.1426</v>
      </c>
      <c r="AG280">
        <v>239</v>
      </c>
      <c r="AH280">
        <v>14827430</v>
      </c>
      <c r="AI280">
        <v>3122</v>
      </c>
      <c r="AJ280">
        <v>492</v>
      </c>
      <c r="AK280" s="37" t="s">
        <v>850</v>
      </c>
      <c r="AL280" s="37" t="s">
        <v>851</v>
      </c>
      <c r="AM280" s="37" t="s">
        <v>1823</v>
      </c>
      <c r="AN280" s="37" t="s">
        <v>852</v>
      </c>
      <c r="AO280" s="37" t="s">
        <v>593</v>
      </c>
      <c r="AP280">
        <v>16</v>
      </c>
      <c r="AQ280">
        <v>9</v>
      </c>
      <c r="AR280">
        <v>20</v>
      </c>
      <c r="AS280">
        <v>55</v>
      </c>
      <c r="AT280">
        <v>41</v>
      </c>
      <c r="AU280" s="115">
        <v>22462</v>
      </c>
      <c r="AV280" s="37"/>
      <c r="AW280" s="37"/>
      <c r="AX280" s="37"/>
      <c r="AY280" s="37"/>
      <c r="AZ280" s="37">
        <f>developmentdata2019[[#This Row],[NUMBER OF CURRENT APARTMENTS]]*5/2000</f>
        <v>2.4950000000000001</v>
      </c>
      <c r="BA280" s="37">
        <f>developmentdata2019[[#This Row],[Total]]*BA$1</f>
        <v>0.64870000000000005</v>
      </c>
      <c r="BB280" s="37">
        <f>developmentdata2019[[#This Row],[Trash (tons/day)]]*BB$1</f>
        <v>0.12325300000000002</v>
      </c>
      <c r="BC280" s="37">
        <f>developmentdata2019[[#This Row],[MGP (tons/day)]]*BC$1</f>
        <v>8.627710000000002E-3</v>
      </c>
      <c r="BD280" s="37">
        <f>developmentdata2019[[#This Row],[Cardboard (tons/day)]]*BD$1</f>
        <v>6.0393970000000019E-4</v>
      </c>
      <c r="BE280" s="37">
        <f>developmentdata2019[[#This Row],[Paper (tons/day)]]*BE$1</f>
        <v>1.9326070400000006E-4</v>
      </c>
      <c r="BF280" s="37">
        <f>developmentdata2019[[#This Row],[Organics (tons/day)]]*BF$1</f>
        <v>1.9326070400000005E-6</v>
      </c>
      <c r="BG280" s="37">
        <f>developmentdata2019[[#This Row],[E-Waste (tons/day)]]*BG$1</f>
        <v>1.5460856320000005E-7</v>
      </c>
      <c r="BH280" s="37">
        <f>developmentdata2019[[#This Row],[Trash (tons/day)]]*BH$1</f>
        <v>13.655135000000001</v>
      </c>
      <c r="BI280" s="37">
        <f>developmentdata2019[[#This Row],[MGP (tons/day)]]*BI$1</f>
        <v>2.2210190600000002</v>
      </c>
      <c r="BJ280" s="37">
        <f>developmentdata2019[[#This Row],[Cardboard (tons/day)]]*BJ$1</f>
        <v>0.23010102570000007</v>
      </c>
      <c r="BK280" s="37">
        <f>developmentdata2019[[#This Row],[Paper (tons/day)]]*BK$1</f>
        <v>3.7383867430000016E-3</v>
      </c>
      <c r="BL280" s="37">
        <f>developmentdata2019[[#This Row],[Organics (tons/day)]]*BL$1</f>
        <v>8.3488624128000028E-4</v>
      </c>
      <c r="BM280" s="37">
        <f>developmentdata2019[[#This Row],[E-Waste (tons/day)]]*BM$1</f>
        <v>1.0919229776000003E-5</v>
      </c>
      <c r="BN280" s="37">
        <f>developmentdata2019[[#This Row],[Textiles (tons/day)]]*BN$1</f>
        <v>2.0609321474560009E-6</v>
      </c>
      <c r="BO280" s="37">
        <f>developmentdata2019[[#This Row],[Trash (CY/day)]]*201.974</f>
        <v>2757.9822364900001</v>
      </c>
      <c r="BP280" s="37">
        <f>developmentdata2019[[#This Row],[MGP (CY/day)]]*201.974</f>
        <v>448.58810362444001</v>
      </c>
      <c r="BQ280" s="37">
        <f>developmentdata2019[[#This Row],[Cardboard (CY/day)]]*201.974</f>
        <v>46.474424564731812</v>
      </c>
      <c r="BR280" s="37">
        <f>developmentdata2019[[#This Row],[Paper  (CY/day)]]*201.974</f>
        <v>0.75505692403068225</v>
      </c>
      <c r="BS280" s="37">
        <f>developmentdata2019[[#This Row],[Organics (CY/day)]]*201.974</f>
        <v>0.16862531369628678</v>
      </c>
      <c r="BT280" s="37">
        <f>developmentdata2019[[#This Row],[E-Waste (CY/day)]]*201.974</f>
        <v>2.2054005147778247E-3</v>
      </c>
      <c r="BU280" s="37">
        <f>developmentdata2019[[#This Row],[Textiles (CY/day)]]*201.974</f>
        <v>4.162547095502783E-4</v>
      </c>
    </row>
    <row r="281" spans="1:73" x14ac:dyDescent="0.2">
      <c r="A281" s="37" t="s">
        <v>1824</v>
      </c>
      <c r="B281" s="115">
        <v>43466</v>
      </c>
      <c r="C281" s="37" t="s">
        <v>759</v>
      </c>
      <c r="D281">
        <v>42</v>
      </c>
      <c r="E281">
        <v>42</v>
      </c>
      <c r="F281">
        <v>583</v>
      </c>
      <c r="G281">
        <v>583</v>
      </c>
      <c r="H281" s="37" t="s">
        <v>1825</v>
      </c>
      <c r="I281" s="37" t="s">
        <v>577</v>
      </c>
      <c r="J281" s="37" t="s">
        <v>578</v>
      </c>
      <c r="K281" s="37" t="s">
        <v>579</v>
      </c>
      <c r="M281">
        <v>502</v>
      </c>
      <c r="N281">
        <v>502</v>
      </c>
      <c r="O281">
        <v>2174</v>
      </c>
      <c r="P281">
        <v>4.33</v>
      </c>
      <c r="R281">
        <v>1005</v>
      </c>
      <c r="S281">
        <v>1005</v>
      </c>
      <c r="T281">
        <v>190</v>
      </c>
      <c r="U281">
        <v>0.38400000000000001</v>
      </c>
      <c r="V281">
        <v>7</v>
      </c>
      <c r="W281">
        <v>0</v>
      </c>
      <c r="X281">
        <v>14</v>
      </c>
      <c r="Y281">
        <v>6</v>
      </c>
      <c r="Z281">
        <v>581056</v>
      </c>
      <c r="AA281">
        <v>13.34</v>
      </c>
      <c r="AB281">
        <v>532084</v>
      </c>
      <c r="AC281">
        <v>12.21</v>
      </c>
      <c r="AD281">
        <v>79116</v>
      </c>
      <c r="AE281">
        <v>4454900</v>
      </c>
      <c r="AF281">
        <v>0.13619999999999999</v>
      </c>
      <c r="AG281">
        <v>75</v>
      </c>
      <c r="AH281">
        <v>6509155</v>
      </c>
      <c r="AI281">
        <v>2994</v>
      </c>
      <c r="AJ281">
        <v>579</v>
      </c>
      <c r="AK281" s="37" t="s">
        <v>1826</v>
      </c>
      <c r="AL281" s="37" t="s">
        <v>1827</v>
      </c>
      <c r="AM281" s="37" t="s">
        <v>1828</v>
      </c>
      <c r="AN281" s="37" t="s">
        <v>1829</v>
      </c>
      <c r="AO281" s="37" t="s">
        <v>765</v>
      </c>
      <c r="AP281">
        <v>2</v>
      </c>
      <c r="AQ281">
        <v>11</v>
      </c>
      <c r="AR281">
        <v>24</v>
      </c>
      <c r="AS281">
        <v>63</v>
      </c>
      <c r="AT281">
        <v>49</v>
      </c>
      <c r="AU281" s="115">
        <v>18415</v>
      </c>
      <c r="AV281" s="37" t="s">
        <v>1191</v>
      </c>
      <c r="AW281" s="37"/>
      <c r="AX281" s="37"/>
      <c r="AY281" s="37"/>
      <c r="AZ281" s="37">
        <f>developmentdata2019[[#This Row],[NUMBER OF CURRENT APARTMENTS]]*5/2000</f>
        <v>1.2549999999999999</v>
      </c>
      <c r="BA281" s="37">
        <f>developmentdata2019[[#This Row],[Total]]*BA$1</f>
        <v>0.32629999999999998</v>
      </c>
      <c r="BB281" s="37">
        <f>developmentdata2019[[#This Row],[Trash (tons/day)]]*BB$1</f>
        <v>6.1996999999999997E-2</v>
      </c>
      <c r="BC281" s="37">
        <f>developmentdata2019[[#This Row],[MGP (tons/day)]]*BC$1</f>
        <v>4.3397900000000005E-3</v>
      </c>
      <c r="BD281" s="37">
        <f>developmentdata2019[[#This Row],[Cardboard (tons/day)]]*BD$1</f>
        <v>3.0378530000000004E-4</v>
      </c>
      <c r="BE281" s="37">
        <f>developmentdata2019[[#This Row],[Paper (tons/day)]]*BE$1</f>
        <v>9.7211296000000011E-5</v>
      </c>
      <c r="BF281" s="37">
        <f>developmentdata2019[[#This Row],[Organics (tons/day)]]*BF$1</f>
        <v>9.7211296000000019E-7</v>
      </c>
      <c r="BG281" s="37">
        <f>developmentdata2019[[#This Row],[E-Waste (tons/day)]]*BG$1</f>
        <v>7.7769036800000011E-8</v>
      </c>
      <c r="BH281" s="37">
        <f>developmentdata2019[[#This Row],[Trash (tons/day)]]*BH$1</f>
        <v>6.8686150000000001</v>
      </c>
      <c r="BI281" s="37">
        <f>developmentdata2019[[#This Row],[MGP (tons/day)]]*BI$1</f>
        <v>1.1171859399999999</v>
      </c>
      <c r="BJ281" s="37">
        <f>developmentdata2019[[#This Row],[Cardboard (tons/day)]]*BJ$1</f>
        <v>0.11574219930000001</v>
      </c>
      <c r="BK281" s="37">
        <f>developmentdata2019[[#This Row],[Paper (tons/day)]]*BK$1</f>
        <v>1.8804310070000003E-3</v>
      </c>
      <c r="BL281" s="37">
        <f>developmentdata2019[[#This Row],[Organics (tons/day)]]*BL$1</f>
        <v>4.199527987200001E-4</v>
      </c>
      <c r="BM281" s="37">
        <f>developmentdata2019[[#This Row],[E-Waste (tons/day)]]*BM$1</f>
        <v>5.4924382240000016E-6</v>
      </c>
      <c r="BN281" s="37">
        <f>developmentdata2019[[#This Row],[Textiles (tons/day)]]*BN$1</f>
        <v>1.0366612605440002E-6</v>
      </c>
      <c r="BO281" s="37">
        <f>developmentdata2019[[#This Row],[Trash (CY/day)]]*201.974</f>
        <v>1387.28164601</v>
      </c>
      <c r="BP281" s="37">
        <f>developmentdata2019[[#This Row],[MGP (CY/day)]]*201.974</f>
        <v>225.64251304555998</v>
      </c>
      <c r="BQ281" s="37">
        <f>developmentdata2019[[#This Row],[Cardboard (CY/day)]]*201.974</f>
        <v>23.376914961418201</v>
      </c>
      <c r="BR281" s="37">
        <f>developmentdata2019[[#This Row],[Paper  (CY/day)]]*201.974</f>
        <v>0.37979817220781803</v>
      </c>
      <c r="BS281" s="37">
        <f>developmentdata2019[[#This Row],[Organics (CY/day)]]*201.974</f>
        <v>8.4819546568673299E-2</v>
      </c>
      <c r="BT281" s="37">
        <f>developmentdata2019[[#This Row],[E-Waste (CY/day)]]*201.974</f>
        <v>1.1093297178541763E-3</v>
      </c>
      <c r="BU281" s="37">
        <f>developmentdata2019[[#This Row],[Textiles (CY/day)]]*201.974</f>
        <v>2.0937862143711387E-4</v>
      </c>
    </row>
    <row r="282" spans="1:73" x14ac:dyDescent="0.2">
      <c r="A282" s="37" t="s">
        <v>452</v>
      </c>
      <c r="B282" s="115">
        <v>43466</v>
      </c>
      <c r="C282" s="37" t="s">
        <v>767</v>
      </c>
      <c r="D282">
        <v>131</v>
      </c>
      <c r="E282">
        <v>131</v>
      </c>
      <c r="F282">
        <v>246</v>
      </c>
      <c r="G282">
        <v>246</v>
      </c>
      <c r="H282" s="37" t="s">
        <v>1830</v>
      </c>
      <c r="I282" s="37" t="s">
        <v>577</v>
      </c>
      <c r="J282" s="37" t="s">
        <v>578</v>
      </c>
      <c r="K282" s="37" t="s">
        <v>579</v>
      </c>
      <c r="M282">
        <v>1045</v>
      </c>
      <c r="N282">
        <v>1046</v>
      </c>
      <c r="O282">
        <v>5218.5</v>
      </c>
      <c r="P282">
        <v>4.99</v>
      </c>
      <c r="R282">
        <v>2818</v>
      </c>
      <c r="S282">
        <v>2818</v>
      </c>
      <c r="T282">
        <v>352</v>
      </c>
      <c r="U282">
        <v>0.34</v>
      </c>
      <c r="V282">
        <v>8</v>
      </c>
      <c r="W282">
        <v>1</v>
      </c>
      <c r="X282">
        <v>13</v>
      </c>
      <c r="Y282">
        <v>43693</v>
      </c>
      <c r="Z282">
        <v>521950</v>
      </c>
      <c r="AA282">
        <v>11.98</v>
      </c>
      <c r="AB282">
        <v>521950</v>
      </c>
      <c r="AC282">
        <v>11.98</v>
      </c>
      <c r="AD282">
        <v>94386</v>
      </c>
      <c r="AE282">
        <v>9894217</v>
      </c>
      <c r="AF282">
        <v>0.18079999999999999</v>
      </c>
      <c r="AG282">
        <v>235</v>
      </c>
      <c r="AH282">
        <v>18445969</v>
      </c>
      <c r="AI282">
        <v>3532</v>
      </c>
      <c r="AJ282">
        <v>572</v>
      </c>
      <c r="AK282" s="37" t="s">
        <v>887</v>
      </c>
      <c r="AL282" s="37" t="s">
        <v>751</v>
      </c>
      <c r="AM282" s="37" t="s">
        <v>627</v>
      </c>
      <c r="AN282" s="37" t="s">
        <v>697</v>
      </c>
      <c r="AO282" s="37" t="s">
        <v>593</v>
      </c>
      <c r="AP282">
        <v>3</v>
      </c>
      <c r="AQ282">
        <v>8</v>
      </c>
      <c r="AR282">
        <v>18</v>
      </c>
      <c r="AS282">
        <v>56</v>
      </c>
      <c r="AT282">
        <v>36</v>
      </c>
      <c r="AU282" s="115">
        <v>23589</v>
      </c>
      <c r="AV282" s="37"/>
      <c r="AW282" s="37"/>
      <c r="AX282" s="37"/>
      <c r="AY282" s="37"/>
      <c r="AZ282" s="37">
        <f>developmentdata2019[[#This Row],[NUMBER OF CURRENT APARTMENTS]]*5/2000</f>
        <v>2.6124999999999998</v>
      </c>
      <c r="BA282" s="37">
        <f>developmentdata2019[[#This Row],[Total]]*BA$1</f>
        <v>0.67925000000000002</v>
      </c>
      <c r="BB282" s="37">
        <f>developmentdata2019[[#This Row],[Trash (tons/day)]]*BB$1</f>
        <v>0.12905749999999999</v>
      </c>
      <c r="BC282" s="37">
        <f>developmentdata2019[[#This Row],[MGP (tons/day)]]*BC$1</f>
        <v>9.0340250000000011E-3</v>
      </c>
      <c r="BD282" s="37">
        <f>developmentdata2019[[#This Row],[Cardboard (tons/day)]]*BD$1</f>
        <v>6.3238175000000015E-4</v>
      </c>
      <c r="BE282" s="37">
        <f>developmentdata2019[[#This Row],[Paper (tons/day)]]*BE$1</f>
        <v>2.0236216000000005E-4</v>
      </c>
      <c r="BF282" s="37">
        <f>developmentdata2019[[#This Row],[Organics (tons/day)]]*BF$1</f>
        <v>2.0236216000000004E-6</v>
      </c>
      <c r="BG282" s="37">
        <f>developmentdata2019[[#This Row],[E-Waste (tons/day)]]*BG$1</f>
        <v>1.6188972800000005E-7</v>
      </c>
      <c r="BH282" s="37">
        <f>developmentdata2019[[#This Row],[Trash (tons/day)]]*BH$1</f>
        <v>14.298212500000002</v>
      </c>
      <c r="BI282" s="37">
        <f>developmentdata2019[[#This Row],[MGP (tons/day)]]*BI$1</f>
        <v>2.3256161499999997</v>
      </c>
      <c r="BJ282" s="37">
        <f>developmentdata2019[[#This Row],[Cardboard (tons/day)]]*BJ$1</f>
        <v>0.24093744675000003</v>
      </c>
      <c r="BK282" s="37">
        <f>developmentdata2019[[#This Row],[Paper (tons/day)]]*BK$1</f>
        <v>3.914443032500001E-3</v>
      </c>
      <c r="BL282" s="37">
        <f>developmentdata2019[[#This Row],[Organics (tons/day)]]*BL$1</f>
        <v>8.7420453120000028E-4</v>
      </c>
      <c r="BM282" s="37">
        <f>developmentdata2019[[#This Row],[E-Waste (tons/day)]]*BM$1</f>
        <v>1.1433462040000004E-5</v>
      </c>
      <c r="BN282" s="37">
        <f>developmentdata2019[[#This Row],[Textiles (tons/day)]]*BN$1</f>
        <v>2.1579900742400006E-6</v>
      </c>
      <c r="BO282" s="37">
        <f>developmentdata2019[[#This Row],[Trash (CY/day)]]*201.974</f>
        <v>2887.8671714750003</v>
      </c>
      <c r="BP282" s="37">
        <f>developmentdata2019[[#This Row],[MGP (CY/day)]]*201.974</f>
        <v>469.71399628009993</v>
      </c>
      <c r="BQ282" s="37">
        <f>developmentdata2019[[#This Row],[Cardboard (CY/day)]]*201.974</f>
        <v>48.663099869884505</v>
      </c>
      <c r="BR282" s="37">
        <f>developmentdata2019[[#This Row],[Paper  (CY/day)]]*201.974</f>
        <v>0.79061571704615519</v>
      </c>
      <c r="BS282" s="37">
        <f>developmentdata2019[[#This Row],[Organics (CY/day)]]*201.974</f>
        <v>0.17656658598458885</v>
      </c>
      <c r="BT282" s="37">
        <f>developmentdata2019[[#This Row],[E-Waste (CY/day)]]*201.974</f>
        <v>2.3092620620669608E-3</v>
      </c>
      <c r="BU282" s="37">
        <f>developmentdata2019[[#This Row],[Textiles (CY/day)]]*201.974</f>
        <v>4.3585788725454983E-4</v>
      </c>
    </row>
    <row r="283" spans="1:73" x14ac:dyDescent="0.2">
      <c r="A283" s="37" t="s">
        <v>1831</v>
      </c>
      <c r="B283" s="115">
        <v>43466</v>
      </c>
      <c r="C283" s="37" t="s">
        <v>1066</v>
      </c>
      <c r="D283">
        <v>287</v>
      </c>
      <c r="E283">
        <v>180</v>
      </c>
      <c r="F283">
        <v>577</v>
      </c>
      <c r="G283">
        <v>577</v>
      </c>
      <c r="H283" s="37" t="s">
        <v>1832</v>
      </c>
      <c r="I283" s="37" t="s">
        <v>577</v>
      </c>
      <c r="J283" s="37" t="s">
        <v>578</v>
      </c>
      <c r="K283" s="37" t="s">
        <v>735</v>
      </c>
      <c r="M283">
        <v>219</v>
      </c>
      <c r="N283">
        <v>219</v>
      </c>
      <c r="O283">
        <v>689.5</v>
      </c>
      <c r="P283">
        <v>3.15</v>
      </c>
      <c r="R283">
        <v>231</v>
      </c>
      <c r="S283">
        <v>231</v>
      </c>
      <c r="T283">
        <v>189</v>
      </c>
      <c r="U283">
        <v>0.875</v>
      </c>
      <c r="V283">
        <v>1</v>
      </c>
      <c r="W283">
        <v>0</v>
      </c>
      <c r="X283">
        <v>1</v>
      </c>
      <c r="Y283">
        <v>14</v>
      </c>
      <c r="Z283">
        <v>71490</v>
      </c>
      <c r="AA283">
        <v>1.64</v>
      </c>
      <c r="AB283">
        <v>71490</v>
      </c>
      <c r="AC283">
        <v>1.64</v>
      </c>
      <c r="AD283">
        <v>11388</v>
      </c>
      <c r="AE283">
        <v>1505284</v>
      </c>
      <c r="AF283">
        <v>0.1593</v>
      </c>
      <c r="AG283">
        <v>141</v>
      </c>
      <c r="AH283">
        <v>11406932</v>
      </c>
      <c r="AI283">
        <v>16520</v>
      </c>
      <c r="AJ283">
        <v>296</v>
      </c>
      <c r="AK283" s="37" t="s">
        <v>912</v>
      </c>
      <c r="AL283" s="37" t="s">
        <v>1068</v>
      </c>
      <c r="AM283" s="37" t="s">
        <v>1013</v>
      </c>
      <c r="AN283" s="37" t="s">
        <v>1833</v>
      </c>
      <c r="AO283" s="37" t="s">
        <v>584</v>
      </c>
      <c r="AP283">
        <v>6</v>
      </c>
      <c r="AQ283">
        <v>15</v>
      </c>
      <c r="AR283">
        <v>33</v>
      </c>
      <c r="AS283">
        <v>79</v>
      </c>
      <c r="AT283">
        <v>15</v>
      </c>
      <c r="AU283" s="115">
        <v>30071</v>
      </c>
      <c r="AV283" s="37"/>
      <c r="AW283" s="37" t="s">
        <v>736</v>
      </c>
      <c r="AX283" s="37" t="s">
        <v>621</v>
      </c>
      <c r="AY283" s="37"/>
      <c r="AZ283" s="37">
        <f>developmentdata2019[[#This Row],[NUMBER OF CURRENT APARTMENTS]]*5/2000</f>
        <v>0.54749999999999999</v>
      </c>
      <c r="BA283" s="37">
        <f>developmentdata2019[[#This Row],[Total]]*BA$1</f>
        <v>0.14235</v>
      </c>
      <c r="BB283" s="37">
        <f>developmentdata2019[[#This Row],[Trash (tons/day)]]*BB$1</f>
        <v>2.7046500000000001E-2</v>
      </c>
      <c r="BC283" s="37">
        <f>developmentdata2019[[#This Row],[MGP (tons/day)]]*BC$1</f>
        <v>1.8932550000000002E-3</v>
      </c>
      <c r="BD283" s="37">
        <f>developmentdata2019[[#This Row],[Cardboard (tons/day)]]*BD$1</f>
        <v>1.3252785000000003E-4</v>
      </c>
      <c r="BE283" s="37">
        <f>developmentdata2019[[#This Row],[Paper (tons/day)]]*BE$1</f>
        <v>4.2408912000000013E-5</v>
      </c>
      <c r="BF283" s="37">
        <f>developmentdata2019[[#This Row],[Organics (tons/day)]]*BF$1</f>
        <v>4.2408912000000012E-7</v>
      </c>
      <c r="BG283" s="37">
        <f>developmentdata2019[[#This Row],[E-Waste (tons/day)]]*BG$1</f>
        <v>3.3927129600000012E-8</v>
      </c>
      <c r="BH283" s="37">
        <f>developmentdata2019[[#This Row],[Trash (tons/day)]]*BH$1</f>
        <v>2.9964675000000001</v>
      </c>
      <c r="BI283" s="37">
        <f>developmentdata2019[[#This Row],[MGP (tons/day)]]*BI$1</f>
        <v>0.48737793000000001</v>
      </c>
      <c r="BJ283" s="37">
        <f>developmentdata2019[[#This Row],[Cardboard (tons/day)]]*BJ$1</f>
        <v>5.0493110850000009E-2</v>
      </c>
      <c r="BK283" s="37">
        <f>developmentdata2019[[#This Row],[Paper (tons/day)]]*BK$1</f>
        <v>8.203473915000003E-4</v>
      </c>
      <c r="BL283" s="37">
        <f>developmentdata2019[[#This Row],[Organics (tons/day)]]*BL$1</f>
        <v>1.8320649984000006E-4</v>
      </c>
      <c r="BM283" s="37">
        <f>developmentdata2019[[#This Row],[E-Waste (tons/day)]]*BM$1</f>
        <v>2.3961035280000007E-6</v>
      </c>
      <c r="BN283" s="37">
        <f>developmentdata2019[[#This Row],[Textiles (tons/day)]]*BN$1</f>
        <v>4.5224863756800015E-7</v>
      </c>
      <c r="BO283" s="37">
        <f>developmentdata2019[[#This Row],[Trash (CY/day)]]*201.974</f>
        <v>605.20852684499994</v>
      </c>
      <c r="BP283" s="37">
        <f>developmentdata2019[[#This Row],[MGP (CY/day)]]*201.974</f>
        <v>98.437670033819998</v>
      </c>
      <c r="BQ283" s="37">
        <f>developmentdata2019[[#This Row],[Cardboard (CY/day)]]*201.974</f>
        <v>10.198295570817901</v>
      </c>
      <c r="BR283" s="37">
        <f>developmentdata2019[[#This Row],[Paper  (CY/day)]]*201.974</f>
        <v>0.16568884405082104</v>
      </c>
      <c r="BS283" s="37">
        <f>developmentdata2019[[#This Row],[Organics (CY/day)]]*201.974</f>
        <v>3.7002949598684172E-2</v>
      </c>
      <c r="BT283" s="37">
        <f>developmentdata2019[[#This Row],[E-Waste (CY/day)]]*201.974</f>
        <v>4.8395061396427214E-4</v>
      </c>
      <c r="BU283" s="37">
        <f>developmentdata2019[[#This Row],[Textiles (CY/day)]]*201.974</f>
        <v>9.1342466324159253E-5</v>
      </c>
    </row>
    <row r="284" spans="1:73" x14ac:dyDescent="0.2">
      <c r="A284" s="37" t="s">
        <v>1834</v>
      </c>
      <c r="B284" s="115">
        <v>43466</v>
      </c>
      <c r="C284" s="37" t="s">
        <v>1326</v>
      </c>
      <c r="D284">
        <v>266</v>
      </c>
      <c r="E284">
        <v>76</v>
      </c>
      <c r="F284">
        <v>389</v>
      </c>
      <c r="G284">
        <v>221</v>
      </c>
      <c r="H284" s="37" t="s">
        <v>1835</v>
      </c>
      <c r="I284" s="37" t="s">
        <v>577</v>
      </c>
      <c r="J284" s="37" t="s">
        <v>588</v>
      </c>
      <c r="K284" s="37" t="s">
        <v>579</v>
      </c>
      <c r="M284">
        <v>250</v>
      </c>
      <c r="N284">
        <v>250</v>
      </c>
      <c r="O284">
        <v>1251</v>
      </c>
      <c r="P284">
        <v>5</v>
      </c>
      <c r="R284">
        <v>622</v>
      </c>
      <c r="S284">
        <v>622</v>
      </c>
      <c r="T284">
        <v>107</v>
      </c>
      <c r="U284">
        <v>0.42799999999999999</v>
      </c>
      <c r="V284">
        <v>1</v>
      </c>
      <c r="W284">
        <v>0</v>
      </c>
      <c r="X284">
        <v>1</v>
      </c>
      <c r="Y284">
        <v>26</v>
      </c>
      <c r="Z284">
        <v>31735</v>
      </c>
      <c r="AA284">
        <v>0.73</v>
      </c>
      <c r="AB284">
        <v>31735</v>
      </c>
      <c r="AC284">
        <v>0.73</v>
      </c>
      <c r="AD284">
        <v>13314</v>
      </c>
      <c r="AE284">
        <v>2613000</v>
      </c>
      <c r="AF284">
        <v>0.41949999999999998</v>
      </c>
      <c r="AG284">
        <v>852</v>
      </c>
      <c r="AH284">
        <v>10508730</v>
      </c>
      <c r="AI284">
        <v>8414</v>
      </c>
      <c r="AJ284">
        <v>650</v>
      </c>
      <c r="AK284" s="37" t="s">
        <v>1615</v>
      </c>
      <c r="AL284" s="37" t="s">
        <v>1736</v>
      </c>
      <c r="AM284" s="37" t="s">
        <v>1331</v>
      </c>
      <c r="AN284" s="37" t="s">
        <v>1330</v>
      </c>
      <c r="AO284" s="37" t="s">
        <v>608</v>
      </c>
      <c r="AP284">
        <v>3</v>
      </c>
      <c r="AQ284">
        <v>7</v>
      </c>
      <c r="AR284">
        <v>26</v>
      </c>
      <c r="AS284">
        <v>65</v>
      </c>
      <c r="AT284">
        <v>1</v>
      </c>
      <c r="AU284" s="115">
        <v>27514</v>
      </c>
      <c r="AV284" s="37"/>
      <c r="AW284" s="37"/>
      <c r="AX284" s="37"/>
      <c r="AY284" s="37"/>
      <c r="AZ284" s="37">
        <f>developmentdata2019[[#This Row],[NUMBER OF CURRENT APARTMENTS]]*5/2000</f>
        <v>0.625</v>
      </c>
      <c r="BA284" s="37">
        <f>developmentdata2019[[#This Row],[Total]]*BA$1</f>
        <v>0.16250000000000001</v>
      </c>
      <c r="BB284" s="37">
        <f>developmentdata2019[[#This Row],[Trash (tons/day)]]*BB$1</f>
        <v>3.0875000000000003E-2</v>
      </c>
      <c r="BC284" s="37">
        <f>developmentdata2019[[#This Row],[MGP (tons/day)]]*BC$1</f>
        <v>2.1612500000000004E-3</v>
      </c>
      <c r="BD284" s="37">
        <f>developmentdata2019[[#This Row],[Cardboard (tons/day)]]*BD$1</f>
        <v>1.5128750000000004E-4</v>
      </c>
      <c r="BE284" s="37">
        <f>developmentdata2019[[#This Row],[Paper (tons/day)]]*BE$1</f>
        <v>4.841200000000001E-5</v>
      </c>
      <c r="BF284" s="37">
        <f>developmentdata2019[[#This Row],[Organics (tons/day)]]*BF$1</f>
        <v>4.8412000000000008E-7</v>
      </c>
      <c r="BG284" s="37">
        <f>developmentdata2019[[#This Row],[E-Waste (tons/day)]]*BG$1</f>
        <v>3.8729600000000008E-8</v>
      </c>
      <c r="BH284" s="37">
        <f>developmentdata2019[[#This Row],[Trash (tons/day)]]*BH$1</f>
        <v>3.4206250000000002</v>
      </c>
      <c r="BI284" s="37">
        <f>developmentdata2019[[#This Row],[MGP (tons/day)]]*BI$1</f>
        <v>0.55636750000000001</v>
      </c>
      <c r="BJ284" s="37">
        <f>developmentdata2019[[#This Row],[Cardboard (tons/day)]]*BJ$1</f>
        <v>5.7640537500000012E-2</v>
      </c>
      <c r="BK284" s="37">
        <f>developmentdata2019[[#This Row],[Paper (tons/day)]]*BK$1</f>
        <v>9.3646962500000032E-4</v>
      </c>
      <c r="BL284" s="37">
        <f>developmentdata2019[[#This Row],[Organics (tons/day)]]*BL$1</f>
        <v>2.0913984000000006E-4</v>
      </c>
      <c r="BM284" s="37">
        <f>developmentdata2019[[#This Row],[E-Waste (tons/day)]]*BM$1</f>
        <v>2.7352780000000005E-6</v>
      </c>
      <c r="BN284" s="37">
        <f>developmentdata2019[[#This Row],[Textiles (tons/day)]]*BN$1</f>
        <v>5.1626556800000007E-7</v>
      </c>
      <c r="BO284" s="37">
        <f>developmentdata2019[[#This Row],[Trash (CY/day)]]*201.974</f>
        <v>690.87731374999998</v>
      </c>
      <c r="BP284" s="37">
        <f>developmentdata2019[[#This Row],[MGP (CY/day)]]*201.974</f>
        <v>112.371769445</v>
      </c>
      <c r="BQ284" s="37">
        <f>developmentdata2019[[#This Row],[Cardboard (CY/day)]]*201.974</f>
        <v>11.641889921025001</v>
      </c>
      <c r="BR284" s="37">
        <f>developmentdata2019[[#This Row],[Paper  (CY/day)]]*201.974</f>
        <v>0.18914251603975005</v>
      </c>
      <c r="BS284" s="37">
        <f>developmentdata2019[[#This Row],[Organics (CY/day)]]*201.974</f>
        <v>4.2240810044160013E-2</v>
      </c>
      <c r="BT284" s="37">
        <f>developmentdata2019[[#This Row],[E-Waste (CY/day)]]*201.974</f>
        <v>5.5245503877200013E-4</v>
      </c>
      <c r="BU284" s="37">
        <f>developmentdata2019[[#This Row],[Textiles (CY/day)]]*201.974</f>
        <v>1.0427222183123201E-4</v>
      </c>
    </row>
    <row r="285" spans="1:73" x14ac:dyDescent="0.2">
      <c r="A285" s="37" t="s">
        <v>1836</v>
      </c>
      <c r="B285" s="115">
        <v>43466</v>
      </c>
      <c r="C285" s="37" t="s">
        <v>929</v>
      </c>
      <c r="D285">
        <v>342</v>
      </c>
      <c r="E285">
        <v>342</v>
      </c>
      <c r="F285">
        <v>753</v>
      </c>
      <c r="G285">
        <v>753</v>
      </c>
      <c r="H285" s="37" t="s">
        <v>1837</v>
      </c>
      <c r="I285" s="37" t="s">
        <v>577</v>
      </c>
      <c r="J285" s="37" t="s">
        <v>588</v>
      </c>
      <c r="K285" s="37" t="s">
        <v>735</v>
      </c>
      <c r="M285">
        <v>199</v>
      </c>
      <c r="N285">
        <v>200</v>
      </c>
      <c r="O285">
        <v>696.5</v>
      </c>
      <c r="P285">
        <v>3.5</v>
      </c>
      <c r="R285">
        <v>229</v>
      </c>
      <c r="S285">
        <v>229</v>
      </c>
      <c r="T285">
        <v>172</v>
      </c>
      <c r="U285">
        <v>0.88200000000000001</v>
      </c>
      <c r="V285">
        <v>1</v>
      </c>
      <c r="W285">
        <v>0</v>
      </c>
      <c r="X285">
        <v>1</v>
      </c>
      <c r="Y285">
        <v>9</v>
      </c>
      <c r="Z285">
        <v>115299</v>
      </c>
      <c r="AA285">
        <v>2.65</v>
      </c>
      <c r="AB285">
        <v>115299</v>
      </c>
      <c r="AC285">
        <v>2.65</v>
      </c>
      <c r="AD285">
        <v>18632</v>
      </c>
      <c r="AE285">
        <v>1502857</v>
      </c>
      <c r="AF285">
        <v>0.16159999999999999</v>
      </c>
      <c r="AG285">
        <v>86</v>
      </c>
      <c r="AH285">
        <v>12675000</v>
      </c>
      <c r="AI285">
        <v>18107</v>
      </c>
      <c r="AJ285">
        <v>325</v>
      </c>
      <c r="AK285" s="37" t="s">
        <v>940</v>
      </c>
      <c r="AL285" s="37" t="s">
        <v>1013</v>
      </c>
      <c r="AM285" s="37" t="s">
        <v>1049</v>
      </c>
      <c r="AN285" s="37" t="s">
        <v>663</v>
      </c>
      <c r="AO285" s="37" t="s">
        <v>584</v>
      </c>
      <c r="AP285">
        <v>3</v>
      </c>
      <c r="AQ285">
        <v>15</v>
      </c>
      <c r="AR285">
        <v>32</v>
      </c>
      <c r="AS285">
        <v>79</v>
      </c>
      <c r="AT285">
        <v>17</v>
      </c>
      <c r="AU285" s="115">
        <v>31117</v>
      </c>
      <c r="AV285" s="37"/>
      <c r="AW285" s="37" t="s">
        <v>736</v>
      </c>
      <c r="AX285" s="37" t="s">
        <v>621</v>
      </c>
      <c r="AY285" s="37"/>
      <c r="AZ285" s="37">
        <f>developmentdata2019[[#This Row],[NUMBER OF CURRENT APARTMENTS]]*5/2000</f>
        <v>0.4975</v>
      </c>
      <c r="BA285" s="37">
        <f>developmentdata2019[[#This Row],[Total]]*BA$1</f>
        <v>0.12934999999999999</v>
      </c>
      <c r="BB285" s="37">
        <f>developmentdata2019[[#This Row],[Trash (tons/day)]]*BB$1</f>
        <v>2.4576499999999998E-2</v>
      </c>
      <c r="BC285" s="37">
        <f>developmentdata2019[[#This Row],[MGP (tons/day)]]*BC$1</f>
        <v>1.720355E-3</v>
      </c>
      <c r="BD285" s="37">
        <f>developmentdata2019[[#This Row],[Cardboard (tons/day)]]*BD$1</f>
        <v>1.2042485000000002E-4</v>
      </c>
      <c r="BE285" s="37">
        <f>developmentdata2019[[#This Row],[Paper (tons/day)]]*BE$1</f>
        <v>3.8535952000000007E-5</v>
      </c>
      <c r="BF285" s="37">
        <f>developmentdata2019[[#This Row],[Organics (tons/day)]]*BF$1</f>
        <v>3.8535952000000006E-7</v>
      </c>
      <c r="BG285" s="37">
        <f>developmentdata2019[[#This Row],[E-Waste (tons/day)]]*BG$1</f>
        <v>3.0828761600000008E-8</v>
      </c>
      <c r="BH285" s="37">
        <f>developmentdata2019[[#This Row],[Trash (tons/day)]]*BH$1</f>
        <v>2.7228175000000001</v>
      </c>
      <c r="BI285" s="37">
        <f>developmentdata2019[[#This Row],[MGP (tons/day)]]*BI$1</f>
        <v>0.44286852999999993</v>
      </c>
      <c r="BJ285" s="37">
        <f>developmentdata2019[[#This Row],[Cardboard (tons/day)]]*BJ$1</f>
        <v>4.5881867850000001E-2</v>
      </c>
      <c r="BK285" s="37">
        <f>developmentdata2019[[#This Row],[Paper (tons/day)]]*BK$1</f>
        <v>7.4542982150000011E-4</v>
      </c>
      <c r="BL285" s="37">
        <f>developmentdata2019[[#This Row],[Organics (tons/day)]]*BL$1</f>
        <v>1.6647531264000004E-4</v>
      </c>
      <c r="BM285" s="37">
        <f>developmentdata2019[[#This Row],[E-Waste (tons/day)]]*BM$1</f>
        <v>2.1772812880000006E-6</v>
      </c>
      <c r="BN285" s="37">
        <f>developmentdata2019[[#This Row],[Textiles (tons/day)]]*BN$1</f>
        <v>4.109473921280001E-7</v>
      </c>
      <c r="BO285" s="37">
        <f>developmentdata2019[[#This Row],[Trash (CY/day)]]*201.974</f>
        <v>549.938341745</v>
      </c>
      <c r="BP285" s="37">
        <f>developmentdata2019[[#This Row],[MGP (CY/day)]]*201.974</f>
        <v>89.447928478219978</v>
      </c>
      <c r="BQ285" s="37">
        <f>developmentdata2019[[#This Row],[Cardboard (CY/day)]]*201.974</f>
        <v>9.2669443771358999</v>
      </c>
      <c r="BR285" s="37">
        <f>developmentdata2019[[#This Row],[Paper  (CY/day)]]*201.974</f>
        <v>0.15055744276764102</v>
      </c>
      <c r="BS285" s="37">
        <f>developmentdata2019[[#This Row],[Organics (CY/day)]]*201.974</f>
        <v>3.3623684795151369E-2</v>
      </c>
      <c r="BT285" s="37">
        <f>developmentdata2019[[#This Row],[E-Waste (CY/day)]]*201.974</f>
        <v>4.3975421086251212E-4</v>
      </c>
      <c r="BU285" s="37">
        <f>developmentdata2019[[#This Row],[Textiles (CY/day)]]*201.974</f>
        <v>8.3000688577660682E-5</v>
      </c>
    </row>
    <row r="286" spans="1:73" x14ac:dyDescent="0.2">
      <c r="A286" s="37" t="s">
        <v>1838</v>
      </c>
      <c r="B286" s="115">
        <v>43466</v>
      </c>
      <c r="C286" s="37" t="s">
        <v>929</v>
      </c>
      <c r="D286">
        <v>356</v>
      </c>
      <c r="E286">
        <v>342</v>
      </c>
      <c r="F286">
        <v>768</v>
      </c>
      <c r="G286">
        <v>753</v>
      </c>
      <c r="H286" s="37" t="s">
        <v>1839</v>
      </c>
      <c r="I286" s="37" t="s">
        <v>577</v>
      </c>
      <c r="J286" s="37" t="s">
        <v>588</v>
      </c>
      <c r="K286" s="37" t="s">
        <v>579</v>
      </c>
      <c r="M286">
        <v>120</v>
      </c>
      <c r="N286">
        <v>120</v>
      </c>
      <c r="O286">
        <v>539</v>
      </c>
      <c r="P286">
        <v>4.49</v>
      </c>
      <c r="R286">
        <v>280</v>
      </c>
      <c r="S286">
        <v>280</v>
      </c>
      <c r="T286">
        <v>38</v>
      </c>
      <c r="U286">
        <v>0.32200000000000001</v>
      </c>
      <c r="V286">
        <v>6</v>
      </c>
      <c r="W286">
        <v>0</v>
      </c>
      <c r="X286">
        <v>20</v>
      </c>
      <c r="Y286">
        <v>3</v>
      </c>
      <c r="Z286">
        <v>98707</v>
      </c>
      <c r="AA286">
        <v>2.27</v>
      </c>
      <c r="AB286">
        <v>98707</v>
      </c>
      <c r="AC286">
        <v>2.27</v>
      </c>
      <c r="AD286">
        <v>38943</v>
      </c>
      <c r="AE286">
        <v>1022257</v>
      </c>
      <c r="AF286">
        <v>0.39450000000000002</v>
      </c>
      <c r="AG286">
        <v>123</v>
      </c>
      <c r="AH286">
        <v>9239549</v>
      </c>
      <c r="AI286">
        <v>17142</v>
      </c>
      <c r="AJ286">
        <v>556</v>
      </c>
      <c r="AK286" s="37" t="s">
        <v>936</v>
      </c>
      <c r="AL286" s="37" t="s">
        <v>1013</v>
      </c>
      <c r="AM286" s="37" t="s">
        <v>1014</v>
      </c>
      <c r="AN286" s="37" t="s">
        <v>663</v>
      </c>
      <c r="AO286" s="37" t="s">
        <v>584</v>
      </c>
      <c r="AP286">
        <v>3</v>
      </c>
      <c r="AQ286">
        <v>15</v>
      </c>
      <c r="AR286">
        <v>32</v>
      </c>
      <c r="AS286">
        <v>79</v>
      </c>
      <c r="AT286">
        <v>17</v>
      </c>
      <c r="AU286" s="115">
        <v>32387</v>
      </c>
      <c r="AV286" s="37"/>
      <c r="AW286" s="37"/>
      <c r="AX286" s="37" t="s">
        <v>621</v>
      </c>
      <c r="AY286" s="37"/>
      <c r="AZ286" s="37">
        <f>developmentdata2019[[#This Row],[NUMBER OF CURRENT APARTMENTS]]*5/2000</f>
        <v>0.3</v>
      </c>
      <c r="BA286" s="37">
        <f>developmentdata2019[[#This Row],[Total]]*BA$1</f>
        <v>7.8E-2</v>
      </c>
      <c r="BB286" s="37">
        <f>developmentdata2019[[#This Row],[Trash (tons/day)]]*BB$1</f>
        <v>1.482E-2</v>
      </c>
      <c r="BC286" s="37">
        <f>developmentdata2019[[#This Row],[MGP (tons/day)]]*BC$1</f>
        <v>1.0374000000000002E-3</v>
      </c>
      <c r="BD286" s="37">
        <f>developmentdata2019[[#This Row],[Cardboard (tons/day)]]*BD$1</f>
        <v>7.2618000000000015E-5</v>
      </c>
      <c r="BE286" s="37">
        <f>developmentdata2019[[#This Row],[Paper (tons/day)]]*BE$1</f>
        <v>2.3237760000000007E-5</v>
      </c>
      <c r="BF286" s="37">
        <f>developmentdata2019[[#This Row],[Organics (tons/day)]]*BF$1</f>
        <v>2.3237760000000008E-7</v>
      </c>
      <c r="BG286" s="37">
        <f>developmentdata2019[[#This Row],[E-Waste (tons/day)]]*BG$1</f>
        <v>1.8590208000000006E-8</v>
      </c>
      <c r="BH286" s="37">
        <f>developmentdata2019[[#This Row],[Trash (tons/day)]]*BH$1</f>
        <v>1.6419000000000001</v>
      </c>
      <c r="BI286" s="37">
        <f>developmentdata2019[[#This Row],[MGP (tons/day)]]*BI$1</f>
        <v>0.26705639999999997</v>
      </c>
      <c r="BJ286" s="37">
        <f>developmentdata2019[[#This Row],[Cardboard (tons/day)]]*BJ$1</f>
        <v>2.7667458000000006E-2</v>
      </c>
      <c r="BK286" s="37">
        <f>developmentdata2019[[#This Row],[Paper (tons/day)]]*BK$1</f>
        <v>4.4950542000000011E-4</v>
      </c>
      <c r="BL286" s="37">
        <f>developmentdata2019[[#This Row],[Organics (tons/day)]]*BL$1</f>
        <v>1.0038712320000003E-4</v>
      </c>
      <c r="BM286" s="37">
        <f>developmentdata2019[[#This Row],[E-Waste (tons/day)]]*BM$1</f>
        <v>1.3129334400000006E-6</v>
      </c>
      <c r="BN286" s="37">
        <f>developmentdata2019[[#This Row],[Textiles (tons/day)]]*BN$1</f>
        <v>2.4780747264000008E-7</v>
      </c>
      <c r="BO286" s="37">
        <f>developmentdata2019[[#This Row],[Trash (CY/day)]]*201.974</f>
        <v>331.62111060000001</v>
      </c>
      <c r="BP286" s="37">
        <f>developmentdata2019[[#This Row],[MGP (CY/day)]]*201.974</f>
        <v>53.938449333599991</v>
      </c>
      <c r="BQ286" s="37">
        <f>developmentdata2019[[#This Row],[Cardboard (CY/day)]]*201.974</f>
        <v>5.5881071620920011</v>
      </c>
      <c r="BR286" s="37">
        <f>developmentdata2019[[#This Row],[Paper  (CY/day)]]*201.974</f>
        <v>9.0788407699080018E-2</v>
      </c>
      <c r="BS286" s="37">
        <f>developmentdata2019[[#This Row],[Organics (CY/day)]]*201.974</f>
        <v>2.0275588821196806E-2</v>
      </c>
      <c r="BT286" s="37">
        <f>developmentdata2019[[#This Row],[E-Waste (CY/day)]]*201.974</f>
        <v>2.6517841861056009E-4</v>
      </c>
      <c r="BU286" s="37">
        <f>developmentdata2019[[#This Row],[Textiles (CY/day)]]*201.974</f>
        <v>5.0050666478991371E-5</v>
      </c>
    </row>
    <row r="287" spans="1:73" x14ac:dyDescent="0.2">
      <c r="A287" s="37" t="s">
        <v>1840</v>
      </c>
      <c r="B287" s="115">
        <v>43466</v>
      </c>
      <c r="C287" s="37" t="s">
        <v>1142</v>
      </c>
      <c r="D287">
        <v>240</v>
      </c>
      <c r="E287">
        <v>261</v>
      </c>
      <c r="F287">
        <v>348</v>
      </c>
      <c r="G287">
        <v>375</v>
      </c>
      <c r="H287" s="37" t="s">
        <v>1841</v>
      </c>
      <c r="I287" s="37" t="s">
        <v>577</v>
      </c>
      <c r="J287" s="37" t="s">
        <v>588</v>
      </c>
      <c r="K287" s="37" t="s">
        <v>579</v>
      </c>
      <c r="M287">
        <v>167</v>
      </c>
      <c r="N287">
        <v>167</v>
      </c>
      <c r="O287">
        <v>768.5</v>
      </c>
      <c r="P287">
        <v>4.5999999999999996</v>
      </c>
      <c r="R287">
        <v>471</v>
      </c>
      <c r="S287">
        <v>471</v>
      </c>
      <c r="T287">
        <v>41</v>
      </c>
      <c r="U287">
        <v>0.247</v>
      </c>
      <c r="V287">
        <v>3</v>
      </c>
      <c r="W287">
        <v>0</v>
      </c>
      <c r="X287">
        <v>3</v>
      </c>
      <c r="Y287">
        <v>6</v>
      </c>
      <c r="Z287">
        <v>80525</v>
      </c>
      <c r="AA287">
        <v>1.85</v>
      </c>
      <c r="AB287">
        <v>80525</v>
      </c>
      <c r="AC287">
        <v>1.85</v>
      </c>
      <c r="AD287">
        <v>27159</v>
      </c>
      <c r="AE287">
        <v>2001480</v>
      </c>
      <c r="AF287">
        <v>0.33729999999999999</v>
      </c>
      <c r="AG287">
        <v>255</v>
      </c>
      <c r="AH287">
        <v>5191821</v>
      </c>
      <c r="AI287">
        <v>6699</v>
      </c>
      <c r="AJ287">
        <v>583</v>
      </c>
      <c r="AK287" s="37" t="s">
        <v>591</v>
      </c>
      <c r="AL287" s="37" t="s">
        <v>592</v>
      </c>
      <c r="AM287" s="37" t="s">
        <v>1376</v>
      </c>
      <c r="AN287" s="37" t="s">
        <v>1842</v>
      </c>
      <c r="AO287" s="37" t="s">
        <v>593</v>
      </c>
      <c r="AP287">
        <v>5</v>
      </c>
      <c r="AQ287">
        <v>8</v>
      </c>
      <c r="AR287">
        <v>19</v>
      </c>
      <c r="AS287">
        <v>60</v>
      </c>
      <c r="AT287">
        <v>42</v>
      </c>
      <c r="AU287" s="115">
        <v>26998</v>
      </c>
      <c r="AV287" s="37"/>
      <c r="AW287" s="37"/>
      <c r="AX287" s="37"/>
      <c r="AY287" s="37"/>
      <c r="AZ287" s="37">
        <f>developmentdata2019[[#This Row],[NUMBER OF CURRENT APARTMENTS]]*5/2000</f>
        <v>0.41749999999999998</v>
      </c>
      <c r="BA287" s="37">
        <f>developmentdata2019[[#This Row],[Total]]*BA$1</f>
        <v>0.10854999999999999</v>
      </c>
      <c r="BB287" s="37">
        <f>developmentdata2019[[#This Row],[Trash (tons/day)]]*BB$1</f>
        <v>2.06245E-2</v>
      </c>
      <c r="BC287" s="37">
        <f>developmentdata2019[[#This Row],[MGP (tons/day)]]*BC$1</f>
        <v>1.4437150000000001E-3</v>
      </c>
      <c r="BD287" s="37">
        <f>developmentdata2019[[#This Row],[Cardboard (tons/day)]]*BD$1</f>
        <v>1.0106005000000002E-4</v>
      </c>
      <c r="BE287" s="37">
        <f>developmentdata2019[[#This Row],[Paper (tons/day)]]*BE$1</f>
        <v>3.2339216000000008E-5</v>
      </c>
      <c r="BF287" s="37">
        <f>developmentdata2019[[#This Row],[Organics (tons/day)]]*BF$1</f>
        <v>3.2339216000000009E-7</v>
      </c>
      <c r="BG287" s="37">
        <f>developmentdata2019[[#This Row],[E-Waste (tons/day)]]*BG$1</f>
        <v>2.5871372800000007E-8</v>
      </c>
      <c r="BH287" s="37">
        <f>developmentdata2019[[#This Row],[Trash (tons/day)]]*BH$1</f>
        <v>2.2849775000000001</v>
      </c>
      <c r="BI287" s="37">
        <f>developmentdata2019[[#This Row],[MGP (tons/day)]]*BI$1</f>
        <v>0.37165348999999998</v>
      </c>
      <c r="BJ287" s="37">
        <f>developmentdata2019[[#This Row],[Cardboard (tons/day)]]*BJ$1</f>
        <v>3.8503879050000009E-2</v>
      </c>
      <c r="BK287" s="37">
        <f>developmentdata2019[[#This Row],[Paper (tons/day)]]*BK$1</f>
        <v>6.2556170950000016E-4</v>
      </c>
      <c r="BL287" s="37">
        <f>developmentdata2019[[#This Row],[Organics (tons/day)]]*BL$1</f>
        <v>1.3970541312000005E-4</v>
      </c>
      <c r="BM287" s="37">
        <f>developmentdata2019[[#This Row],[E-Waste (tons/day)]]*BM$1</f>
        <v>1.8271657040000006E-6</v>
      </c>
      <c r="BN287" s="37">
        <f>developmentdata2019[[#This Row],[Textiles (tons/day)]]*BN$1</f>
        <v>3.4486539942400011E-7</v>
      </c>
      <c r="BO287" s="37">
        <f>developmentdata2019[[#This Row],[Trash (CY/day)]]*201.974</f>
        <v>461.50604558499998</v>
      </c>
      <c r="BP287" s="37">
        <f>developmentdata2019[[#This Row],[MGP (CY/day)]]*201.974</f>
        <v>75.064341989259987</v>
      </c>
      <c r="BQ287" s="37">
        <f>developmentdata2019[[#This Row],[Cardboard (CY/day)]]*201.974</f>
        <v>7.7767824672447015</v>
      </c>
      <c r="BR287" s="37">
        <f>developmentdata2019[[#This Row],[Paper  (CY/day)]]*201.974</f>
        <v>0.12634720071455302</v>
      </c>
      <c r="BS287" s="37">
        <f>developmentdata2019[[#This Row],[Organics (CY/day)]]*201.974</f>
        <v>2.8216861109498888E-2</v>
      </c>
      <c r="BT287" s="37">
        <f>developmentdata2019[[#This Row],[E-Waste (CY/day)]]*201.974</f>
        <v>3.690399658996961E-4</v>
      </c>
      <c r="BU287" s="37">
        <f>developmentdata2019[[#This Row],[Textiles (CY/day)]]*201.974</f>
        <v>6.9653844183262999E-5</v>
      </c>
    </row>
    <row r="288" spans="1:73" x14ac:dyDescent="0.2">
      <c r="A288" s="37" t="s">
        <v>1843</v>
      </c>
      <c r="B288" s="115">
        <v>43466</v>
      </c>
      <c r="C288" s="37" t="s">
        <v>1142</v>
      </c>
      <c r="D288">
        <v>261</v>
      </c>
      <c r="E288">
        <v>261</v>
      </c>
      <c r="F288">
        <v>318</v>
      </c>
      <c r="G288">
        <v>375</v>
      </c>
      <c r="H288" s="37" t="s">
        <v>1844</v>
      </c>
      <c r="I288" s="37" t="s">
        <v>577</v>
      </c>
      <c r="J288" s="37" t="s">
        <v>578</v>
      </c>
      <c r="K288" s="37" t="s">
        <v>579</v>
      </c>
      <c r="M288">
        <v>460</v>
      </c>
      <c r="N288">
        <v>462</v>
      </c>
      <c r="O288">
        <v>2141</v>
      </c>
      <c r="P288">
        <v>4.6500000000000004</v>
      </c>
      <c r="R288">
        <v>1133</v>
      </c>
      <c r="S288">
        <v>1133</v>
      </c>
      <c r="T288">
        <v>130</v>
      </c>
      <c r="U288">
        <v>0.28799999999999998</v>
      </c>
      <c r="V288">
        <v>5</v>
      </c>
      <c r="W288">
        <v>0</v>
      </c>
      <c r="X288">
        <v>13</v>
      </c>
      <c r="Y288">
        <v>6</v>
      </c>
      <c r="Z288">
        <v>249250</v>
      </c>
      <c r="AA288">
        <v>5.72</v>
      </c>
      <c r="AB288">
        <v>249250</v>
      </c>
      <c r="AC288">
        <v>5.72</v>
      </c>
      <c r="AD288">
        <v>89543</v>
      </c>
      <c r="AE288">
        <v>5304133</v>
      </c>
      <c r="AF288">
        <v>0.35920000000000002</v>
      </c>
      <c r="AG288">
        <v>198</v>
      </c>
      <c r="AH288">
        <v>16798483</v>
      </c>
      <c r="AI288">
        <v>7813</v>
      </c>
      <c r="AJ288">
        <v>557</v>
      </c>
      <c r="AK288" s="37" t="s">
        <v>1845</v>
      </c>
      <c r="AL288" s="37" t="s">
        <v>1376</v>
      </c>
      <c r="AM288" s="37" t="s">
        <v>850</v>
      </c>
      <c r="AN288" s="37" t="s">
        <v>1377</v>
      </c>
      <c r="AO288" s="37" t="s">
        <v>593</v>
      </c>
      <c r="AP288">
        <v>5</v>
      </c>
      <c r="AQ288">
        <v>8</v>
      </c>
      <c r="AR288">
        <v>19</v>
      </c>
      <c r="AS288">
        <v>60</v>
      </c>
      <c r="AT288">
        <v>42</v>
      </c>
      <c r="AU288" s="115">
        <v>26937</v>
      </c>
      <c r="AV288" s="37"/>
      <c r="AW288" s="37"/>
      <c r="AX288" s="37"/>
      <c r="AY288" s="37"/>
      <c r="AZ288" s="37">
        <f>developmentdata2019[[#This Row],[NUMBER OF CURRENT APARTMENTS]]*5/2000</f>
        <v>1.1499999999999999</v>
      </c>
      <c r="BA288" s="37">
        <f>developmentdata2019[[#This Row],[Total]]*BA$1</f>
        <v>0.29899999999999999</v>
      </c>
      <c r="BB288" s="37">
        <f>developmentdata2019[[#This Row],[Trash (tons/day)]]*BB$1</f>
        <v>5.6809999999999999E-2</v>
      </c>
      <c r="BC288" s="37">
        <f>developmentdata2019[[#This Row],[MGP (tons/day)]]*BC$1</f>
        <v>3.9767000000000005E-3</v>
      </c>
      <c r="BD288" s="37">
        <f>developmentdata2019[[#This Row],[Cardboard (tons/day)]]*BD$1</f>
        <v>2.7836900000000004E-4</v>
      </c>
      <c r="BE288" s="37">
        <f>developmentdata2019[[#This Row],[Paper (tons/day)]]*BE$1</f>
        <v>8.9078080000000022E-5</v>
      </c>
      <c r="BF288" s="37">
        <f>developmentdata2019[[#This Row],[Organics (tons/day)]]*BF$1</f>
        <v>8.9078080000000024E-7</v>
      </c>
      <c r="BG288" s="37">
        <f>developmentdata2019[[#This Row],[E-Waste (tons/day)]]*BG$1</f>
        <v>7.1262464000000022E-8</v>
      </c>
      <c r="BH288" s="37">
        <f>developmentdata2019[[#This Row],[Trash (tons/day)]]*BH$1</f>
        <v>6.2939499999999997</v>
      </c>
      <c r="BI288" s="37">
        <f>developmentdata2019[[#This Row],[MGP (tons/day)]]*BI$1</f>
        <v>1.0237162</v>
      </c>
      <c r="BJ288" s="37">
        <f>developmentdata2019[[#This Row],[Cardboard (tons/day)]]*BJ$1</f>
        <v>0.10605858900000002</v>
      </c>
      <c r="BK288" s="37">
        <f>developmentdata2019[[#This Row],[Paper (tons/day)]]*BK$1</f>
        <v>1.7231041100000005E-3</v>
      </c>
      <c r="BL288" s="37">
        <f>developmentdata2019[[#This Row],[Organics (tons/day)]]*BL$1</f>
        <v>3.8481730560000014E-4</v>
      </c>
      <c r="BM288" s="37">
        <f>developmentdata2019[[#This Row],[E-Waste (tons/day)]]*BM$1</f>
        <v>5.0329115200000017E-6</v>
      </c>
      <c r="BN288" s="37">
        <f>developmentdata2019[[#This Row],[Textiles (tons/day)]]*BN$1</f>
        <v>9.4992864512000026E-7</v>
      </c>
      <c r="BO288" s="37">
        <f>developmentdata2019[[#This Row],[Trash (CY/day)]]*201.974</f>
        <v>1271.2142572999999</v>
      </c>
      <c r="BP288" s="37">
        <f>developmentdata2019[[#This Row],[MGP (CY/day)]]*201.974</f>
        <v>206.76405577879999</v>
      </c>
      <c r="BQ288" s="37">
        <f>developmentdata2019[[#This Row],[Cardboard (CY/day)]]*201.974</f>
        <v>21.421077454686003</v>
      </c>
      <c r="BR288" s="37">
        <f>developmentdata2019[[#This Row],[Paper  (CY/day)]]*201.974</f>
        <v>0.3480222295131401</v>
      </c>
      <c r="BS288" s="37">
        <f>developmentdata2019[[#This Row],[Organics (CY/day)]]*201.974</f>
        <v>7.772309048125442E-2</v>
      </c>
      <c r="BT288" s="37">
        <f>developmentdata2019[[#This Row],[E-Waste (CY/day)]]*201.974</f>
        <v>1.0165172713404802E-3</v>
      </c>
      <c r="BU288" s="37">
        <f>developmentdata2019[[#This Row],[Textiles (CY/day)]]*201.974</f>
        <v>1.9186088816946692E-4</v>
      </c>
    </row>
    <row r="289" spans="1:73" x14ac:dyDescent="0.2">
      <c r="A289" s="37" t="s">
        <v>1846</v>
      </c>
      <c r="B289" s="115">
        <v>43466</v>
      </c>
      <c r="C289" s="37" t="s">
        <v>1243</v>
      </c>
      <c r="D289">
        <v>341</v>
      </c>
      <c r="E289">
        <v>341</v>
      </c>
      <c r="F289">
        <v>762</v>
      </c>
      <c r="G289">
        <v>762</v>
      </c>
      <c r="H289" s="37" t="s">
        <v>1847</v>
      </c>
      <c r="I289" s="37" t="s">
        <v>577</v>
      </c>
      <c r="J289" s="37" t="s">
        <v>588</v>
      </c>
      <c r="K289" s="37" t="s">
        <v>597</v>
      </c>
      <c r="M289">
        <v>230</v>
      </c>
      <c r="N289">
        <v>230</v>
      </c>
      <c r="O289">
        <v>1034</v>
      </c>
      <c r="P289">
        <v>4.5</v>
      </c>
      <c r="R289">
        <v>519</v>
      </c>
      <c r="S289">
        <v>519</v>
      </c>
      <c r="T289">
        <v>93</v>
      </c>
      <c r="U289">
        <v>0.40400000000000003</v>
      </c>
      <c r="V289">
        <v>4</v>
      </c>
      <c r="W289">
        <v>0</v>
      </c>
      <c r="X289">
        <v>5</v>
      </c>
      <c r="Y289">
        <v>6</v>
      </c>
      <c r="Z289">
        <v>77898</v>
      </c>
      <c r="AA289">
        <v>1.79</v>
      </c>
      <c r="AB289">
        <v>77898</v>
      </c>
      <c r="AC289">
        <v>1.79</v>
      </c>
      <c r="AD289">
        <v>43696</v>
      </c>
      <c r="AE289">
        <v>2798894</v>
      </c>
      <c r="AF289">
        <v>0.56089999999999995</v>
      </c>
      <c r="AG289">
        <v>290</v>
      </c>
      <c r="AH289">
        <v>15900000</v>
      </c>
      <c r="AI289">
        <v>15377</v>
      </c>
      <c r="AJ289">
        <v>529</v>
      </c>
      <c r="AK289" s="37" t="s">
        <v>1246</v>
      </c>
      <c r="AL289" s="37" t="s">
        <v>1259</v>
      </c>
      <c r="AM289" s="37" t="s">
        <v>1848</v>
      </c>
      <c r="AN289" s="37" t="s">
        <v>1849</v>
      </c>
      <c r="AO289" s="37" t="s">
        <v>584</v>
      </c>
      <c r="AP289">
        <v>5</v>
      </c>
      <c r="AQ289">
        <v>15</v>
      </c>
      <c r="AR289">
        <v>29</v>
      </c>
      <c r="AS289">
        <v>86</v>
      </c>
      <c r="AT289">
        <v>14</v>
      </c>
      <c r="AU289" s="115">
        <v>31078</v>
      </c>
      <c r="AV289" s="37"/>
      <c r="AW289" s="37"/>
      <c r="AX289" s="37" t="s">
        <v>621</v>
      </c>
      <c r="AY289" s="37" t="s">
        <v>621</v>
      </c>
      <c r="AZ289" s="37">
        <f>developmentdata2019[[#This Row],[NUMBER OF CURRENT APARTMENTS]]*5/2000</f>
        <v>0.57499999999999996</v>
      </c>
      <c r="BA289" s="37">
        <f>developmentdata2019[[#This Row],[Total]]*BA$1</f>
        <v>0.14949999999999999</v>
      </c>
      <c r="BB289" s="37">
        <f>developmentdata2019[[#This Row],[Trash (tons/day)]]*BB$1</f>
        <v>2.8405E-2</v>
      </c>
      <c r="BC289" s="37">
        <f>developmentdata2019[[#This Row],[MGP (tons/day)]]*BC$1</f>
        <v>1.9883500000000003E-3</v>
      </c>
      <c r="BD289" s="37">
        <f>developmentdata2019[[#This Row],[Cardboard (tons/day)]]*BD$1</f>
        <v>1.3918450000000002E-4</v>
      </c>
      <c r="BE289" s="37">
        <f>developmentdata2019[[#This Row],[Paper (tons/day)]]*BE$1</f>
        <v>4.4539040000000011E-5</v>
      </c>
      <c r="BF289" s="37">
        <f>developmentdata2019[[#This Row],[Organics (tons/day)]]*BF$1</f>
        <v>4.4539040000000012E-7</v>
      </c>
      <c r="BG289" s="37">
        <f>developmentdata2019[[#This Row],[E-Waste (tons/day)]]*BG$1</f>
        <v>3.5631232000000011E-8</v>
      </c>
      <c r="BH289" s="37">
        <f>developmentdata2019[[#This Row],[Trash (tons/day)]]*BH$1</f>
        <v>3.1469749999999999</v>
      </c>
      <c r="BI289" s="37">
        <f>developmentdata2019[[#This Row],[MGP (tons/day)]]*BI$1</f>
        <v>0.51185809999999998</v>
      </c>
      <c r="BJ289" s="37">
        <f>developmentdata2019[[#This Row],[Cardboard (tons/day)]]*BJ$1</f>
        <v>5.3029294500000011E-2</v>
      </c>
      <c r="BK289" s="37">
        <f>developmentdata2019[[#This Row],[Paper (tons/day)]]*BK$1</f>
        <v>8.6155205500000023E-4</v>
      </c>
      <c r="BL289" s="37">
        <f>developmentdata2019[[#This Row],[Organics (tons/day)]]*BL$1</f>
        <v>1.9240865280000007E-4</v>
      </c>
      <c r="BM289" s="37">
        <f>developmentdata2019[[#This Row],[E-Waste (tons/day)]]*BM$1</f>
        <v>2.5164557600000008E-6</v>
      </c>
      <c r="BN289" s="37">
        <f>developmentdata2019[[#This Row],[Textiles (tons/day)]]*BN$1</f>
        <v>4.7496432256000013E-7</v>
      </c>
      <c r="BO289" s="37">
        <f>developmentdata2019[[#This Row],[Trash (CY/day)]]*201.974</f>
        <v>635.60712864999994</v>
      </c>
      <c r="BP289" s="37">
        <f>developmentdata2019[[#This Row],[MGP (CY/day)]]*201.974</f>
        <v>103.38202788939999</v>
      </c>
      <c r="BQ289" s="37">
        <f>developmentdata2019[[#This Row],[Cardboard (CY/day)]]*201.974</f>
        <v>10.710538727343001</v>
      </c>
      <c r="BR289" s="37">
        <f>developmentdata2019[[#This Row],[Paper  (CY/day)]]*201.974</f>
        <v>0.17401111475657005</v>
      </c>
      <c r="BS289" s="37">
        <f>developmentdata2019[[#This Row],[Organics (CY/day)]]*201.974</f>
        <v>3.886154524062721E-2</v>
      </c>
      <c r="BT289" s="37">
        <f>developmentdata2019[[#This Row],[E-Waste (CY/day)]]*201.974</f>
        <v>5.0825863567024012E-4</v>
      </c>
      <c r="BU289" s="37">
        <f>developmentdata2019[[#This Row],[Textiles (CY/day)]]*201.974</f>
        <v>9.5930444084733462E-5</v>
      </c>
    </row>
    <row r="290" spans="1:73" x14ac:dyDescent="0.2">
      <c r="A290" s="37" t="s">
        <v>372</v>
      </c>
      <c r="B290" s="115">
        <v>43466</v>
      </c>
      <c r="C290" s="37" t="s">
        <v>1489</v>
      </c>
      <c r="D290">
        <v>343</v>
      </c>
      <c r="E290">
        <v>241</v>
      </c>
      <c r="F290">
        <v>757</v>
      </c>
      <c r="G290">
        <v>760</v>
      </c>
      <c r="H290" s="37" t="s">
        <v>1850</v>
      </c>
      <c r="I290" s="37" t="s">
        <v>577</v>
      </c>
      <c r="J290" s="37" t="s">
        <v>588</v>
      </c>
      <c r="K290" s="37" t="s">
        <v>735</v>
      </c>
      <c r="M290">
        <v>179</v>
      </c>
      <c r="N290">
        <v>200</v>
      </c>
      <c r="O290">
        <v>626.5</v>
      </c>
      <c r="P290">
        <v>3.5</v>
      </c>
      <c r="R290">
        <v>204</v>
      </c>
      <c r="S290">
        <v>204</v>
      </c>
      <c r="T290">
        <v>147</v>
      </c>
      <c r="U290">
        <v>0.84</v>
      </c>
      <c r="V290">
        <v>1</v>
      </c>
      <c r="W290">
        <v>0</v>
      </c>
      <c r="X290">
        <v>1</v>
      </c>
      <c r="Y290">
        <v>11</v>
      </c>
      <c r="Z290">
        <v>63577</v>
      </c>
      <c r="AA290">
        <v>1.46</v>
      </c>
      <c r="AB290">
        <v>63577</v>
      </c>
      <c r="AC290">
        <v>1.46</v>
      </c>
      <c r="AD290">
        <v>14325</v>
      </c>
      <c r="AE290">
        <v>1434170</v>
      </c>
      <c r="AF290">
        <v>0.2253</v>
      </c>
      <c r="AG290">
        <v>140</v>
      </c>
      <c r="AH290">
        <v>13369245</v>
      </c>
      <c r="AI290">
        <v>19099</v>
      </c>
      <c r="AJ290">
        <v>312</v>
      </c>
      <c r="AK290" s="37" t="s">
        <v>1851</v>
      </c>
      <c r="AL290" s="37" t="s">
        <v>1426</v>
      </c>
      <c r="AM290" s="37" t="s">
        <v>1852</v>
      </c>
      <c r="AN290" s="37" t="s">
        <v>887</v>
      </c>
      <c r="AO290" s="37" t="s">
        <v>608</v>
      </c>
      <c r="AP290">
        <v>11</v>
      </c>
      <c r="AQ290">
        <v>13</v>
      </c>
      <c r="AR290">
        <v>30</v>
      </c>
      <c r="AS290">
        <v>68</v>
      </c>
      <c r="AT290">
        <v>9</v>
      </c>
      <c r="AU290" s="115">
        <v>31596</v>
      </c>
      <c r="AV290" s="37"/>
      <c r="AW290" s="37" t="s">
        <v>736</v>
      </c>
      <c r="AX290" s="37" t="s">
        <v>621</v>
      </c>
      <c r="AY290" s="37"/>
      <c r="AZ290" s="37">
        <f>developmentdata2019[[#This Row],[NUMBER OF CURRENT APARTMENTS]]*5/2000</f>
        <v>0.44750000000000001</v>
      </c>
      <c r="BA290" s="37">
        <f>developmentdata2019[[#This Row],[Total]]*BA$1</f>
        <v>0.11635000000000001</v>
      </c>
      <c r="BB290" s="37">
        <f>developmentdata2019[[#This Row],[Trash (tons/day)]]*BB$1</f>
        <v>2.2106500000000001E-2</v>
      </c>
      <c r="BC290" s="37">
        <f>developmentdata2019[[#This Row],[MGP (tons/day)]]*BC$1</f>
        <v>1.5474550000000003E-3</v>
      </c>
      <c r="BD290" s="37">
        <f>developmentdata2019[[#This Row],[Cardboard (tons/day)]]*BD$1</f>
        <v>1.0832185000000003E-4</v>
      </c>
      <c r="BE290" s="37">
        <f>developmentdata2019[[#This Row],[Paper (tons/day)]]*BE$1</f>
        <v>3.4662992000000008E-5</v>
      </c>
      <c r="BF290" s="37">
        <f>developmentdata2019[[#This Row],[Organics (tons/day)]]*BF$1</f>
        <v>3.4662992000000011E-7</v>
      </c>
      <c r="BG290" s="37">
        <f>developmentdata2019[[#This Row],[E-Waste (tons/day)]]*BG$1</f>
        <v>2.773039360000001E-8</v>
      </c>
      <c r="BH290" s="37">
        <f>developmentdata2019[[#This Row],[Trash (tons/day)]]*BH$1</f>
        <v>2.4491675000000002</v>
      </c>
      <c r="BI290" s="37">
        <f>developmentdata2019[[#This Row],[MGP (tons/day)]]*BI$1</f>
        <v>0.39835913000000001</v>
      </c>
      <c r="BJ290" s="37">
        <f>developmentdata2019[[#This Row],[Cardboard (tons/day)]]*BJ$1</f>
        <v>4.1270624850000014E-2</v>
      </c>
      <c r="BK290" s="37">
        <f>developmentdata2019[[#This Row],[Paper (tons/day)]]*BK$1</f>
        <v>6.7051225150000025E-4</v>
      </c>
      <c r="BL290" s="37">
        <f>developmentdata2019[[#This Row],[Organics (tons/day)]]*BL$1</f>
        <v>1.4974412544000004E-4</v>
      </c>
      <c r="BM290" s="37">
        <f>developmentdata2019[[#This Row],[E-Waste (tons/day)]]*BM$1</f>
        <v>1.9584590480000009E-6</v>
      </c>
      <c r="BN290" s="37">
        <f>developmentdata2019[[#This Row],[Textiles (tons/day)]]*BN$1</f>
        <v>3.6964614668800016E-7</v>
      </c>
      <c r="BO290" s="37">
        <f>developmentdata2019[[#This Row],[Trash (CY/day)]]*201.974</f>
        <v>494.66815664500001</v>
      </c>
      <c r="BP290" s="37">
        <f>developmentdata2019[[#This Row],[MGP (CY/day)]]*201.974</f>
        <v>80.458186922620001</v>
      </c>
      <c r="BQ290" s="37">
        <f>developmentdata2019[[#This Row],[Cardboard (CY/day)]]*201.974</f>
        <v>8.3355931834539021</v>
      </c>
      <c r="BR290" s="37">
        <f>developmentdata2019[[#This Row],[Paper  (CY/day)]]*201.974</f>
        <v>0.13542604148446105</v>
      </c>
      <c r="BS290" s="37">
        <f>developmentdata2019[[#This Row],[Organics (CY/day)]]*201.974</f>
        <v>3.0244419991618567E-2</v>
      </c>
      <c r="BT290" s="37">
        <f>developmentdata2019[[#This Row],[E-Waste (CY/day)]]*201.974</f>
        <v>3.9555780776075216E-4</v>
      </c>
      <c r="BU290" s="37">
        <f>developmentdata2019[[#This Row],[Textiles (CY/day)]]*201.974</f>
        <v>7.4658910831162137E-5</v>
      </c>
    </row>
    <row r="291" spans="1:73" x14ac:dyDescent="0.2">
      <c r="A291" s="37" t="s">
        <v>373</v>
      </c>
      <c r="B291" s="115">
        <v>43466</v>
      </c>
      <c r="C291" s="37" t="s">
        <v>1489</v>
      </c>
      <c r="D291">
        <v>355</v>
      </c>
      <c r="E291">
        <v>241</v>
      </c>
      <c r="F291">
        <v>760</v>
      </c>
      <c r="G291">
        <v>760</v>
      </c>
      <c r="H291" s="37" t="s">
        <v>1853</v>
      </c>
      <c r="I291" s="37" t="s">
        <v>577</v>
      </c>
      <c r="J291" s="37" t="s">
        <v>588</v>
      </c>
      <c r="K291" s="37" t="s">
        <v>735</v>
      </c>
      <c r="M291">
        <v>150</v>
      </c>
      <c r="N291">
        <v>150</v>
      </c>
      <c r="O291">
        <v>525</v>
      </c>
      <c r="P291">
        <v>3.5</v>
      </c>
      <c r="R291">
        <v>173</v>
      </c>
      <c r="S291">
        <v>173</v>
      </c>
      <c r="T291">
        <v>132</v>
      </c>
      <c r="U291">
        <v>0.90400000000000003</v>
      </c>
      <c r="V291">
        <v>1</v>
      </c>
      <c r="W291">
        <v>0</v>
      </c>
      <c r="X291">
        <v>1</v>
      </c>
      <c r="Y291">
        <v>12</v>
      </c>
      <c r="Z291">
        <v>45362</v>
      </c>
      <c r="AA291">
        <v>1.04</v>
      </c>
      <c r="AB291">
        <v>45362</v>
      </c>
      <c r="AC291">
        <v>1.04</v>
      </c>
      <c r="AD291">
        <v>10330</v>
      </c>
      <c r="AE291">
        <v>1041895</v>
      </c>
      <c r="AF291">
        <v>0.22770000000000001</v>
      </c>
      <c r="AG291">
        <v>166</v>
      </c>
      <c r="AH291">
        <v>10240710</v>
      </c>
      <c r="AI291">
        <v>19506</v>
      </c>
      <c r="AJ291">
        <v>313</v>
      </c>
      <c r="AK291" s="37" t="s">
        <v>1854</v>
      </c>
      <c r="AL291" s="37" t="s">
        <v>887</v>
      </c>
      <c r="AM291" s="37" t="s">
        <v>1536</v>
      </c>
      <c r="AN291" s="37" t="s">
        <v>1426</v>
      </c>
      <c r="AO291" s="37" t="s">
        <v>608</v>
      </c>
      <c r="AP291">
        <v>11</v>
      </c>
      <c r="AQ291">
        <v>13</v>
      </c>
      <c r="AR291">
        <v>30</v>
      </c>
      <c r="AS291">
        <v>68</v>
      </c>
      <c r="AT291">
        <v>9</v>
      </c>
      <c r="AU291" s="115">
        <v>32111</v>
      </c>
      <c r="AV291" s="37"/>
      <c r="AW291" s="37" t="s">
        <v>736</v>
      </c>
      <c r="AX291" s="37" t="s">
        <v>621</v>
      </c>
      <c r="AY291" s="37"/>
      <c r="AZ291" s="37">
        <f>developmentdata2019[[#This Row],[NUMBER OF CURRENT APARTMENTS]]*5/2000</f>
        <v>0.375</v>
      </c>
      <c r="BA291" s="37">
        <f>developmentdata2019[[#This Row],[Total]]*BA$1</f>
        <v>9.7500000000000003E-2</v>
      </c>
      <c r="BB291" s="37">
        <f>developmentdata2019[[#This Row],[Trash (tons/day)]]*BB$1</f>
        <v>1.8525E-2</v>
      </c>
      <c r="BC291" s="37">
        <f>developmentdata2019[[#This Row],[MGP (tons/day)]]*BC$1</f>
        <v>1.2967500000000002E-3</v>
      </c>
      <c r="BD291" s="37">
        <f>developmentdata2019[[#This Row],[Cardboard (tons/day)]]*BD$1</f>
        <v>9.0772500000000026E-5</v>
      </c>
      <c r="BE291" s="37">
        <f>developmentdata2019[[#This Row],[Paper (tons/day)]]*BE$1</f>
        <v>2.9047200000000009E-5</v>
      </c>
      <c r="BF291" s="37">
        <f>developmentdata2019[[#This Row],[Organics (tons/day)]]*BF$1</f>
        <v>2.9047200000000009E-7</v>
      </c>
      <c r="BG291" s="37">
        <f>developmentdata2019[[#This Row],[E-Waste (tons/day)]]*BG$1</f>
        <v>2.3237760000000009E-8</v>
      </c>
      <c r="BH291" s="37">
        <f>developmentdata2019[[#This Row],[Trash (tons/day)]]*BH$1</f>
        <v>2.0523750000000001</v>
      </c>
      <c r="BI291" s="37">
        <f>developmentdata2019[[#This Row],[MGP (tons/day)]]*BI$1</f>
        <v>0.33382049999999996</v>
      </c>
      <c r="BJ291" s="37">
        <f>developmentdata2019[[#This Row],[Cardboard (tons/day)]]*BJ$1</f>
        <v>3.4584322500000007E-2</v>
      </c>
      <c r="BK291" s="37">
        <f>developmentdata2019[[#This Row],[Paper (tons/day)]]*BK$1</f>
        <v>5.6188177500000023E-4</v>
      </c>
      <c r="BL291" s="37">
        <f>developmentdata2019[[#This Row],[Organics (tons/day)]]*BL$1</f>
        <v>1.2548390400000004E-4</v>
      </c>
      <c r="BM291" s="37">
        <f>developmentdata2019[[#This Row],[E-Waste (tons/day)]]*BM$1</f>
        <v>1.6411668000000005E-6</v>
      </c>
      <c r="BN291" s="37">
        <f>developmentdata2019[[#This Row],[Textiles (tons/day)]]*BN$1</f>
        <v>3.097593408000001E-7</v>
      </c>
      <c r="BO291" s="37">
        <f>developmentdata2019[[#This Row],[Trash (CY/day)]]*201.974</f>
        <v>414.52638824999997</v>
      </c>
      <c r="BP291" s="37">
        <f>developmentdata2019[[#This Row],[MGP (CY/day)]]*201.974</f>
        <v>67.423061666999985</v>
      </c>
      <c r="BQ291" s="37">
        <f>developmentdata2019[[#This Row],[Cardboard (CY/day)]]*201.974</f>
        <v>6.9851339526150014</v>
      </c>
      <c r="BR291" s="37">
        <f>developmentdata2019[[#This Row],[Paper  (CY/day)]]*201.974</f>
        <v>0.11348550962385004</v>
      </c>
      <c r="BS291" s="37">
        <f>developmentdata2019[[#This Row],[Organics (CY/day)]]*201.974</f>
        <v>2.5344486026496006E-2</v>
      </c>
      <c r="BT291" s="37">
        <f>developmentdata2019[[#This Row],[E-Waste (CY/day)]]*201.974</f>
        <v>3.3147302326320011E-4</v>
      </c>
      <c r="BU291" s="37">
        <f>developmentdata2019[[#This Row],[Textiles (CY/day)]]*201.974</f>
        <v>6.2563333098739215E-5</v>
      </c>
    </row>
    <row r="292" spans="1:73" x14ac:dyDescent="0.2">
      <c r="A292" s="37" t="s">
        <v>489</v>
      </c>
      <c r="B292" s="115">
        <v>43466</v>
      </c>
      <c r="C292" s="37" t="s">
        <v>1855</v>
      </c>
      <c r="D292">
        <v>61</v>
      </c>
      <c r="E292">
        <v>61</v>
      </c>
      <c r="F292">
        <v>216</v>
      </c>
      <c r="G292">
        <v>216</v>
      </c>
      <c r="H292" s="37" t="s">
        <v>1856</v>
      </c>
      <c r="I292" s="37" t="s">
        <v>577</v>
      </c>
      <c r="J292" s="37" t="s">
        <v>578</v>
      </c>
      <c r="K292" s="37" t="s">
        <v>579</v>
      </c>
      <c r="M292">
        <v>1603</v>
      </c>
      <c r="N292">
        <v>1603</v>
      </c>
      <c r="O292">
        <v>7402.5</v>
      </c>
      <c r="P292">
        <v>4.62</v>
      </c>
      <c r="R292">
        <v>3855</v>
      </c>
      <c r="S292">
        <v>3855</v>
      </c>
      <c r="T292">
        <v>469</v>
      </c>
      <c r="U292">
        <v>0.29699999999999999</v>
      </c>
      <c r="V292">
        <v>22</v>
      </c>
      <c r="W292">
        <v>1</v>
      </c>
      <c r="X292">
        <v>32</v>
      </c>
      <c r="Y292">
        <v>43538</v>
      </c>
      <c r="Z292">
        <v>906484</v>
      </c>
      <c r="AA292">
        <v>20.81</v>
      </c>
      <c r="AB292">
        <v>844628</v>
      </c>
      <c r="AC292">
        <v>19.39</v>
      </c>
      <c r="AD292">
        <v>161168</v>
      </c>
      <c r="AE292">
        <v>13652083</v>
      </c>
      <c r="AF292">
        <v>0.1656</v>
      </c>
      <c r="AG292">
        <v>185</v>
      </c>
      <c r="AH292">
        <v>21351730</v>
      </c>
      <c r="AI292">
        <v>2884</v>
      </c>
      <c r="AJ292">
        <v>546</v>
      </c>
      <c r="AK292" s="37" t="s">
        <v>591</v>
      </c>
      <c r="AL292" s="37" t="s">
        <v>1184</v>
      </c>
      <c r="AM292" s="37" t="s">
        <v>1823</v>
      </c>
      <c r="AN292" s="37" t="s">
        <v>851</v>
      </c>
      <c r="AO292" s="37" t="s">
        <v>593</v>
      </c>
      <c r="AP292">
        <v>16</v>
      </c>
      <c r="AQ292">
        <v>9</v>
      </c>
      <c r="AR292" t="s">
        <v>1386</v>
      </c>
      <c r="AS292">
        <v>55</v>
      </c>
      <c r="AT292">
        <v>41</v>
      </c>
      <c r="AU292" s="115">
        <v>20236</v>
      </c>
      <c r="AV292" s="37"/>
      <c r="AW292" s="37"/>
      <c r="AX292" s="37"/>
      <c r="AY292" s="37"/>
      <c r="AZ292" s="37">
        <f>developmentdata2019[[#This Row],[NUMBER OF CURRENT APARTMENTS]]*5/2000</f>
        <v>4.0075000000000003</v>
      </c>
      <c r="BA292" s="37">
        <f>developmentdata2019[[#This Row],[Total]]*BA$1</f>
        <v>1.0419500000000002</v>
      </c>
      <c r="BB292" s="37">
        <f>developmentdata2019[[#This Row],[Trash (tons/day)]]*BB$1</f>
        <v>0.19797050000000002</v>
      </c>
      <c r="BC292" s="37">
        <f>developmentdata2019[[#This Row],[MGP (tons/day)]]*BC$1</f>
        <v>1.3857935000000004E-2</v>
      </c>
      <c r="BD292" s="37">
        <f>developmentdata2019[[#This Row],[Cardboard (tons/day)]]*BD$1</f>
        <v>9.7005545000000031E-4</v>
      </c>
      <c r="BE292" s="37">
        <f>developmentdata2019[[#This Row],[Paper (tons/day)]]*BE$1</f>
        <v>3.1041774400000012E-4</v>
      </c>
      <c r="BF292" s="37">
        <f>developmentdata2019[[#This Row],[Organics (tons/day)]]*BF$1</f>
        <v>3.1041774400000015E-6</v>
      </c>
      <c r="BG292" s="37">
        <f>developmentdata2019[[#This Row],[E-Waste (tons/day)]]*BG$1</f>
        <v>2.4833419520000012E-7</v>
      </c>
      <c r="BH292" s="37">
        <f>developmentdata2019[[#This Row],[Trash (tons/day)]]*BH$1</f>
        <v>21.933047500000004</v>
      </c>
      <c r="BI292" s="37">
        <f>developmentdata2019[[#This Row],[MGP (tons/day)]]*BI$1</f>
        <v>3.5674284100000002</v>
      </c>
      <c r="BJ292" s="37">
        <f>developmentdata2019[[#This Row],[Cardboard (tons/day)]]*BJ$1</f>
        <v>0.36959112645000014</v>
      </c>
      <c r="BK292" s="37">
        <f>developmentdata2019[[#This Row],[Paper (tons/day)]]*BK$1</f>
        <v>6.0046432355000019E-3</v>
      </c>
      <c r="BL292" s="37">
        <f>developmentdata2019[[#This Row],[Organics (tons/day)]]*BL$1</f>
        <v>1.3410046540800007E-3</v>
      </c>
      <c r="BM292" s="37">
        <f>developmentdata2019[[#This Row],[E-Waste (tons/day)]]*BM$1</f>
        <v>1.753860253600001E-5</v>
      </c>
      <c r="BN292" s="37">
        <f>developmentdata2019[[#This Row],[Textiles (tons/day)]]*BN$1</f>
        <v>3.3102948220160017E-6</v>
      </c>
      <c r="BO292" s="37">
        <f>developmentdata2019[[#This Row],[Trash (CY/day)]]*201.974</f>
        <v>4429.9053357650009</v>
      </c>
      <c r="BP292" s="37">
        <f>developmentdata2019[[#This Row],[MGP (CY/day)]]*201.974</f>
        <v>720.52778568133999</v>
      </c>
      <c r="BQ292" s="37">
        <f>developmentdata2019[[#This Row],[Cardboard (CY/day)]]*201.974</f>
        <v>74.64779817361233</v>
      </c>
      <c r="BR292" s="37">
        <f>developmentdata2019[[#This Row],[Paper  (CY/day)]]*201.974</f>
        <v>1.2127818128468772</v>
      </c>
      <c r="BS292" s="37">
        <f>developmentdata2019[[#This Row],[Organics (CY/day)]]*201.974</f>
        <v>0.27084807400315403</v>
      </c>
      <c r="BT292" s="37">
        <f>developmentdata2019[[#This Row],[E-Waste (CY/day)]]*201.974</f>
        <v>3.5423417086060658E-3</v>
      </c>
      <c r="BU292" s="37">
        <f>developmentdata2019[[#This Row],[Textiles (CY/day)]]*201.974</f>
        <v>6.685934863818599E-4</v>
      </c>
    </row>
    <row r="293" spans="1:73" x14ac:dyDescent="0.2">
      <c r="A293" s="37" t="s">
        <v>1857</v>
      </c>
      <c r="B293" s="115">
        <v>43466</v>
      </c>
      <c r="C293" s="37" t="s">
        <v>1280</v>
      </c>
      <c r="D293">
        <v>146</v>
      </c>
      <c r="E293">
        <v>182</v>
      </c>
      <c r="F293">
        <v>257</v>
      </c>
      <c r="G293">
        <v>257</v>
      </c>
      <c r="H293" s="37" t="s">
        <v>1858</v>
      </c>
      <c r="I293" s="37" t="s">
        <v>577</v>
      </c>
      <c r="J293" s="37" t="s">
        <v>578</v>
      </c>
      <c r="K293" s="37" t="s">
        <v>735</v>
      </c>
      <c r="M293">
        <v>111</v>
      </c>
      <c r="N293">
        <v>112</v>
      </c>
      <c r="O293">
        <v>413.5</v>
      </c>
      <c r="P293">
        <v>3.73</v>
      </c>
      <c r="R293">
        <v>128</v>
      </c>
      <c r="S293">
        <v>128</v>
      </c>
      <c r="T293">
        <v>104</v>
      </c>
      <c r="U293">
        <v>0.94499999999999995</v>
      </c>
      <c r="V293">
        <v>1</v>
      </c>
      <c r="W293">
        <v>0</v>
      </c>
      <c r="X293">
        <v>1</v>
      </c>
      <c r="Y293">
        <v>14</v>
      </c>
      <c r="Z293">
        <v>40574</v>
      </c>
      <c r="AA293">
        <v>0.93</v>
      </c>
      <c r="AB293">
        <v>40574</v>
      </c>
      <c r="AC293">
        <v>0.93</v>
      </c>
      <c r="AD293">
        <v>9017</v>
      </c>
      <c r="AE293">
        <v>845622</v>
      </c>
      <c r="AF293">
        <v>0.22220000000000001</v>
      </c>
      <c r="AG293">
        <v>138</v>
      </c>
      <c r="AH293">
        <v>2318317</v>
      </c>
      <c r="AI293">
        <v>5546</v>
      </c>
      <c r="AJ293">
        <v>334</v>
      </c>
      <c r="AK293" s="37" t="s">
        <v>850</v>
      </c>
      <c r="AL293" s="37" t="s">
        <v>1184</v>
      </c>
      <c r="AM293" s="37"/>
      <c r="AN293" s="37"/>
      <c r="AO293" s="37" t="s">
        <v>593</v>
      </c>
      <c r="AP293">
        <v>16</v>
      </c>
      <c r="AQ293">
        <v>9</v>
      </c>
      <c r="AR293">
        <v>19</v>
      </c>
      <c r="AS293">
        <v>55</v>
      </c>
      <c r="AT293">
        <v>41</v>
      </c>
      <c r="AU293" s="115">
        <v>23497</v>
      </c>
      <c r="AV293" s="37"/>
      <c r="AW293" s="37" t="s">
        <v>736</v>
      </c>
      <c r="AX293" s="37"/>
      <c r="AY293" s="37"/>
      <c r="AZ293" s="37">
        <f>developmentdata2019[[#This Row],[NUMBER OF CURRENT APARTMENTS]]*5/2000</f>
        <v>0.27750000000000002</v>
      </c>
      <c r="BA293" s="37">
        <f>developmentdata2019[[#This Row],[Total]]*BA$1</f>
        <v>7.2150000000000006E-2</v>
      </c>
      <c r="BB293" s="37">
        <f>developmentdata2019[[#This Row],[Trash (tons/day)]]*BB$1</f>
        <v>1.3708500000000002E-2</v>
      </c>
      <c r="BC293" s="37">
        <f>developmentdata2019[[#This Row],[MGP (tons/day)]]*BC$1</f>
        <v>9.5959500000000026E-4</v>
      </c>
      <c r="BD293" s="37">
        <f>developmentdata2019[[#This Row],[Cardboard (tons/day)]]*BD$1</f>
        <v>6.717165000000003E-5</v>
      </c>
      <c r="BE293" s="37">
        <f>developmentdata2019[[#This Row],[Paper (tons/day)]]*BE$1</f>
        <v>2.149492800000001E-5</v>
      </c>
      <c r="BF293" s="37">
        <f>developmentdata2019[[#This Row],[Organics (tons/day)]]*BF$1</f>
        <v>2.1494928000000009E-7</v>
      </c>
      <c r="BG293" s="37">
        <f>developmentdata2019[[#This Row],[E-Waste (tons/day)]]*BG$1</f>
        <v>1.7195942400000009E-8</v>
      </c>
      <c r="BH293" s="37">
        <f>developmentdata2019[[#This Row],[Trash (tons/day)]]*BH$1</f>
        <v>1.5187575000000002</v>
      </c>
      <c r="BI293" s="37">
        <f>developmentdata2019[[#This Row],[MGP (tons/day)]]*BI$1</f>
        <v>0.24702717000000002</v>
      </c>
      <c r="BJ293" s="37">
        <f>developmentdata2019[[#This Row],[Cardboard (tons/day)]]*BJ$1</f>
        <v>2.5592398650000008E-2</v>
      </c>
      <c r="BK293" s="37">
        <f>developmentdata2019[[#This Row],[Paper (tons/day)]]*BK$1</f>
        <v>4.1579251350000023E-4</v>
      </c>
      <c r="BL293" s="37">
        <f>developmentdata2019[[#This Row],[Organics (tons/day)]]*BL$1</f>
        <v>9.2858088960000049E-5</v>
      </c>
      <c r="BM293" s="37">
        <f>developmentdata2019[[#This Row],[E-Waste (tons/day)]]*BM$1</f>
        <v>1.2144634320000005E-6</v>
      </c>
      <c r="BN293" s="37">
        <f>developmentdata2019[[#This Row],[Textiles (tons/day)]]*BN$1</f>
        <v>2.2922191219200012E-7</v>
      </c>
      <c r="BO293" s="37">
        <f>developmentdata2019[[#This Row],[Trash (CY/day)]]*201.974</f>
        <v>306.74952730500002</v>
      </c>
      <c r="BP293" s="37">
        <f>developmentdata2019[[#This Row],[MGP (CY/day)]]*201.974</f>
        <v>49.893065633580001</v>
      </c>
      <c r="BQ293" s="37">
        <f>developmentdata2019[[#This Row],[Cardboard (CY/day)]]*201.974</f>
        <v>5.1689991249351008</v>
      </c>
      <c r="BR293" s="37">
        <f>developmentdata2019[[#This Row],[Paper  (CY/day)]]*201.974</f>
        <v>8.3979277121649043E-2</v>
      </c>
      <c r="BS293" s="37">
        <f>developmentdata2019[[#This Row],[Organics (CY/day)]]*201.974</f>
        <v>1.8754919659607048E-2</v>
      </c>
      <c r="BT293" s="37">
        <f>developmentdata2019[[#This Row],[E-Waste (CY/day)]]*201.974</f>
        <v>2.4529003721476811E-4</v>
      </c>
      <c r="BU293" s="37">
        <f>developmentdata2019[[#This Row],[Textiles (CY/day)]]*201.974</f>
        <v>4.6296866493067027E-5</v>
      </c>
    </row>
    <row r="294" spans="1:73" x14ac:dyDescent="0.2">
      <c r="A294" s="37" t="s">
        <v>1859</v>
      </c>
      <c r="B294" s="115">
        <v>43466</v>
      </c>
      <c r="C294" s="37" t="s">
        <v>1552</v>
      </c>
      <c r="D294">
        <v>315</v>
      </c>
      <c r="E294">
        <v>194</v>
      </c>
      <c r="F294">
        <v>273</v>
      </c>
      <c r="G294">
        <v>273</v>
      </c>
      <c r="H294" s="37" t="s">
        <v>1860</v>
      </c>
      <c r="I294" s="37" t="s">
        <v>577</v>
      </c>
      <c r="J294" s="37" t="s">
        <v>588</v>
      </c>
      <c r="K294" s="37" t="s">
        <v>735</v>
      </c>
      <c r="M294">
        <v>288</v>
      </c>
      <c r="N294">
        <v>293</v>
      </c>
      <c r="O294">
        <v>1036</v>
      </c>
      <c r="P294">
        <v>3.6</v>
      </c>
      <c r="R294">
        <v>333</v>
      </c>
      <c r="S294">
        <v>333</v>
      </c>
      <c r="T294">
        <v>262</v>
      </c>
      <c r="U294">
        <v>0.91</v>
      </c>
      <c r="V294">
        <v>2</v>
      </c>
      <c r="W294">
        <v>1</v>
      </c>
      <c r="X294">
        <v>3</v>
      </c>
      <c r="Y294">
        <v>10</v>
      </c>
      <c r="Z294">
        <v>256217</v>
      </c>
      <c r="AA294">
        <v>5.88</v>
      </c>
      <c r="AB294">
        <v>256217</v>
      </c>
      <c r="AC294">
        <v>5.88</v>
      </c>
      <c r="AD294">
        <v>33868</v>
      </c>
      <c r="AE294">
        <v>2315113</v>
      </c>
      <c r="AF294">
        <v>0.13220000000000001</v>
      </c>
      <c r="AG294">
        <v>57</v>
      </c>
      <c r="AH294">
        <v>20511981</v>
      </c>
      <c r="AI294">
        <v>19480</v>
      </c>
      <c r="AJ294">
        <v>376</v>
      </c>
      <c r="AK294" s="37" t="s">
        <v>1861</v>
      </c>
      <c r="AL294" s="37" t="s">
        <v>1862</v>
      </c>
      <c r="AM294" s="37" t="s">
        <v>1863</v>
      </c>
      <c r="AN294" s="37" t="s">
        <v>826</v>
      </c>
      <c r="AO294" s="37" t="s">
        <v>593</v>
      </c>
      <c r="AP294">
        <v>5</v>
      </c>
      <c r="AQ294">
        <v>8</v>
      </c>
      <c r="AR294">
        <v>19</v>
      </c>
      <c r="AS294">
        <v>60</v>
      </c>
      <c r="AT294">
        <v>42</v>
      </c>
      <c r="AU294" s="115">
        <v>30467</v>
      </c>
      <c r="AV294" s="37"/>
      <c r="AW294" s="37" t="s">
        <v>736</v>
      </c>
      <c r="AX294" s="37" t="s">
        <v>621</v>
      </c>
      <c r="AY294" s="37"/>
      <c r="AZ294" s="37">
        <f>developmentdata2019[[#This Row],[NUMBER OF CURRENT APARTMENTS]]*5/2000</f>
        <v>0.72</v>
      </c>
      <c r="BA294" s="37">
        <f>developmentdata2019[[#This Row],[Total]]*BA$1</f>
        <v>0.18720000000000001</v>
      </c>
      <c r="BB294" s="37">
        <f>developmentdata2019[[#This Row],[Trash (tons/day)]]*BB$1</f>
        <v>3.5568000000000002E-2</v>
      </c>
      <c r="BC294" s="37">
        <f>developmentdata2019[[#This Row],[MGP (tons/day)]]*BC$1</f>
        <v>2.4897600000000006E-3</v>
      </c>
      <c r="BD294" s="37">
        <f>developmentdata2019[[#This Row],[Cardboard (tons/day)]]*BD$1</f>
        <v>1.7428320000000005E-4</v>
      </c>
      <c r="BE294" s="37">
        <f>developmentdata2019[[#This Row],[Paper (tons/day)]]*BE$1</f>
        <v>5.5770624000000017E-5</v>
      </c>
      <c r="BF294" s="37">
        <f>developmentdata2019[[#This Row],[Organics (tons/day)]]*BF$1</f>
        <v>5.5770624000000016E-7</v>
      </c>
      <c r="BG294" s="37">
        <f>developmentdata2019[[#This Row],[E-Waste (tons/day)]]*BG$1</f>
        <v>4.4616499200000014E-8</v>
      </c>
      <c r="BH294" s="37">
        <f>developmentdata2019[[#This Row],[Trash (tons/day)]]*BH$1</f>
        <v>3.9405600000000001</v>
      </c>
      <c r="BI294" s="37">
        <f>developmentdata2019[[#This Row],[MGP (tons/day)]]*BI$1</f>
        <v>0.64093536000000007</v>
      </c>
      <c r="BJ294" s="37">
        <f>developmentdata2019[[#This Row],[Cardboard (tons/day)]]*BJ$1</f>
        <v>6.6401899200000017E-2</v>
      </c>
      <c r="BK294" s="37">
        <f>developmentdata2019[[#This Row],[Paper (tons/day)]]*BK$1</f>
        <v>1.0788130080000005E-3</v>
      </c>
      <c r="BL294" s="37">
        <f>developmentdata2019[[#This Row],[Organics (tons/day)]]*BL$1</f>
        <v>2.4092909568000008E-4</v>
      </c>
      <c r="BM294" s="37">
        <f>developmentdata2019[[#This Row],[E-Waste (tons/day)]]*BM$1</f>
        <v>3.1510402560000012E-6</v>
      </c>
      <c r="BN294" s="37">
        <f>developmentdata2019[[#This Row],[Textiles (tons/day)]]*BN$1</f>
        <v>5.9473793433600014E-7</v>
      </c>
      <c r="BO294" s="37">
        <f>developmentdata2019[[#This Row],[Trash (CY/day)]]*201.974</f>
        <v>795.89066544000002</v>
      </c>
      <c r="BP294" s="37">
        <f>developmentdata2019[[#This Row],[MGP (CY/day)]]*201.974</f>
        <v>129.45227840064001</v>
      </c>
      <c r="BQ294" s="37">
        <f>developmentdata2019[[#This Row],[Cardboard (CY/day)]]*201.974</f>
        <v>13.411457189020803</v>
      </c>
      <c r="BR294" s="37">
        <f>developmentdata2019[[#This Row],[Paper  (CY/day)]]*201.974</f>
        <v>0.21789217847779208</v>
      </c>
      <c r="BS294" s="37">
        <f>developmentdata2019[[#This Row],[Organics (CY/day)]]*201.974</f>
        <v>4.8661413170872331E-2</v>
      </c>
      <c r="BT294" s="37">
        <f>developmentdata2019[[#This Row],[E-Waste (CY/day)]]*201.974</f>
        <v>6.3642820466534421E-4</v>
      </c>
      <c r="BU294" s="37">
        <f>developmentdata2019[[#This Row],[Textiles (CY/day)]]*201.974</f>
        <v>1.2012159954957929E-4</v>
      </c>
    </row>
    <row r="295" spans="1:73" x14ac:dyDescent="0.2">
      <c r="A295" s="37" t="s">
        <v>1864</v>
      </c>
      <c r="B295" s="115">
        <v>43466</v>
      </c>
      <c r="C295" s="37" t="s">
        <v>1865</v>
      </c>
      <c r="D295">
        <v>6</v>
      </c>
      <c r="E295">
        <v>6</v>
      </c>
      <c r="F295">
        <v>204</v>
      </c>
      <c r="G295">
        <v>204</v>
      </c>
      <c r="H295" s="37" t="s">
        <v>1866</v>
      </c>
      <c r="I295" s="37" t="s">
        <v>577</v>
      </c>
      <c r="J295" s="37" t="s">
        <v>578</v>
      </c>
      <c r="K295" s="37" t="s">
        <v>579</v>
      </c>
      <c r="M295">
        <v>1527</v>
      </c>
      <c r="N295">
        <v>1531</v>
      </c>
      <c r="O295">
        <v>6248.5</v>
      </c>
      <c r="P295">
        <v>4.09</v>
      </c>
      <c r="R295">
        <v>2894</v>
      </c>
      <c r="S295">
        <v>2894</v>
      </c>
      <c r="T295">
        <v>711</v>
      </c>
      <c r="U295">
        <v>0.47099999999999997</v>
      </c>
      <c r="V295">
        <v>20</v>
      </c>
      <c r="W295">
        <v>0</v>
      </c>
      <c r="X295">
        <v>46</v>
      </c>
      <c r="Y295">
        <v>6</v>
      </c>
      <c r="Z295">
        <v>566414</v>
      </c>
      <c r="AA295">
        <v>13</v>
      </c>
      <c r="AB295">
        <v>519124</v>
      </c>
      <c r="AC295">
        <v>11.92</v>
      </c>
      <c r="AD295">
        <v>171144</v>
      </c>
      <c r="AE295">
        <v>10617265</v>
      </c>
      <c r="AF295">
        <v>0.30220000000000002</v>
      </c>
      <c r="AG295">
        <v>223</v>
      </c>
      <c r="AH295">
        <v>7994564</v>
      </c>
      <c r="AI295">
        <v>1276</v>
      </c>
      <c r="AJ295">
        <v>514</v>
      </c>
      <c r="AK295" s="37" t="s">
        <v>1867</v>
      </c>
      <c r="AL295" s="37" t="s">
        <v>1868</v>
      </c>
      <c r="AM295" s="37" t="s">
        <v>1869</v>
      </c>
      <c r="AN295" s="37" t="s">
        <v>1870</v>
      </c>
      <c r="AO295" s="37" t="s">
        <v>608</v>
      </c>
      <c r="AP295">
        <v>3</v>
      </c>
      <c r="AQ295">
        <v>7</v>
      </c>
      <c r="AR295">
        <v>26</v>
      </c>
      <c r="AS295">
        <v>65</v>
      </c>
      <c r="AT295">
        <v>2</v>
      </c>
      <c r="AU295" s="115">
        <v>14940</v>
      </c>
      <c r="AV295" s="37"/>
      <c r="AW295" s="37"/>
      <c r="AX295" s="37"/>
      <c r="AY295" s="37"/>
      <c r="AZ295" s="37">
        <f>developmentdata2019[[#This Row],[NUMBER OF CURRENT APARTMENTS]]*5/2000</f>
        <v>3.8174999999999999</v>
      </c>
      <c r="BA295" s="37">
        <f>developmentdata2019[[#This Row],[Total]]*BA$1</f>
        <v>0.99255000000000004</v>
      </c>
      <c r="BB295" s="37">
        <f>developmentdata2019[[#This Row],[Trash (tons/day)]]*BB$1</f>
        <v>0.18858450000000002</v>
      </c>
      <c r="BC295" s="37">
        <f>developmentdata2019[[#This Row],[MGP (tons/day)]]*BC$1</f>
        <v>1.3200915000000002E-2</v>
      </c>
      <c r="BD295" s="37">
        <f>developmentdata2019[[#This Row],[Cardboard (tons/day)]]*BD$1</f>
        <v>9.2406405000000028E-4</v>
      </c>
      <c r="BE295" s="37">
        <f>developmentdata2019[[#This Row],[Paper (tons/day)]]*BE$1</f>
        <v>2.9570049600000011E-4</v>
      </c>
      <c r="BF295" s="37">
        <f>developmentdata2019[[#This Row],[Organics (tons/day)]]*BF$1</f>
        <v>2.9570049600000013E-6</v>
      </c>
      <c r="BG295" s="37">
        <f>developmentdata2019[[#This Row],[E-Waste (tons/day)]]*BG$1</f>
        <v>2.365603968000001E-7</v>
      </c>
      <c r="BH295" s="37">
        <f>developmentdata2019[[#This Row],[Trash (tons/day)]]*BH$1</f>
        <v>20.8931775</v>
      </c>
      <c r="BI295" s="37">
        <f>developmentdata2019[[#This Row],[MGP (tons/day)]]*BI$1</f>
        <v>3.3982926900000003</v>
      </c>
      <c r="BJ295" s="37">
        <f>developmentdata2019[[#This Row],[Cardboard (tons/day)]]*BJ$1</f>
        <v>0.35206840305000009</v>
      </c>
      <c r="BK295" s="37">
        <f>developmentdata2019[[#This Row],[Paper (tons/day)]]*BK$1</f>
        <v>5.7199564695000022E-3</v>
      </c>
      <c r="BL295" s="37">
        <f>developmentdata2019[[#This Row],[Organics (tons/day)]]*BL$1</f>
        <v>1.2774261427200007E-3</v>
      </c>
      <c r="BM295" s="37">
        <f>developmentdata2019[[#This Row],[E-Waste (tons/day)]]*BM$1</f>
        <v>1.6707078024000009E-5</v>
      </c>
      <c r="BN295" s="37">
        <f>developmentdata2019[[#This Row],[Textiles (tons/day)]]*BN$1</f>
        <v>3.1533500893440011E-6</v>
      </c>
      <c r="BO295" s="37">
        <f>developmentdata2019[[#This Row],[Trash (CY/day)]]*201.974</f>
        <v>4219.8786323849999</v>
      </c>
      <c r="BP295" s="37">
        <f>developmentdata2019[[#This Row],[MGP (CY/day)]]*201.974</f>
        <v>686.36676777006005</v>
      </c>
      <c r="BQ295" s="37">
        <f>developmentdata2019[[#This Row],[Cardboard (CY/day)]]*201.974</f>
        <v>71.108663637620708</v>
      </c>
      <c r="BR295" s="37">
        <f>developmentdata2019[[#This Row],[Paper  (CY/day)]]*201.974</f>
        <v>1.1552824879707935</v>
      </c>
      <c r="BS295" s="37">
        <f>developmentdata2019[[#This Row],[Organics (CY/day)]]*201.974</f>
        <v>0.25800686774972942</v>
      </c>
      <c r="BT295" s="37">
        <f>developmentdata2019[[#This Row],[E-Waste (CY/day)]]*201.974</f>
        <v>3.3743953768193774E-3</v>
      </c>
      <c r="BU295" s="37">
        <f>developmentdata2019[[#This Row],[Textiles (CY/day)]]*201.974</f>
        <v>6.3689473094516523E-4</v>
      </c>
    </row>
    <row r="296" spans="1:73" x14ac:dyDescent="0.2">
      <c r="A296" s="37" t="s">
        <v>1871</v>
      </c>
      <c r="B296" s="115">
        <v>43466</v>
      </c>
      <c r="C296" s="37" t="s">
        <v>1865</v>
      </c>
      <c r="D296">
        <v>7</v>
      </c>
      <c r="E296">
        <v>6</v>
      </c>
      <c r="F296">
        <v>371</v>
      </c>
      <c r="G296">
        <v>204</v>
      </c>
      <c r="H296" s="37" t="s">
        <v>1872</v>
      </c>
      <c r="I296" s="37" t="s">
        <v>577</v>
      </c>
      <c r="J296" s="37" t="s">
        <v>578</v>
      </c>
      <c r="K296" s="37" t="s">
        <v>579</v>
      </c>
      <c r="M296">
        <v>240</v>
      </c>
      <c r="N296">
        <v>240</v>
      </c>
      <c r="O296">
        <v>1080</v>
      </c>
      <c r="P296">
        <v>4.5</v>
      </c>
      <c r="R296">
        <v>545</v>
      </c>
      <c r="S296">
        <v>545</v>
      </c>
      <c r="T296">
        <v>93</v>
      </c>
      <c r="U296">
        <v>0.39200000000000002</v>
      </c>
      <c r="V296">
        <v>4</v>
      </c>
      <c r="W296">
        <v>0</v>
      </c>
      <c r="X296">
        <v>8</v>
      </c>
      <c r="Y296">
        <v>6</v>
      </c>
      <c r="Z296">
        <v>96933</v>
      </c>
      <c r="AA296">
        <v>2.23</v>
      </c>
      <c r="AB296">
        <v>96933</v>
      </c>
      <c r="AC296">
        <v>2.23</v>
      </c>
      <c r="AD296">
        <v>28827</v>
      </c>
      <c r="AE296">
        <v>1766160</v>
      </c>
      <c r="AF296">
        <v>0.2974</v>
      </c>
      <c r="AG296">
        <v>244</v>
      </c>
      <c r="AH296">
        <v>1269490</v>
      </c>
      <c r="AI296">
        <v>1175</v>
      </c>
      <c r="AJ296">
        <v>545</v>
      </c>
      <c r="AK296" s="37" t="s">
        <v>1329</v>
      </c>
      <c r="AL296" s="37" t="s">
        <v>1331</v>
      </c>
      <c r="AM296" s="37" t="s">
        <v>1870</v>
      </c>
      <c r="AN296" s="37"/>
      <c r="AO296" s="37" t="s">
        <v>608</v>
      </c>
      <c r="AP296">
        <v>3</v>
      </c>
      <c r="AQ296">
        <v>7</v>
      </c>
      <c r="AR296">
        <v>26</v>
      </c>
      <c r="AS296">
        <v>65</v>
      </c>
      <c r="AT296">
        <v>2</v>
      </c>
      <c r="AU296" s="115">
        <v>14909</v>
      </c>
      <c r="AV296" s="37" t="s">
        <v>1044</v>
      </c>
      <c r="AW296" s="37"/>
      <c r="AX296" s="37"/>
      <c r="AY296" s="37"/>
      <c r="AZ296" s="37">
        <f>developmentdata2019[[#This Row],[NUMBER OF CURRENT APARTMENTS]]*5/2000</f>
        <v>0.6</v>
      </c>
      <c r="BA296" s="37">
        <f>developmentdata2019[[#This Row],[Total]]*BA$1</f>
        <v>0.156</v>
      </c>
      <c r="BB296" s="37">
        <f>developmentdata2019[[#This Row],[Trash (tons/day)]]*BB$1</f>
        <v>2.964E-2</v>
      </c>
      <c r="BC296" s="37">
        <f>developmentdata2019[[#This Row],[MGP (tons/day)]]*BC$1</f>
        <v>2.0748000000000003E-3</v>
      </c>
      <c r="BD296" s="37">
        <f>developmentdata2019[[#This Row],[Cardboard (tons/day)]]*BD$1</f>
        <v>1.4523600000000003E-4</v>
      </c>
      <c r="BE296" s="37">
        <f>developmentdata2019[[#This Row],[Paper (tons/day)]]*BE$1</f>
        <v>4.6475520000000014E-5</v>
      </c>
      <c r="BF296" s="37">
        <f>developmentdata2019[[#This Row],[Organics (tons/day)]]*BF$1</f>
        <v>4.6475520000000015E-7</v>
      </c>
      <c r="BG296" s="37">
        <f>developmentdata2019[[#This Row],[E-Waste (tons/day)]]*BG$1</f>
        <v>3.7180416000000013E-8</v>
      </c>
      <c r="BH296" s="37">
        <f>developmentdata2019[[#This Row],[Trash (tons/day)]]*BH$1</f>
        <v>3.2838000000000003</v>
      </c>
      <c r="BI296" s="37">
        <f>developmentdata2019[[#This Row],[MGP (tons/day)]]*BI$1</f>
        <v>0.53411279999999994</v>
      </c>
      <c r="BJ296" s="37">
        <f>developmentdata2019[[#This Row],[Cardboard (tons/day)]]*BJ$1</f>
        <v>5.5334916000000012E-2</v>
      </c>
      <c r="BK296" s="37">
        <f>developmentdata2019[[#This Row],[Paper (tons/day)]]*BK$1</f>
        <v>8.9901084000000022E-4</v>
      </c>
      <c r="BL296" s="37">
        <f>developmentdata2019[[#This Row],[Organics (tons/day)]]*BL$1</f>
        <v>2.0077424640000007E-4</v>
      </c>
      <c r="BM296" s="37">
        <f>developmentdata2019[[#This Row],[E-Waste (tons/day)]]*BM$1</f>
        <v>2.6258668800000011E-6</v>
      </c>
      <c r="BN296" s="37">
        <f>developmentdata2019[[#This Row],[Textiles (tons/day)]]*BN$1</f>
        <v>4.9561494528000015E-7</v>
      </c>
      <c r="BO296" s="37">
        <f>developmentdata2019[[#This Row],[Trash (CY/day)]]*201.974</f>
        <v>663.24222120000002</v>
      </c>
      <c r="BP296" s="37">
        <f>developmentdata2019[[#This Row],[MGP (CY/day)]]*201.974</f>
        <v>107.87689866719998</v>
      </c>
      <c r="BQ296" s="37">
        <f>developmentdata2019[[#This Row],[Cardboard (CY/day)]]*201.974</f>
        <v>11.176214324184002</v>
      </c>
      <c r="BR296" s="37">
        <f>developmentdata2019[[#This Row],[Paper  (CY/day)]]*201.974</f>
        <v>0.18157681539816004</v>
      </c>
      <c r="BS296" s="37">
        <f>developmentdata2019[[#This Row],[Organics (CY/day)]]*201.974</f>
        <v>4.0551177642393611E-2</v>
      </c>
      <c r="BT296" s="37">
        <f>developmentdata2019[[#This Row],[E-Waste (CY/day)]]*201.974</f>
        <v>5.3035683722112018E-4</v>
      </c>
      <c r="BU296" s="37">
        <f>developmentdata2019[[#This Row],[Textiles (CY/day)]]*201.974</f>
        <v>1.0010133295798274E-4</v>
      </c>
    </row>
    <row r="297" spans="1:73" x14ac:dyDescent="0.2">
      <c r="A297" s="37" t="s">
        <v>374</v>
      </c>
      <c r="B297" s="115">
        <v>43466</v>
      </c>
      <c r="C297" s="37" t="s">
        <v>1873</v>
      </c>
      <c r="D297">
        <v>74</v>
      </c>
      <c r="E297">
        <v>74</v>
      </c>
      <c r="F297">
        <v>224</v>
      </c>
      <c r="G297">
        <v>224</v>
      </c>
      <c r="H297" s="37" t="s">
        <v>1874</v>
      </c>
      <c r="I297" s="37" t="s">
        <v>577</v>
      </c>
      <c r="J297" s="37" t="s">
        <v>578</v>
      </c>
      <c r="K297" s="37" t="s">
        <v>579</v>
      </c>
      <c r="M297">
        <v>2151</v>
      </c>
      <c r="N297">
        <v>2162</v>
      </c>
      <c r="O297">
        <v>10068.5</v>
      </c>
      <c r="P297">
        <v>4.68</v>
      </c>
      <c r="R297">
        <v>4814</v>
      </c>
      <c r="S297">
        <v>4814</v>
      </c>
      <c r="T297">
        <v>875</v>
      </c>
      <c r="U297">
        <v>0.40899999999999997</v>
      </c>
      <c r="V297">
        <v>22</v>
      </c>
      <c r="W297">
        <v>1</v>
      </c>
      <c r="X297">
        <v>22</v>
      </c>
      <c r="Y297">
        <v>43662</v>
      </c>
      <c r="Z297">
        <v>1172233</v>
      </c>
      <c r="AA297">
        <v>26.91</v>
      </c>
      <c r="AB297">
        <v>1083783</v>
      </c>
      <c r="AC297">
        <v>24.88</v>
      </c>
      <c r="AD297">
        <v>150639</v>
      </c>
      <c r="AE297">
        <v>16837094</v>
      </c>
      <c r="AF297">
        <v>0.1285</v>
      </c>
      <c r="AG297">
        <v>179</v>
      </c>
      <c r="AH297">
        <v>32794423</v>
      </c>
      <c r="AI297">
        <v>3238</v>
      </c>
      <c r="AJ297">
        <v>536</v>
      </c>
      <c r="AK297" s="37" t="s">
        <v>1852</v>
      </c>
      <c r="AL297" s="37" t="s">
        <v>631</v>
      </c>
      <c r="AM297" s="37" t="s">
        <v>1491</v>
      </c>
      <c r="AN297" s="37" t="s">
        <v>731</v>
      </c>
      <c r="AO297" s="37" t="s">
        <v>608</v>
      </c>
      <c r="AP297">
        <v>11</v>
      </c>
      <c r="AQ297">
        <v>13</v>
      </c>
      <c r="AR297">
        <v>30</v>
      </c>
      <c r="AS297">
        <v>68</v>
      </c>
      <c r="AT297">
        <v>8</v>
      </c>
      <c r="AU297" s="115">
        <v>21348</v>
      </c>
      <c r="AV297" s="37"/>
      <c r="AW297" s="37"/>
      <c r="AX297" s="37"/>
      <c r="AY297" s="37"/>
      <c r="AZ297" s="37">
        <f>developmentdata2019[[#This Row],[NUMBER OF CURRENT APARTMENTS]]*5/2000</f>
        <v>5.3775000000000004</v>
      </c>
      <c r="BA297" s="37">
        <f>developmentdata2019[[#This Row],[Total]]*BA$1</f>
        <v>1.3981500000000002</v>
      </c>
      <c r="BB297" s="37">
        <f>developmentdata2019[[#This Row],[Trash (tons/day)]]*BB$1</f>
        <v>0.26564850000000007</v>
      </c>
      <c r="BC297" s="37">
        <f>developmentdata2019[[#This Row],[MGP (tons/day)]]*BC$1</f>
        <v>1.8595395000000008E-2</v>
      </c>
      <c r="BD297" s="37">
        <f>developmentdata2019[[#This Row],[Cardboard (tons/day)]]*BD$1</f>
        <v>1.3016776500000007E-3</v>
      </c>
      <c r="BE297" s="37">
        <f>developmentdata2019[[#This Row],[Paper (tons/day)]]*BE$1</f>
        <v>4.165368480000002E-4</v>
      </c>
      <c r="BF297" s="37">
        <f>developmentdata2019[[#This Row],[Organics (tons/day)]]*BF$1</f>
        <v>4.1653684800000025E-6</v>
      </c>
      <c r="BG297" s="37">
        <f>developmentdata2019[[#This Row],[E-Waste (tons/day)]]*BG$1</f>
        <v>3.3322947840000023E-7</v>
      </c>
      <c r="BH297" s="37">
        <f>developmentdata2019[[#This Row],[Trash (tons/day)]]*BH$1</f>
        <v>29.431057500000005</v>
      </c>
      <c r="BI297" s="37">
        <f>developmentdata2019[[#This Row],[MGP (tons/day)]]*BI$1</f>
        <v>4.7869859700000008</v>
      </c>
      <c r="BJ297" s="37">
        <f>developmentdata2019[[#This Row],[Cardboard (tons/day)]]*BJ$1</f>
        <v>0.49593918465000025</v>
      </c>
      <c r="BK297" s="37">
        <f>developmentdata2019[[#This Row],[Paper (tons/day)]]*BK$1</f>
        <v>8.0573846535000049E-3</v>
      </c>
      <c r="BL297" s="37">
        <f>developmentdata2019[[#This Row],[Organics (tons/day)]]*BL$1</f>
        <v>1.7994391833600009E-3</v>
      </c>
      <c r="BM297" s="37">
        <f>developmentdata2019[[#This Row],[E-Waste (tons/day)]]*BM$1</f>
        <v>2.3534331912000016E-5</v>
      </c>
      <c r="BN297" s="37">
        <f>developmentdata2019[[#This Row],[Textiles (tons/day)]]*BN$1</f>
        <v>4.4419489470720033E-6</v>
      </c>
      <c r="BO297" s="37">
        <f>developmentdata2019[[#This Row],[Trash (CY/day)]]*201.974</f>
        <v>5944.308407505001</v>
      </c>
      <c r="BP297" s="37">
        <f>developmentdata2019[[#This Row],[MGP (CY/day)]]*201.974</f>
        <v>966.84670430478013</v>
      </c>
      <c r="BQ297" s="37">
        <f>developmentdata2019[[#This Row],[Cardboard (CY/day)]]*201.974</f>
        <v>100.16682088049915</v>
      </c>
      <c r="BR297" s="37">
        <f>developmentdata2019[[#This Row],[Paper  (CY/day)]]*201.974</f>
        <v>1.6273822080060099</v>
      </c>
      <c r="BS297" s="37">
        <f>developmentdata2019[[#This Row],[Organics (CY/day)]]*201.974</f>
        <v>0.36343992961995281</v>
      </c>
      <c r="BT297" s="37">
        <f>developmentdata2019[[#This Row],[E-Waste (CY/day)]]*201.974</f>
        <v>4.7533231535942912E-3</v>
      </c>
      <c r="BU297" s="37">
        <f>developmentdata2019[[#This Row],[Textiles (CY/day)]]*201.974</f>
        <v>8.9715819663592077E-4</v>
      </c>
    </row>
    <row r="298" spans="1:73" x14ac:dyDescent="0.2">
      <c r="A298" s="37" t="s">
        <v>334</v>
      </c>
      <c r="B298" s="115">
        <v>43466</v>
      </c>
      <c r="C298" s="37" t="s">
        <v>1875</v>
      </c>
      <c r="D298">
        <v>23</v>
      </c>
      <c r="E298">
        <v>23</v>
      </c>
      <c r="F298">
        <v>511</v>
      </c>
      <c r="G298">
        <v>511</v>
      </c>
      <c r="H298" s="37" t="s">
        <v>1876</v>
      </c>
      <c r="I298" s="37" t="s">
        <v>577</v>
      </c>
      <c r="J298" s="37" t="s">
        <v>578</v>
      </c>
      <c r="K298" s="37" t="s">
        <v>579</v>
      </c>
      <c r="M298">
        <v>1861</v>
      </c>
      <c r="N298">
        <v>1861</v>
      </c>
      <c r="O298">
        <v>8767.5</v>
      </c>
      <c r="P298">
        <v>4.71</v>
      </c>
      <c r="R298">
        <v>3985</v>
      </c>
      <c r="S298">
        <v>3985</v>
      </c>
      <c r="T298">
        <v>785</v>
      </c>
      <c r="U298">
        <v>0.42499999999999999</v>
      </c>
      <c r="V298">
        <v>16</v>
      </c>
      <c r="W298">
        <v>2</v>
      </c>
      <c r="X298">
        <v>19</v>
      </c>
      <c r="Y298">
        <v>43783</v>
      </c>
      <c r="Z298">
        <v>717071</v>
      </c>
      <c r="AA298">
        <v>16.46</v>
      </c>
      <c r="AB298">
        <v>694013</v>
      </c>
      <c r="AC298">
        <v>15.93</v>
      </c>
      <c r="AD298">
        <v>133117</v>
      </c>
      <c r="AE298">
        <v>14691881</v>
      </c>
      <c r="AF298">
        <v>0.18559999999999999</v>
      </c>
      <c r="AG298">
        <v>242</v>
      </c>
      <c r="AH298">
        <v>22094000</v>
      </c>
      <c r="AI298">
        <v>2561</v>
      </c>
      <c r="AJ298">
        <v>564</v>
      </c>
      <c r="AK298" s="37" t="s">
        <v>731</v>
      </c>
      <c r="AL298" s="37" t="s">
        <v>1396</v>
      </c>
      <c r="AM298" s="37" t="s">
        <v>1394</v>
      </c>
      <c r="AN298" s="37" t="s">
        <v>730</v>
      </c>
      <c r="AO298" s="37" t="s">
        <v>608</v>
      </c>
      <c r="AP298">
        <v>3</v>
      </c>
      <c r="AQ298">
        <v>7</v>
      </c>
      <c r="AR298">
        <v>26</v>
      </c>
      <c r="AS298">
        <v>74</v>
      </c>
      <c r="AT298">
        <v>2</v>
      </c>
      <c r="AU298" s="115">
        <v>18185</v>
      </c>
      <c r="AV298" s="37" t="s">
        <v>704</v>
      </c>
      <c r="AW298" s="37"/>
      <c r="AX298" s="37"/>
      <c r="AY298" s="37"/>
      <c r="AZ298" s="37">
        <f>developmentdata2019[[#This Row],[NUMBER OF CURRENT APARTMENTS]]*5/2000</f>
        <v>4.6524999999999999</v>
      </c>
      <c r="BA298" s="37">
        <f>developmentdata2019[[#This Row],[Total]]*BA$1</f>
        <v>1.2096500000000001</v>
      </c>
      <c r="BB298" s="37">
        <f>developmentdata2019[[#This Row],[Trash (tons/day)]]*BB$1</f>
        <v>0.22983350000000002</v>
      </c>
      <c r="BC298" s="37">
        <f>developmentdata2019[[#This Row],[MGP (tons/day)]]*BC$1</f>
        <v>1.6088345000000004E-2</v>
      </c>
      <c r="BD298" s="37">
        <f>developmentdata2019[[#This Row],[Cardboard (tons/day)]]*BD$1</f>
        <v>1.1261841500000004E-3</v>
      </c>
      <c r="BE298" s="37">
        <f>developmentdata2019[[#This Row],[Paper (tons/day)]]*BE$1</f>
        <v>3.6037892800000015E-4</v>
      </c>
      <c r="BF298" s="37">
        <f>developmentdata2019[[#This Row],[Organics (tons/day)]]*BF$1</f>
        <v>3.6037892800000015E-6</v>
      </c>
      <c r="BG298" s="37">
        <f>developmentdata2019[[#This Row],[E-Waste (tons/day)]]*BG$1</f>
        <v>2.8830314240000011E-7</v>
      </c>
      <c r="BH298" s="37">
        <f>developmentdata2019[[#This Row],[Trash (tons/day)]]*BH$1</f>
        <v>25.463132500000004</v>
      </c>
      <c r="BI298" s="37">
        <f>developmentdata2019[[#This Row],[MGP (tons/day)]]*BI$1</f>
        <v>4.1415996700000006</v>
      </c>
      <c r="BJ298" s="37">
        <f>developmentdata2019[[#This Row],[Cardboard (tons/day)]]*BJ$1</f>
        <v>0.42907616115000013</v>
      </c>
      <c r="BK298" s="37">
        <f>developmentdata2019[[#This Row],[Paper (tons/day)]]*BK$1</f>
        <v>6.9710798885000026E-3</v>
      </c>
      <c r="BL298" s="37">
        <f>developmentdata2019[[#This Row],[Organics (tons/day)]]*BL$1</f>
        <v>1.5568369689600008E-3</v>
      </c>
      <c r="BM298" s="37">
        <f>developmentdata2019[[#This Row],[E-Waste (tons/day)]]*BM$1</f>
        <v>2.0361409432000009E-5</v>
      </c>
      <c r="BN298" s="37">
        <f>developmentdata2019[[#This Row],[Textiles (tons/day)]]*BN$1</f>
        <v>3.8430808881920018E-6</v>
      </c>
      <c r="BO298" s="37">
        <f>developmentdata2019[[#This Row],[Trash (CY/day)]]*201.974</f>
        <v>5142.8907235550005</v>
      </c>
      <c r="BP298" s="37">
        <f>developmentdata2019[[#This Row],[MGP (CY/day)]]*201.974</f>
        <v>836.49545174858008</v>
      </c>
      <c r="BQ298" s="37">
        <f>developmentdata2019[[#This Row],[Cardboard (CY/day)]]*201.974</f>
        <v>86.662228572110124</v>
      </c>
      <c r="BR298" s="37">
        <f>developmentdata2019[[#This Row],[Paper  (CY/day)]]*201.974</f>
        <v>1.4079768893998994</v>
      </c>
      <c r="BS298" s="37">
        <f>developmentdata2019[[#This Row],[Organics (CY/day)]]*201.974</f>
        <v>0.3144405899687272</v>
      </c>
      <c r="BT298" s="37">
        <f>developmentdata2019[[#This Row],[E-Waste (CY/day)]]*201.974</f>
        <v>4.1124753086187694E-3</v>
      </c>
      <c r="BU298" s="37">
        <f>developmentdata2019[[#This Row],[Textiles (CY/day)]]*201.974</f>
        <v>7.762024193116913E-4</v>
      </c>
    </row>
    <row r="299" spans="1:73" x14ac:dyDescent="0.2">
      <c r="A299" s="37" t="s">
        <v>375</v>
      </c>
      <c r="B299" s="115">
        <v>43466</v>
      </c>
      <c r="C299" s="37" t="s">
        <v>1364</v>
      </c>
      <c r="D299">
        <v>62</v>
      </c>
      <c r="E299">
        <v>62</v>
      </c>
      <c r="F299">
        <v>217</v>
      </c>
      <c r="G299">
        <v>217</v>
      </c>
      <c r="H299" s="37" t="s">
        <v>1877</v>
      </c>
      <c r="I299" s="37" t="s">
        <v>577</v>
      </c>
      <c r="J299" s="37" t="s">
        <v>578</v>
      </c>
      <c r="K299" s="37" t="s">
        <v>579</v>
      </c>
      <c r="M299">
        <v>1515</v>
      </c>
      <c r="N299">
        <v>1515</v>
      </c>
      <c r="O299">
        <v>7053.5</v>
      </c>
      <c r="P299">
        <v>4.66</v>
      </c>
      <c r="R299">
        <v>3416</v>
      </c>
      <c r="S299">
        <v>3416</v>
      </c>
      <c r="T299">
        <v>590</v>
      </c>
      <c r="U299">
        <v>0.39400000000000002</v>
      </c>
      <c r="V299">
        <v>14</v>
      </c>
      <c r="W299">
        <v>1</v>
      </c>
      <c r="X299">
        <v>18</v>
      </c>
      <c r="Y299" t="s">
        <v>1878</v>
      </c>
      <c r="Z299">
        <v>906988</v>
      </c>
      <c r="AA299">
        <v>20.82</v>
      </c>
      <c r="AB299">
        <v>822228</v>
      </c>
      <c r="AC299">
        <v>18.88</v>
      </c>
      <c r="AD299">
        <v>124916</v>
      </c>
      <c r="AE299">
        <v>12618161</v>
      </c>
      <c r="AF299">
        <v>0.13769999999999999</v>
      </c>
      <c r="AG299">
        <v>164</v>
      </c>
      <c r="AH299">
        <v>23677092</v>
      </c>
      <c r="AI299">
        <v>3357</v>
      </c>
      <c r="AJ299">
        <v>563</v>
      </c>
      <c r="AK299" s="37" t="s">
        <v>1879</v>
      </c>
      <c r="AL299" s="37" t="s">
        <v>631</v>
      </c>
      <c r="AM299" s="37" t="s">
        <v>1361</v>
      </c>
      <c r="AN299" s="37" t="s">
        <v>600</v>
      </c>
      <c r="AO299" s="37" t="s">
        <v>608</v>
      </c>
      <c r="AP299">
        <v>11</v>
      </c>
      <c r="AQ299">
        <v>13</v>
      </c>
      <c r="AR299">
        <v>29</v>
      </c>
      <c r="AS299">
        <v>68</v>
      </c>
      <c r="AT299">
        <v>8</v>
      </c>
      <c r="AU299" s="115">
        <v>21083</v>
      </c>
      <c r="AV299" s="37"/>
      <c r="AW299" s="37"/>
      <c r="AX299" s="37"/>
      <c r="AY299" s="37"/>
      <c r="AZ299" s="37">
        <f>developmentdata2019[[#This Row],[NUMBER OF CURRENT APARTMENTS]]*5/2000</f>
        <v>3.7875000000000001</v>
      </c>
      <c r="BA299" s="37">
        <f>developmentdata2019[[#This Row],[Total]]*BA$1</f>
        <v>0.98475000000000001</v>
      </c>
      <c r="BB299" s="37">
        <f>developmentdata2019[[#This Row],[Trash (tons/day)]]*BB$1</f>
        <v>0.1871025</v>
      </c>
      <c r="BC299" s="37">
        <f>developmentdata2019[[#This Row],[MGP (tons/day)]]*BC$1</f>
        <v>1.3097175000000001E-2</v>
      </c>
      <c r="BD299" s="37">
        <f>developmentdata2019[[#This Row],[Cardboard (tons/day)]]*BD$1</f>
        <v>9.1680225000000018E-4</v>
      </c>
      <c r="BE299" s="37">
        <f>developmentdata2019[[#This Row],[Paper (tons/day)]]*BE$1</f>
        <v>2.9337672000000008E-4</v>
      </c>
      <c r="BF299" s="37">
        <f>developmentdata2019[[#This Row],[Organics (tons/day)]]*BF$1</f>
        <v>2.9337672000000011E-6</v>
      </c>
      <c r="BG299" s="37">
        <f>developmentdata2019[[#This Row],[E-Waste (tons/day)]]*BG$1</f>
        <v>2.347013760000001E-7</v>
      </c>
      <c r="BH299" s="37">
        <f>developmentdata2019[[#This Row],[Trash (tons/day)]]*BH$1</f>
        <v>20.728987500000002</v>
      </c>
      <c r="BI299" s="37">
        <f>developmentdata2019[[#This Row],[MGP (tons/day)]]*BI$1</f>
        <v>3.37158705</v>
      </c>
      <c r="BJ299" s="37">
        <f>developmentdata2019[[#This Row],[Cardboard (tons/day)]]*BJ$1</f>
        <v>0.34930165725000006</v>
      </c>
      <c r="BK299" s="37">
        <f>developmentdata2019[[#This Row],[Paper (tons/day)]]*BK$1</f>
        <v>5.6750059275000016E-3</v>
      </c>
      <c r="BL299" s="37">
        <f>developmentdata2019[[#This Row],[Organics (tons/day)]]*BL$1</f>
        <v>1.2673874304000004E-3</v>
      </c>
      <c r="BM299" s="37">
        <f>developmentdata2019[[#This Row],[E-Waste (tons/day)]]*BM$1</f>
        <v>1.6575784680000006E-5</v>
      </c>
      <c r="BN299" s="37">
        <f>developmentdata2019[[#This Row],[Textiles (tons/day)]]*BN$1</f>
        <v>3.1285693420800014E-6</v>
      </c>
      <c r="BO299" s="37">
        <f>developmentdata2019[[#This Row],[Trash (CY/day)]]*201.974</f>
        <v>4186.716521325</v>
      </c>
      <c r="BP299" s="37">
        <f>developmentdata2019[[#This Row],[MGP (CY/day)]]*201.974</f>
        <v>680.97292283669992</v>
      </c>
      <c r="BQ299" s="37">
        <f>developmentdata2019[[#This Row],[Cardboard (CY/day)]]*201.974</f>
        <v>70.549852921411514</v>
      </c>
      <c r="BR299" s="37">
        <f>developmentdata2019[[#This Row],[Paper  (CY/day)]]*201.974</f>
        <v>1.1462036472008852</v>
      </c>
      <c r="BS299" s="37">
        <f>developmentdata2019[[#This Row],[Organics (CY/day)]]*201.974</f>
        <v>0.25597930886760967</v>
      </c>
      <c r="BT299" s="37">
        <f>developmentdata2019[[#This Row],[E-Waste (CY/day)]]*201.974</f>
        <v>3.3478775349583211E-3</v>
      </c>
      <c r="BU299" s="37">
        <f>developmentdata2019[[#This Row],[Textiles (CY/day)]]*201.974</f>
        <v>6.3188966429726613E-4</v>
      </c>
    </row>
    <row r="300" spans="1:73" x14ac:dyDescent="0.2">
      <c r="A300" s="37" t="s">
        <v>1880</v>
      </c>
      <c r="B300" s="115">
        <v>43466</v>
      </c>
      <c r="C300" s="37" t="s">
        <v>1159</v>
      </c>
      <c r="D300">
        <v>293</v>
      </c>
      <c r="E300">
        <v>309</v>
      </c>
      <c r="F300">
        <v>563</v>
      </c>
      <c r="G300">
        <v>341</v>
      </c>
      <c r="H300" s="37" t="s">
        <v>1881</v>
      </c>
      <c r="I300" s="37" t="s">
        <v>577</v>
      </c>
      <c r="J300" s="37" t="s">
        <v>578</v>
      </c>
      <c r="K300" s="37" t="s">
        <v>597</v>
      </c>
      <c r="M300">
        <v>215</v>
      </c>
      <c r="N300">
        <v>216</v>
      </c>
      <c r="O300">
        <v>915.5</v>
      </c>
      <c r="P300">
        <v>4.26</v>
      </c>
      <c r="R300">
        <v>406</v>
      </c>
      <c r="S300">
        <v>406</v>
      </c>
      <c r="T300">
        <v>103</v>
      </c>
      <c r="U300">
        <v>0.48799999999999999</v>
      </c>
      <c r="V300">
        <v>5</v>
      </c>
      <c r="W300">
        <v>0</v>
      </c>
      <c r="X300">
        <v>6</v>
      </c>
      <c r="Y300">
        <v>43591</v>
      </c>
      <c r="Z300">
        <v>57544</v>
      </c>
      <c r="AA300">
        <v>1.32</v>
      </c>
      <c r="AB300">
        <v>57544</v>
      </c>
      <c r="AC300">
        <v>1.32</v>
      </c>
      <c r="AD300">
        <v>40754</v>
      </c>
      <c r="AE300">
        <v>2421442</v>
      </c>
      <c r="AF300">
        <v>0.70820000000000005</v>
      </c>
      <c r="AG300">
        <v>308</v>
      </c>
      <c r="AH300">
        <v>22610848</v>
      </c>
      <c r="AI300">
        <v>24631</v>
      </c>
      <c r="AJ300">
        <v>484</v>
      </c>
      <c r="AK300" s="37" t="s">
        <v>1882</v>
      </c>
      <c r="AL300" s="37" t="s">
        <v>618</v>
      </c>
      <c r="AM300" s="37" t="s">
        <v>1883</v>
      </c>
      <c r="AN300" s="37" t="s">
        <v>1884</v>
      </c>
      <c r="AO300" s="37" t="s">
        <v>608</v>
      </c>
      <c r="AP300">
        <v>12</v>
      </c>
      <c r="AQ300">
        <v>13</v>
      </c>
      <c r="AR300">
        <v>31</v>
      </c>
      <c r="AS300">
        <v>72</v>
      </c>
      <c r="AT300">
        <v>10</v>
      </c>
      <c r="AU300" s="115">
        <v>32264</v>
      </c>
      <c r="AV300" s="37"/>
      <c r="AW300" s="37"/>
      <c r="AX300" s="37" t="s">
        <v>621</v>
      </c>
      <c r="AY300" s="37"/>
      <c r="AZ300" s="37">
        <f>developmentdata2019[[#This Row],[NUMBER OF CURRENT APARTMENTS]]*5/2000</f>
        <v>0.53749999999999998</v>
      </c>
      <c r="BA300" s="37">
        <f>developmentdata2019[[#This Row],[Total]]*BA$1</f>
        <v>0.13974999999999999</v>
      </c>
      <c r="BB300" s="37">
        <f>developmentdata2019[[#This Row],[Trash (tons/day)]]*BB$1</f>
        <v>2.6552499999999996E-2</v>
      </c>
      <c r="BC300" s="37">
        <f>developmentdata2019[[#This Row],[MGP (tons/day)]]*BC$1</f>
        <v>1.858675E-3</v>
      </c>
      <c r="BD300" s="37">
        <f>developmentdata2019[[#This Row],[Cardboard (tons/day)]]*BD$1</f>
        <v>1.3010725E-4</v>
      </c>
      <c r="BE300" s="37">
        <f>developmentdata2019[[#This Row],[Paper (tons/day)]]*BE$1</f>
        <v>4.1634319999999997E-5</v>
      </c>
      <c r="BF300" s="37">
        <f>developmentdata2019[[#This Row],[Organics (tons/day)]]*BF$1</f>
        <v>4.163432E-7</v>
      </c>
      <c r="BG300" s="37">
        <f>developmentdata2019[[#This Row],[E-Waste (tons/day)]]*BG$1</f>
        <v>3.3307456000000001E-8</v>
      </c>
      <c r="BH300" s="37">
        <f>developmentdata2019[[#This Row],[Trash (tons/day)]]*BH$1</f>
        <v>2.9417374999999999</v>
      </c>
      <c r="BI300" s="37">
        <f>developmentdata2019[[#This Row],[MGP (tons/day)]]*BI$1</f>
        <v>0.47847604999999993</v>
      </c>
      <c r="BJ300" s="37">
        <f>developmentdata2019[[#This Row],[Cardboard (tons/day)]]*BJ$1</f>
        <v>4.957086225E-2</v>
      </c>
      <c r="BK300" s="37">
        <f>developmentdata2019[[#This Row],[Paper (tons/day)]]*BK$1</f>
        <v>8.0536387749999998E-4</v>
      </c>
      <c r="BL300" s="37">
        <f>developmentdata2019[[#This Row],[Organics (tons/day)]]*BL$1</f>
        <v>1.7986026240000001E-4</v>
      </c>
      <c r="BM300" s="37">
        <f>developmentdata2019[[#This Row],[E-Waste (tons/day)]]*BM$1</f>
        <v>2.3523390800000002E-6</v>
      </c>
      <c r="BN300" s="37">
        <f>developmentdata2019[[#This Row],[Textiles (tons/day)]]*BN$1</f>
        <v>4.4398838848000004E-7</v>
      </c>
      <c r="BO300" s="37">
        <f>developmentdata2019[[#This Row],[Trash (CY/day)]]*201.974</f>
        <v>594.15448982499993</v>
      </c>
      <c r="BP300" s="37">
        <f>developmentdata2019[[#This Row],[MGP (CY/day)]]*201.974</f>
        <v>96.639721722699974</v>
      </c>
      <c r="BQ300" s="37">
        <f>developmentdata2019[[#This Row],[Cardboard (CY/day)]]*201.974</f>
        <v>10.0120253320815</v>
      </c>
      <c r="BR300" s="37">
        <f>developmentdata2019[[#This Row],[Paper  (CY/day)]]*201.974</f>
        <v>0.16266256379418498</v>
      </c>
      <c r="BS300" s="37">
        <f>developmentdata2019[[#This Row],[Organics (CY/day)]]*201.974</f>
        <v>3.6327096637977598E-2</v>
      </c>
      <c r="BT300" s="37">
        <f>developmentdata2019[[#This Row],[E-Waste (CY/day)]]*201.974</f>
        <v>4.7511133334392002E-4</v>
      </c>
      <c r="BU300" s="37">
        <f>developmentdata2019[[#This Row],[Textiles (CY/day)]]*201.974</f>
        <v>8.9674110774859523E-5</v>
      </c>
    </row>
    <row r="301" spans="1:73" x14ac:dyDescent="0.2">
      <c r="A301" s="37" t="s">
        <v>1885</v>
      </c>
      <c r="B301" s="115">
        <v>43466</v>
      </c>
      <c r="C301" s="37" t="s">
        <v>1886</v>
      </c>
      <c r="D301" t="s">
        <v>1887</v>
      </c>
      <c r="E301" t="s">
        <v>1888</v>
      </c>
      <c r="F301" t="s">
        <v>1889</v>
      </c>
      <c r="G301" t="s">
        <v>1890</v>
      </c>
      <c r="H301" s="37" t="s">
        <v>1891</v>
      </c>
      <c r="I301" s="37" t="s">
        <v>577</v>
      </c>
      <c r="J301" s="37" t="s">
        <v>588</v>
      </c>
      <c r="K301" s="37" t="s">
        <v>597</v>
      </c>
      <c r="M301">
        <v>102</v>
      </c>
      <c r="N301">
        <v>102</v>
      </c>
      <c r="O301">
        <v>454</v>
      </c>
      <c r="P301">
        <v>4.45</v>
      </c>
      <c r="S301">
        <v>204</v>
      </c>
      <c r="T301">
        <v>36</v>
      </c>
      <c r="U301">
        <v>0.36</v>
      </c>
      <c r="V301">
        <v>8</v>
      </c>
      <c r="W301">
        <v>0</v>
      </c>
      <c r="X301">
        <v>8</v>
      </c>
      <c r="Y301">
        <v>5</v>
      </c>
      <c r="Z301">
        <v>29032</v>
      </c>
      <c r="AA301">
        <v>0.67</v>
      </c>
      <c r="AB301">
        <v>29032</v>
      </c>
      <c r="AC301">
        <v>0.67</v>
      </c>
      <c r="AD301">
        <v>21549</v>
      </c>
      <c r="AE301">
        <v>1292850</v>
      </c>
      <c r="AF301">
        <v>0.74219999999999997</v>
      </c>
      <c r="AG301">
        <v>304</v>
      </c>
      <c r="AH301">
        <v>7175585</v>
      </c>
      <c r="AI301">
        <v>15823</v>
      </c>
      <c r="AJ301">
        <v>532</v>
      </c>
      <c r="AK301" s="37" t="s">
        <v>774</v>
      </c>
      <c r="AL301" s="37" t="s">
        <v>1020</v>
      </c>
      <c r="AM301" s="37" t="s">
        <v>618</v>
      </c>
      <c r="AN301" s="37" t="s">
        <v>1892</v>
      </c>
      <c r="AO301" s="37" t="s">
        <v>608</v>
      </c>
      <c r="AP301">
        <v>12</v>
      </c>
      <c r="AQ301">
        <v>13</v>
      </c>
      <c r="AR301">
        <v>31</v>
      </c>
      <c r="AS301" t="s">
        <v>1893</v>
      </c>
      <c r="AT301" t="s">
        <v>1894</v>
      </c>
      <c r="AU301" s="115">
        <v>32111</v>
      </c>
      <c r="AV301" s="37"/>
      <c r="AW301" s="37"/>
      <c r="AX301" s="37" t="s">
        <v>621</v>
      </c>
      <c r="AY301" s="37"/>
      <c r="AZ301" s="37">
        <f>developmentdata2019[[#This Row],[NUMBER OF CURRENT APARTMENTS]]*5/2000</f>
        <v>0.255</v>
      </c>
      <c r="BA301" s="37">
        <f>developmentdata2019[[#This Row],[Total]]*BA$1</f>
        <v>6.6299999999999998E-2</v>
      </c>
      <c r="BB301" s="37">
        <f>developmentdata2019[[#This Row],[Trash (tons/day)]]*BB$1</f>
        <v>1.2597000000000001E-2</v>
      </c>
      <c r="BC301" s="37">
        <f>developmentdata2019[[#This Row],[MGP (tons/day)]]*BC$1</f>
        <v>8.8179000000000013E-4</v>
      </c>
      <c r="BD301" s="37">
        <f>developmentdata2019[[#This Row],[Cardboard (tons/day)]]*BD$1</f>
        <v>6.1725300000000017E-5</v>
      </c>
      <c r="BE301" s="37">
        <f>developmentdata2019[[#This Row],[Paper (tons/day)]]*BE$1</f>
        <v>1.9752096000000006E-5</v>
      </c>
      <c r="BF301" s="37">
        <f>developmentdata2019[[#This Row],[Organics (tons/day)]]*BF$1</f>
        <v>1.9752096000000005E-7</v>
      </c>
      <c r="BG301" s="37">
        <f>developmentdata2019[[#This Row],[E-Waste (tons/day)]]*BG$1</f>
        <v>1.5801676800000004E-8</v>
      </c>
      <c r="BH301" s="37">
        <f>developmentdata2019[[#This Row],[Trash (tons/day)]]*BH$1</f>
        <v>1.395615</v>
      </c>
      <c r="BI301" s="37">
        <f>developmentdata2019[[#This Row],[MGP (tons/day)]]*BI$1</f>
        <v>0.22699794000000001</v>
      </c>
      <c r="BJ301" s="37">
        <f>developmentdata2019[[#This Row],[Cardboard (tons/day)]]*BJ$1</f>
        <v>2.3517339300000006E-2</v>
      </c>
      <c r="BK301" s="37">
        <f>developmentdata2019[[#This Row],[Paper (tons/day)]]*BK$1</f>
        <v>3.8207960700000013E-4</v>
      </c>
      <c r="BL301" s="37">
        <f>developmentdata2019[[#This Row],[Organics (tons/day)]]*BL$1</f>
        <v>8.5329054720000025E-5</v>
      </c>
      <c r="BM301" s="37">
        <f>developmentdata2019[[#This Row],[E-Waste (tons/day)]]*BM$1</f>
        <v>1.1159934240000003E-6</v>
      </c>
      <c r="BN301" s="37">
        <f>developmentdata2019[[#This Row],[Textiles (tons/day)]]*BN$1</f>
        <v>2.1063635174400006E-7</v>
      </c>
      <c r="BO301" s="37">
        <f>developmentdata2019[[#This Row],[Trash (CY/day)]]*201.974</f>
        <v>281.87794401000002</v>
      </c>
      <c r="BP301" s="37">
        <f>developmentdata2019[[#This Row],[MGP (CY/day)]]*201.974</f>
        <v>45.847681933559997</v>
      </c>
      <c r="BQ301" s="37">
        <f>developmentdata2019[[#This Row],[Cardboard (CY/day)]]*201.974</f>
        <v>4.7498910877782006</v>
      </c>
      <c r="BR301" s="37">
        <f>developmentdata2019[[#This Row],[Paper  (CY/day)]]*201.974</f>
        <v>7.7170146544218027E-2</v>
      </c>
      <c r="BS301" s="37">
        <f>developmentdata2019[[#This Row],[Organics (CY/day)]]*201.974</f>
        <v>1.7234250498017283E-2</v>
      </c>
      <c r="BT301" s="37">
        <f>developmentdata2019[[#This Row],[E-Waste (CY/day)]]*201.974</f>
        <v>2.2540165581897605E-4</v>
      </c>
      <c r="BU301" s="37">
        <f>developmentdata2019[[#This Row],[Textiles (CY/day)]]*201.974</f>
        <v>4.2543066507142664E-5</v>
      </c>
    </row>
    <row r="302" spans="1:73" x14ac:dyDescent="0.2">
      <c r="A302" s="37" t="s">
        <v>1895</v>
      </c>
      <c r="B302" s="115">
        <v>43466</v>
      </c>
      <c r="C302" s="37" t="s">
        <v>1159</v>
      </c>
      <c r="D302">
        <v>523</v>
      </c>
      <c r="E302">
        <v>309</v>
      </c>
      <c r="F302">
        <v>756</v>
      </c>
      <c r="G302">
        <v>341</v>
      </c>
      <c r="H302" s="37" t="s">
        <v>1896</v>
      </c>
      <c r="I302" s="37" t="s">
        <v>577</v>
      </c>
      <c r="J302" s="37" t="s">
        <v>588</v>
      </c>
      <c r="K302" s="37" t="s">
        <v>597</v>
      </c>
      <c r="M302">
        <v>88</v>
      </c>
      <c r="N302">
        <v>88</v>
      </c>
      <c r="O302">
        <v>391</v>
      </c>
      <c r="P302">
        <v>4.4400000000000004</v>
      </c>
      <c r="Q302">
        <v>0</v>
      </c>
      <c r="R302">
        <v>174</v>
      </c>
      <c r="S302">
        <v>174</v>
      </c>
      <c r="T302">
        <v>31</v>
      </c>
      <c r="U302">
        <v>0.36</v>
      </c>
      <c r="V302">
        <v>7</v>
      </c>
      <c r="W302">
        <v>0</v>
      </c>
      <c r="X302">
        <v>7</v>
      </c>
      <c r="Y302">
        <v>5</v>
      </c>
      <c r="Z302">
        <v>25086</v>
      </c>
      <c r="AA302">
        <v>0.57999999999999996</v>
      </c>
      <c r="AB302">
        <v>25086</v>
      </c>
      <c r="AC302">
        <v>0.57999999999999996</v>
      </c>
      <c r="AD302">
        <v>18156</v>
      </c>
      <c r="AE302">
        <v>1113273</v>
      </c>
      <c r="AF302">
        <v>0.7238</v>
      </c>
      <c r="AG302">
        <v>300</v>
      </c>
      <c r="AH302">
        <v>6178887</v>
      </c>
      <c r="AI302">
        <v>15823</v>
      </c>
      <c r="AJ302">
        <v>536</v>
      </c>
      <c r="AK302" s="37" t="s">
        <v>1163</v>
      </c>
      <c r="AL302" s="37" t="s">
        <v>1897</v>
      </c>
      <c r="AM302" s="37" t="s">
        <v>1165</v>
      </c>
      <c r="AN302" s="37" t="s">
        <v>618</v>
      </c>
      <c r="AO302" s="37" t="s">
        <v>608</v>
      </c>
      <c r="AP302">
        <v>12</v>
      </c>
      <c r="AQ302">
        <v>13</v>
      </c>
      <c r="AR302">
        <v>31</v>
      </c>
      <c r="AS302" t="s">
        <v>1893</v>
      </c>
      <c r="AT302" t="s">
        <v>1894</v>
      </c>
      <c r="AU302" s="115">
        <v>32111</v>
      </c>
      <c r="AV302" s="37"/>
      <c r="AW302" s="37"/>
      <c r="AX302" s="37"/>
      <c r="AY302" s="37"/>
      <c r="AZ302" s="37">
        <f>developmentdata2019[[#This Row],[NUMBER OF CURRENT APARTMENTS]]*5/2000</f>
        <v>0.22</v>
      </c>
      <c r="BA302" s="37">
        <f>developmentdata2019[[#This Row],[Total]]*BA$1</f>
        <v>5.7200000000000001E-2</v>
      </c>
      <c r="BB302" s="37">
        <f>developmentdata2019[[#This Row],[Trash (tons/day)]]*BB$1</f>
        <v>1.0868000000000001E-2</v>
      </c>
      <c r="BC302" s="37">
        <f>developmentdata2019[[#This Row],[MGP (tons/day)]]*BC$1</f>
        <v>7.6076000000000019E-4</v>
      </c>
      <c r="BD302" s="37">
        <f>developmentdata2019[[#This Row],[Cardboard (tons/day)]]*BD$1</f>
        <v>5.3253200000000021E-5</v>
      </c>
      <c r="BE302" s="37">
        <f>developmentdata2019[[#This Row],[Paper (tons/day)]]*BE$1</f>
        <v>1.7041024000000007E-5</v>
      </c>
      <c r="BF302" s="37">
        <f>developmentdata2019[[#This Row],[Organics (tons/day)]]*BF$1</f>
        <v>1.7041024000000008E-7</v>
      </c>
      <c r="BG302" s="37">
        <f>developmentdata2019[[#This Row],[E-Waste (tons/day)]]*BG$1</f>
        <v>1.3632819200000007E-8</v>
      </c>
      <c r="BH302" s="37">
        <f>developmentdata2019[[#This Row],[Trash (tons/day)]]*BH$1</f>
        <v>1.2040600000000001</v>
      </c>
      <c r="BI302" s="37">
        <f>developmentdata2019[[#This Row],[MGP (tons/day)]]*BI$1</f>
        <v>0.19584136000000002</v>
      </c>
      <c r="BJ302" s="37">
        <f>developmentdata2019[[#This Row],[Cardboard (tons/day)]]*BJ$1</f>
        <v>2.0289469200000007E-2</v>
      </c>
      <c r="BK302" s="37">
        <f>developmentdata2019[[#This Row],[Paper (tons/day)]]*BK$1</f>
        <v>3.2963730800000015E-4</v>
      </c>
      <c r="BL302" s="37">
        <f>developmentdata2019[[#This Row],[Organics (tons/day)]]*BL$1</f>
        <v>7.3617223680000042E-5</v>
      </c>
      <c r="BM302" s="37">
        <f>developmentdata2019[[#This Row],[E-Waste (tons/day)]]*BM$1</f>
        <v>9.6281785600000052E-7</v>
      </c>
      <c r="BN302" s="37">
        <f>developmentdata2019[[#This Row],[Textiles (tons/day)]]*BN$1</f>
        <v>1.8172547993600008E-7</v>
      </c>
      <c r="BO302" s="37">
        <f>developmentdata2019[[#This Row],[Trash (CY/day)]]*201.974</f>
        <v>243.18881444000002</v>
      </c>
      <c r="BP302" s="37">
        <f>developmentdata2019[[#This Row],[MGP (CY/day)]]*201.974</f>
        <v>39.554862844639999</v>
      </c>
      <c r="BQ302" s="37">
        <f>developmentdata2019[[#This Row],[Cardboard (CY/day)]]*201.974</f>
        <v>4.0979452522008009</v>
      </c>
      <c r="BR302" s="37">
        <f>developmentdata2019[[#This Row],[Paper  (CY/day)]]*201.974</f>
        <v>6.6578165645992032E-2</v>
      </c>
      <c r="BS302" s="37">
        <f>developmentdata2019[[#This Row],[Organics (CY/day)]]*201.974</f>
        <v>1.4868765135544328E-2</v>
      </c>
      <c r="BT302" s="37">
        <f>developmentdata2019[[#This Row],[E-Waste (CY/day)]]*201.974</f>
        <v>1.9446417364774409E-4</v>
      </c>
      <c r="BU302" s="37">
        <f>developmentdata2019[[#This Row],[Textiles (CY/day)]]*201.974</f>
        <v>3.6703822084593681E-5</v>
      </c>
    </row>
    <row r="303" spans="1:73" x14ac:dyDescent="0.2">
      <c r="A303" s="37" t="s">
        <v>1898</v>
      </c>
      <c r="B303" s="115">
        <v>43466</v>
      </c>
      <c r="C303" s="37" t="s">
        <v>711</v>
      </c>
      <c r="D303">
        <v>329</v>
      </c>
      <c r="E303">
        <v>3</v>
      </c>
      <c r="F303">
        <v>382</v>
      </c>
      <c r="G303">
        <v>754</v>
      </c>
      <c r="H303" s="37" t="s">
        <v>1899</v>
      </c>
      <c r="I303" s="37" t="s">
        <v>577</v>
      </c>
      <c r="J303" s="37" t="s">
        <v>588</v>
      </c>
      <c r="K303" s="37" t="s">
        <v>597</v>
      </c>
      <c r="M303">
        <v>14</v>
      </c>
      <c r="N303">
        <v>14</v>
      </c>
      <c r="O303">
        <v>63</v>
      </c>
      <c r="P303">
        <v>4.5</v>
      </c>
      <c r="Q303">
        <v>0</v>
      </c>
      <c r="R303">
        <v>30</v>
      </c>
      <c r="S303">
        <v>30</v>
      </c>
      <c r="T303">
        <v>5</v>
      </c>
      <c r="U303">
        <v>0.35699999999999998</v>
      </c>
      <c r="V303">
        <v>1</v>
      </c>
      <c r="W303">
        <v>0</v>
      </c>
      <c r="X303">
        <v>1</v>
      </c>
      <c r="Y303">
        <v>5</v>
      </c>
      <c r="Z303">
        <v>3946</v>
      </c>
      <c r="AA303">
        <v>0.09</v>
      </c>
      <c r="AB303">
        <v>3946</v>
      </c>
      <c r="AC303">
        <v>0.09</v>
      </c>
      <c r="AD303">
        <v>3393</v>
      </c>
      <c r="AE303">
        <v>179577</v>
      </c>
      <c r="AF303">
        <v>0.8599</v>
      </c>
      <c r="AG303">
        <v>333</v>
      </c>
      <c r="AH303">
        <v>996698</v>
      </c>
      <c r="AI303">
        <v>15821</v>
      </c>
      <c r="AJ303">
        <v>513</v>
      </c>
      <c r="AK303" s="37" t="s">
        <v>774</v>
      </c>
      <c r="AL303" s="37" t="s">
        <v>1020</v>
      </c>
      <c r="AM303" s="37" t="s">
        <v>618</v>
      </c>
      <c r="AN303" s="37"/>
      <c r="AO303" s="37" t="s">
        <v>608</v>
      </c>
      <c r="AP303">
        <v>12</v>
      </c>
      <c r="AQ303">
        <v>13</v>
      </c>
      <c r="AR303">
        <v>31</v>
      </c>
      <c r="AS303">
        <v>71</v>
      </c>
      <c r="AT303">
        <v>7</v>
      </c>
      <c r="AU303" s="115">
        <v>32111</v>
      </c>
      <c r="AV303" s="37"/>
      <c r="AW303" s="37"/>
      <c r="AX303" s="37"/>
      <c r="AY303" s="37"/>
      <c r="AZ303" s="37">
        <f>developmentdata2019[[#This Row],[NUMBER OF CURRENT APARTMENTS]]*5/2000</f>
        <v>3.5000000000000003E-2</v>
      </c>
      <c r="BA303" s="37">
        <f>developmentdata2019[[#This Row],[Total]]*BA$1</f>
        <v>9.1000000000000004E-3</v>
      </c>
      <c r="BB303" s="37">
        <f>developmentdata2019[[#This Row],[Trash (tons/day)]]*BB$1</f>
        <v>1.7290000000000001E-3</v>
      </c>
      <c r="BC303" s="37">
        <f>developmentdata2019[[#This Row],[MGP (tons/day)]]*BC$1</f>
        <v>1.2103000000000001E-4</v>
      </c>
      <c r="BD303" s="37">
        <f>developmentdata2019[[#This Row],[Cardboard (tons/day)]]*BD$1</f>
        <v>8.4721000000000014E-6</v>
      </c>
      <c r="BE303" s="37">
        <f>developmentdata2019[[#This Row],[Paper (tons/day)]]*BE$1</f>
        <v>2.7110720000000007E-6</v>
      </c>
      <c r="BF303" s="37">
        <f>developmentdata2019[[#This Row],[Organics (tons/day)]]*BF$1</f>
        <v>2.7110720000000007E-8</v>
      </c>
      <c r="BG303" s="37">
        <f>developmentdata2019[[#This Row],[E-Waste (tons/day)]]*BG$1</f>
        <v>2.1688576000000008E-9</v>
      </c>
      <c r="BH303" s="37">
        <f>developmentdata2019[[#This Row],[Trash (tons/day)]]*BH$1</f>
        <v>0.191555</v>
      </c>
      <c r="BI303" s="37">
        <f>developmentdata2019[[#This Row],[MGP (tons/day)]]*BI$1</f>
        <v>3.115658E-2</v>
      </c>
      <c r="BJ303" s="37">
        <f>developmentdata2019[[#This Row],[Cardboard (tons/day)]]*BJ$1</f>
        <v>3.2278701000000003E-3</v>
      </c>
      <c r="BK303" s="37">
        <f>developmentdata2019[[#This Row],[Paper (tons/day)]]*BK$1</f>
        <v>5.2442299000000015E-5</v>
      </c>
      <c r="BL303" s="37">
        <f>developmentdata2019[[#This Row],[Organics (tons/day)]]*BL$1</f>
        <v>1.1711831040000004E-5</v>
      </c>
      <c r="BM303" s="37">
        <f>developmentdata2019[[#This Row],[E-Waste (tons/day)]]*BM$1</f>
        <v>1.5317556800000004E-7</v>
      </c>
      <c r="BN303" s="37">
        <f>developmentdata2019[[#This Row],[Textiles (tons/day)]]*BN$1</f>
        <v>2.891087180800001E-8</v>
      </c>
      <c r="BO303" s="37">
        <f>developmentdata2019[[#This Row],[Trash (CY/day)]]*201.974</f>
        <v>38.689129569999999</v>
      </c>
      <c r="BP303" s="37">
        <f>developmentdata2019[[#This Row],[MGP (CY/day)]]*201.974</f>
        <v>6.29281908892</v>
      </c>
      <c r="BQ303" s="37">
        <f>developmentdata2019[[#This Row],[Cardboard (CY/day)]]*201.974</f>
        <v>0.65194583557740005</v>
      </c>
      <c r="BR303" s="37">
        <f>developmentdata2019[[#This Row],[Paper  (CY/day)]]*201.974</f>
        <v>1.0591980898226003E-2</v>
      </c>
      <c r="BS303" s="37">
        <f>developmentdata2019[[#This Row],[Organics (CY/day)]]*201.974</f>
        <v>2.3654853624729606E-3</v>
      </c>
      <c r="BT303" s="37">
        <f>developmentdata2019[[#This Row],[E-Waste (CY/day)]]*201.974</f>
        <v>3.0937482171232004E-5</v>
      </c>
      <c r="BU303" s="37">
        <f>developmentdata2019[[#This Row],[Textiles (CY/day)]]*201.974</f>
        <v>5.8392444225489937E-6</v>
      </c>
    </row>
    <row r="304" spans="1:73" x14ac:dyDescent="0.2">
      <c r="A304" s="37" t="s">
        <v>1900</v>
      </c>
      <c r="B304" s="115">
        <v>43466</v>
      </c>
      <c r="C304" s="37" t="s">
        <v>1159</v>
      </c>
      <c r="D304">
        <v>330</v>
      </c>
      <c r="E304">
        <v>309</v>
      </c>
      <c r="F304">
        <v>788</v>
      </c>
      <c r="G304">
        <v>341</v>
      </c>
      <c r="H304" s="37" t="s">
        <v>1901</v>
      </c>
      <c r="I304" s="37" t="s">
        <v>577</v>
      </c>
      <c r="J304" s="37" t="s">
        <v>578</v>
      </c>
      <c r="K304" s="37" t="s">
        <v>597</v>
      </c>
      <c r="M304">
        <v>32</v>
      </c>
      <c r="N304">
        <v>32</v>
      </c>
      <c r="O304">
        <v>129</v>
      </c>
      <c r="P304">
        <v>4.03</v>
      </c>
      <c r="R304">
        <v>67</v>
      </c>
      <c r="S304">
        <v>67</v>
      </c>
      <c r="T304">
        <v>16</v>
      </c>
      <c r="U304">
        <v>0.51600000000000001</v>
      </c>
      <c r="V304">
        <v>2</v>
      </c>
      <c r="W304">
        <v>0</v>
      </c>
      <c r="X304">
        <v>2</v>
      </c>
      <c r="Y304">
        <v>5</v>
      </c>
      <c r="Z304">
        <v>8593</v>
      </c>
      <c r="AA304">
        <v>0.2</v>
      </c>
      <c r="AB304">
        <v>8593</v>
      </c>
      <c r="AC304">
        <v>0.2</v>
      </c>
      <c r="AD304">
        <v>6012</v>
      </c>
      <c r="AE304">
        <v>323625</v>
      </c>
      <c r="AF304">
        <v>0.6996</v>
      </c>
      <c r="AG304">
        <v>335</v>
      </c>
      <c r="AH304">
        <v>3052119</v>
      </c>
      <c r="AI304">
        <v>23660</v>
      </c>
      <c r="AJ304">
        <v>478</v>
      </c>
      <c r="AK304" s="37" t="s">
        <v>1882</v>
      </c>
      <c r="AL304" s="37" t="s">
        <v>618</v>
      </c>
      <c r="AM304" s="37" t="s">
        <v>1883</v>
      </c>
      <c r="AN304" s="37" t="s">
        <v>1884</v>
      </c>
      <c r="AO304" s="37" t="s">
        <v>608</v>
      </c>
      <c r="AP304">
        <v>12</v>
      </c>
      <c r="AQ304">
        <v>13</v>
      </c>
      <c r="AR304">
        <v>31</v>
      </c>
      <c r="AS304">
        <v>72</v>
      </c>
      <c r="AT304">
        <v>10</v>
      </c>
      <c r="AU304" s="115">
        <v>33147</v>
      </c>
      <c r="AV304" s="37"/>
      <c r="AW304" s="37"/>
      <c r="AX304" s="37" t="s">
        <v>621</v>
      </c>
      <c r="AY304" s="37"/>
      <c r="AZ304" s="37">
        <f>developmentdata2019[[#This Row],[NUMBER OF CURRENT APARTMENTS]]*5/2000</f>
        <v>0.08</v>
      </c>
      <c r="BA304" s="37">
        <f>developmentdata2019[[#This Row],[Total]]*BA$1</f>
        <v>2.0800000000000003E-2</v>
      </c>
      <c r="BB304" s="37">
        <f>developmentdata2019[[#This Row],[Trash (tons/day)]]*BB$1</f>
        <v>3.9520000000000007E-3</v>
      </c>
      <c r="BC304" s="37">
        <f>developmentdata2019[[#This Row],[MGP (tons/day)]]*BC$1</f>
        <v>2.7664000000000009E-4</v>
      </c>
      <c r="BD304" s="37">
        <f>developmentdata2019[[#This Row],[Cardboard (tons/day)]]*BD$1</f>
        <v>1.9364800000000008E-5</v>
      </c>
      <c r="BE304" s="37">
        <f>developmentdata2019[[#This Row],[Paper (tons/day)]]*BE$1</f>
        <v>6.196736000000003E-6</v>
      </c>
      <c r="BF304" s="37">
        <f>developmentdata2019[[#This Row],[Organics (tons/day)]]*BF$1</f>
        <v>6.1967360000000037E-8</v>
      </c>
      <c r="BG304" s="37">
        <f>developmentdata2019[[#This Row],[E-Waste (tons/day)]]*BG$1</f>
        <v>4.9573888000000033E-9</v>
      </c>
      <c r="BH304" s="37">
        <f>developmentdata2019[[#This Row],[Trash (tons/day)]]*BH$1</f>
        <v>0.43784000000000006</v>
      </c>
      <c r="BI304" s="37">
        <f>developmentdata2019[[#This Row],[MGP (tons/day)]]*BI$1</f>
        <v>7.1215040000000007E-2</v>
      </c>
      <c r="BJ304" s="37">
        <f>developmentdata2019[[#This Row],[Cardboard (tons/day)]]*BJ$1</f>
        <v>7.3779888000000031E-3</v>
      </c>
      <c r="BK304" s="37">
        <f>developmentdata2019[[#This Row],[Paper (tons/day)]]*BK$1</f>
        <v>1.1986811200000005E-4</v>
      </c>
      <c r="BL304" s="37">
        <f>developmentdata2019[[#This Row],[Organics (tons/day)]]*BL$1</f>
        <v>2.6769899520000014E-5</v>
      </c>
      <c r="BM304" s="37">
        <f>developmentdata2019[[#This Row],[E-Waste (tons/day)]]*BM$1</f>
        <v>3.5011558400000025E-7</v>
      </c>
      <c r="BN304" s="37">
        <f>developmentdata2019[[#This Row],[Textiles (tons/day)]]*BN$1</f>
        <v>6.6081992704000045E-8</v>
      </c>
      <c r="BO304" s="37">
        <f>developmentdata2019[[#This Row],[Trash (CY/day)]]*201.974</f>
        <v>88.432296160000007</v>
      </c>
      <c r="BP304" s="37">
        <f>developmentdata2019[[#This Row],[MGP (CY/day)]]*201.974</f>
        <v>14.383586488960001</v>
      </c>
      <c r="BQ304" s="37">
        <f>developmentdata2019[[#This Row],[Cardboard (CY/day)]]*201.974</f>
        <v>1.4901619098912005</v>
      </c>
      <c r="BR304" s="37">
        <f>developmentdata2019[[#This Row],[Paper  (CY/day)]]*201.974</f>
        <v>2.421024205308801E-2</v>
      </c>
      <c r="BS304" s="37">
        <f>developmentdata2019[[#This Row],[Organics (CY/day)]]*201.974</f>
        <v>5.4068236856524825E-3</v>
      </c>
      <c r="BT304" s="37">
        <f>developmentdata2019[[#This Row],[E-Waste (CY/day)]]*201.974</f>
        <v>7.0714244962816051E-5</v>
      </c>
      <c r="BU304" s="37">
        <f>developmentdata2019[[#This Row],[Textiles (CY/day)]]*201.974</f>
        <v>1.3346844394397705E-5</v>
      </c>
    </row>
    <row r="305" spans="1:73" x14ac:dyDescent="0.2">
      <c r="A305" s="37" t="s">
        <v>1902</v>
      </c>
      <c r="B305" s="115">
        <v>43466</v>
      </c>
      <c r="C305" s="37" t="s">
        <v>1159</v>
      </c>
      <c r="D305">
        <v>331</v>
      </c>
      <c r="E305">
        <v>309</v>
      </c>
      <c r="F305">
        <v>789</v>
      </c>
      <c r="G305">
        <v>341</v>
      </c>
      <c r="H305" s="37" t="s">
        <v>1903</v>
      </c>
      <c r="I305" s="37" t="s">
        <v>577</v>
      </c>
      <c r="J305" s="37" t="s">
        <v>578</v>
      </c>
      <c r="K305" s="37" t="s">
        <v>597</v>
      </c>
      <c r="M305">
        <v>32</v>
      </c>
      <c r="N305">
        <v>32</v>
      </c>
      <c r="O305">
        <v>132</v>
      </c>
      <c r="P305">
        <v>4.13</v>
      </c>
      <c r="R305">
        <v>60</v>
      </c>
      <c r="S305">
        <v>60</v>
      </c>
      <c r="T305">
        <v>15</v>
      </c>
      <c r="U305">
        <v>0.46899999999999997</v>
      </c>
      <c r="V305">
        <v>2</v>
      </c>
      <c r="W305">
        <v>0</v>
      </c>
      <c r="X305">
        <v>2</v>
      </c>
      <c r="Y305">
        <v>5</v>
      </c>
      <c r="Z305">
        <v>8743</v>
      </c>
      <c r="AA305">
        <v>0.2</v>
      </c>
      <c r="AB305">
        <v>8743</v>
      </c>
      <c r="AC305">
        <v>0.2</v>
      </c>
      <c r="AD305">
        <v>6127</v>
      </c>
      <c r="AE305">
        <v>329815</v>
      </c>
      <c r="AF305">
        <v>0.70079999999999998</v>
      </c>
      <c r="AG305">
        <v>300</v>
      </c>
      <c r="AH305">
        <v>3007393</v>
      </c>
      <c r="AI305">
        <v>22783</v>
      </c>
      <c r="AJ305">
        <v>508</v>
      </c>
      <c r="AK305" s="37" t="s">
        <v>1882</v>
      </c>
      <c r="AL305" s="37" t="s">
        <v>618</v>
      </c>
      <c r="AM305" s="37"/>
      <c r="AN305" s="37" t="s">
        <v>1884</v>
      </c>
      <c r="AO305" s="37" t="s">
        <v>608</v>
      </c>
      <c r="AP305">
        <v>12</v>
      </c>
      <c r="AQ305">
        <v>13</v>
      </c>
      <c r="AR305">
        <v>31</v>
      </c>
      <c r="AS305">
        <v>72</v>
      </c>
      <c r="AT305">
        <v>10</v>
      </c>
      <c r="AU305" s="115">
        <v>33055</v>
      </c>
      <c r="AV305" s="37"/>
      <c r="AW305" s="37"/>
      <c r="AX305" s="37" t="s">
        <v>621</v>
      </c>
      <c r="AY305" s="37"/>
      <c r="AZ305" s="37">
        <f>developmentdata2019[[#This Row],[NUMBER OF CURRENT APARTMENTS]]*5/2000</f>
        <v>0.08</v>
      </c>
      <c r="BA305" s="37">
        <f>developmentdata2019[[#This Row],[Total]]*BA$1</f>
        <v>2.0800000000000003E-2</v>
      </c>
      <c r="BB305" s="37">
        <f>developmentdata2019[[#This Row],[Trash (tons/day)]]*BB$1</f>
        <v>3.9520000000000007E-3</v>
      </c>
      <c r="BC305" s="37">
        <f>developmentdata2019[[#This Row],[MGP (tons/day)]]*BC$1</f>
        <v>2.7664000000000009E-4</v>
      </c>
      <c r="BD305" s="37">
        <f>developmentdata2019[[#This Row],[Cardboard (tons/day)]]*BD$1</f>
        <v>1.9364800000000008E-5</v>
      </c>
      <c r="BE305" s="37">
        <f>developmentdata2019[[#This Row],[Paper (tons/day)]]*BE$1</f>
        <v>6.196736000000003E-6</v>
      </c>
      <c r="BF305" s="37">
        <f>developmentdata2019[[#This Row],[Organics (tons/day)]]*BF$1</f>
        <v>6.1967360000000037E-8</v>
      </c>
      <c r="BG305" s="37">
        <f>developmentdata2019[[#This Row],[E-Waste (tons/day)]]*BG$1</f>
        <v>4.9573888000000033E-9</v>
      </c>
      <c r="BH305" s="37">
        <f>developmentdata2019[[#This Row],[Trash (tons/day)]]*BH$1</f>
        <v>0.43784000000000006</v>
      </c>
      <c r="BI305" s="37">
        <f>developmentdata2019[[#This Row],[MGP (tons/day)]]*BI$1</f>
        <v>7.1215040000000007E-2</v>
      </c>
      <c r="BJ305" s="37">
        <f>developmentdata2019[[#This Row],[Cardboard (tons/day)]]*BJ$1</f>
        <v>7.3779888000000031E-3</v>
      </c>
      <c r="BK305" s="37">
        <f>developmentdata2019[[#This Row],[Paper (tons/day)]]*BK$1</f>
        <v>1.1986811200000005E-4</v>
      </c>
      <c r="BL305" s="37">
        <f>developmentdata2019[[#This Row],[Organics (tons/day)]]*BL$1</f>
        <v>2.6769899520000014E-5</v>
      </c>
      <c r="BM305" s="37">
        <f>developmentdata2019[[#This Row],[E-Waste (tons/day)]]*BM$1</f>
        <v>3.5011558400000025E-7</v>
      </c>
      <c r="BN305" s="37">
        <f>developmentdata2019[[#This Row],[Textiles (tons/day)]]*BN$1</f>
        <v>6.6081992704000045E-8</v>
      </c>
      <c r="BO305" s="37">
        <f>developmentdata2019[[#This Row],[Trash (CY/day)]]*201.974</f>
        <v>88.432296160000007</v>
      </c>
      <c r="BP305" s="37">
        <f>developmentdata2019[[#This Row],[MGP (CY/day)]]*201.974</f>
        <v>14.383586488960001</v>
      </c>
      <c r="BQ305" s="37">
        <f>developmentdata2019[[#This Row],[Cardboard (CY/day)]]*201.974</f>
        <v>1.4901619098912005</v>
      </c>
      <c r="BR305" s="37">
        <f>developmentdata2019[[#This Row],[Paper  (CY/day)]]*201.974</f>
        <v>2.421024205308801E-2</v>
      </c>
      <c r="BS305" s="37">
        <f>developmentdata2019[[#This Row],[Organics (CY/day)]]*201.974</f>
        <v>5.4068236856524825E-3</v>
      </c>
      <c r="BT305" s="37">
        <f>developmentdata2019[[#This Row],[E-Waste (CY/day)]]*201.974</f>
        <v>7.0714244962816051E-5</v>
      </c>
      <c r="BU305" s="37">
        <f>developmentdata2019[[#This Row],[Textiles (CY/day)]]*201.974</f>
        <v>1.3346844394397705E-5</v>
      </c>
    </row>
    <row r="306" spans="1:73" x14ac:dyDescent="0.2">
      <c r="A306" s="37" t="s">
        <v>402</v>
      </c>
      <c r="B306" s="115">
        <v>43466</v>
      </c>
      <c r="C306" s="37" t="s">
        <v>1493</v>
      </c>
      <c r="D306">
        <v>141</v>
      </c>
      <c r="E306">
        <v>141</v>
      </c>
      <c r="F306">
        <v>231</v>
      </c>
      <c r="G306">
        <v>231</v>
      </c>
      <c r="H306" s="37" t="s">
        <v>1904</v>
      </c>
      <c r="I306" s="37" t="s">
        <v>577</v>
      </c>
      <c r="J306" s="37" t="s">
        <v>578</v>
      </c>
      <c r="K306" s="37" t="s">
        <v>579</v>
      </c>
      <c r="M306">
        <v>606</v>
      </c>
      <c r="N306">
        <v>606</v>
      </c>
      <c r="O306">
        <v>2831</v>
      </c>
      <c r="P306">
        <v>4.67</v>
      </c>
      <c r="R306">
        <v>1562</v>
      </c>
      <c r="S306">
        <v>1562</v>
      </c>
      <c r="T306">
        <v>223</v>
      </c>
      <c r="U306">
        <v>0.372</v>
      </c>
      <c r="V306">
        <v>5</v>
      </c>
      <c r="W306">
        <v>1</v>
      </c>
      <c r="X306">
        <v>6</v>
      </c>
      <c r="Y306">
        <v>21</v>
      </c>
      <c r="Z306">
        <v>197199</v>
      </c>
      <c r="AA306">
        <v>4.53</v>
      </c>
      <c r="AB306">
        <v>197199</v>
      </c>
      <c r="AC306">
        <v>4.53</v>
      </c>
      <c r="AD306">
        <v>31247</v>
      </c>
      <c r="AE306">
        <v>5322369</v>
      </c>
      <c r="AF306">
        <v>0.1585</v>
      </c>
      <c r="AG306">
        <v>345</v>
      </c>
      <c r="AH306">
        <v>12227114</v>
      </c>
      <c r="AI306">
        <v>4319</v>
      </c>
      <c r="AJ306">
        <v>503</v>
      </c>
      <c r="AK306" s="37" t="s">
        <v>884</v>
      </c>
      <c r="AL306" s="37" t="s">
        <v>887</v>
      </c>
      <c r="AM306" s="37" t="s">
        <v>599</v>
      </c>
      <c r="AN306" s="37" t="s">
        <v>886</v>
      </c>
      <c r="AO306" s="37" t="s">
        <v>584</v>
      </c>
      <c r="AP306">
        <v>3</v>
      </c>
      <c r="AQ306">
        <v>15</v>
      </c>
      <c r="AR306">
        <v>32</v>
      </c>
      <c r="AS306">
        <v>79</v>
      </c>
      <c r="AT306">
        <v>16</v>
      </c>
      <c r="AU306" s="115">
        <v>24015</v>
      </c>
      <c r="AV306" s="37"/>
      <c r="AW306" s="37"/>
      <c r="AX306" s="37"/>
      <c r="AY306" s="37"/>
      <c r="AZ306" s="37">
        <f>developmentdata2019[[#This Row],[NUMBER OF CURRENT APARTMENTS]]*5/2000</f>
        <v>1.5149999999999999</v>
      </c>
      <c r="BA306" s="37">
        <f>developmentdata2019[[#This Row],[Total]]*BA$1</f>
        <v>0.39389999999999997</v>
      </c>
      <c r="BB306" s="37">
        <f>developmentdata2019[[#This Row],[Trash (tons/day)]]*BB$1</f>
        <v>7.4840999999999991E-2</v>
      </c>
      <c r="BC306" s="37">
        <f>developmentdata2019[[#This Row],[MGP (tons/day)]]*BC$1</f>
        <v>5.2388699999999996E-3</v>
      </c>
      <c r="BD306" s="37">
        <f>developmentdata2019[[#This Row],[Cardboard (tons/day)]]*BD$1</f>
        <v>3.6672089999999999E-4</v>
      </c>
      <c r="BE306" s="37">
        <f>developmentdata2019[[#This Row],[Paper (tons/day)]]*BE$1</f>
        <v>1.1735068799999999E-4</v>
      </c>
      <c r="BF306" s="37">
        <f>developmentdata2019[[#This Row],[Organics (tons/day)]]*BF$1</f>
        <v>1.17350688E-6</v>
      </c>
      <c r="BG306" s="37">
        <f>developmentdata2019[[#This Row],[E-Waste (tons/day)]]*BG$1</f>
        <v>9.3880550400000008E-8</v>
      </c>
      <c r="BH306" s="37">
        <f>developmentdata2019[[#This Row],[Trash (tons/day)]]*BH$1</f>
        <v>8.2915949999999992</v>
      </c>
      <c r="BI306" s="37">
        <f>developmentdata2019[[#This Row],[MGP (tons/day)]]*BI$1</f>
        <v>1.3486348199999998</v>
      </c>
      <c r="BJ306" s="37">
        <f>developmentdata2019[[#This Row],[Cardboard (tons/day)]]*BJ$1</f>
        <v>0.13972066289999999</v>
      </c>
      <c r="BK306" s="37">
        <f>developmentdata2019[[#This Row],[Paper (tons/day)]]*BK$1</f>
        <v>2.2700023709999999E-3</v>
      </c>
      <c r="BL306" s="37">
        <f>developmentdata2019[[#This Row],[Organics (tons/day)]]*BL$1</f>
        <v>5.0695497215999996E-4</v>
      </c>
      <c r="BM306" s="37">
        <f>developmentdata2019[[#This Row],[E-Waste (tons/day)]]*BM$1</f>
        <v>6.6303138720000011E-6</v>
      </c>
      <c r="BN306" s="37">
        <f>developmentdata2019[[#This Row],[Textiles (tons/day)]]*BN$1</f>
        <v>1.251427736832E-6</v>
      </c>
      <c r="BO306" s="37">
        <f>developmentdata2019[[#This Row],[Trash (CY/day)]]*201.974</f>
        <v>1674.6866085299998</v>
      </c>
      <c r="BP306" s="37">
        <f>developmentdata2019[[#This Row],[MGP (CY/day)]]*201.974</f>
        <v>272.38916913467995</v>
      </c>
      <c r="BQ306" s="37">
        <f>developmentdata2019[[#This Row],[Cardboard (CY/day)]]*201.974</f>
        <v>28.219941168564596</v>
      </c>
      <c r="BR306" s="37">
        <f>developmentdata2019[[#This Row],[Paper  (CY/day)]]*201.974</f>
        <v>0.45848145888035396</v>
      </c>
      <c r="BS306" s="37">
        <f>developmentdata2019[[#This Row],[Organics (CY/day)]]*201.974</f>
        <v>0.10239172354704383</v>
      </c>
      <c r="BT306" s="37">
        <f>developmentdata2019[[#This Row],[E-Waste (CY/day)]]*201.974</f>
        <v>1.3391510139833282E-3</v>
      </c>
      <c r="BU306" s="37">
        <f>developmentdata2019[[#This Row],[Textiles (CY/day)]]*201.974</f>
        <v>2.5275586571890635E-4</v>
      </c>
    </row>
    <row r="307" spans="1:73" x14ac:dyDescent="0.2">
      <c r="A307" s="37" t="s">
        <v>1905</v>
      </c>
      <c r="B307" s="115">
        <v>43466</v>
      </c>
      <c r="C307" s="37" t="s">
        <v>665</v>
      </c>
      <c r="D307">
        <v>229</v>
      </c>
      <c r="E307">
        <v>31</v>
      </c>
      <c r="F307">
        <v>357</v>
      </c>
      <c r="G307">
        <v>357</v>
      </c>
      <c r="H307" s="37" t="s">
        <v>1906</v>
      </c>
      <c r="I307" s="37" t="s">
        <v>577</v>
      </c>
      <c r="J307" s="37" t="s">
        <v>588</v>
      </c>
      <c r="K307" s="37" t="s">
        <v>579</v>
      </c>
      <c r="M307">
        <v>256</v>
      </c>
      <c r="N307">
        <v>257</v>
      </c>
      <c r="O307">
        <v>1285</v>
      </c>
      <c r="P307">
        <v>5.0199999999999996</v>
      </c>
      <c r="R307">
        <v>718</v>
      </c>
      <c r="S307">
        <v>718</v>
      </c>
      <c r="T307">
        <v>77</v>
      </c>
      <c r="U307">
        <v>0.308</v>
      </c>
      <c r="V307">
        <v>2</v>
      </c>
      <c r="W307">
        <v>0</v>
      </c>
      <c r="X307">
        <v>14</v>
      </c>
      <c r="Y307">
        <v>43560</v>
      </c>
      <c r="Z307">
        <v>141365</v>
      </c>
      <c r="AA307">
        <v>3.25</v>
      </c>
      <c r="AB307">
        <v>141365</v>
      </c>
      <c r="AC307">
        <v>3.25</v>
      </c>
      <c r="AD307">
        <v>63228</v>
      </c>
      <c r="AE307">
        <v>2929695</v>
      </c>
      <c r="AF307">
        <v>0.44729999999999998</v>
      </c>
      <c r="AG307">
        <v>221</v>
      </c>
      <c r="AH307">
        <v>7871249</v>
      </c>
      <c r="AI307">
        <v>6073</v>
      </c>
      <c r="AJ307">
        <v>568</v>
      </c>
      <c r="AK307" s="37" t="s">
        <v>1321</v>
      </c>
      <c r="AL307" s="37" t="s">
        <v>1907</v>
      </c>
      <c r="AM307" s="37" t="s">
        <v>1527</v>
      </c>
      <c r="AN307" s="37" t="s">
        <v>669</v>
      </c>
      <c r="AO307" s="37" t="s">
        <v>593</v>
      </c>
      <c r="AP307">
        <v>8</v>
      </c>
      <c r="AQ307">
        <v>8</v>
      </c>
      <c r="AR307">
        <v>25</v>
      </c>
      <c r="AS307">
        <v>56</v>
      </c>
      <c r="AT307">
        <v>36</v>
      </c>
      <c r="AU307" s="115">
        <v>27149</v>
      </c>
      <c r="AV307" s="37"/>
      <c r="AW307" s="37"/>
      <c r="AX307" s="37"/>
      <c r="AY307" s="37"/>
      <c r="AZ307" s="37">
        <f>developmentdata2019[[#This Row],[NUMBER OF CURRENT APARTMENTS]]*5/2000</f>
        <v>0.64</v>
      </c>
      <c r="BA307" s="37">
        <f>developmentdata2019[[#This Row],[Total]]*BA$1</f>
        <v>0.16640000000000002</v>
      </c>
      <c r="BB307" s="37">
        <f>developmentdata2019[[#This Row],[Trash (tons/day)]]*BB$1</f>
        <v>3.1616000000000005E-2</v>
      </c>
      <c r="BC307" s="37">
        <f>developmentdata2019[[#This Row],[MGP (tons/day)]]*BC$1</f>
        <v>2.2131200000000007E-3</v>
      </c>
      <c r="BD307" s="37">
        <f>developmentdata2019[[#This Row],[Cardboard (tons/day)]]*BD$1</f>
        <v>1.5491840000000006E-4</v>
      </c>
      <c r="BE307" s="37">
        <f>developmentdata2019[[#This Row],[Paper (tons/day)]]*BE$1</f>
        <v>4.9573888000000024E-5</v>
      </c>
      <c r="BF307" s="37">
        <f>developmentdata2019[[#This Row],[Organics (tons/day)]]*BF$1</f>
        <v>4.957388800000003E-7</v>
      </c>
      <c r="BG307" s="37">
        <f>developmentdata2019[[#This Row],[E-Waste (tons/day)]]*BG$1</f>
        <v>3.9659110400000027E-8</v>
      </c>
      <c r="BH307" s="37">
        <f>developmentdata2019[[#This Row],[Trash (tons/day)]]*BH$1</f>
        <v>3.5027200000000005</v>
      </c>
      <c r="BI307" s="37">
        <f>developmentdata2019[[#This Row],[MGP (tons/day)]]*BI$1</f>
        <v>0.56972032000000006</v>
      </c>
      <c r="BJ307" s="37">
        <f>developmentdata2019[[#This Row],[Cardboard (tons/day)]]*BJ$1</f>
        <v>5.9023910400000025E-2</v>
      </c>
      <c r="BK307" s="37">
        <f>developmentdata2019[[#This Row],[Paper (tons/day)]]*BK$1</f>
        <v>9.5894489600000042E-4</v>
      </c>
      <c r="BL307" s="37">
        <f>developmentdata2019[[#This Row],[Organics (tons/day)]]*BL$1</f>
        <v>2.1415919616000012E-4</v>
      </c>
      <c r="BM307" s="37">
        <f>developmentdata2019[[#This Row],[E-Waste (tons/day)]]*BM$1</f>
        <v>2.800924672000002E-6</v>
      </c>
      <c r="BN307" s="37">
        <f>developmentdata2019[[#This Row],[Textiles (tons/day)]]*BN$1</f>
        <v>5.2865594163200036E-7</v>
      </c>
      <c r="BO307" s="37">
        <f>developmentdata2019[[#This Row],[Trash (CY/day)]]*201.974</f>
        <v>707.45836928000006</v>
      </c>
      <c r="BP307" s="37">
        <f>developmentdata2019[[#This Row],[MGP (CY/day)]]*201.974</f>
        <v>115.06869191168001</v>
      </c>
      <c r="BQ307" s="37">
        <f>developmentdata2019[[#This Row],[Cardboard (CY/day)]]*201.974</f>
        <v>11.921295279129604</v>
      </c>
      <c r="BR307" s="37">
        <f>developmentdata2019[[#This Row],[Paper  (CY/day)]]*201.974</f>
        <v>0.19368193642470408</v>
      </c>
      <c r="BS307" s="37">
        <f>developmentdata2019[[#This Row],[Organics (CY/day)]]*201.974</f>
        <v>4.325458948521986E-2</v>
      </c>
      <c r="BT307" s="37">
        <f>developmentdata2019[[#This Row],[E-Waste (CY/day)]]*201.974</f>
        <v>5.6571395970252841E-4</v>
      </c>
      <c r="BU307" s="37">
        <f>developmentdata2019[[#This Row],[Textiles (CY/day)]]*201.974</f>
        <v>1.0677475515518164E-4</v>
      </c>
    </row>
    <row r="308" spans="1:73" x14ac:dyDescent="0.2">
      <c r="A308" s="37" t="s">
        <v>518</v>
      </c>
      <c r="B308" s="115">
        <v>43466</v>
      </c>
      <c r="C308" s="37" t="s">
        <v>1908</v>
      </c>
      <c r="D308">
        <v>116</v>
      </c>
      <c r="E308">
        <v>116</v>
      </c>
      <c r="F308">
        <v>242</v>
      </c>
      <c r="G308">
        <v>209</v>
      </c>
      <c r="H308" s="37" t="s">
        <v>1909</v>
      </c>
      <c r="I308" s="37" t="s">
        <v>577</v>
      </c>
      <c r="J308" s="37" t="s">
        <v>578</v>
      </c>
      <c r="K308" s="37" t="s">
        <v>579</v>
      </c>
      <c r="M308">
        <v>487</v>
      </c>
      <c r="N308">
        <v>490</v>
      </c>
      <c r="O308">
        <v>2338.5</v>
      </c>
      <c r="P308">
        <v>4.8</v>
      </c>
      <c r="R308">
        <v>1377</v>
      </c>
      <c r="S308">
        <v>1377</v>
      </c>
      <c r="T308">
        <v>135</v>
      </c>
      <c r="U308">
        <v>0.27800000000000002</v>
      </c>
      <c r="V308">
        <v>8</v>
      </c>
      <c r="W308">
        <v>1</v>
      </c>
      <c r="X308">
        <v>9</v>
      </c>
      <c r="Y308">
        <v>8</v>
      </c>
      <c r="Z308">
        <v>367961</v>
      </c>
      <c r="AA308">
        <v>8.4499999999999993</v>
      </c>
      <c r="AB308">
        <v>367961</v>
      </c>
      <c r="AC308">
        <v>8.4499999999999993</v>
      </c>
      <c r="AD308">
        <v>65839</v>
      </c>
      <c r="AE308">
        <v>4850947</v>
      </c>
      <c r="AF308">
        <v>0.1789</v>
      </c>
      <c r="AG308">
        <v>163</v>
      </c>
      <c r="AH308">
        <v>9893117</v>
      </c>
      <c r="AI308">
        <v>4204</v>
      </c>
      <c r="AJ308">
        <v>543</v>
      </c>
      <c r="AK308" s="37" t="s">
        <v>1910</v>
      </c>
      <c r="AL308" s="37" t="s">
        <v>1911</v>
      </c>
      <c r="AM308" s="37" t="s">
        <v>1912</v>
      </c>
      <c r="AN308" s="37" t="s">
        <v>1020</v>
      </c>
      <c r="AO308" s="37" t="s">
        <v>765</v>
      </c>
      <c r="AP308">
        <v>1</v>
      </c>
      <c r="AQ308">
        <v>11</v>
      </c>
      <c r="AR308">
        <v>23</v>
      </c>
      <c r="AS308">
        <v>61</v>
      </c>
      <c r="AT308">
        <v>49</v>
      </c>
      <c r="AU308" s="115">
        <v>23011</v>
      </c>
      <c r="AV308" s="37"/>
      <c r="AW308" s="37"/>
      <c r="AX308" s="37"/>
      <c r="AY308" s="37"/>
      <c r="AZ308" s="37">
        <f>developmentdata2019[[#This Row],[NUMBER OF CURRENT APARTMENTS]]*5/2000</f>
        <v>1.2175</v>
      </c>
      <c r="BA308" s="37">
        <f>developmentdata2019[[#This Row],[Total]]*BA$1</f>
        <v>0.31655</v>
      </c>
      <c r="BB308" s="37">
        <f>developmentdata2019[[#This Row],[Trash (tons/day)]]*BB$1</f>
        <v>6.0144500000000004E-2</v>
      </c>
      <c r="BC308" s="37">
        <f>developmentdata2019[[#This Row],[MGP (tons/day)]]*BC$1</f>
        <v>4.2101150000000004E-3</v>
      </c>
      <c r="BD308" s="37">
        <f>developmentdata2019[[#This Row],[Cardboard (tons/day)]]*BD$1</f>
        <v>2.9470805000000004E-4</v>
      </c>
      <c r="BE308" s="37">
        <f>developmentdata2019[[#This Row],[Paper (tons/day)]]*BE$1</f>
        <v>9.4306576000000017E-5</v>
      </c>
      <c r="BF308" s="37">
        <f>developmentdata2019[[#This Row],[Organics (tons/day)]]*BF$1</f>
        <v>9.4306576000000022E-7</v>
      </c>
      <c r="BG308" s="37">
        <f>developmentdata2019[[#This Row],[E-Waste (tons/day)]]*BG$1</f>
        <v>7.5445260800000015E-8</v>
      </c>
      <c r="BH308" s="37">
        <f>developmentdata2019[[#This Row],[Trash (tons/day)]]*BH$1</f>
        <v>6.6633775000000002</v>
      </c>
      <c r="BI308" s="37">
        <f>developmentdata2019[[#This Row],[MGP (tons/day)]]*BI$1</f>
        <v>1.08380389</v>
      </c>
      <c r="BJ308" s="37">
        <f>developmentdata2019[[#This Row],[Cardboard (tons/day)]]*BJ$1</f>
        <v>0.11228376705000001</v>
      </c>
      <c r="BK308" s="37">
        <f>developmentdata2019[[#This Row],[Paper (tons/day)]]*BK$1</f>
        <v>1.8242428295000004E-3</v>
      </c>
      <c r="BL308" s="37">
        <f>developmentdata2019[[#This Row],[Organics (tons/day)]]*BL$1</f>
        <v>4.0740440832000009E-4</v>
      </c>
      <c r="BM308" s="37">
        <f>developmentdata2019[[#This Row],[E-Waste (tons/day)]]*BM$1</f>
        <v>5.3283215440000014E-6</v>
      </c>
      <c r="BN308" s="37">
        <f>developmentdata2019[[#This Row],[Textiles (tons/day)]]*BN$1</f>
        <v>1.0056853264640003E-6</v>
      </c>
      <c r="BO308" s="37">
        <f>developmentdata2019[[#This Row],[Trash (CY/day)]]*201.974</f>
        <v>1345.8290071849999</v>
      </c>
      <c r="BP308" s="37">
        <f>developmentdata2019[[#This Row],[MGP (CY/day)]]*201.974</f>
        <v>218.90020687885999</v>
      </c>
      <c r="BQ308" s="37">
        <f>developmentdata2019[[#This Row],[Cardboard (CY/day)]]*201.974</f>
        <v>22.678401566156701</v>
      </c>
      <c r="BR308" s="37">
        <f>developmentdata2019[[#This Row],[Paper  (CY/day)]]*201.974</f>
        <v>0.36844962124543307</v>
      </c>
      <c r="BS308" s="37">
        <f>developmentdata2019[[#This Row],[Organics (CY/day)]]*201.974</f>
        <v>8.2285097966023693E-2</v>
      </c>
      <c r="BT308" s="37">
        <f>developmentdata2019[[#This Row],[E-Waste (CY/day)]]*201.974</f>
        <v>1.0761824155278562E-3</v>
      </c>
      <c r="BU308" s="37">
        <f>developmentdata2019[[#This Row],[Textiles (CY/day)]]*201.974</f>
        <v>2.0312228812723997E-4</v>
      </c>
    </row>
    <row r="309" spans="1:73" x14ac:dyDescent="0.2">
      <c r="A309" s="37" t="s">
        <v>519</v>
      </c>
      <c r="B309" s="115">
        <v>43466</v>
      </c>
      <c r="C309" s="37" t="s">
        <v>1908</v>
      </c>
      <c r="D309">
        <v>175</v>
      </c>
      <c r="E309">
        <v>116</v>
      </c>
      <c r="F309">
        <v>242</v>
      </c>
      <c r="G309">
        <v>209</v>
      </c>
      <c r="H309" s="37" t="s">
        <v>1909</v>
      </c>
      <c r="I309" s="37" t="s">
        <v>577</v>
      </c>
      <c r="J309" s="37" t="s">
        <v>578</v>
      </c>
      <c r="K309" s="37" t="s">
        <v>735</v>
      </c>
      <c r="M309">
        <v>120</v>
      </c>
      <c r="N309">
        <v>144</v>
      </c>
      <c r="O309">
        <v>382</v>
      </c>
      <c r="P309">
        <v>3.18</v>
      </c>
      <c r="R309">
        <v>99</v>
      </c>
      <c r="S309">
        <v>99</v>
      </c>
      <c r="T309">
        <v>74</v>
      </c>
      <c r="U309">
        <v>0.89200000000000002</v>
      </c>
      <c r="V309">
        <v>8</v>
      </c>
      <c r="W309">
        <v>0</v>
      </c>
      <c r="X309">
        <v>8</v>
      </c>
      <c r="Y309">
        <v>1</v>
      </c>
      <c r="Z309">
        <v>181770</v>
      </c>
      <c r="AA309">
        <v>4.17</v>
      </c>
      <c r="AB309">
        <v>181770</v>
      </c>
      <c r="AC309">
        <v>4.17</v>
      </c>
      <c r="AD309">
        <v>67228</v>
      </c>
      <c r="AE309">
        <v>758927</v>
      </c>
      <c r="AF309">
        <v>0.36990000000000001</v>
      </c>
      <c r="AG309">
        <v>24</v>
      </c>
      <c r="AH309">
        <v>2825000</v>
      </c>
      <c r="AI309">
        <v>6036</v>
      </c>
      <c r="AJ309">
        <v>339</v>
      </c>
      <c r="AK309" s="37" t="s">
        <v>1910</v>
      </c>
      <c r="AL309" s="37" t="s">
        <v>1912</v>
      </c>
      <c r="AM309" s="37" t="s">
        <v>1020</v>
      </c>
      <c r="AN309" s="37"/>
      <c r="AO309" s="37" t="s">
        <v>765</v>
      </c>
      <c r="AP309">
        <v>1</v>
      </c>
      <c r="AQ309">
        <v>11</v>
      </c>
      <c r="AR309">
        <v>23</v>
      </c>
      <c r="AS309">
        <v>61</v>
      </c>
      <c r="AT309">
        <v>49</v>
      </c>
      <c r="AU309" s="115">
        <v>24107</v>
      </c>
      <c r="AV309" s="37"/>
      <c r="AW309" s="37" t="s">
        <v>736</v>
      </c>
      <c r="AX309" s="37"/>
      <c r="AY309" s="37"/>
      <c r="AZ309" s="37">
        <f>developmentdata2019[[#This Row],[NUMBER OF CURRENT APARTMENTS]]*5/2000</f>
        <v>0.3</v>
      </c>
      <c r="BA309" s="37">
        <f>developmentdata2019[[#This Row],[Total]]*BA$1</f>
        <v>7.8E-2</v>
      </c>
      <c r="BB309" s="37">
        <f>developmentdata2019[[#This Row],[Trash (tons/day)]]*BB$1</f>
        <v>1.482E-2</v>
      </c>
      <c r="BC309" s="37">
        <f>developmentdata2019[[#This Row],[MGP (tons/day)]]*BC$1</f>
        <v>1.0374000000000002E-3</v>
      </c>
      <c r="BD309" s="37">
        <f>developmentdata2019[[#This Row],[Cardboard (tons/day)]]*BD$1</f>
        <v>7.2618000000000015E-5</v>
      </c>
      <c r="BE309" s="37">
        <f>developmentdata2019[[#This Row],[Paper (tons/day)]]*BE$1</f>
        <v>2.3237760000000007E-5</v>
      </c>
      <c r="BF309" s="37">
        <f>developmentdata2019[[#This Row],[Organics (tons/day)]]*BF$1</f>
        <v>2.3237760000000008E-7</v>
      </c>
      <c r="BG309" s="37">
        <f>developmentdata2019[[#This Row],[E-Waste (tons/day)]]*BG$1</f>
        <v>1.8590208000000006E-8</v>
      </c>
      <c r="BH309" s="37">
        <f>developmentdata2019[[#This Row],[Trash (tons/day)]]*BH$1</f>
        <v>1.6419000000000001</v>
      </c>
      <c r="BI309" s="37">
        <f>developmentdata2019[[#This Row],[MGP (tons/day)]]*BI$1</f>
        <v>0.26705639999999997</v>
      </c>
      <c r="BJ309" s="37">
        <f>developmentdata2019[[#This Row],[Cardboard (tons/day)]]*BJ$1</f>
        <v>2.7667458000000006E-2</v>
      </c>
      <c r="BK309" s="37">
        <f>developmentdata2019[[#This Row],[Paper (tons/day)]]*BK$1</f>
        <v>4.4950542000000011E-4</v>
      </c>
      <c r="BL309" s="37">
        <f>developmentdata2019[[#This Row],[Organics (tons/day)]]*BL$1</f>
        <v>1.0038712320000003E-4</v>
      </c>
      <c r="BM309" s="37">
        <f>developmentdata2019[[#This Row],[E-Waste (tons/day)]]*BM$1</f>
        <v>1.3129334400000006E-6</v>
      </c>
      <c r="BN309" s="37">
        <f>developmentdata2019[[#This Row],[Textiles (tons/day)]]*BN$1</f>
        <v>2.4780747264000008E-7</v>
      </c>
      <c r="BO309" s="37">
        <f>developmentdata2019[[#This Row],[Trash (CY/day)]]*201.974</f>
        <v>331.62111060000001</v>
      </c>
      <c r="BP309" s="37">
        <f>developmentdata2019[[#This Row],[MGP (CY/day)]]*201.974</f>
        <v>53.938449333599991</v>
      </c>
      <c r="BQ309" s="37">
        <f>developmentdata2019[[#This Row],[Cardboard (CY/day)]]*201.974</f>
        <v>5.5881071620920011</v>
      </c>
      <c r="BR309" s="37">
        <f>developmentdata2019[[#This Row],[Paper  (CY/day)]]*201.974</f>
        <v>9.0788407699080018E-2</v>
      </c>
      <c r="BS309" s="37">
        <f>developmentdata2019[[#This Row],[Organics (CY/day)]]*201.974</f>
        <v>2.0275588821196806E-2</v>
      </c>
      <c r="BT309" s="37">
        <f>developmentdata2019[[#This Row],[E-Waste (CY/day)]]*201.974</f>
        <v>2.6517841861056009E-4</v>
      </c>
      <c r="BU309" s="37">
        <f>developmentdata2019[[#This Row],[Textiles (CY/day)]]*201.974</f>
        <v>5.0050666478991371E-5</v>
      </c>
    </row>
    <row r="310" spans="1:73" x14ac:dyDescent="0.2">
      <c r="A310" s="37" t="s">
        <v>1913</v>
      </c>
      <c r="B310" s="115">
        <v>43466</v>
      </c>
      <c r="C310" s="37" t="s">
        <v>854</v>
      </c>
      <c r="D310">
        <v>360</v>
      </c>
      <c r="E310">
        <v>530</v>
      </c>
      <c r="F310">
        <v>780</v>
      </c>
      <c r="G310">
        <v>780</v>
      </c>
      <c r="H310" s="37" t="s">
        <v>1914</v>
      </c>
      <c r="I310" s="37" t="s">
        <v>577</v>
      </c>
      <c r="J310" s="37" t="s">
        <v>588</v>
      </c>
      <c r="K310" s="37" t="s">
        <v>597</v>
      </c>
      <c r="M310">
        <v>208</v>
      </c>
      <c r="N310">
        <v>208</v>
      </c>
      <c r="O310">
        <v>883</v>
      </c>
      <c r="P310">
        <v>4.25</v>
      </c>
      <c r="R310">
        <v>437</v>
      </c>
      <c r="S310">
        <v>437</v>
      </c>
      <c r="T310">
        <v>68</v>
      </c>
      <c r="U310">
        <v>0.33</v>
      </c>
      <c r="V310">
        <v>4</v>
      </c>
      <c r="W310">
        <v>0</v>
      </c>
      <c r="X310">
        <v>7</v>
      </c>
      <c r="Y310">
        <v>6</v>
      </c>
      <c r="Z310">
        <v>51965</v>
      </c>
      <c r="AA310">
        <v>1.19</v>
      </c>
      <c r="AB310">
        <v>51965</v>
      </c>
      <c r="AC310">
        <v>1.19</v>
      </c>
      <c r="AD310">
        <v>34935</v>
      </c>
      <c r="AE310">
        <v>2104200</v>
      </c>
      <c r="AF310">
        <v>0.67230000000000001</v>
      </c>
      <c r="AG310">
        <v>367</v>
      </c>
      <c r="AH310">
        <v>14480678</v>
      </c>
      <c r="AI310">
        <v>16399</v>
      </c>
      <c r="AJ310">
        <v>570</v>
      </c>
      <c r="AK310" s="37" t="s">
        <v>1915</v>
      </c>
      <c r="AL310" s="37" t="s">
        <v>1065</v>
      </c>
      <c r="AM310" s="37" t="s">
        <v>1916</v>
      </c>
      <c r="AN310" s="37" t="s">
        <v>1059</v>
      </c>
      <c r="AO310" s="37" t="s">
        <v>584</v>
      </c>
      <c r="AP310" t="s">
        <v>1917</v>
      </c>
      <c r="AQ310">
        <v>15</v>
      </c>
      <c r="AR310">
        <v>32</v>
      </c>
      <c r="AS310">
        <v>85</v>
      </c>
      <c r="AT310">
        <v>17</v>
      </c>
      <c r="AU310" s="115">
        <v>31637</v>
      </c>
      <c r="AV310" s="37"/>
      <c r="AW310" s="37"/>
      <c r="AX310" s="37" t="s">
        <v>621</v>
      </c>
      <c r="AY310" s="37" t="s">
        <v>621</v>
      </c>
      <c r="AZ310" s="37">
        <f>developmentdata2019[[#This Row],[NUMBER OF CURRENT APARTMENTS]]*5/2000</f>
        <v>0.52</v>
      </c>
      <c r="BA310" s="37">
        <f>developmentdata2019[[#This Row],[Total]]*BA$1</f>
        <v>0.13520000000000001</v>
      </c>
      <c r="BB310" s="37">
        <f>developmentdata2019[[#This Row],[Trash (tons/day)]]*BB$1</f>
        <v>2.5688000000000002E-2</v>
      </c>
      <c r="BC310" s="37">
        <f>developmentdata2019[[#This Row],[MGP (tons/day)]]*BC$1</f>
        <v>1.7981600000000003E-3</v>
      </c>
      <c r="BD310" s="37">
        <f>developmentdata2019[[#This Row],[Cardboard (tons/day)]]*BD$1</f>
        <v>1.2587120000000004E-4</v>
      </c>
      <c r="BE310" s="37">
        <f>developmentdata2019[[#This Row],[Paper (tons/day)]]*BE$1</f>
        <v>4.0278784000000014E-5</v>
      </c>
      <c r="BF310" s="37">
        <f>developmentdata2019[[#This Row],[Organics (tons/day)]]*BF$1</f>
        <v>4.0278784000000013E-7</v>
      </c>
      <c r="BG310" s="37">
        <f>developmentdata2019[[#This Row],[E-Waste (tons/day)]]*BG$1</f>
        <v>3.2223027200000012E-8</v>
      </c>
      <c r="BH310" s="37">
        <f>developmentdata2019[[#This Row],[Trash (tons/day)]]*BH$1</f>
        <v>2.8459600000000003</v>
      </c>
      <c r="BI310" s="37">
        <f>developmentdata2019[[#This Row],[MGP (tons/day)]]*BI$1</f>
        <v>0.46289776000000005</v>
      </c>
      <c r="BJ310" s="37">
        <f>developmentdata2019[[#This Row],[Cardboard (tons/day)]]*BJ$1</f>
        <v>4.7956927200000013E-2</v>
      </c>
      <c r="BK310" s="37">
        <f>developmentdata2019[[#This Row],[Paper (tons/day)]]*BK$1</f>
        <v>7.7914272800000026E-4</v>
      </c>
      <c r="BL310" s="37">
        <f>developmentdata2019[[#This Row],[Organics (tons/day)]]*BL$1</f>
        <v>1.7400434688000008E-4</v>
      </c>
      <c r="BM310" s="37">
        <f>developmentdata2019[[#This Row],[E-Waste (tons/day)]]*BM$1</f>
        <v>2.2757512960000007E-6</v>
      </c>
      <c r="BN310" s="37">
        <f>developmentdata2019[[#This Row],[Textiles (tons/day)]]*BN$1</f>
        <v>4.2953295257600016E-7</v>
      </c>
      <c r="BO310" s="37">
        <f>developmentdata2019[[#This Row],[Trash (CY/day)]]*201.974</f>
        <v>574.80992504000005</v>
      </c>
      <c r="BP310" s="37">
        <f>developmentdata2019[[#This Row],[MGP (CY/day)]]*201.974</f>
        <v>93.493312178240004</v>
      </c>
      <c r="BQ310" s="37">
        <f>developmentdata2019[[#This Row],[Cardboard (CY/day)]]*201.974</f>
        <v>9.6860524142928028</v>
      </c>
      <c r="BR310" s="37">
        <f>developmentdata2019[[#This Row],[Paper  (CY/day)]]*201.974</f>
        <v>0.15736657334507204</v>
      </c>
      <c r="BS310" s="37">
        <f>developmentdata2019[[#This Row],[Organics (CY/day)]]*201.974</f>
        <v>3.5144353956741134E-2</v>
      </c>
      <c r="BT310" s="37">
        <f>developmentdata2019[[#This Row],[E-Waste (CY/day)]]*201.974</f>
        <v>4.596425922583041E-4</v>
      </c>
      <c r="BU310" s="37">
        <f>developmentdata2019[[#This Row],[Textiles (CY/day)]]*201.974</f>
        <v>8.6754488563585059E-5</v>
      </c>
    </row>
    <row r="311" spans="1:73" x14ac:dyDescent="0.2">
      <c r="A311" s="37" t="s">
        <v>1918</v>
      </c>
      <c r="B311" s="115">
        <v>43466</v>
      </c>
      <c r="C311" s="37" t="s">
        <v>1919</v>
      </c>
      <c r="D311">
        <v>526</v>
      </c>
      <c r="E311">
        <v>530</v>
      </c>
      <c r="F311">
        <v>481</v>
      </c>
      <c r="G311">
        <v>482</v>
      </c>
      <c r="H311" s="37" t="s">
        <v>1920</v>
      </c>
      <c r="I311" s="37" t="s">
        <v>577</v>
      </c>
      <c r="J311" s="37" t="s">
        <v>578</v>
      </c>
      <c r="K311" s="37" t="s">
        <v>597</v>
      </c>
      <c r="M311">
        <v>20</v>
      </c>
      <c r="N311">
        <v>20</v>
      </c>
      <c r="O311">
        <v>85</v>
      </c>
      <c r="P311">
        <v>4.25</v>
      </c>
      <c r="R311">
        <v>50</v>
      </c>
      <c r="S311">
        <v>50</v>
      </c>
      <c r="T311">
        <v>2</v>
      </c>
      <c r="U311">
        <v>0.1</v>
      </c>
      <c r="V311">
        <v>1</v>
      </c>
      <c r="W311">
        <v>0</v>
      </c>
      <c r="X311">
        <v>1</v>
      </c>
      <c r="Y311">
        <v>5</v>
      </c>
      <c r="Z311">
        <v>5000</v>
      </c>
      <c r="AA311">
        <v>0.11</v>
      </c>
      <c r="AB311">
        <v>5000</v>
      </c>
      <c r="AC311">
        <v>0.11</v>
      </c>
      <c r="AD311">
        <v>3363</v>
      </c>
      <c r="AE311">
        <v>202892</v>
      </c>
      <c r="AF311">
        <v>0.67259999999999998</v>
      </c>
      <c r="AG311">
        <v>455</v>
      </c>
      <c r="AH311">
        <v>1558811</v>
      </c>
      <c r="AI311">
        <v>18339</v>
      </c>
      <c r="AJ311">
        <v>576</v>
      </c>
      <c r="AK311" s="37" t="s">
        <v>598</v>
      </c>
      <c r="AL311" s="37" t="s">
        <v>1059</v>
      </c>
      <c r="AM311" s="37" t="s">
        <v>1916</v>
      </c>
      <c r="AN311" s="37"/>
      <c r="AO311" s="37" t="s">
        <v>584</v>
      </c>
      <c r="AP311">
        <v>3</v>
      </c>
      <c r="AQ311">
        <v>15</v>
      </c>
      <c r="AR311">
        <v>32</v>
      </c>
      <c r="AS311">
        <v>85</v>
      </c>
      <c r="AT311">
        <v>17</v>
      </c>
      <c r="AU311" s="115">
        <v>34515</v>
      </c>
      <c r="AV311" s="37"/>
      <c r="AW311" s="37"/>
      <c r="AX311" s="37" t="s">
        <v>621</v>
      </c>
      <c r="AY311" s="37" t="s">
        <v>621</v>
      </c>
      <c r="AZ311" s="37">
        <f>developmentdata2019[[#This Row],[NUMBER OF CURRENT APARTMENTS]]*5/2000</f>
        <v>0.05</v>
      </c>
      <c r="BA311" s="37">
        <f>developmentdata2019[[#This Row],[Total]]*BA$1</f>
        <v>1.3000000000000001E-2</v>
      </c>
      <c r="BB311" s="37">
        <f>developmentdata2019[[#This Row],[Trash (tons/day)]]*BB$1</f>
        <v>2.4700000000000004E-3</v>
      </c>
      <c r="BC311" s="37">
        <f>developmentdata2019[[#This Row],[MGP (tons/day)]]*BC$1</f>
        <v>1.7290000000000006E-4</v>
      </c>
      <c r="BD311" s="37">
        <f>developmentdata2019[[#This Row],[Cardboard (tons/day)]]*BD$1</f>
        <v>1.2103000000000004E-5</v>
      </c>
      <c r="BE311" s="37">
        <f>developmentdata2019[[#This Row],[Paper (tons/day)]]*BE$1</f>
        <v>3.8729600000000015E-6</v>
      </c>
      <c r="BF311" s="37">
        <f>developmentdata2019[[#This Row],[Organics (tons/day)]]*BF$1</f>
        <v>3.8729600000000015E-8</v>
      </c>
      <c r="BG311" s="37">
        <f>developmentdata2019[[#This Row],[E-Waste (tons/day)]]*BG$1</f>
        <v>3.0983680000000014E-9</v>
      </c>
      <c r="BH311" s="37">
        <f>developmentdata2019[[#This Row],[Trash (tons/day)]]*BH$1</f>
        <v>0.27365000000000006</v>
      </c>
      <c r="BI311" s="37">
        <f>developmentdata2019[[#This Row],[MGP (tons/day)]]*BI$1</f>
        <v>4.4509400000000005E-2</v>
      </c>
      <c r="BJ311" s="37">
        <f>developmentdata2019[[#This Row],[Cardboard (tons/day)]]*BJ$1</f>
        <v>4.6112430000000018E-3</v>
      </c>
      <c r="BK311" s="37">
        <f>developmentdata2019[[#This Row],[Paper (tons/day)]]*BK$1</f>
        <v>7.4917570000000027E-5</v>
      </c>
      <c r="BL311" s="37">
        <f>developmentdata2019[[#This Row],[Organics (tons/day)]]*BL$1</f>
        <v>1.6731187200000008E-5</v>
      </c>
      <c r="BM311" s="37">
        <f>developmentdata2019[[#This Row],[E-Waste (tons/day)]]*BM$1</f>
        <v>2.188222400000001E-7</v>
      </c>
      <c r="BN311" s="37">
        <f>developmentdata2019[[#This Row],[Textiles (tons/day)]]*BN$1</f>
        <v>4.1301245440000015E-8</v>
      </c>
      <c r="BO311" s="37">
        <f>developmentdata2019[[#This Row],[Trash (CY/day)]]*201.974</f>
        <v>55.270185100000006</v>
      </c>
      <c r="BP311" s="37">
        <f>developmentdata2019[[#This Row],[MGP (CY/day)]]*201.974</f>
        <v>8.9897415556000002</v>
      </c>
      <c r="BQ311" s="37">
        <f>developmentdata2019[[#This Row],[Cardboard (CY/day)]]*201.974</f>
        <v>0.93135119368200037</v>
      </c>
      <c r="BR311" s="37">
        <f>developmentdata2019[[#This Row],[Paper  (CY/day)]]*201.974</f>
        <v>1.5131401283180005E-2</v>
      </c>
      <c r="BS311" s="37">
        <f>developmentdata2019[[#This Row],[Organics (CY/day)]]*201.974</f>
        <v>3.3792648035328014E-3</v>
      </c>
      <c r="BT311" s="37">
        <f>developmentdata2019[[#This Row],[E-Waste (CY/day)]]*201.974</f>
        <v>4.4196403101760022E-5</v>
      </c>
      <c r="BU311" s="37">
        <f>developmentdata2019[[#This Row],[Textiles (CY/day)]]*201.974</f>
        <v>8.3417777464985635E-6</v>
      </c>
    </row>
    <row r="312" spans="1:73" x14ac:dyDescent="0.2">
      <c r="A312" s="37" t="s">
        <v>409</v>
      </c>
      <c r="B312" s="115">
        <v>43466</v>
      </c>
      <c r="C312" s="37" t="s">
        <v>1719</v>
      </c>
      <c r="D312">
        <v>246</v>
      </c>
      <c r="E312">
        <v>45</v>
      </c>
      <c r="F312">
        <v>365</v>
      </c>
      <c r="G312">
        <v>368</v>
      </c>
      <c r="H312" s="37" t="s">
        <v>1921</v>
      </c>
      <c r="I312" s="37" t="s">
        <v>577</v>
      </c>
      <c r="J312" s="37" t="s">
        <v>588</v>
      </c>
      <c r="K312" s="37" t="s">
        <v>735</v>
      </c>
      <c r="M312">
        <v>148</v>
      </c>
      <c r="N312">
        <v>148</v>
      </c>
      <c r="O312">
        <v>485</v>
      </c>
      <c r="P312">
        <v>3.28</v>
      </c>
      <c r="R312">
        <v>159</v>
      </c>
      <c r="S312">
        <v>159</v>
      </c>
      <c r="T312">
        <v>130</v>
      </c>
      <c r="U312">
        <v>0.89700000000000002</v>
      </c>
      <c r="V312">
        <v>1</v>
      </c>
      <c r="W312">
        <v>0</v>
      </c>
      <c r="X312">
        <v>1</v>
      </c>
      <c r="Y312">
        <v>12</v>
      </c>
      <c r="Z312">
        <v>36563</v>
      </c>
      <c r="AA312">
        <v>0.84</v>
      </c>
      <c r="AB312">
        <v>36563</v>
      </c>
      <c r="AC312">
        <v>0.84</v>
      </c>
      <c r="AD312">
        <v>9609</v>
      </c>
      <c r="AE312">
        <v>982251</v>
      </c>
      <c r="AF312">
        <v>0.26279999999999998</v>
      </c>
      <c r="AG312">
        <v>189</v>
      </c>
      <c r="AH312">
        <v>4380000</v>
      </c>
      <c r="AI312">
        <v>8734</v>
      </c>
      <c r="AJ312">
        <v>272</v>
      </c>
      <c r="AK312" s="37" t="s">
        <v>1848</v>
      </c>
      <c r="AL312" s="37" t="s">
        <v>1922</v>
      </c>
      <c r="AM312" s="37" t="s">
        <v>1923</v>
      </c>
      <c r="AN312" s="37" t="s">
        <v>1257</v>
      </c>
      <c r="AO312" s="37" t="s">
        <v>584</v>
      </c>
      <c r="AP312">
        <v>5</v>
      </c>
      <c r="AQ312">
        <v>15</v>
      </c>
      <c r="AR312">
        <v>29</v>
      </c>
      <c r="AS312">
        <v>77</v>
      </c>
      <c r="AT312">
        <v>14</v>
      </c>
      <c r="AU312" s="115">
        <v>26876</v>
      </c>
      <c r="AV312" s="37"/>
      <c r="AW312" s="37" t="s">
        <v>736</v>
      </c>
      <c r="AX312" s="37"/>
      <c r="AY312" s="37"/>
      <c r="AZ312" s="37">
        <f>developmentdata2019[[#This Row],[NUMBER OF CURRENT APARTMENTS]]*5/2000</f>
        <v>0.37</v>
      </c>
      <c r="BA312" s="37">
        <f>developmentdata2019[[#This Row],[Total]]*BA$1</f>
        <v>9.6200000000000008E-2</v>
      </c>
      <c r="BB312" s="37">
        <f>developmentdata2019[[#This Row],[Trash (tons/day)]]*BB$1</f>
        <v>1.8278000000000003E-2</v>
      </c>
      <c r="BC312" s="37">
        <f>developmentdata2019[[#This Row],[MGP (tons/day)]]*BC$1</f>
        <v>1.2794600000000003E-3</v>
      </c>
      <c r="BD312" s="37">
        <f>developmentdata2019[[#This Row],[Cardboard (tons/day)]]*BD$1</f>
        <v>8.9562200000000021E-5</v>
      </c>
      <c r="BE312" s="37">
        <f>developmentdata2019[[#This Row],[Paper (tons/day)]]*BE$1</f>
        <v>2.8659904000000008E-5</v>
      </c>
      <c r="BF312" s="37">
        <f>developmentdata2019[[#This Row],[Organics (tons/day)]]*BF$1</f>
        <v>2.865990400000001E-7</v>
      </c>
      <c r="BG312" s="37">
        <f>developmentdata2019[[#This Row],[E-Waste (tons/day)]]*BG$1</f>
        <v>2.2927923200000007E-8</v>
      </c>
      <c r="BH312" s="37">
        <f>developmentdata2019[[#This Row],[Trash (tons/day)]]*BH$1</f>
        <v>2.0250100000000004</v>
      </c>
      <c r="BI312" s="37">
        <f>developmentdata2019[[#This Row],[MGP (tons/day)]]*BI$1</f>
        <v>0.32936956000000006</v>
      </c>
      <c r="BJ312" s="37">
        <f>developmentdata2019[[#This Row],[Cardboard (tons/day)]]*BJ$1</f>
        <v>3.412319820000001E-2</v>
      </c>
      <c r="BK312" s="37">
        <f>developmentdata2019[[#This Row],[Paper (tons/day)]]*BK$1</f>
        <v>5.5439001800000013E-4</v>
      </c>
      <c r="BL312" s="37">
        <f>developmentdata2019[[#This Row],[Organics (tons/day)]]*BL$1</f>
        <v>1.2381078528000004E-4</v>
      </c>
      <c r="BM312" s="37">
        <f>developmentdata2019[[#This Row],[E-Waste (tons/day)]]*BM$1</f>
        <v>1.6192845760000007E-6</v>
      </c>
      <c r="BN312" s="37">
        <f>developmentdata2019[[#This Row],[Textiles (tons/day)]]*BN$1</f>
        <v>3.0562921625600012E-7</v>
      </c>
      <c r="BO312" s="37">
        <f>developmentdata2019[[#This Row],[Trash (CY/day)]]*201.974</f>
        <v>408.99936974000008</v>
      </c>
      <c r="BP312" s="37">
        <f>developmentdata2019[[#This Row],[MGP (CY/day)]]*201.974</f>
        <v>66.524087511440015</v>
      </c>
      <c r="BQ312" s="37">
        <f>developmentdata2019[[#This Row],[Cardboard (CY/day)]]*201.974</f>
        <v>6.8919988332468014</v>
      </c>
      <c r="BR312" s="37">
        <f>developmentdata2019[[#This Row],[Paper  (CY/day)]]*201.974</f>
        <v>0.11197236949553202</v>
      </c>
      <c r="BS312" s="37">
        <f>developmentdata2019[[#This Row],[Organics (CY/day)]]*201.974</f>
        <v>2.5006559546142726E-2</v>
      </c>
      <c r="BT312" s="37">
        <f>developmentdata2019[[#This Row],[E-Waste (CY/day)]]*201.974</f>
        <v>3.2705338295302411E-4</v>
      </c>
      <c r="BU312" s="37">
        <f>developmentdata2019[[#This Row],[Textiles (CY/day)]]*201.974</f>
        <v>6.172915532408937E-5</v>
      </c>
    </row>
    <row r="313" spans="1:73" x14ac:dyDescent="0.2">
      <c r="A313" s="37" t="s">
        <v>1924</v>
      </c>
      <c r="B313" s="115">
        <v>43466</v>
      </c>
      <c r="C313" s="37" t="s">
        <v>1076</v>
      </c>
      <c r="D313">
        <v>124</v>
      </c>
      <c r="E313">
        <v>112</v>
      </c>
      <c r="F313">
        <v>572</v>
      </c>
      <c r="G313">
        <v>539</v>
      </c>
      <c r="H313" s="37" t="s">
        <v>1925</v>
      </c>
      <c r="I313" s="37" t="s">
        <v>577</v>
      </c>
      <c r="J313" s="37" t="s">
        <v>578</v>
      </c>
      <c r="K313" s="37" t="s">
        <v>735</v>
      </c>
      <c r="M313">
        <v>246</v>
      </c>
      <c r="N313">
        <v>248</v>
      </c>
      <c r="O313">
        <v>733</v>
      </c>
      <c r="P313">
        <v>2.98</v>
      </c>
      <c r="R313">
        <v>270</v>
      </c>
      <c r="S313">
        <v>270</v>
      </c>
      <c r="T313">
        <v>220</v>
      </c>
      <c r="U313">
        <v>0.89800000000000002</v>
      </c>
      <c r="V313">
        <v>1</v>
      </c>
      <c r="W313">
        <v>0</v>
      </c>
      <c r="X313">
        <v>1</v>
      </c>
      <c r="Y313">
        <v>20</v>
      </c>
      <c r="Z313">
        <v>35321</v>
      </c>
      <c r="AA313">
        <v>0.81</v>
      </c>
      <c r="AB313">
        <v>35321</v>
      </c>
      <c r="AC313">
        <v>0.81</v>
      </c>
      <c r="AD313">
        <v>23400</v>
      </c>
      <c r="AE313">
        <v>1778327</v>
      </c>
      <c r="AF313">
        <v>0.66249999999999998</v>
      </c>
      <c r="AG313">
        <v>333</v>
      </c>
      <c r="AH313">
        <v>4305000</v>
      </c>
      <c r="AI313">
        <v>5794</v>
      </c>
      <c r="AJ313">
        <v>304</v>
      </c>
      <c r="AK313" s="37" t="s">
        <v>1879</v>
      </c>
      <c r="AL313" s="37" t="s">
        <v>631</v>
      </c>
      <c r="AM313" s="37"/>
      <c r="AN313" s="37"/>
      <c r="AO313" s="37" t="s">
        <v>608</v>
      </c>
      <c r="AP313">
        <v>11</v>
      </c>
      <c r="AQ313">
        <v>13</v>
      </c>
      <c r="AR313">
        <v>29</v>
      </c>
      <c r="AS313">
        <v>68</v>
      </c>
      <c r="AT313">
        <v>8</v>
      </c>
      <c r="AU313" s="115">
        <v>23650</v>
      </c>
      <c r="AV313" s="37" t="s">
        <v>1026</v>
      </c>
      <c r="AW313" s="37" t="s">
        <v>736</v>
      </c>
      <c r="AX313" s="37"/>
      <c r="AY313" s="37"/>
      <c r="AZ313" s="37">
        <f>developmentdata2019[[#This Row],[NUMBER OF CURRENT APARTMENTS]]*5/2000</f>
        <v>0.61499999999999999</v>
      </c>
      <c r="BA313" s="37">
        <f>developmentdata2019[[#This Row],[Total]]*BA$1</f>
        <v>0.15990000000000001</v>
      </c>
      <c r="BB313" s="37">
        <f>developmentdata2019[[#This Row],[Trash (tons/day)]]*BB$1</f>
        <v>3.0381000000000002E-2</v>
      </c>
      <c r="BC313" s="37">
        <f>developmentdata2019[[#This Row],[MGP (tons/day)]]*BC$1</f>
        <v>2.1266700000000002E-3</v>
      </c>
      <c r="BD313" s="37">
        <f>developmentdata2019[[#This Row],[Cardboard (tons/day)]]*BD$1</f>
        <v>1.4886690000000003E-4</v>
      </c>
      <c r="BE313" s="37">
        <f>developmentdata2019[[#This Row],[Paper (tons/day)]]*BE$1</f>
        <v>4.7637408000000008E-5</v>
      </c>
      <c r="BF313" s="37">
        <f>developmentdata2019[[#This Row],[Organics (tons/day)]]*BF$1</f>
        <v>4.7637408000000011E-7</v>
      </c>
      <c r="BG313" s="37">
        <f>developmentdata2019[[#This Row],[E-Waste (tons/day)]]*BG$1</f>
        <v>3.8109926400000011E-8</v>
      </c>
      <c r="BH313" s="37">
        <f>developmentdata2019[[#This Row],[Trash (tons/day)]]*BH$1</f>
        <v>3.3658950000000005</v>
      </c>
      <c r="BI313" s="37">
        <f>developmentdata2019[[#This Row],[MGP (tons/day)]]*BI$1</f>
        <v>0.54746561999999999</v>
      </c>
      <c r="BJ313" s="37">
        <f>developmentdata2019[[#This Row],[Cardboard (tons/day)]]*BJ$1</f>
        <v>5.6718288900000011E-2</v>
      </c>
      <c r="BK313" s="37">
        <f>developmentdata2019[[#This Row],[Paper (tons/day)]]*BK$1</f>
        <v>9.2148611100000021E-4</v>
      </c>
      <c r="BL313" s="37">
        <f>developmentdata2019[[#This Row],[Organics (tons/day)]]*BL$1</f>
        <v>2.0579360256000004E-4</v>
      </c>
      <c r="BM313" s="37">
        <f>developmentdata2019[[#This Row],[E-Waste (tons/day)]]*BM$1</f>
        <v>2.6915135520000009E-6</v>
      </c>
      <c r="BN313" s="37">
        <f>developmentdata2019[[#This Row],[Textiles (tons/day)]]*BN$1</f>
        <v>5.0800531891200013E-7</v>
      </c>
      <c r="BO313" s="37">
        <f>developmentdata2019[[#This Row],[Trash (CY/day)]]*201.974</f>
        <v>679.82327673000009</v>
      </c>
      <c r="BP313" s="37">
        <f>developmentdata2019[[#This Row],[MGP (CY/day)]]*201.974</f>
        <v>110.57382113387999</v>
      </c>
      <c r="BQ313" s="37">
        <f>developmentdata2019[[#This Row],[Cardboard (CY/day)]]*201.974</f>
        <v>11.455619682288601</v>
      </c>
      <c r="BR313" s="37">
        <f>developmentdata2019[[#This Row],[Paper  (CY/day)]]*201.974</f>
        <v>0.18611623578311404</v>
      </c>
      <c r="BS313" s="37">
        <f>developmentdata2019[[#This Row],[Organics (CY/day)]]*201.974</f>
        <v>4.1564957083453445E-2</v>
      </c>
      <c r="BT313" s="37">
        <f>developmentdata2019[[#This Row],[E-Waste (CY/day)]]*201.974</f>
        <v>5.4361575815164813E-4</v>
      </c>
      <c r="BU313" s="37">
        <f>developmentdata2019[[#This Row],[Textiles (CY/day)]]*201.974</f>
        <v>1.026038662819323E-4</v>
      </c>
    </row>
    <row r="314" spans="1:73" x14ac:dyDescent="0.2">
      <c r="A314" s="37" t="s">
        <v>442</v>
      </c>
      <c r="B314" s="115">
        <v>43466</v>
      </c>
      <c r="C314" s="37" t="s">
        <v>1926</v>
      </c>
      <c r="D314">
        <v>514</v>
      </c>
      <c r="E314">
        <v>514</v>
      </c>
      <c r="F314">
        <v>509</v>
      </c>
      <c r="G314">
        <v>509</v>
      </c>
      <c r="H314" s="37" t="s">
        <v>1927</v>
      </c>
      <c r="I314" s="37" t="s">
        <v>577</v>
      </c>
      <c r="J314" s="37" t="s">
        <v>578</v>
      </c>
      <c r="K314" s="37" t="s">
        <v>579</v>
      </c>
      <c r="M314">
        <v>1651</v>
      </c>
      <c r="N314">
        <v>1659</v>
      </c>
      <c r="O314">
        <v>7833.5</v>
      </c>
      <c r="P314">
        <v>4.74</v>
      </c>
      <c r="R314">
        <v>3866</v>
      </c>
      <c r="S314">
        <v>3866</v>
      </c>
      <c r="T314">
        <v>554</v>
      </c>
      <c r="U314">
        <v>0.34200000000000003</v>
      </c>
      <c r="V314">
        <v>15</v>
      </c>
      <c r="W314">
        <v>3</v>
      </c>
      <c r="X314">
        <v>48</v>
      </c>
      <c r="Y314">
        <v>43629</v>
      </c>
      <c r="Z314">
        <v>803058</v>
      </c>
      <c r="AA314">
        <v>18.440000000000001</v>
      </c>
      <c r="AB314">
        <v>744421</v>
      </c>
      <c r="AC314">
        <v>17.09</v>
      </c>
      <c r="AD314">
        <v>156524</v>
      </c>
      <c r="AE314">
        <v>9769048</v>
      </c>
      <c r="AF314">
        <v>0.19489999999999999</v>
      </c>
      <c r="AG314">
        <v>210</v>
      </c>
      <c r="AH314">
        <v>10341328</v>
      </c>
      <c r="AI314">
        <v>1655</v>
      </c>
      <c r="AJ314">
        <v>556</v>
      </c>
      <c r="AK314" s="37" t="s">
        <v>887</v>
      </c>
      <c r="AL314" s="37" t="s">
        <v>709</v>
      </c>
      <c r="AM314" s="37" t="s">
        <v>627</v>
      </c>
      <c r="AN314" s="37" t="s">
        <v>1298</v>
      </c>
      <c r="AO314" s="37" t="s">
        <v>593</v>
      </c>
      <c r="AP314">
        <v>2</v>
      </c>
      <c r="AQ314">
        <v>8</v>
      </c>
      <c r="AR314">
        <v>25</v>
      </c>
      <c r="AS314">
        <v>57</v>
      </c>
      <c r="AT314">
        <v>35</v>
      </c>
      <c r="AU314" s="115">
        <v>16126</v>
      </c>
      <c r="AV314" s="37" t="s">
        <v>704</v>
      </c>
      <c r="AW314" s="37"/>
      <c r="AX314" s="37"/>
      <c r="AY314" s="37"/>
      <c r="AZ314" s="37">
        <f>developmentdata2019[[#This Row],[NUMBER OF CURRENT APARTMENTS]]*5/2000</f>
        <v>4.1275000000000004</v>
      </c>
      <c r="BA314" s="37">
        <f>developmentdata2019[[#This Row],[Total]]*BA$1</f>
        <v>1.07315</v>
      </c>
      <c r="BB314" s="37">
        <f>developmentdata2019[[#This Row],[Trash (tons/day)]]*BB$1</f>
        <v>0.20389850000000001</v>
      </c>
      <c r="BC314" s="37">
        <f>developmentdata2019[[#This Row],[MGP (tons/day)]]*BC$1</f>
        <v>1.4272895000000002E-2</v>
      </c>
      <c r="BD314" s="37">
        <f>developmentdata2019[[#This Row],[Cardboard (tons/day)]]*BD$1</f>
        <v>9.991026500000002E-4</v>
      </c>
      <c r="BE314" s="37">
        <f>developmentdata2019[[#This Row],[Paper (tons/day)]]*BE$1</f>
        <v>3.1971284800000007E-4</v>
      </c>
      <c r="BF314" s="37">
        <f>developmentdata2019[[#This Row],[Organics (tons/day)]]*BF$1</f>
        <v>3.1971284800000007E-6</v>
      </c>
      <c r="BG314" s="37">
        <f>developmentdata2019[[#This Row],[E-Waste (tons/day)]]*BG$1</f>
        <v>2.5577027840000006E-7</v>
      </c>
      <c r="BH314" s="37">
        <f>developmentdata2019[[#This Row],[Trash (tons/day)]]*BH$1</f>
        <v>22.589807500000003</v>
      </c>
      <c r="BI314" s="37">
        <f>developmentdata2019[[#This Row],[MGP (tons/day)]]*BI$1</f>
        <v>3.6742509700000001</v>
      </c>
      <c r="BJ314" s="37">
        <f>developmentdata2019[[#This Row],[Cardboard (tons/day)]]*BJ$1</f>
        <v>0.38065810965000008</v>
      </c>
      <c r="BK314" s="37">
        <f>developmentdata2019[[#This Row],[Paper (tons/day)]]*BK$1</f>
        <v>6.1844454035000019E-3</v>
      </c>
      <c r="BL314" s="37">
        <f>developmentdata2019[[#This Row],[Organics (tons/day)]]*BL$1</f>
        <v>1.3811595033600005E-3</v>
      </c>
      <c r="BM314" s="37">
        <f>developmentdata2019[[#This Row],[E-Waste (tons/day)]]*BM$1</f>
        <v>1.8063775912000005E-5</v>
      </c>
      <c r="BN314" s="37">
        <f>developmentdata2019[[#This Row],[Textiles (tons/day)]]*BN$1</f>
        <v>3.4094178110720006E-6</v>
      </c>
      <c r="BO314" s="37">
        <f>developmentdata2019[[#This Row],[Trash (CY/day)]]*201.974</f>
        <v>4562.5537800050006</v>
      </c>
      <c r="BP314" s="37">
        <f>developmentdata2019[[#This Row],[MGP (CY/day)]]*201.974</f>
        <v>742.10316541477994</v>
      </c>
      <c r="BQ314" s="37">
        <f>developmentdata2019[[#This Row],[Cardboard (CY/day)]]*201.974</f>
        <v>76.883041038449107</v>
      </c>
      <c r="BR314" s="37">
        <f>developmentdata2019[[#This Row],[Paper  (CY/day)]]*201.974</f>
        <v>1.2490971759265093</v>
      </c>
      <c r="BS314" s="37">
        <f>developmentdata2019[[#This Row],[Organics (CY/day)]]*201.974</f>
        <v>0.2789583095316327</v>
      </c>
      <c r="BT314" s="37">
        <f>developmentdata2019[[#This Row],[E-Waste (CY/day)]]*201.974</f>
        <v>3.6484130760502886E-3</v>
      </c>
      <c r="BU314" s="37">
        <f>developmentdata2019[[#This Row],[Textiles (CY/day)]]*201.974</f>
        <v>6.8861375297345618E-4</v>
      </c>
    </row>
    <row r="315" spans="1:73" x14ac:dyDescent="0.2">
      <c r="A315" s="37" t="s">
        <v>437</v>
      </c>
      <c r="B315" s="115">
        <v>43466</v>
      </c>
      <c r="C315" s="37" t="s">
        <v>1928</v>
      </c>
      <c r="D315">
        <v>128</v>
      </c>
      <c r="E315">
        <v>128</v>
      </c>
      <c r="F315">
        <v>443</v>
      </c>
      <c r="G315">
        <v>443</v>
      </c>
      <c r="H315" s="37" t="s">
        <v>1929</v>
      </c>
      <c r="I315" s="37" t="s">
        <v>638</v>
      </c>
      <c r="J315" s="37" t="s">
        <v>578</v>
      </c>
      <c r="K315" s="37" t="s">
        <v>579</v>
      </c>
      <c r="L315">
        <v>109</v>
      </c>
      <c r="M315">
        <v>577</v>
      </c>
      <c r="N315">
        <v>577</v>
      </c>
      <c r="O315">
        <v>2652.5</v>
      </c>
      <c r="P315">
        <v>4.5999999999999996</v>
      </c>
      <c r="Q315">
        <v>259</v>
      </c>
      <c r="R315">
        <v>1031</v>
      </c>
      <c r="S315">
        <v>1290</v>
      </c>
      <c r="T315">
        <v>287</v>
      </c>
      <c r="U315">
        <v>0.503</v>
      </c>
      <c r="V315">
        <v>5</v>
      </c>
      <c r="W315">
        <v>0</v>
      </c>
      <c r="X315">
        <v>5</v>
      </c>
      <c r="Y315" t="s">
        <v>1930</v>
      </c>
      <c r="Z315">
        <v>242859</v>
      </c>
      <c r="AA315">
        <v>5.58</v>
      </c>
      <c r="AB315">
        <v>242859</v>
      </c>
      <c r="AC315">
        <v>5.58</v>
      </c>
      <c r="AD315">
        <v>39895</v>
      </c>
      <c r="AE315">
        <v>5239694</v>
      </c>
      <c r="AF315">
        <v>0.1643</v>
      </c>
      <c r="AG315">
        <v>231</v>
      </c>
      <c r="AH315">
        <v>11631000</v>
      </c>
      <c r="AI315">
        <v>4390</v>
      </c>
      <c r="AJ315">
        <v>469</v>
      </c>
      <c r="AK315" s="37" t="s">
        <v>1931</v>
      </c>
      <c r="AL315" s="37" t="s">
        <v>1020</v>
      </c>
      <c r="AM315" s="37" t="s">
        <v>1932</v>
      </c>
      <c r="AN315" s="37" t="s">
        <v>689</v>
      </c>
      <c r="AO315" s="37" t="s">
        <v>593</v>
      </c>
      <c r="AP315">
        <v>1</v>
      </c>
      <c r="AQ315">
        <v>7</v>
      </c>
      <c r="AR315">
        <v>18</v>
      </c>
      <c r="AS315">
        <v>50</v>
      </c>
      <c r="AT315">
        <v>33</v>
      </c>
      <c r="AU315" s="115">
        <v>23497</v>
      </c>
      <c r="AV315" s="37"/>
      <c r="AW315" s="37"/>
      <c r="AX315" s="37"/>
      <c r="AY315" s="37"/>
      <c r="AZ315" s="37">
        <f>developmentdata2019[[#This Row],[NUMBER OF CURRENT APARTMENTS]]*5/2000</f>
        <v>1.4424999999999999</v>
      </c>
      <c r="BA315" s="37">
        <f>developmentdata2019[[#This Row],[Total]]*BA$1</f>
        <v>0.37504999999999999</v>
      </c>
      <c r="BB315" s="37">
        <f>developmentdata2019[[#This Row],[Trash (tons/day)]]*BB$1</f>
        <v>7.1259500000000003E-2</v>
      </c>
      <c r="BC315" s="37">
        <f>developmentdata2019[[#This Row],[MGP (tons/day)]]*BC$1</f>
        <v>4.988165000000001E-3</v>
      </c>
      <c r="BD315" s="37">
        <f>developmentdata2019[[#This Row],[Cardboard (tons/day)]]*BD$1</f>
        <v>3.4917155000000009E-4</v>
      </c>
      <c r="BE315" s="37">
        <f>developmentdata2019[[#This Row],[Paper (tons/day)]]*BE$1</f>
        <v>1.1173489600000004E-4</v>
      </c>
      <c r="BF315" s="37">
        <f>developmentdata2019[[#This Row],[Organics (tons/day)]]*BF$1</f>
        <v>1.1173489600000004E-6</v>
      </c>
      <c r="BG315" s="37">
        <f>developmentdata2019[[#This Row],[E-Waste (tons/day)]]*BG$1</f>
        <v>8.9387916800000032E-8</v>
      </c>
      <c r="BH315" s="37">
        <f>developmentdata2019[[#This Row],[Trash (tons/day)]]*BH$1</f>
        <v>7.8948024999999999</v>
      </c>
      <c r="BI315" s="37">
        <f>developmentdata2019[[#This Row],[MGP (tons/day)]]*BI$1</f>
        <v>1.2840961900000001</v>
      </c>
      <c r="BJ315" s="37">
        <f>developmentdata2019[[#This Row],[Cardboard (tons/day)]]*BJ$1</f>
        <v>0.13303436055000004</v>
      </c>
      <c r="BK315" s="37">
        <f>developmentdata2019[[#This Row],[Paper (tons/day)]]*BK$1</f>
        <v>2.1613718945000006E-3</v>
      </c>
      <c r="BL315" s="37">
        <f>developmentdata2019[[#This Row],[Organics (tons/day)]]*BL$1</f>
        <v>4.826947507200002E-4</v>
      </c>
      <c r="BM315" s="37">
        <f>developmentdata2019[[#This Row],[E-Waste (tons/day)]]*BM$1</f>
        <v>6.3130216240000026E-6</v>
      </c>
      <c r="BN315" s="37">
        <f>developmentdata2019[[#This Row],[Textiles (tons/day)]]*BN$1</f>
        <v>1.1915409309440004E-6</v>
      </c>
      <c r="BO315" s="37">
        <f>developmentdata2019[[#This Row],[Trash (CY/day)]]*201.974</f>
        <v>1594.544840135</v>
      </c>
      <c r="BP315" s="37">
        <f>developmentdata2019[[#This Row],[MGP (CY/day)]]*201.974</f>
        <v>259.35404387905999</v>
      </c>
      <c r="BQ315" s="37">
        <f>developmentdata2019[[#This Row],[Cardboard (CY/day)]]*201.974</f>
        <v>26.869481937725705</v>
      </c>
      <c r="BR315" s="37">
        <f>developmentdata2019[[#This Row],[Paper  (CY/day)]]*201.974</f>
        <v>0.43654092701974312</v>
      </c>
      <c r="BS315" s="37">
        <f>developmentdata2019[[#This Row],[Organics (CY/day)]]*201.974</f>
        <v>9.7491789581921312E-2</v>
      </c>
      <c r="BT315" s="37">
        <f>developmentdata2019[[#This Row],[E-Waste (CY/day)]]*201.974</f>
        <v>1.2750662294857763E-3</v>
      </c>
      <c r="BU315" s="37">
        <f>developmentdata2019[[#This Row],[Textiles (CY/day)]]*201.974</f>
        <v>2.4066028798648353E-4</v>
      </c>
    </row>
    <row r="316" spans="1:73" x14ac:dyDescent="0.2">
      <c r="A316" s="37" t="s">
        <v>1933</v>
      </c>
      <c r="B316" s="115">
        <v>43466</v>
      </c>
      <c r="C316" s="37" t="s">
        <v>1934</v>
      </c>
      <c r="D316">
        <v>2</v>
      </c>
      <c r="E316">
        <v>2</v>
      </c>
      <c r="F316">
        <v>200</v>
      </c>
      <c r="G316">
        <v>200</v>
      </c>
      <c r="H316" s="37" t="s">
        <v>1935</v>
      </c>
      <c r="I316" s="37" t="s">
        <v>577</v>
      </c>
      <c r="J316" s="37" t="s">
        <v>578</v>
      </c>
      <c r="K316" s="37" t="s">
        <v>579</v>
      </c>
      <c r="M316">
        <v>1627</v>
      </c>
      <c r="N316">
        <v>1630</v>
      </c>
      <c r="O316">
        <v>6528.5</v>
      </c>
      <c r="P316">
        <v>4.01</v>
      </c>
      <c r="R316">
        <v>3025</v>
      </c>
      <c r="S316">
        <v>3025</v>
      </c>
      <c r="T316">
        <v>770</v>
      </c>
      <c r="U316">
        <v>0.48299999999999998</v>
      </c>
      <c r="V316">
        <v>20</v>
      </c>
      <c r="W316">
        <v>1</v>
      </c>
      <c r="X316">
        <v>137</v>
      </c>
      <c r="Y316">
        <v>4</v>
      </c>
      <c r="Z316">
        <v>1016895</v>
      </c>
      <c r="AA316">
        <v>23.34</v>
      </c>
      <c r="AB316">
        <v>927103</v>
      </c>
      <c r="AC316">
        <v>21.28</v>
      </c>
      <c r="AD316">
        <v>326716</v>
      </c>
      <c r="AE316">
        <v>14056383</v>
      </c>
      <c r="AF316">
        <v>0.32129999999999997</v>
      </c>
      <c r="AG316">
        <v>130</v>
      </c>
      <c r="AH316">
        <v>13063992</v>
      </c>
      <c r="AI316">
        <v>2266</v>
      </c>
      <c r="AJ316">
        <v>512</v>
      </c>
      <c r="AK316" s="37" t="s">
        <v>1936</v>
      </c>
      <c r="AL316" s="37" t="s">
        <v>786</v>
      </c>
      <c r="AM316" s="37" t="s">
        <v>1937</v>
      </c>
      <c r="AN316" s="37" t="s">
        <v>1938</v>
      </c>
      <c r="AO316" s="37" t="s">
        <v>593</v>
      </c>
      <c r="AP316">
        <v>1</v>
      </c>
      <c r="AQ316">
        <v>7</v>
      </c>
      <c r="AR316">
        <v>18</v>
      </c>
      <c r="AS316">
        <v>53</v>
      </c>
      <c r="AT316">
        <v>34</v>
      </c>
      <c r="AU316" s="115">
        <v>13980</v>
      </c>
      <c r="AV316" s="37"/>
      <c r="AW316" s="37"/>
      <c r="AX316" s="37"/>
      <c r="AY316" s="37"/>
      <c r="AZ316" s="37">
        <f>developmentdata2019[[#This Row],[NUMBER OF CURRENT APARTMENTS]]*5/2000</f>
        <v>4.0674999999999999</v>
      </c>
      <c r="BA316" s="37">
        <f>developmentdata2019[[#This Row],[Total]]*BA$1</f>
        <v>1.05755</v>
      </c>
      <c r="BB316" s="37">
        <f>developmentdata2019[[#This Row],[Trash (tons/day)]]*BB$1</f>
        <v>0.20093449999999999</v>
      </c>
      <c r="BC316" s="37">
        <f>developmentdata2019[[#This Row],[MGP (tons/day)]]*BC$1</f>
        <v>1.4065415000000001E-2</v>
      </c>
      <c r="BD316" s="37">
        <f>developmentdata2019[[#This Row],[Cardboard (tons/day)]]*BD$1</f>
        <v>9.845790500000002E-4</v>
      </c>
      <c r="BE316" s="37">
        <f>developmentdata2019[[#This Row],[Paper (tons/day)]]*BE$1</f>
        <v>3.1506529600000007E-4</v>
      </c>
      <c r="BF316" s="37">
        <f>developmentdata2019[[#This Row],[Organics (tons/day)]]*BF$1</f>
        <v>3.1506529600000006E-6</v>
      </c>
      <c r="BG316" s="37">
        <f>developmentdata2019[[#This Row],[E-Waste (tons/day)]]*BG$1</f>
        <v>2.5205223680000006E-7</v>
      </c>
      <c r="BH316" s="37">
        <f>developmentdata2019[[#This Row],[Trash (tons/day)]]*BH$1</f>
        <v>22.2614275</v>
      </c>
      <c r="BI316" s="37">
        <f>developmentdata2019[[#This Row],[MGP (tons/day)]]*BI$1</f>
        <v>3.6208396899999995</v>
      </c>
      <c r="BJ316" s="37">
        <f>developmentdata2019[[#This Row],[Cardboard (tons/day)]]*BJ$1</f>
        <v>0.37512461805000008</v>
      </c>
      <c r="BK316" s="37">
        <f>developmentdata2019[[#This Row],[Paper (tons/day)]]*BK$1</f>
        <v>6.0945443195000015E-3</v>
      </c>
      <c r="BL316" s="37">
        <f>developmentdata2019[[#This Row],[Organics (tons/day)]]*BL$1</f>
        <v>1.3610820787200004E-3</v>
      </c>
      <c r="BM316" s="37">
        <f>developmentdata2019[[#This Row],[E-Waste (tons/day)]]*BM$1</f>
        <v>1.7801189224000006E-5</v>
      </c>
      <c r="BN316" s="37">
        <f>developmentdata2019[[#This Row],[Textiles (tons/day)]]*BN$1</f>
        <v>3.3598563165440007E-6</v>
      </c>
      <c r="BO316" s="37">
        <f>developmentdata2019[[#This Row],[Trash (CY/day)]]*201.974</f>
        <v>4496.2295578849998</v>
      </c>
      <c r="BP316" s="37">
        <f>developmentdata2019[[#This Row],[MGP (CY/day)]]*201.974</f>
        <v>731.31547554805991</v>
      </c>
      <c r="BQ316" s="37">
        <f>developmentdata2019[[#This Row],[Cardboard (CY/day)]]*201.974</f>
        <v>75.765419606030719</v>
      </c>
      <c r="BR316" s="37">
        <f>developmentdata2019[[#This Row],[Paper  (CY/day)]]*201.974</f>
        <v>1.2309394943866931</v>
      </c>
      <c r="BS316" s="37">
        <f>developmentdata2019[[#This Row],[Organics (CY/day)]]*201.974</f>
        <v>0.27490319176739336</v>
      </c>
      <c r="BT316" s="37">
        <f>developmentdata2019[[#This Row],[E-Waste (CY/day)]]*201.974</f>
        <v>3.5953773923281772E-3</v>
      </c>
      <c r="BU316" s="37">
        <f>developmentdata2019[[#This Row],[Textiles (CY/day)]]*201.974</f>
        <v>6.7860361967765799E-4</v>
      </c>
    </row>
    <row r="317" spans="1:73" x14ac:dyDescent="0.2">
      <c r="A317" s="37" t="s">
        <v>376</v>
      </c>
      <c r="B317" s="115">
        <v>43466</v>
      </c>
      <c r="C317" s="37" t="s">
        <v>1076</v>
      </c>
      <c r="D317">
        <v>112</v>
      </c>
      <c r="E317">
        <v>112</v>
      </c>
      <c r="F317">
        <v>539</v>
      </c>
      <c r="G317">
        <v>539</v>
      </c>
      <c r="H317" s="37" t="s">
        <v>1939</v>
      </c>
      <c r="I317" s="37" t="s">
        <v>577</v>
      </c>
      <c r="J317" s="37" t="s">
        <v>578</v>
      </c>
      <c r="K317" s="37" t="s">
        <v>579</v>
      </c>
      <c r="M317">
        <v>398</v>
      </c>
      <c r="N317">
        <v>398</v>
      </c>
      <c r="O317">
        <v>2225</v>
      </c>
      <c r="P317">
        <v>5.59</v>
      </c>
      <c r="R317">
        <v>1250</v>
      </c>
      <c r="S317">
        <v>1250</v>
      </c>
      <c r="T317">
        <v>104</v>
      </c>
      <c r="U317">
        <v>0.26700000000000002</v>
      </c>
      <c r="V317">
        <v>3</v>
      </c>
      <c r="W317">
        <v>0</v>
      </c>
      <c r="X317">
        <v>3</v>
      </c>
      <c r="Y317">
        <v>20</v>
      </c>
      <c r="Z317">
        <v>133188</v>
      </c>
      <c r="AA317">
        <v>3.06</v>
      </c>
      <c r="AB317">
        <v>133188</v>
      </c>
      <c r="AC317">
        <v>3.06</v>
      </c>
      <c r="AD317">
        <v>22499</v>
      </c>
      <c r="AE317">
        <v>3961200</v>
      </c>
      <c r="AF317">
        <v>0.16889999999999999</v>
      </c>
      <c r="AG317">
        <v>408</v>
      </c>
      <c r="AH317">
        <v>7162000</v>
      </c>
      <c r="AI317">
        <v>3219</v>
      </c>
      <c r="AJ317">
        <v>645</v>
      </c>
      <c r="AK317" s="37" t="s">
        <v>731</v>
      </c>
      <c r="AL317" s="37" t="s">
        <v>1078</v>
      </c>
      <c r="AM317" s="37" t="s">
        <v>633</v>
      </c>
      <c r="AN317" s="37" t="s">
        <v>906</v>
      </c>
      <c r="AO317" s="37" t="s">
        <v>608</v>
      </c>
      <c r="AP317">
        <v>11</v>
      </c>
      <c r="AQ317">
        <v>13</v>
      </c>
      <c r="AR317">
        <v>30</v>
      </c>
      <c r="AS317">
        <v>68</v>
      </c>
      <c r="AT317">
        <v>8</v>
      </c>
      <c r="AU317" s="115">
        <v>22462</v>
      </c>
      <c r="AV317" s="37" t="s">
        <v>680</v>
      </c>
      <c r="AW317" s="37"/>
      <c r="AX317" s="37"/>
      <c r="AY317" s="37"/>
      <c r="AZ317" s="37">
        <f>developmentdata2019[[#This Row],[NUMBER OF CURRENT APARTMENTS]]*5/2000</f>
        <v>0.995</v>
      </c>
      <c r="BA317" s="37">
        <f>developmentdata2019[[#This Row],[Total]]*BA$1</f>
        <v>0.25869999999999999</v>
      </c>
      <c r="BB317" s="37">
        <f>developmentdata2019[[#This Row],[Trash (tons/day)]]*BB$1</f>
        <v>4.9152999999999995E-2</v>
      </c>
      <c r="BC317" s="37">
        <f>developmentdata2019[[#This Row],[MGP (tons/day)]]*BC$1</f>
        <v>3.44071E-3</v>
      </c>
      <c r="BD317" s="37">
        <f>developmentdata2019[[#This Row],[Cardboard (tons/day)]]*BD$1</f>
        <v>2.4084970000000003E-4</v>
      </c>
      <c r="BE317" s="37">
        <f>developmentdata2019[[#This Row],[Paper (tons/day)]]*BE$1</f>
        <v>7.7071904000000014E-5</v>
      </c>
      <c r="BF317" s="37">
        <f>developmentdata2019[[#This Row],[Organics (tons/day)]]*BF$1</f>
        <v>7.7071904000000013E-7</v>
      </c>
      <c r="BG317" s="37">
        <f>developmentdata2019[[#This Row],[E-Waste (tons/day)]]*BG$1</f>
        <v>6.1657523200000015E-8</v>
      </c>
      <c r="BH317" s="37">
        <f>developmentdata2019[[#This Row],[Trash (tons/day)]]*BH$1</f>
        <v>5.4456350000000002</v>
      </c>
      <c r="BI317" s="37">
        <f>developmentdata2019[[#This Row],[MGP (tons/day)]]*BI$1</f>
        <v>0.88573705999999985</v>
      </c>
      <c r="BJ317" s="37">
        <f>developmentdata2019[[#This Row],[Cardboard (tons/day)]]*BJ$1</f>
        <v>9.1763735700000001E-2</v>
      </c>
      <c r="BK317" s="37">
        <f>developmentdata2019[[#This Row],[Paper (tons/day)]]*BK$1</f>
        <v>1.4908596430000002E-3</v>
      </c>
      <c r="BL317" s="37">
        <f>developmentdata2019[[#This Row],[Organics (tons/day)]]*BL$1</f>
        <v>3.3295062528000007E-4</v>
      </c>
      <c r="BM317" s="37">
        <f>developmentdata2019[[#This Row],[E-Waste (tons/day)]]*BM$1</f>
        <v>4.3545625760000012E-6</v>
      </c>
      <c r="BN317" s="37">
        <f>developmentdata2019[[#This Row],[Textiles (tons/day)]]*BN$1</f>
        <v>8.218947842560002E-7</v>
      </c>
      <c r="BO317" s="37">
        <f>developmentdata2019[[#This Row],[Trash (CY/day)]]*201.974</f>
        <v>1099.87668349</v>
      </c>
      <c r="BP317" s="37">
        <f>developmentdata2019[[#This Row],[MGP (CY/day)]]*201.974</f>
        <v>178.89585695643996</v>
      </c>
      <c r="BQ317" s="37">
        <f>developmentdata2019[[#This Row],[Cardboard (CY/day)]]*201.974</f>
        <v>18.5338887542718</v>
      </c>
      <c r="BR317" s="37">
        <f>developmentdata2019[[#This Row],[Paper  (CY/day)]]*201.974</f>
        <v>0.30111488553528204</v>
      </c>
      <c r="BS317" s="37">
        <f>developmentdata2019[[#This Row],[Organics (CY/day)]]*201.974</f>
        <v>6.7247369590302739E-2</v>
      </c>
      <c r="BT317" s="37">
        <f>developmentdata2019[[#This Row],[E-Waste (CY/day)]]*201.974</f>
        <v>8.7950842172502424E-4</v>
      </c>
      <c r="BU317" s="37">
        <f>developmentdata2019[[#This Row],[Textiles (CY/day)]]*201.974</f>
        <v>1.6600137715532136E-4</v>
      </c>
    </row>
    <row r="318" spans="1:73" x14ac:dyDescent="0.2">
      <c r="A318" s="37" t="s">
        <v>1940</v>
      </c>
      <c r="B318" s="115">
        <v>43466</v>
      </c>
      <c r="C318" s="37" t="s">
        <v>1941</v>
      </c>
      <c r="D318">
        <v>127</v>
      </c>
      <c r="E318">
        <v>127</v>
      </c>
      <c r="F318">
        <v>445</v>
      </c>
      <c r="G318">
        <v>445</v>
      </c>
      <c r="H318" s="37" t="s">
        <v>1942</v>
      </c>
      <c r="I318" s="37" t="s">
        <v>638</v>
      </c>
      <c r="J318" s="37" t="s">
        <v>578</v>
      </c>
      <c r="K318" s="37" t="s">
        <v>579</v>
      </c>
      <c r="L318">
        <v>104</v>
      </c>
      <c r="M318">
        <v>397</v>
      </c>
      <c r="N318">
        <v>399</v>
      </c>
      <c r="O318">
        <v>1739.5</v>
      </c>
      <c r="P318">
        <v>4.38</v>
      </c>
      <c r="Q318">
        <v>227</v>
      </c>
      <c r="R318">
        <v>523</v>
      </c>
      <c r="S318">
        <v>750</v>
      </c>
      <c r="T318">
        <v>168</v>
      </c>
      <c r="U318">
        <v>0.438</v>
      </c>
      <c r="V318">
        <v>2</v>
      </c>
      <c r="W318">
        <v>1</v>
      </c>
      <c r="X318">
        <v>5</v>
      </c>
      <c r="Y318">
        <v>19</v>
      </c>
      <c r="Z318">
        <v>100247</v>
      </c>
      <c r="AA318">
        <v>2.2999999999999998</v>
      </c>
      <c r="AB318">
        <v>100247</v>
      </c>
      <c r="AC318">
        <v>2.2999999999999998</v>
      </c>
      <c r="AD318">
        <v>34702</v>
      </c>
      <c r="AE318">
        <v>3685586</v>
      </c>
      <c r="AF318">
        <v>0.34620000000000001</v>
      </c>
      <c r="AG318">
        <v>326</v>
      </c>
      <c r="AH318">
        <v>7774000</v>
      </c>
      <c r="AI318">
        <v>4441</v>
      </c>
      <c r="AJ318">
        <v>555</v>
      </c>
      <c r="AK318" s="37" t="s">
        <v>1812</v>
      </c>
      <c r="AL318" s="37" t="s">
        <v>1813</v>
      </c>
      <c r="AM318" s="37" t="s">
        <v>620</v>
      </c>
      <c r="AN318" s="37" t="s">
        <v>618</v>
      </c>
      <c r="AO318" s="37" t="s">
        <v>608</v>
      </c>
      <c r="AP318">
        <v>7</v>
      </c>
      <c r="AQ318">
        <v>10</v>
      </c>
      <c r="AR318">
        <v>30</v>
      </c>
      <c r="AS318">
        <v>69</v>
      </c>
      <c r="AT318">
        <v>6</v>
      </c>
      <c r="AU318" s="115">
        <v>23773</v>
      </c>
      <c r="AV318" s="37"/>
      <c r="AW318" s="37"/>
      <c r="AX318" s="37"/>
      <c r="AY318" s="37"/>
      <c r="AZ318" s="37">
        <f>developmentdata2019[[#This Row],[NUMBER OF CURRENT APARTMENTS]]*5/2000</f>
        <v>0.99250000000000005</v>
      </c>
      <c r="BA318" s="37">
        <f>developmentdata2019[[#This Row],[Total]]*BA$1</f>
        <v>0.25805</v>
      </c>
      <c r="BB318" s="37">
        <f>developmentdata2019[[#This Row],[Trash (tons/day)]]*BB$1</f>
        <v>4.9029500000000004E-2</v>
      </c>
      <c r="BC318" s="37">
        <f>developmentdata2019[[#This Row],[MGP (tons/day)]]*BC$1</f>
        <v>3.4320650000000006E-3</v>
      </c>
      <c r="BD318" s="37">
        <f>developmentdata2019[[#This Row],[Cardboard (tons/day)]]*BD$1</f>
        <v>2.4024455000000008E-4</v>
      </c>
      <c r="BE318" s="37">
        <f>developmentdata2019[[#This Row],[Paper (tons/day)]]*BE$1</f>
        <v>7.6878256000000026E-5</v>
      </c>
      <c r="BF318" s="37">
        <f>developmentdata2019[[#This Row],[Organics (tons/day)]]*BF$1</f>
        <v>7.6878256000000032E-7</v>
      </c>
      <c r="BG318" s="37">
        <f>developmentdata2019[[#This Row],[E-Waste (tons/day)]]*BG$1</f>
        <v>6.1502604800000024E-8</v>
      </c>
      <c r="BH318" s="37">
        <f>developmentdata2019[[#This Row],[Trash (tons/day)]]*BH$1</f>
        <v>5.4319525000000004</v>
      </c>
      <c r="BI318" s="37">
        <f>developmentdata2019[[#This Row],[MGP (tons/day)]]*BI$1</f>
        <v>0.88351159000000001</v>
      </c>
      <c r="BJ318" s="37">
        <f>developmentdata2019[[#This Row],[Cardboard (tons/day)]]*BJ$1</f>
        <v>9.1533173550000027E-2</v>
      </c>
      <c r="BK318" s="37">
        <f>developmentdata2019[[#This Row],[Paper (tons/day)]]*BK$1</f>
        <v>1.4871137645000006E-3</v>
      </c>
      <c r="BL318" s="37">
        <f>developmentdata2019[[#This Row],[Organics (tons/day)]]*BL$1</f>
        <v>3.3211406592000014E-4</v>
      </c>
      <c r="BM318" s="37">
        <f>developmentdata2019[[#This Row],[E-Waste (tons/day)]]*BM$1</f>
        <v>4.3436214640000018E-6</v>
      </c>
      <c r="BN318" s="37">
        <f>developmentdata2019[[#This Row],[Textiles (tons/day)]]*BN$1</f>
        <v>8.1982972198400029E-7</v>
      </c>
      <c r="BO318" s="37">
        <f>developmentdata2019[[#This Row],[Trash (CY/day)]]*201.974</f>
        <v>1097.1131742350001</v>
      </c>
      <c r="BP318" s="37">
        <f>developmentdata2019[[#This Row],[MGP (CY/day)]]*201.974</f>
        <v>178.44636987865999</v>
      </c>
      <c r="BQ318" s="37">
        <f>developmentdata2019[[#This Row],[Cardboard (CY/day)]]*201.974</f>
        <v>18.487321194587704</v>
      </c>
      <c r="BR318" s="37">
        <f>developmentdata2019[[#This Row],[Paper  (CY/day)]]*201.974</f>
        <v>0.30035831547112313</v>
      </c>
      <c r="BS318" s="37">
        <f>developmentdata2019[[#This Row],[Organics (CY/day)]]*201.974</f>
        <v>6.7078406350126102E-2</v>
      </c>
      <c r="BT318" s="37">
        <f>developmentdata2019[[#This Row],[E-Waste (CY/day)]]*201.974</f>
        <v>8.7729860156993632E-4</v>
      </c>
      <c r="BU318" s="37">
        <f>developmentdata2019[[#This Row],[Textiles (CY/day)]]*201.974</f>
        <v>1.6558428826799647E-4</v>
      </c>
    </row>
    <row r="319" spans="1:73" x14ac:dyDescent="0.2">
      <c r="A319" s="37" t="s">
        <v>501</v>
      </c>
      <c r="B319" s="115">
        <v>43466</v>
      </c>
      <c r="C319" s="37" t="s">
        <v>1943</v>
      </c>
      <c r="D319">
        <v>33</v>
      </c>
      <c r="E319">
        <v>33</v>
      </c>
      <c r="F319">
        <v>316</v>
      </c>
      <c r="G319">
        <v>316</v>
      </c>
      <c r="H319" s="37" t="s">
        <v>1944</v>
      </c>
      <c r="I319" s="37" t="s">
        <v>577</v>
      </c>
      <c r="J319" s="37" t="s">
        <v>578</v>
      </c>
      <c r="K319" s="37" t="s">
        <v>579</v>
      </c>
      <c r="M319">
        <v>1355</v>
      </c>
      <c r="N319">
        <v>1357</v>
      </c>
      <c r="O319">
        <v>6321.5</v>
      </c>
      <c r="P319">
        <v>4.67</v>
      </c>
      <c r="R319">
        <v>2858</v>
      </c>
      <c r="S319">
        <v>2858</v>
      </c>
      <c r="T319">
        <v>537</v>
      </c>
      <c r="U319">
        <v>0.40200000000000002</v>
      </c>
      <c r="V319">
        <v>20</v>
      </c>
      <c r="W319">
        <v>0</v>
      </c>
      <c r="X319">
        <v>55</v>
      </c>
      <c r="Y319">
        <v>6</v>
      </c>
      <c r="Z319">
        <v>971398</v>
      </c>
      <c r="AA319">
        <v>22.3</v>
      </c>
      <c r="AB319">
        <v>971398</v>
      </c>
      <c r="AC319">
        <v>22.3</v>
      </c>
      <c r="AD319">
        <v>186009</v>
      </c>
      <c r="AE319">
        <v>10715226</v>
      </c>
      <c r="AF319">
        <v>0.1915</v>
      </c>
      <c r="AG319">
        <v>128</v>
      </c>
      <c r="AH319">
        <v>13777000</v>
      </c>
      <c r="AI319">
        <v>2251</v>
      </c>
      <c r="AJ319">
        <v>594</v>
      </c>
      <c r="AK319" s="37" t="s">
        <v>1945</v>
      </c>
      <c r="AL319" s="37" t="s">
        <v>1946</v>
      </c>
      <c r="AM319" s="37" t="s">
        <v>1947</v>
      </c>
      <c r="AN319" s="37" t="s">
        <v>1948</v>
      </c>
      <c r="AO319" s="37" t="s">
        <v>703</v>
      </c>
      <c r="AP319">
        <v>1</v>
      </c>
      <c r="AQ319">
        <v>14</v>
      </c>
      <c r="AR319">
        <v>13</v>
      </c>
      <c r="AS319">
        <v>30</v>
      </c>
      <c r="AT319">
        <v>26</v>
      </c>
      <c r="AU319" s="115">
        <v>18262</v>
      </c>
      <c r="AV319" s="37" t="s">
        <v>1085</v>
      </c>
      <c r="AW319" s="37"/>
      <c r="AX319" s="37"/>
      <c r="AY319" s="37"/>
      <c r="AZ319" s="37">
        <f>developmentdata2019[[#This Row],[NUMBER OF CURRENT APARTMENTS]]*5/2000</f>
        <v>3.3875000000000002</v>
      </c>
      <c r="BA319" s="37">
        <f>developmentdata2019[[#This Row],[Total]]*BA$1</f>
        <v>0.88075000000000003</v>
      </c>
      <c r="BB319" s="37">
        <f>developmentdata2019[[#This Row],[Trash (tons/day)]]*BB$1</f>
        <v>0.16734250000000001</v>
      </c>
      <c r="BC319" s="37">
        <f>developmentdata2019[[#This Row],[MGP (tons/day)]]*BC$1</f>
        <v>1.1713975000000001E-2</v>
      </c>
      <c r="BD319" s="37">
        <f>developmentdata2019[[#This Row],[Cardboard (tons/day)]]*BD$1</f>
        <v>8.1997825000000015E-4</v>
      </c>
      <c r="BE319" s="37">
        <f>developmentdata2019[[#This Row],[Paper (tons/day)]]*BE$1</f>
        <v>2.6239304000000004E-4</v>
      </c>
      <c r="BF319" s="37">
        <f>developmentdata2019[[#This Row],[Organics (tons/day)]]*BF$1</f>
        <v>2.6239304000000006E-6</v>
      </c>
      <c r="BG319" s="37">
        <f>developmentdata2019[[#This Row],[E-Waste (tons/day)]]*BG$1</f>
        <v>2.0991443200000004E-7</v>
      </c>
      <c r="BH319" s="37">
        <f>developmentdata2019[[#This Row],[Trash (tons/day)]]*BH$1</f>
        <v>18.539787500000003</v>
      </c>
      <c r="BI319" s="37">
        <f>developmentdata2019[[#This Row],[MGP (tons/day)]]*BI$1</f>
        <v>3.0155118500000002</v>
      </c>
      <c r="BJ319" s="37">
        <f>developmentdata2019[[#This Row],[Cardboard (tons/day)]]*BJ$1</f>
        <v>0.31241171325000006</v>
      </c>
      <c r="BK319" s="37">
        <f>developmentdata2019[[#This Row],[Paper (tons/day)]]*BK$1</f>
        <v>5.075665367500001E-3</v>
      </c>
      <c r="BL319" s="37">
        <f>developmentdata2019[[#This Row],[Organics (tons/day)]]*BL$1</f>
        <v>1.1335379328000002E-3</v>
      </c>
      <c r="BM319" s="37">
        <f>developmentdata2019[[#This Row],[E-Waste (tons/day)]]*BM$1</f>
        <v>1.4825206760000005E-5</v>
      </c>
      <c r="BN319" s="37">
        <f>developmentdata2019[[#This Row],[Textiles (tons/day)]]*BN$1</f>
        <v>2.7981593785600006E-6</v>
      </c>
      <c r="BO319" s="37">
        <f>developmentdata2019[[#This Row],[Trash (CY/day)]]*201.974</f>
        <v>3744.5550405250005</v>
      </c>
      <c r="BP319" s="37">
        <f>developmentdata2019[[#This Row],[MGP (CY/day)]]*201.974</f>
        <v>609.05499039189999</v>
      </c>
      <c r="BQ319" s="37">
        <f>developmentdata2019[[#This Row],[Cardboard (CY/day)]]*201.974</f>
        <v>63.09904337195551</v>
      </c>
      <c r="BR319" s="37">
        <f>developmentdata2019[[#This Row],[Paper  (CY/day)]]*201.974</f>
        <v>1.0251524369354452</v>
      </c>
      <c r="BS319" s="37">
        <f>developmentdata2019[[#This Row],[Organics (CY/day)]]*201.974</f>
        <v>0.22894519043934725</v>
      </c>
      <c r="BT319" s="37">
        <f>developmentdata2019[[#This Row],[E-Waste (CY/day)]]*201.974</f>
        <v>2.994306310144241E-3</v>
      </c>
      <c r="BU319" s="37">
        <f>developmentdata2019[[#This Row],[Textiles (CY/day)]]*201.974</f>
        <v>5.6515544232527755E-4</v>
      </c>
    </row>
    <row r="320" spans="1:73" x14ac:dyDescent="0.2">
      <c r="A320" s="37" t="s">
        <v>1949</v>
      </c>
      <c r="B320" s="115">
        <v>43466</v>
      </c>
      <c r="C320" s="37" t="s">
        <v>1280</v>
      </c>
      <c r="D320">
        <v>182</v>
      </c>
      <c r="E320">
        <v>182</v>
      </c>
      <c r="F320">
        <v>285</v>
      </c>
      <c r="G320">
        <v>257</v>
      </c>
      <c r="H320" s="37" t="s">
        <v>1950</v>
      </c>
      <c r="I320" s="37" t="s">
        <v>577</v>
      </c>
      <c r="J320" s="37" t="s">
        <v>578</v>
      </c>
      <c r="K320" s="37" t="s">
        <v>735</v>
      </c>
      <c r="M320">
        <v>407</v>
      </c>
      <c r="N320">
        <v>407</v>
      </c>
      <c r="O320">
        <v>1419.5</v>
      </c>
      <c r="P320">
        <v>3.49</v>
      </c>
      <c r="R320">
        <v>449</v>
      </c>
      <c r="S320">
        <v>449</v>
      </c>
      <c r="T320">
        <v>359</v>
      </c>
      <c r="U320">
        <v>0.88600000000000001</v>
      </c>
      <c r="V320">
        <v>2</v>
      </c>
      <c r="W320">
        <v>0</v>
      </c>
      <c r="X320">
        <v>2</v>
      </c>
      <c r="Y320">
        <v>43763</v>
      </c>
      <c r="Z320">
        <v>140000</v>
      </c>
      <c r="AA320">
        <v>3.21</v>
      </c>
      <c r="AB320">
        <v>100000</v>
      </c>
      <c r="AC320">
        <v>2.2999999999999998</v>
      </c>
      <c r="AD320">
        <v>24456</v>
      </c>
      <c r="AE320">
        <v>2792393</v>
      </c>
      <c r="AF320">
        <v>0.17469999999999999</v>
      </c>
      <c r="AG320">
        <v>140</v>
      </c>
      <c r="AH320">
        <v>8225987</v>
      </c>
      <c r="AI320">
        <v>5785</v>
      </c>
      <c r="AJ320">
        <v>342</v>
      </c>
      <c r="AK320" s="37" t="s">
        <v>592</v>
      </c>
      <c r="AL320" s="37" t="s">
        <v>1823</v>
      </c>
      <c r="AM320" s="37" t="s">
        <v>1184</v>
      </c>
      <c r="AN320" s="37" t="s">
        <v>1951</v>
      </c>
      <c r="AO320" s="37" t="s">
        <v>593</v>
      </c>
      <c r="AP320">
        <v>16</v>
      </c>
      <c r="AQ320">
        <v>8</v>
      </c>
      <c r="AR320">
        <v>19</v>
      </c>
      <c r="AS320">
        <v>55</v>
      </c>
      <c r="AT320">
        <v>42</v>
      </c>
      <c r="AU320" s="115">
        <v>25811</v>
      </c>
      <c r="AV320" s="37"/>
      <c r="AW320" s="37" t="s">
        <v>736</v>
      </c>
      <c r="AX320" s="37"/>
      <c r="AY320" s="37"/>
      <c r="AZ320" s="37">
        <f>developmentdata2019[[#This Row],[NUMBER OF CURRENT APARTMENTS]]*5/2000</f>
        <v>1.0175000000000001</v>
      </c>
      <c r="BA320" s="37">
        <f>developmentdata2019[[#This Row],[Total]]*BA$1</f>
        <v>0.26455000000000001</v>
      </c>
      <c r="BB320" s="37">
        <f>developmentdata2019[[#This Row],[Trash (tons/day)]]*BB$1</f>
        <v>5.0264500000000004E-2</v>
      </c>
      <c r="BC320" s="37">
        <f>developmentdata2019[[#This Row],[MGP (tons/day)]]*BC$1</f>
        <v>3.5185150000000007E-3</v>
      </c>
      <c r="BD320" s="37">
        <f>developmentdata2019[[#This Row],[Cardboard (tons/day)]]*BD$1</f>
        <v>2.4629605000000009E-4</v>
      </c>
      <c r="BE320" s="37">
        <f>developmentdata2019[[#This Row],[Paper (tons/day)]]*BE$1</f>
        <v>7.8814736000000035E-5</v>
      </c>
      <c r="BF320" s="37">
        <f>developmentdata2019[[#This Row],[Organics (tons/day)]]*BF$1</f>
        <v>7.881473600000004E-7</v>
      </c>
      <c r="BG320" s="37">
        <f>developmentdata2019[[#This Row],[E-Waste (tons/day)]]*BG$1</f>
        <v>6.305178880000004E-8</v>
      </c>
      <c r="BH320" s="37">
        <f>developmentdata2019[[#This Row],[Trash (tons/day)]]*BH$1</f>
        <v>5.5687775000000004</v>
      </c>
      <c r="BI320" s="37">
        <f>developmentdata2019[[#This Row],[MGP (tons/day)]]*BI$1</f>
        <v>0.90576629000000008</v>
      </c>
      <c r="BJ320" s="37">
        <f>developmentdata2019[[#This Row],[Cardboard (tons/day)]]*BJ$1</f>
        <v>9.3838795050000021E-2</v>
      </c>
      <c r="BK320" s="37">
        <f>developmentdata2019[[#This Row],[Paper (tons/day)]]*BK$1</f>
        <v>1.5245725495000007E-3</v>
      </c>
      <c r="BL320" s="37">
        <f>developmentdata2019[[#This Row],[Organics (tons/day)]]*BL$1</f>
        <v>3.4047965952000017E-4</v>
      </c>
      <c r="BM320" s="37">
        <f>developmentdata2019[[#This Row],[E-Waste (tons/day)]]*BM$1</f>
        <v>4.4530325840000025E-6</v>
      </c>
      <c r="BN320" s="37">
        <f>developmentdata2019[[#This Row],[Textiles (tons/day)]]*BN$1</f>
        <v>8.4048034470400053E-7</v>
      </c>
      <c r="BO320" s="37">
        <f>developmentdata2019[[#This Row],[Trash (CY/day)]]*201.974</f>
        <v>1124.7482667849999</v>
      </c>
      <c r="BP320" s="37">
        <f>developmentdata2019[[#This Row],[MGP (CY/day)]]*201.974</f>
        <v>182.94124065646</v>
      </c>
      <c r="BQ320" s="37">
        <f>developmentdata2019[[#This Row],[Cardboard (CY/day)]]*201.974</f>
        <v>18.952996791428703</v>
      </c>
      <c r="BR320" s="37">
        <f>developmentdata2019[[#This Row],[Paper  (CY/day)]]*201.974</f>
        <v>0.30792401611271314</v>
      </c>
      <c r="BS320" s="37">
        <f>developmentdata2019[[#This Row],[Organics (CY/day)]]*201.974</f>
        <v>6.876803875189251E-2</v>
      </c>
      <c r="BT320" s="37">
        <f>developmentdata2019[[#This Row],[E-Waste (CY/day)]]*201.974</f>
        <v>8.9939680312081649E-4</v>
      </c>
      <c r="BU320" s="37">
        <f>developmentdata2019[[#This Row],[Textiles (CY/day)]]*201.974</f>
        <v>1.6975517714124579E-4</v>
      </c>
    </row>
    <row r="321" spans="1:73" x14ac:dyDescent="0.2">
      <c r="A321" s="37" t="s">
        <v>1952</v>
      </c>
      <c r="B321" s="115">
        <v>43466</v>
      </c>
      <c r="C321" s="37" t="s">
        <v>1017</v>
      </c>
      <c r="D321">
        <v>178</v>
      </c>
      <c r="E321">
        <v>127</v>
      </c>
      <c r="F321">
        <v>279</v>
      </c>
      <c r="G321">
        <v>259</v>
      </c>
      <c r="H321" s="37" t="s">
        <v>1953</v>
      </c>
      <c r="I321" s="37" t="s">
        <v>577</v>
      </c>
      <c r="J321" s="37" t="s">
        <v>578</v>
      </c>
      <c r="K321" s="37" t="s">
        <v>597</v>
      </c>
      <c r="M321">
        <v>236</v>
      </c>
      <c r="N321">
        <v>236</v>
      </c>
      <c r="O321">
        <v>784</v>
      </c>
      <c r="P321">
        <v>3.32</v>
      </c>
      <c r="R321">
        <v>329</v>
      </c>
      <c r="S321">
        <v>329</v>
      </c>
      <c r="T321">
        <v>103</v>
      </c>
      <c r="U321">
        <v>0.45</v>
      </c>
      <c r="V321">
        <v>36</v>
      </c>
      <c r="W321">
        <v>0</v>
      </c>
      <c r="X321">
        <v>36</v>
      </c>
      <c r="Y321">
        <v>38780</v>
      </c>
      <c r="Z321">
        <v>67637</v>
      </c>
      <c r="AA321">
        <v>1.55</v>
      </c>
      <c r="AB321">
        <v>67637</v>
      </c>
      <c r="AC321">
        <v>1.55</v>
      </c>
      <c r="AD321">
        <v>41422</v>
      </c>
      <c r="AE321">
        <v>2308080</v>
      </c>
      <c r="AF321">
        <v>0.61240000000000006</v>
      </c>
      <c r="AG321">
        <v>212</v>
      </c>
      <c r="AH321">
        <v>4190975</v>
      </c>
      <c r="AI321">
        <v>4936</v>
      </c>
      <c r="AJ321">
        <v>501</v>
      </c>
      <c r="AK321" s="37" t="s">
        <v>1954</v>
      </c>
      <c r="AL321" s="37" t="s">
        <v>1955</v>
      </c>
      <c r="AM321" s="37" t="s">
        <v>620</v>
      </c>
      <c r="AN321" s="37" t="s">
        <v>1651</v>
      </c>
      <c r="AO321" s="37" t="s">
        <v>608</v>
      </c>
      <c r="AP321">
        <v>7</v>
      </c>
      <c r="AQ321">
        <v>10</v>
      </c>
      <c r="AR321">
        <v>30</v>
      </c>
      <c r="AS321">
        <v>69</v>
      </c>
      <c r="AT321">
        <v>6</v>
      </c>
      <c r="AU321" s="115">
        <v>25019</v>
      </c>
      <c r="AV321" s="37"/>
      <c r="AW321" s="37"/>
      <c r="AX321" s="37"/>
      <c r="AY321" s="37"/>
      <c r="AZ321" s="37">
        <f>developmentdata2019[[#This Row],[NUMBER OF CURRENT APARTMENTS]]*5/2000</f>
        <v>0.59</v>
      </c>
      <c r="BA321" s="37">
        <f>developmentdata2019[[#This Row],[Total]]*BA$1</f>
        <v>0.15340000000000001</v>
      </c>
      <c r="BB321" s="37">
        <f>developmentdata2019[[#This Row],[Trash (tons/day)]]*BB$1</f>
        <v>2.9146000000000002E-2</v>
      </c>
      <c r="BC321" s="37">
        <f>developmentdata2019[[#This Row],[MGP (tons/day)]]*BC$1</f>
        <v>2.0402200000000001E-3</v>
      </c>
      <c r="BD321" s="37">
        <f>developmentdata2019[[#This Row],[Cardboard (tons/day)]]*BD$1</f>
        <v>1.4281540000000002E-4</v>
      </c>
      <c r="BE321" s="37">
        <f>developmentdata2019[[#This Row],[Paper (tons/day)]]*BE$1</f>
        <v>4.5700928000000005E-5</v>
      </c>
      <c r="BF321" s="37">
        <f>developmentdata2019[[#This Row],[Organics (tons/day)]]*BF$1</f>
        <v>4.5700928000000008E-7</v>
      </c>
      <c r="BG321" s="37">
        <f>developmentdata2019[[#This Row],[E-Waste (tons/day)]]*BG$1</f>
        <v>3.6560742400000009E-8</v>
      </c>
      <c r="BH321" s="37">
        <f>developmentdata2019[[#This Row],[Trash (tons/day)]]*BH$1</f>
        <v>3.2290700000000001</v>
      </c>
      <c r="BI321" s="37">
        <f>developmentdata2019[[#This Row],[MGP (tons/day)]]*BI$1</f>
        <v>0.52521092000000003</v>
      </c>
      <c r="BJ321" s="37">
        <f>developmentdata2019[[#This Row],[Cardboard (tons/day)]]*BJ$1</f>
        <v>5.441266740000001E-2</v>
      </c>
      <c r="BK321" s="37">
        <f>developmentdata2019[[#This Row],[Paper (tons/day)]]*BK$1</f>
        <v>8.8402732600000023E-4</v>
      </c>
      <c r="BL321" s="37">
        <f>developmentdata2019[[#This Row],[Organics (tons/day)]]*BL$1</f>
        <v>1.9742800896000004E-4</v>
      </c>
      <c r="BM321" s="37">
        <f>developmentdata2019[[#This Row],[E-Waste (tons/day)]]*BM$1</f>
        <v>2.5821024320000006E-6</v>
      </c>
      <c r="BN321" s="37">
        <f>developmentdata2019[[#This Row],[Textiles (tons/day)]]*BN$1</f>
        <v>4.873546961920001E-7</v>
      </c>
      <c r="BO321" s="37">
        <f>developmentdata2019[[#This Row],[Trash (CY/day)]]*201.974</f>
        <v>652.18818418000001</v>
      </c>
      <c r="BP321" s="37">
        <f>developmentdata2019[[#This Row],[MGP (CY/day)]]*201.974</f>
        <v>106.07895035608</v>
      </c>
      <c r="BQ321" s="37">
        <f>developmentdata2019[[#This Row],[Cardboard (CY/day)]]*201.974</f>
        <v>10.989944085447602</v>
      </c>
      <c r="BR321" s="37">
        <f>developmentdata2019[[#This Row],[Paper  (CY/day)]]*201.974</f>
        <v>0.17855053514152402</v>
      </c>
      <c r="BS321" s="37">
        <f>developmentdata2019[[#This Row],[Organics (CY/day)]]*201.974</f>
        <v>3.9875324681687044E-2</v>
      </c>
      <c r="BT321" s="37">
        <f>developmentdata2019[[#This Row],[E-Waste (CY/day)]]*201.974</f>
        <v>5.2151755660076807E-4</v>
      </c>
      <c r="BU321" s="37">
        <f>developmentdata2019[[#This Row],[Textiles (CY/day)]]*201.974</f>
        <v>9.8432977408683024E-5</v>
      </c>
    </row>
    <row r="322" spans="1:73" x14ac:dyDescent="0.2">
      <c r="A322" s="37" t="s">
        <v>1956</v>
      </c>
      <c r="B322" s="115">
        <v>43466</v>
      </c>
      <c r="C322" s="37" t="s">
        <v>1017</v>
      </c>
      <c r="D322">
        <v>151</v>
      </c>
      <c r="E322">
        <v>127</v>
      </c>
      <c r="F322">
        <v>259</v>
      </c>
      <c r="G322">
        <v>259</v>
      </c>
      <c r="H322" s="37" t="s">
        <v>1957</v>
      </c>
      <c r="I322" s="37" t="s">
        <v>577</v>
      </c>
      <c r="J322" s="37" t="s">
        <v>578</v>
      </c>
      <c r="K322" s="37" t="s">
        <v>579</v>
      </c>
      <c r="M322">
        <v>69</v>
      </c>
      <c r="N322">
        <v>70</v>
      </c>
      <c r="O322">
        <v>300.5</v>
      </c>
      <c r="P322">
        <v>4.3600000000000003</v>
      </c>
      <c r="R322">
        <v>145</v>
      </c>
      <c r="S322">
        <v>145</v>
      </c>
      <c r="T322">
        <v>19</v>
      </c>
      <c r="U322">
        <v>0.27500000000000002</v>
      </c>
      <c r="V322">
        <v>1</v>
      </c>
      <c r="W322">
        <v>0</v>
      </c>
      <c r="X322">
        <v>1</v>
      </c>
      <c r="Y322">
        <v>9</v>
      </c>
      <c r="Z322">
        <v>22763</v>
      </c>
      <c r="AA322">
        <v>0.52</v>
      </c>
      <c r="AB322">
        <v>22763</v>
      </c>
      <c r="AC322">
        <v>0.52</v>
      </c>
      <c r="AD322">
        <v>6811</v>
      </c>
      <c r="AE322">
        <v>613400</v>
      </c>
      <c r="AF322">
        <v>0.29920000000000002</v>
      </c>
      <c r="AG322">
        <v>279</v>
      </c>
      <c r="AJ322">
        <v>671</v>
      </c>
      <c r="AK322" s="37" t="s">
        <v>1958</v>
      </c>
      <c r="AL322" s="37" t="s">
        <v>618</v>
      </c>
      <c r="AM322" s="37"/>
      <c r="AN322" s="37"/>
      <c r="AO322" s="37" t="s">
        <v>608</v>
      </c>
      <c r="AP322">
        <v>7</v>
      </c>
      <c r="AQ322">
        <v>10</v>
      </c>
      <c r="AR322">
        <v>30</v>
      </c>
      <c r="AS322">
        <v>69</v>
      </c>
      <c r="AT322">
        <v>6</v>
      </c>
      <c r="AU322" s="115">
        <v>24015</v>
      </c>
      <c r="AV322" s="37"/>
      <c r="AW322" s="37"/>
      <c r="AX322" s="37"/>
      <c r="AY322" s="37"/>
      <c r="AZ322" s="37">
        <f>developmentdata2019[[#This Row],[NUMBER OF CURRENT APARTMENTS]]*5/2000</f>
        <v>0.17249999999999999</v>
      </c>
      <c r="BA322" s="37">
        <f>developmentdata2019[[#This Row],[Total]]*BA$1</f>
        <v>4.4850000000000001E-2</v>
      </c>
      <c r="BB322" s="37">
        <f>developmentdata2019[[#This Row],[Trash (tons/day)]]*BB$1</f>
        <v>8.5214999999999996E-3</v>
      </c>
      <c r="BC322" s="37">
        <f>developmentdata2019[[#This Row],[MGP (tons/day)]]*BC$1</f>
        <v>5.96505E-4</v>
      </c>
      <c r="BD322" s="37">
        <f>developmentdata2019[[#This Row],[Cardboard (tons/day)]]*BD$1</f>
        <v>4.1755350000000007E-5</v>
      </c>
      <c r="BE322" s="37">
        <f>developmentdata2019[[#This Row],[Paper (tons/day)]]*BE$1</f>
        <v>1.3361712000000002E-5</v>
      </c>
      <c r="BF322" s="37">
        <f>developmentdata2019[[#This Row],[Organics (tons/day)]]*BF$1</f>
        <v>1.3361712000000004E-7</v>
      </c>
      <c r="BG322" s="37">
        <f>developmentdata2019[[#This Row],[E-Waste (tons/day)]]*BG$1</f>
        <v>1.0689369600000003E-8</v>
      </c>
      <c r="BH322" s="37">
        <f>developmentdata2019[[#This Row],[Trash (tons/day)]]*BH$1</f>
        <v>0.9440925</v>
      </c>
      <c r="BI322" s="37">
        <f>developmentdata2019[[#This Row],[MGP (tons/day)]]*BI$1</f>
        <v>0.15355742999999999</v>
      </c>
      <c r="BJ322" s="37">
        <f>developmentdata2019[[#This Row],[Cardboard (tons/day)]]*BJ$1</f>
        <v>1.5908788350000001E-2</v>
      </c>
      <c r="BK322" s="37">
        <f>developmentdata2019[[#This Row],[Paper (tons/day)]]*BK$1</f>
        <v>2.5846561650000007E-4</v>
      </c>
      <c r="BL322" s="37">
        <f>developmentdata2019[[#This Row],[Organics (tons/day)]]*BL$1</f>
        <v>5.7722595840000014E-5</v>
      </c>
      <c r="BM322" s="37">
        <f>developmentdata2019[[#This Row],[E-Waste (tons/day)]]*BM$1</f>
        <v>7.5493672800000021E-7</v>
      </c>
      <c r="BN322" s="37">
        <f>developmentdata2019[[#This Row],[Textiles (tons/day)]]*BN$1</f>
        <v>1.4248929676800002E-7</v>
      </c>
      <c r="BO322" s="37">
        <f>developmentdata2019[[#This Row],[Trash (CY/day)]]*201.974</f>
        <v>190.682138595</v>
      </c>
      <c r="BP322" s="37">
        <f>developmentdata2019[[#This Row],[MGP (CY/day)]]*201.974</f>
        <v>31.014608366819996</v>
      </c>
      <c r="BQ322" s="37">
        <f>developmentdata2019[[#This Row],[Cardboard (CY/day)]]*201.974</f>
        <v>3.2131616182028999</v>
      </c>
      <c r="BR322" s="37">
        <f>developmentdata2019[[#This Row],[Paper  (CY/day)]]*201.974</f>
        <v>5.2203334426971011E-2</v>
      </c>
      <c r="BS322" s="37">
        <f>developmentdata2019[[#This Row],[Organics (CY/day)]]*201.974</f>
        <v>1.1658463572188162E-2</v>
      </c>
      <c r="BT322" s="37">
        <f>developmentdata2019[[#This Row],[E-Waste (CY/day)]]*201.974</f>
        <v>1.5247759070107202E-4</v>
      </c>
      <c r="BU322" s="37">
        <f>developmentdata2019[[#This Row],[Textiles (CY/day)]]*201.974</f>
        <v>2.8779133225420035E-5</v>
      </c>
    </row>
    <row r="323" spans="1:73" x14ac:dyDescent="0.2">
      <c r="A323" s="37" t="s">
        <v>1959</v>
      </c>
      <c r="B323" s="115">
        <v>43466</v>
      </c>
      <c r="C323" s="37" t="s">
        <v>1017</v>
      </c>
      <c r="D323">
        <v>173</v>
      </c>
      <c r="E323">
        <v>127</v>
      </c>
      <c r="F323">
        <v>259</v>
      </c>
      <c r="G323">
        <v>259</v>
      </c>
      <c r="H323" s="37" t="s">
        <v>1957</v>
      </c>
      <c r="I323" s="37" t="s">
        <v>577</v>
      </c>
      <c r="J323" s="37" t="s">
        <v>578</v>
      </c>
      <c r="K323" s="37" t="s">
        <v>579</v>
      </c>
      <c r="M323">
        <v>168</v>
      </c>
      <c r="N323">
        <v>168</v>
      </c>
      <c r="O323">
        <v>735</v>
      </c>
      <c r="P323">
        <v>4.38</v>
      </c>
      <c r="R323">
        <v>318</v>
      </c>
      <c r="S323">
        <v>318</v>
      </c>
      <c r="T323">
        <v>77</v>
      </c>
      <c r="U323">
        <v>0.47499999999999998</v>
      </c>
      <c r="V323">
        <v>1</v>
      </c>
      <c r="W323">
        <v>0</v>
      </c>
      <c r="X323">
        <v>1</v>
      </c>
      <c r="Y323">
        <v>22</v>
      </c>
      <c r="Z323">
        <v>25176</v>
      </c>
      <c r="AA323">
        <v>0.57999999999999996</v>
      </c>
      <c r="AB323">
        <v>25176</v>
      </c>
      <c r="AC323">
        <v>0.57999999999999996</v>
      </c>
      <c r="AD323">
        <v>13176</v>
      </c>
      <c r="AE323">
        <v>1575535</v>
      </c>
      <c r="AF323">
        <v>0.52339999999999998</v>
      </c>
      <c r="AG323">
        <v>548</v>
      </c>
      <c r="AH323">
        <v>7228361</v>
      </c>
      <c r="AI323">
        <v>4167</v>
      </c>
      <c r="AJ323">
        <v>512</v>
      </c>
      <c r="AK323" s="37" t="s">
        <v>1960</v>
      </c>
      <c r="AL323" s="37" t="s">
        <v>620</v>
      </c>
      <c r="AM323" s="37"/>
      <c r="AN323" s="37"/>
      <c r="AO323" s="37" t="s">
        <v>608</v>
      </c>
      <c r="AP323">
        <v>7</v>
      </c>
      <c r="AQ323">
        <v>10</v>
      </c>
      <c r="AR323">
        <v>30</v>
      </c>
      <c r="AS323">
        <v>69</v>
      </c>
      <c r="AT323">
        <v>6</v>
      </c>
      <c r="AU323" s="115">
        <v>24015</v>
      </c>
      <c r="AV323" s="37"/>
      <c r="AW323" s="37"/>
      <c r="AX323" s="37"/>
      <c r="AY323" s="37"/>
      <c r="AZ323" s="37">
        <f>developmentdata2019[[#This Row],[NUMBER OF CURRENT APARTMENTS]]*5/2000</f>
        <v>0.42</v>
      </c>
      <c r="BA323" s="37">
        <f>developmentdata2019[[#This Row],[Total]]*BA$1</f>
        <v>0.10920000000000001</v>
      </c>
      <c r="BB323" s="37">
        <f>developmentdata2019[[#This Row],[Trash (tons/day)]]*BB$1</f>
        <v>2.0748000000000003E-2</v>
      </c>
      <c r="BC323" s="37">
        <f>developmentdata2019[[#This Row],[MGP (tons/day)]]*BC$1</f>
        <v>1.4523600000000004E-3</v>
      </c>
      <c r="BD323" s="37">
        <f>developmentdata2019[[#This Row],[Cardboard (tons/day)]]*BD$1</f>
        <v>1.0166520000000004E-4</v>
      </c>
      <c r="BE323" s="37">
        <f>developmentdata2019[[#This Row],[Paper (tons/day)]]*BE$1</f>
        <v>3.253286400000001E-5</v>
      </c>
      <c r="BF323" s="37">
        <f>developmentdata2019[[#This Row],[Organics (tons/day)]]*BF$1</f>
        <v>3.2532864000000011E-7</v>
      </c>
      <c r="BG323" s="37">
        <f>developmentdata2019[[#This Row],[E-Waste (tons/day)]]*BG$1</f>
        <v>2.6026291200000011E-8</v>
      </c>
      <c r="BH323" s="37">
        <f>developmentdata2019[[#This Row],[Trash (tons/day)]]*BH$1</f>
        <v>2.2986600000000004</v>
      </c>
      <c r="BI323" s="37">
        <f>developmentdata2019[[#This Row],[MGP (tons/day)]]*BI$1</f>
        <v>0.37387896000000004</v>
      </c>
      <c r="BJ323" s="37">
        <f>developmentdata2019[[#This Row],[Cardboard (tons/day)]]*BJ$1</f>
        <v>3.8734441200000011E-2</v>
      </c>
      <c r="BK323" s="37">
        <f>developmentdata2019[[#This Row],[Paper (tons/day)]]*BK$1</f>
        <v>6.2930758800000032E-4</v>
      </c>
      <c r="BL323" s="37">
        <f>developmentdata2019[[#This Row],[Organics (tons/day)]]*BL$1</f>
        <v>1.4054197248000006E-4</v>
      </c>
      <c r="BM323" s="37">
        <f>developmentdata2019[[#This Row],[E-Waste (tons/day)]]*BM$1</f>
        <v>1.8381068160000008E-6</v>
      </c>
      <c r="BN323" s="37">
        <f>developmentdata2019[[#This Row],[Textiles (tons/day)]]*BN$1</f>
        <v>3.4693046169600017E-7</v>
      </c>
      <c r="BO323" s="37">
        <f>developmentdata2019[[#This Row],[Trash (CY/day)]]*201.974</f>
        <v>464.26955484000007</v>
      </c>
      <c r="BP323" s="37">
        <f>developmentdata2019[[#This Row],[MGP (CY/day)]]*201.974</f>
        <v>75.513829067040007</v>
      </c>
      <c r="BQ323" s="37">
        <f>developmentdata2019[[#This Row],[Cardboard (CY/day)]]*201.974</f>
        <v>7.8233500269288019</v>
      </c>
      <c r="BR323" s="37">
        <f>developmentdata2019[[#This Row],[Paper  (CY/day)]]*201.974</f>
        <v>0.12710377077871204</v>
      </c>
      <c r="BS323" s="37">
        <f>developmentdata2019[[#This Row],[Organics (CY/day)]]*201.974</f>
        <v>2.8385824349675532E-2</v>
      </c>
      <c r="BT323" s="37">
        <f>developmentdata2019[[#This Row],[E-Waste (CY/day)]]*201.974</f>
        <v>3.7124978605478413E-4</v>
      </c>
      <c r="BU323" s="37">
        <f>developmentdata2019[[#This Row],[Textiles (CY/day)]]*201.974</f>
        <v>7.0070933070587942E-5</v>
      </c>
    </row>
    <row r="324" spans="1:73" x14ac:dyDescent="0.2">
      <c r="A324" s="37" t="s">
        <v>1961</v>
      </c>
      <c r="B324" s="115">
        <v>43466</v>
      </c>
      <c r="C324" s="37" t="s">
        <v>1017</v>
      </c>
      <c r="D324">
        <v>174</v>
      </c>
      <c r="E324">
        <v>127</v>
      </c>
      <c r="F324">
        <v>259</v>
      </c>
      <c r="G324">
        <v>259</v>
      </c>
      <c r="H324" s="37" t="s">
        <v>1957</v>
      </c>
      <c r="I324" s="37" t="s">
        <v>577</v>
      </c>
      <c r="J324" s="37" t="s">
        <v>578</v>
      </c>
      <c r="K324" s="37" t="s">
        <v>579</v>
      </c>
      <c r="M324">
        <v>158</v>
      </c>
      <c r="N324">
        <v>158</v>
      </c>
      <c r="O324">
        <v>690</v>
      </c>
      <c r="P324">
        <v>4.37</v>
      </c>
      <c r="R324">
        <v>348</v>
      </c>
      <c r="S324">
        <v>348</v>
      </c>
      <c r="T324">
        <v>61</v>
      </c>
      <c r="U324">
        <v>0.39600000000000002</v>
      </c>
      <c r="V324">
        <v>1</v>
      </c>
      <c r="W324">
        <v>0</v>
      </c>
      <c r="X324">
        <v>1</v>
      </c>
      <c r="Y324">
        <v>18</v>
      </c>
      <c r="Z324">
        <v>25131</v>
      </c>
      <c r="AA324">
        <v>0.57999999999999996</v>
      </c>
      <c r="AB324">
        <v>25131</v>
      </c>
      <c r="AC324">
        <v>0.57999999999999996</v>
      </c>
      <c r="AD324">
        <v>7891</v>
      </c>
      <c r="AE324">
        <v>1363220</v>
      </c>
      <c r="AF324">
        <v>0.314</v>
      </c>
      <c r="AG324">
        <v>600</v>
      </c>
      <c r="AJ324">
        <v>558</v>
      </c>
      <c r="AK324" s="37" t="s">
        <v>1962</v>
      </c>
      <c r="AL324" s="37" t="s">
        <v>1963</v>
      </c>
      <c r="AM324" s="37" t="s">
        <v>1964</v>
      </c>
      <c r="AN324" s="37"/>
      <c r="AO324" s="37" t="s">
        <v>608</v>
      </c>
      <c r="AP324">
        <v>7</v>
      </c>
      <c r="AQ324">
        <v>10</v>
      </c>
      <c r="AR324">
        <v>29</v>
      </c>
      <c r="AS324">
        <v>69</v>
      </c>
      <c r="AT324">
        <v>6</v>
      </c>
      <c r="AU324" s="115">
        <v>24015</v>
      </c>
      <c r="AV324" s="37"/>
      <c r="AW324" s="37"/>
      <c r="AX324" s="37"/>
      <c r="AY324" s="37"/>
      <c r="AZ324" s="37">
        <f>developmentdata2019[[#This Row],[NUMBER OF CURRENT APARTMENTS]]*5/2000</f>
        <v>0.39500000000000002</v>
      </c>
      <c r="BA324" s="37">
        <f>developmentdata2019[[#This Row],[Total]]*BA$1</f>
        <v>0.10270000000000001</v>
      </c>
      <c r="BB324" s="37">
        <f>developmentdata2019[[#This Row],[Trash (tons/day)]]*BB$1</f>
        <v>1.9513000000000003E-2</v>
      </c>
      <c r="BC324" s="37">
        <f>developmentdata2019[[#This Row],[MGP (tons/day)]]*BC$1</f>
        <v>1.3659100000000003E-3</v>
      </c>
      <c r="BD324" s="37">
        <f>developmentdata2019[[#This Row],[Cardboard (tons/day)]]*BD$1</f>
        <v>9.561370000000003E-5</v>
      </c>
      <c r="BE324" s="37">
        <f>developmentdata2019[[#This Row],[Paper (tons/day)]]*BE$1</f>
        <v>3.0596384000000007E-5</v>
      </c>
      <c r="BF324" s="37">
        <f>developmentdata2019[[#This Row],[Organics (tons/day)]]*BF$1</f>
        <v>3.0596384000000008E-7</v>
      </c>
      <c r="BG324" s="37">
        <f>developmentdata2019[[#This Row],[E-Waste (tons/day)]]*BG$1</f>
        <v>2.4477107200000006E-8</v>
      </c>
      <c r="BH324" s="37">
        <f>developmentdata2019[[#This Row],[Trash (tons/day)]]*BH$1</f>
        <v>2.1618350000000004</v>
      </c>
      <c r="BI324" s="37">
        <f>developmentdata2019[[#This Row],[MGP (tons/day)]]*BI$1</f>
        <v>0.35162426000000002</v>
      </c>
      <c r="BJ324" s="37">
        <f>developmentdata2019[[#This Row],[Cardboard (tons/day)]]*BJ$1</f>
        <v>3.6428819700000011E-2</v>
      </c>
      <c r="BK324" s="37">
        <f>developmentdata2019[[#This Row],[Paper (tons/day)]]*BK$1</f>
        <v>5.9184880300000022E-4</v>
      </c>
      <c r="BL324" s="37">
        <f>developmentdata2019[[#This Row],[Organics (tons/day)]]*BL$1</f>
        <v>1.3217637888000004E-4</v>
      </c>
      <c r="BM324" s="37">
        <f>developmentdata2019[[#This Row],[E-Waste (tons/day)]]*BM$1</f>
        <v>1.7286956960000005E-6</v>
      </c>
      <c r="BN324" s="37">
        <f>developmentdata2019[[#This Row],[Textiles (tons/day)]]*BN$1</f>
        <v>3.2627983897600009E-7</v>
      </c>
      <c r="BO324" s="37">
        <f>developmentdata2019[[#This Row],[Trash (CY/day)]]*201.974</f>
        <v>436.63446229000004</v>
      </c>
      <c r="BP324" s="37">
        <f>developmentdata2019[[#This Row],[MGP (CY/day)]]*201.974</f>
        <v>71.018958289240004</v>
      </c>
      <c r="BQ324" s="37">
        <f>developmentdata2019[[#This Row],[Cardboard (CY/day)]]*201.974</f>
        <v>7.3576744300878021</v>
      </c>
      <c r="BR324" s="37">
        <f>developmentdata2019[[#This Row],[Paper  (CY/day)]]*201.974</f>
        <v>0.11953807013712203</v>
      </c>
      <c r="BS324" s="37">
        <f>developmentdata2019[[#This Row],[Organics (CY/day)]]*201.974</f>
        <v>2.6696191947909127E-2</v>
      </c>
      <c r="BT324" s="37">
        <f>developmentdata2019[[#This Row],[E-Waste (CY/day)]]*201.974</f>
        <v>3.4915158450390412E-4</v>
      </c>
      <c r="BU324" s="37">
        <f>developmentdata2019[[#This Row],[Textiles (CY/day)]]*201.974</f>
        <v>6.5900044197338636E-5</v>
      </c>
    </row>
    <row r="325" spans="1:73" x14ac:dyDescent="0.2">
      <c r="A325" s="37" t="s">
        <v>473</v>
      </c>
      <c r="B325" s="115">
        <v>43466</v>
      </c>
      <c r="C325" s="37" t="s">
        <v>649</v>
      </c>
      <c r="D325">
        <v>163</v>
      </c>
      <c r="E325">
        <v>163</v>
      </c>
      <c r="F325">
        <v>272</v>
      </c>
      <c r="G325">
        <v>272</v>
      </c>
      <c r="H325" s="37" t="s">
        <v>1965</v>
      </c>
      <c r="I325" s="37" t="s">
        <v>577</v>
      </c>
      <c r="J325" s="37" t="s">
        <v>578</v>
      </c>
      <c r="K325" s="37" t="s">
        <v>579</v>
      </c>
      <c r="M325">
        <v>528</v>
      </c>
      <c r="N325">
        <v>529</v>
      </c>
      <c r="O325">
        <v>2434</v>
      </c>
      <c r="P325">
        <v>4.6100000000000003</v>
      </c>
      <c r="R325">
        <v>1131</v>
      </c>
      <c r="S325">
        <v>1131</v>
      </c>
      <c r="T325">
        <v>231</v>
      </c>
      <c r="U325">
        <v>0.44600000000000001</v>
      </c>
      <c r="V325">
        <v>3</v>
      </c>
      <c r="W325">
        <v>0</v>
      </c>
      <c r="X325">
        <v>3</v>
      </c>
      <c r="Y325">
        <v>21</v>
      </c>
      <c r="Z325">
        <v>253000</v>
      </c>
      <c r="AA325">
        <v>5.81</v>
      </c>
      <c r="AB325">
        <v>253000</v>
      </c>
      <c r="AC325">
        <v>5.81</v>
      </c>
      <c r="AD325">
        <v>31158</v>
      </c>
      <c r="AE325">
        <v>4724612</v>
      </c>
      <c r="AF325">
        <v>0.1232</v>
      </c>
      <c r="AG325">
        <v>195</v>
      </c>
      <c r="AH325">
        <v>10130155</v>
      </c>
      <c r="AI325">
        <v>4149</v>
      </c>
      <c r="AJ325">
        <v>584</v>
      </c>
      <c r="AK325" s="37" t="s">
        <v>600</v>
      </c>
      <c r="AL325" s="37" t="s">
        <v>1966</v>
      </c>
      <c r="AM325" s="37" t="s">
        <v>1199</v>
      </c>
      <c r="AN325" s="37" t="s">
        <v>652</v>
      </c>
      <c r="AO325" s="37" t="s">
        <v>593</v>
      </c>
      <c r="AP325">
        <v>6</v>
      </c>
      <c r="AQ325">
        <v>7</v>
      </c>
      <c r="AR325">
        <v>25</v>
      </c>
      <c r="AS325">
        <v>52</v>
      </c>
      <c r="AT325">
        <v>33</v>
      </c>
      <c r="AU325" s="115">
        <v>24472</v>
      </c>
      <c r="AV325" s="37"/>
      <c r="AW325" s="37"/>
      <c r="AX325" s="37"/>
      <c r="AY325" s="37"/>
      <c r="AZ325" s="37">
        <f>developmentdata2019[[#This Row],[NUMBER OF CURRENT APARTMENTS]]*5/2000</f>
        <v>1.32</v>
      </c>
      <c r="BA325" s="37">
        <f>developmentdata2019[[#This Row],[Total]]*BA$1</f>
        <v>0.34320000000000001</v>
      </c>
      <c r="BB325" s="37">
        <f>developmentdata2019[[#This Row],[Trash (tons/day)]]*BB$1</f>
        <v>6.5208000000000002E-2</v>
      </c>
      <c r="BC325" s="37">
        <f>developmentdata2019[[#This Row],[MGP (tons/day)]]*BC$1</f>
        <v>4.5645600000000005E-3</v>
      </c>
      <c r="BD325" s="37">
        <f>developmentdata2019[[#This Row],[Cardboard (tons/day)]]*BD$1</f>
        <v>3.1951920000000006E-4</v>
      </c>
      <c r="BE325" s="37">
        <f>developmentdata2019[[#This Row],[Paper (tons/day)]]*BE$1</f>
        <v>1.0224614400000002E-4</v>
      </c>
      <c r="BF325" s="37">
        <f>developmentdata2019[[#This Row],[Organics (tons/day)]]*BF$1</f>
        <v>1.0224614400000003E-6</v>
      </c>
      <c r="BG325" s="37">
        <f>developmentdata2019[[#This Row],[E-Waste (tons/day)]]*BG$1</f>
        <v>8.1796915200000027E-8</v>
      </c>
      <c r="BH325" s="37">
        <f>developmentdata2019[[#This Row],[Trash (tons/day)]]*BH$1</f>
        <v>7.2243600000000008</v>
      </c>
      <c r="BI325" s="37">
        <f>developmentdata2019[[#This Row],[MGP (tons/day)]]*BI$1</f>
        <v>1.17504816</v>
      </c>
      <c r="BJ325" s="37">
        <f>developmentdata2019[[#This Row],[Cardboard (tons/day)]]*BJ$1</f>
        <v>0.12173681520000001</v>
      </c>
      <c r="BK325" s="37">
        <f>developmentdata2019[[#This Row],[Paper (tons/day)]]*BK$1</f>
        <v>1.9778238480000006E-3</v>
      </c>
      <c r="BL325" s="37">
        <f>developmentdata2019[[#This Row],[Organics (tons/day)]]*BL$1</f>
        <v>4.4170334208000012E-4</v>
      </c>
      <c r="BM325" s="37">
        <f>developmentdata2019[[#This Row],[E-Waste (tons/day)]]*BM$1</f>
        <v>5.7769071360000019E-6</v>
      </c>
      <c r="BN325" s="37">
        <f>developmentdata2019[[#This Row],[Textiles (tons/day)]]*BN$1</f>
        <v>1.0903528796160003E-6</v>
      </c>
      <c r="BO325" s="37">
        <f>developmentdata2019[[#This Row],[Trash (CY/day)]]*201.974</f>
        <v>1459.1328866400002</v>
      </c>
      <c r="BP325" s="37">
        <f>developmentdata2019[[#This Row],[MGP (CY/day)]]*201.974</f>
        <v>237.32917706783999</v>
      </c>
      <c r="BQ325" s="37">
        <f>developmentdata2019[[#This Row],[Cardboard (CY/day)]]*201.974</f>
        <v>24.587671513204803</v>
      </c>
      <c r="BR325" s="37">
        <f>developmentdata2019[[#This Row],[Paper  (CY/day)]]*201.974</f>
        <v>0.39946899387595208</v>
      </c>
      <c r="BS325" s="37">
        <f>developmentdata2019[[#This Row],[Organics (CY/day)]]*201.974</f>
        <v>8.9212590813265935E-2</v>
      </c>
      <c r="BT325" s="37">
        <f>developmentdata2019[[#This Row],[E-Waste (CY/day)]]*201.974</f>
        <v>1.1667850418864644E-3</v>
      </c>
      <c r="BU325" s="37">
        <f>developmentdata2019[[#This Row],[Textiles (CY/day)]]*201.974</f>
        <v>2.2022293250756203E-4</v>
      </c>
    </row>
    <row r="326" spans="1:73" x14ac:dyDescent="0.2">
      <c r="A326" s="37" t="s">
        <v>1967</v>
      </c>
      <c r="B326" s="115"/>
      <c r="C326" s="37"/>
      <c r="H326" s="37"/>
      <c r="I326" s="37"/>
      <c r="J326" s="37"/>
      <c r="K326" s="37"/>
      <c r="AK326" s="37"/>
      <c r="AL326" s="37"/>
      <c r="AM326" s="37"/>
      <c r="AN326" s="37"/>
      <c r="AO326" s="37"/>
      <c r="AU326" s="115"/>
      <c r="AV326" s="37"/>
      <c r="AW326" s="37"/>
      <c r="AX326" s="37"/>
      <c r="AY326" s="37"/>
      <c r="AZ326" s="37">
        <f>developmentdata2019[[#This Row],[NUMBER OF CURRENT APARTMENTS]]*5/2000</f>
        <v>0</v>
      </c>
      <c r="BA326" s="37">
        <f>developmentdata2019[[#This Row],[Total]]*BA$1</f>
        <v>0</v>
      </c>
      <c r="BB326" s="37">
        <f>developmentdata2019[[#This Row],[Trash (tons/day)]]*BB$1</f>
        <v>0</v>
      </c>
      <c r="BC326" s="37">
        <f>developmentdata2019[[#This Row],[MGP (tons/day)]]*BC$1</f>
        <v>0</v>
      </c>
      <c r="BD326" s="37">
        <f>developmentdata2019[[#This Row],[Cardboard (tons/day)]]*BD$1</f>
        <v>0</v>
      </c>
      <c r="BE326" s="37">
        <f>developmentdata2019[[#This Row],[Paper (tons/day)]]*BE$1</f>
        <v>0</v>
      </c>
      <c r="BF326" s="37">
        <f>developmentdata2019[[#This Row],[Organics (tons/day)]]*BF$1</f>
        <v>0</v>
      </c>
      <c r="BG326" s="37">
        <f>developmentdata2019[[#This Row],[E-Waste (tons/day)]]*BG$1</f>
        <v>0</v>
      </c>
      <c r="BH326" s="37">
        <f>developmentdata2019[[#This Row],[Trash (tons/day)]]*BH$1</f>
        <v>0</v>
      </c>
      <c r="BI326" s="37">
        <f>developmentdata2019[[#This Row],[MGP (tons/day)]]*BI$1</f>
        <v>0</v>
      </c>
      <c r="BJ326" s="37">
        <f>developmentdata2019[[#This Row],[Cardboard (tons/day)]]*BJ$1</f>
        <v>0</v>
      </c>
      <c r="BK326" s="37">
        <f>developmentdata2019[[#This Row],[Paper (tons/day)]]*BK$1</f>
        <v>0</v>
      </c>
      <c r="BL326" s="37">
        <f>developmentdata2019[[#This Row],[Organics (tons/day)]]*BL$1</f>
        <v>0</v>
      </c>
      <c r="BM326" s="37">
        <f>developmentdata2019[[#This Row],[E-Waste (tons/day)]]*BM$1</f>
        <v>0</v>
      </c>
      <c r="BN326" s="37">
        <f>developmentdata2019[[#This Row],[Textiles (tons/day)]]*BN$1</f>
        <v>0</v>
      </c>
      <c r="BO326" s="37">
        <f>developmentdata2019[[#This Row],[Trash (CY/day)]]*201.974</f>
        <v>0</v>
      </c>
      <c r="BP326" s="37">
        <f>developmentdata2019[[#This Row],[MGP (CY/day)]]*201.974</f>
        <v>0</v>
      </c>
      <c r="BQ326" s="37">
        <f>developmentdata2019[[#This Row],[Cardboard (CY/day)]]*201.974</f>
        <v>0</v>
      </c>
      <c r="BR326" s="37">
        <f>developmentdata2019[[#This Row],[Paper  (CY/day)]]*201.974</f>
        <v>0</v>
      </c>
      <c r="BS326" s="37">
        <f>developmentdata2019[[#This Row],[Organics (CY/day)]]*201.974</f>
        <v>0</v>
      </c>
      <c r="BT326" s="37">
        <f>developmentdata2019[[#This Row],[E-Waste (CY/day)]]*201.974</f>
        <v>0</v>
      </c>
      <c r="BU326" s="37">
        <f>developmentdata2019[[#This Row],[Textiles (CY/day)]]*201.974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294E-157A-44A4-BD24-C4DD69D7CC92}">
  <dimension ref="A1:M1502"/>
  <sheetViews>
    <sheetView workbookViewId="0">
      <selection activeCell="I1" sqref="I1:L1"/>
    </sheetView>
  </sheetViews>
  <sheetFormatPr baseColWidth="10" defaultColWidth="8.83203125" defaultRowHeight="15" x14ac:dyDescent="0.2"/>
  <cols>
    <col min="1" max="1" width="33" bestFit="1" customWidth="1"/>
    <col min="2" max="2" width="9.33203125" bestFit="1" customWidth="1"/>
    <col min="3" max="3" width="17.33203125" bestFit="1" customWidth="1"/>
    <col min="7" max="7" width="33" bestFit="1" customWidth="1"/>
    <col min="8" max="8" width="21.83203125" bestFit="1" customWidth="1"/>
    <col min="9" max="9" width="10.5" bestFit="1" customWidth="1"/>
    <col min="12" max="12" width="13.1640625" bestFit="1" customWidth="1"/>
    <col min="13" max="13" width="21.83203125" bestFit="1" customWidth="1"/>
  </cols>
  <sheetData>
    <row r="1" spans="1:13" x14ac:dyDescent="0.2">
      <c r="A1" t="s">
        <v>1968</v>
      </c>
      <c r="B1" t="s">
        <v>1969</v>
      </c>
      <c r="C1" t="s">
        <v>1970</v>
      </c>
      <c r="G1" s="42" t="s">
        <v>1971</v>
      </c>
      <c r="H1" t="s">
        <v>1972</v>
      </c>
      <c r="I1" s="12" t="s">
        <v>1973</v>
      </c>
      <c r="L1" s="42" t="s">
        <v>1971</v>
      </c>
      <c r="M1" t="s">
        <v>1972</v>
      </c>
    </row>
    <row r="2" spans="1:13" x14ac:dyDescent="0.2">
      <c r="A2" s="37" t="s">
        <v>384</v>
      </c>
      <c r="B2">
        <v>1</v>
      </c>
      <c r="C2">
        <v>5.55</v>
      </c>
      <c r="G2" s="43" t="s">
        <v>384</v>
      </c>
      <c r="H2" s="37">
        <v>48.61</v>
      </c>
      <c r="I2" s="4">
        <f>H2/4</f>
        <v>12.1525</v>
      </c>
      <c r="L2" s="43">
        <v>1</v>
      </c>
      <c r="M2" s="37">
        <v>2295.1</v>
      </c>
    </row>
    <row r="3" spans="1:13" x14ac:dyDescent="0.2">
      <c r="A3" s="37" t="s">
        <v>384</v>
      </c>
      <c r="B3">
        <v>10</v>
      </c>
      <c r="C3">
        <v>3.3499999999999996</v>
      </c>
      <c r="G3" s="43" t="s">
        <v>1974</v>
      </c>
      <c r="H3" s="37">
        <v>232.92</v>
      </c>
      <c r="I3" s="4">
        <f t="shared" ref="I3:I66" si="0">H3/4</f>
        <v>58.23</v>
      </c>
      <c r="L3" s="43">
        <v>2</v>
      </c>
      <c r="M3" s="37">
        <v>2082.2900000000004</v>
      </c>
    </row>
    <row r="4" spans="1:13" x14ac:dyDescent="0.2">
      <c r="A4" s="37" t="s">
        <v>384</v>
      </c>
      <c r="B4">
        <v>11</v>
      </c>
      <c r="C4">
        <v>6.4</v>
      </c>
      <c r="G4" s="43" t="s">
        <v>344</v>
      </c>
      <c r="H4" s="37">
        <v>199.37</v>
      </c>
      <c r="I4" s="4">
        <f t="shared" si="0"/>
        <v>49.842500000000001</v>
      </c>
      <c r="L4" s="43">
        <v>3</v>
      </c>
      <c r="M4" s="37">
        <v>2285.9100000000012</v>
      </c>
    </row>
    <row r="5" spans="1:13" x14ac:dyDescent="0.2">
      <c r="A5" s="37" t="s">
        <v>384</v>
      </c>
      <c r="B5">
        <v>2</v>
      </c>
      <c r="C5">
        <v>4.5600000000000005</v>
      </c>
      <c r="G5" s="43" t="s">
        <v>1975</v>
      </c>
      <c r="H5" s="37">
        <v>75.83</v>
      </c>
      <c r="I5" s="4">
        <f t="shared" si="0"/>
        <v>18.9575</v>
      </c>
      <c r="L5" s="43">
        <v>4</v>
      </c>
      <c r="M5" s="37">
        <v>2271.1299999999992</v>
      </c>
    </row>
    <row r="6" spans="1:13" x14ac:dyDescent="0.2">
      <c r="A6" s="37" t="s">
        <v>384</v>
      </c>
      <c r="B6">
        <v>3</v>
      </c>
      <c r="C6">
        <v>4.66</v>
      </c>
      <c r="G6" s="43" t="s">
        <v>496</v>
      </c>
      <c r="H6" s="37">
        <v>126.75999999999999</v>
      </c>
      <c r="I6" s="4">
        <f t="shared" si="0"/>
        <v>31.689999999999998</v>
      </c>
      <c r="L6" s="43">
        <v>5</v>
      </c>
      <c r="M6" s="37">
        <v>2280.6799999999989</v>
      </c>
    </row>
    <row r="7" spans="1:13" x14ac:dyDescent="0.2">
      <c r="A7" s="37" t="s">
        <v>384</v>
      </c>
      <c r="B7">
        <v>4</v>
      </c>
      <c r="C7">
        <v>5.55</v>
      </c>
      <c r="G7" s="43" t="s">
        <v>348</v>
      </c>
      <c r="H7" s="37">
        <v>80.06</v>
      </c>
      <c r="I7" s="4">
        <f t="shared" si="0"/>
        <v>20.015000000000001</v>
      </c>
      <c r="L7" s="43">
        <v>6</v>
      </c>
      <c r="M7" s="37">
        <v>2106.8599999999988</v>
      </c>
    </row>
    <row r="8" spans="1:13" x14ac:dyDescent="0.2">
      <c r="A8" s="37" t="s">
        <v>384</v>
      </c>
      <c r="B8">
        <v>5</v>
      </c>
      <c r="C8">
        <v>3.1</v>
      </c>
      <c r="G8" s="43" t="s">
        <v>506</v>
      </c>
      <c r="H8" s="37">
        <v>127.06</v>
      </c>
      <c r="I8" s="4">
        <f t="shared" si="0"/>
        <v>31.765000000000001</v>
      </c>
      <c r="L8" s="43">
        <v>7</v>
      </c>
      <c r="M8" s="37">
        <v>2195.4799999999996</v>
      </c>
    </row>
    <row r="9" spans="1:13" x14ac:dyDescent="0.2">
      <c r="A9" s="37" t="s">
        <v>384</v>
      </c>
      <c r="B9">
        <v>6</v>
      </c>
      <c r="C9">
        <v>4.38</v>
      </c>
      <c r="G9" s="43" t="s">
        <v>319</v>
      </c>
      <c r="H9" s="37">
        <v>149.07999999999998</v>
      </c>
      <c r="I9" s="4">
        <f t="shared" si="0"/>
        <v>37.269999999999996</v>
      </c>
      <c r="L9" s="43">
        <v>8</v>
      </c>
      <c r="M9" s="37">
        <v>1985.33</v>
      </c>
    </row>
    <row r="10" spans="1:13" x14ac:dyDescent="0.2">
      <c r="A10" s="37" t="s">
        <v>384</v>
      </c>
      <c r="B10">
        <v>7</v>
      </c>
      <c r="C10">
        <v>3.44</v>
      </c>
      <c r="G10" s="43" t="s">
        <v>430</v>
      </c>
      <c r="H10" s="37">
        <v>5.28</v>
      </c>
      <c r="I10" s="4">
        <f t="shared" si="0"/>
        <v>1.32</v>
      </c>
      <c r="L10" s="43">
        <v>9</v>
      </c>
      <c r="M10" s="37">
        <v>1982.3199999999993</v>
      </c>
    </row>
    <row r="11" spans="1:13" x14ac:dyDescent="0.2">
      <c r="A11" s="37" t="s">
        <v>384</v>
      </c>
      <c r="B11">
        <v>8</v>
      </c>
      <c r="C11">
        <v>4.93</v>
      </c>
      <c r="G11" s="43" t="s">
        <v>1976</v>
      </c>
      <c r="H11" s="37">
        <v>220.93999999999997</v>
      </c>
      <c r="I11" s="4">
        <f t="shared" si="0"/>
        <v>55.234999999999992</v>
      </c>
      <c r="L11" s="43">
        <v>10</v>
      </c>
      <c r="M11" s="37">
        <v>2058.5600000000004</v>
      </c>
    </row>
    <row r="12" spans="1:13" x14ac:dyDescent="0.2">
      <c r="A12" s="37" t="s">
        <v>384</v>
      </c>
      <c r="B12">
        <v>9</v>
      </c>
      <c r="C12">
        <v>2.69</v>
      </c>
      <c r="G12" s="43" t="s">
        <v>1977</v>
      </c>
      <c r="H12" s="37">
        <v>181.19</v>
      </c>
      <c r="I12" s="4">
        <f t="shared" si="0"/>
        <v>45.297499999999999</v>
      </c>
      <c r="L12" s="43">
        <v>11</v>
      </c>
      <c r="M12" s="37">
        <v>1861.1700000000017</v>
      </c>
    </row>
    <row r="13" spans="1:13" x14ac:dyDescent="0.2">
      <c r="A13" s="37" t="s">
        <v>1974</v>
      </c>
      <c r="B13">
        <v>1</v>
      </c>
      <c r="C13">
        <v>19.86</v>
      </c>
      <c r="G13" s="43" t="s">
        <v>520</v>
      </c>
      <c r="H13" s="37">
        <v>67.37</v>
      </c>
      <c r="I13" s="4">
        <f t="shared" si="0"/>
        <v>16.842500000000001</v>
      </c>
      <c r="L13" s="43" t="s">
        <v>1978</v>
      </c>
      <c r="M13" s="37">
        <v>23404.83</v>
      </c>
    </row>
    <row r="14" spans="1:13" x14ac:dyDescent="0.2">
      <c r="A14" s="37" t="s">
        <v>1974</v>
      </c>
      <c r="B14">
        <v>10</v>
      </c>
      <c r="C14">
        <v>20.91</v>
      </c>
      <c r="G14" s="43" t="s">
        <v>1979</v>
      </c>
      <c r="H14" s="37">
        <v>107.4</v>
      </c>
      <c r="I14" s="4">
        <f t="shared" si="0"/>
        <v>26.85</v>
      </c>
    </row>
    <row r="15" spans="1:13" x14ac:dyDescent="0.2">
      <c r="A15" s="37" t="s">
        <v>1974</v>
      </c>
      <c r="B15">
        <v>11</v>
      </c>
      <c r="C15">
        <v>23.970000000000002</v>
      </c>
      <c r="G15" s="43" t="s">
        <v>431</v>
      </c>
      <c r="H15" s="37">
        <v>166.11999999999998</v>
      </c>
      <c r="I15" s="4">
        <f t="shared" si="0"/>
        <v>41.529999999999994</v>
      </c>
    </row>
    <row r="16" spans="1:13" x14ac:dyDescent="0.2">
      <c r="A16" s="37" t="s">
        <v>1974</v>
      </c>
      <c r="B16">
        <v>2</v>
      </c>
      <c r="C16">
        <v>20.22</v>
      </c>
      <c r="G16" s="43" t="s">
        <v>1980</v>
      </c>
      <c r="H16" s="37">
        <v>222.12000000000003</v>
      </c>
      <c r="I16" s="4">
        <f t="shared" si="0"/>
        <v>55.530000000000008</v>
      </c>
    </row>
    <row r="17" spans="1:9" x14ac:dyDescent="0.2">
      <c r="A17" s="37" t="s">
        <v>1974</v>
      </c>
      <c r="B17">
        <v>3</v>
      </c>
      <c r="C17">
        <v>24.919999999999998</v>
      </c>
      <c r="G17" s="43" t="s">
        <v>1981</v>
      </c>
      <c r="H17" s="37">
        <v>277.61</v>
      </c>
      <c r="I17" s="4">
        <f t="shared" si="0"/>
        <v>69.402500000000003</v>
      </c>
    </row>
    <row r="18" spans="1:9" x14ac:dyDescent="0.2">
      <c r="A18" s="37" t="s">
        <v>1974</v>
      </c>
      <c r="B18">
        <v>4</v>
      </c>
      <c r="C18">
        <v>22.88</v>
      </c>
      <c r="G18" s="43" t="s">
        <v>443</v>
      </c>
      <c r="H18" s="37">
        <v>151.20000000000002</v>
      </c>
      <c r="I18" s="4">
        <f t="shared" si="0"/>
        <v>37.800000000000004</v>
      </c>
    </row>
    <row r="19" spans="1:9" x14ac:dyDescent="0.2">
      <c r="A19" s="37" t="s">
        <v>1974</v>
      </c>
      <c r="B19">
        <v>5</v>
      </c>
      <c r="C19">
        <v>28.46</v>
      </c>
      <c r="G19" s="43" t="s">
        <v>418</v>
      </c>
      <c r="H19" s="37">
        <v>190.24</v>
      </c>
      <c r="I19" s="4">
        <f t="shared" si="0"/>
        <v>47.56</v>
      </c>
    </row>
    <row r="20" spans="1:9" x14ac:dyDescent="0.2">
      <c r="A20" s="37" t="s">
        <v>1974</v>
      </c>
      <c r="B20">
        <v>6</v>
      </c>
      <c r="C20">
        <v>16.98</v>
      </c>
      <c r="G20" s="43" t="s">
        <v>485</v>
      </c>
      <c r="H20" s="37">
        <v>148.16999999999999</v>
      </c>
      <c r="I20" s="4">
        <f t="shared" si="0"/>
        <v>37.042499999999997</v>
      </c>
    </row>
    <row r="21" spans="1:9" x14ac:dyDescent="0.2">
      <c r="A21" s="37" t="s">
        <v>1974</v>
      </c>
      <c r="B21">
        <v>7</v>
      </c>
      <c r="C21">
        <v>14.7</v>
      </c>
      <c r="G21" s="43" t="s">
        <v>858</v>
      </c>
      <c r="H21" s="37">
        <v>241.76999999999998</v>
      </c>
      <c r="I21" s="4">
        <f t="shared" si="0"/>
        <v>60.442499999999995</v>
      </c>
    </row>
    <row r="22" spans="1:9" x14ac:dyDescent="0.2">
      <c r="A22" s="37" t="s">
        <v>1974</v>
      </c>
      <c r="B22">
        <v>8</v>
      </c>
      <c r="C22">
        <v>25.05</v>
      </c>
      <c r="G22" s="43" t="s">
        <v>400</v>
      </c>
      <c r="H22" s="37">
        <v>259.70999999999998</v>
      </c>
      <c r="I22" s="4">
        <f t="shared" si="0"/>
        <v>64.927499999999995</v>
      </c>
    </row>
    <row r="23" spans="1:9" x14ac:dyDescent="0.2">
      <c r="A23" s="37" t="s">
        <v>1974</v>
      </c>
      <c r="B23">
        <v>9</v>
      </c>
      <c r="C23">
        <v>14.969999999999999</v>
      </c>
      <c r="G23" s="43" t="s">
        <v>1982</v>
      </c>
      <c r="H23" s="37">
        <v>210.51</v>
      </c>
      <c r="I23" s="4">
        <f t="shared" si="0"/>
        <v>52.627499999999998</v>
      </c>
    </row>
    <row r="24" spans="1:9" x14ac:dyDescent="0.2">
      <c r="A24" s="37" t="s">
        <v>344</v>
      </c>
      <c r="B24">
        <v>1</v>
      </c>
      <c r="C24">
        <v>17.649999999999999</v>
      </c>
      <c r="G24" s="43" t="s">
        <v>362</v>
      </c>
      <c r="H24" s="37">
        <v>190.11</v>
      </c>
      <c r="I24" s="4">
        <f t="shared" si="0"/>
        <v>47.527500000000003</v>
      </c>
    </row>
    <row r="25" spans="1:9" x14ac:dyDescent="0.2">
      <c r="A25" s="37" t="s">
        <v>344</v>
      </c>
      <c r="B25">
        <v>10</v>
      </c>
      <c r="C25">
        <v>20.310000000000002</v>
      </c>
      <c r="G25" s="43" t="s">
        <v>421</v>
      </c>
      <c r="H25" s="37">
        <v>275.24000000000007</v>
      </c>
      <c r="I25" s="4">
        <f t="shared" si="0"/>
        <v>68.810000000000016</v>
      </c>
    </row>
    <row r="26" spans="1:9" x14ac:dyDescent="0.2">
      <c r="A26" s="37" t="s">
        <v>344</v>
      </c>
      <c r="B26">
        <v>11</v>
      </c>
      <c r="C26">
        <v>15.63</v>
      </c>
      <c r="G26" s="43" t="s">
        <v>335</v>
      </c>
      <c r="H26" s="37">
        <v>159.65</v>
      </c>
      <c r="I26" s="4">
        <f t="shared" si="0"/>
        <v>39.912500000000001</v>
      </c>
    </row>
    <row r="27" spans="1:9" x14ac:dyDescent="0.2">
      <c r="A27" s="37" t="s">
        <v>344</v>
      </c>
      <c r="B27">
        <v>2</v>
      </c>
      <c r="C27">
        <v>16.560000000000002</v>
      </c>
      <c r="G27" s="43" t="s">
        <v>1983</v>
      </c>
      <c r="H27" s="37">
        <v>121.67</v>
      </c>
      <c r="I27" s="4">
        <f t="shared" si="0"/>
        <v>30.4175</v>
      </c>
    </row>
    <row r="28" spans="1:9" x14ac:dyDescent="0.2">
      <c r="A28" s="37" t="s">
        <v>344</v>
      </c>
      <c r="B28">
        <v>3</v>
      </c>
      <c r="C28">
        <v>18.41</v>
      </c>
      <c r="G28" s="43" t="s">
        <v>364</v>
      </c>
      <c r="H28" s="37">
        <v>101.12</v>
      </c>
      <c r="I28" s="4">
        <f t="shared" si="0"/>
        <v>25.28</v>
      </c>
    </row>
    <row r="29" spans="1:9" x14ac:dyDescent="0.2">
      <c r="A29" s="37" t="s">
        <v>344</v>
      </c>
      <c r="B29">
        <v>4</v>
      </c>
      <c r="C29">
        <v>10.34</v>
      </c>
      <c r="G29" s="43" t="s">
        <v>987</v>
      </c>
      <c r="H29" s="37">
        <v>82.03</v>
      </c>
      <c r="I29" s="4">
        <f t="shared" si="0"/>
        <v>20.5075</v>
      </c>
    </row>
    <row r="30" spans="1:9" x14ac:dyDescent="0.2">
      <c r="A30" s="37" t="s">
        <v>344</v>
      </c>
      <c r="B30">
        <v>5</v>
      </c>
      <c r="C30">
        <v>21.18</v>
      </c>
      <c r="G30" s="43" t="s">
        <v>1984</v>
      </c>
      <c r="H30" s="37">
        <v>148.76999999999998</v>
      </c>
      <c r="I30" s="4">
        <f t="shared" si="0"/>
        <v>37.192499999999995</v>
      </c>
    </row>
    <row r="31" spans="1:9" x14ac:dyDescent="0.2">
      <c r="A31" s="37" t="s">
        <v>344</v>
      </c>
      <c r="B31">
        <v>6</v>
      </c>
      <c r="C31">
        <v>21.35</v>
      </c>
      <c r="G31" s="43" t="s">
        <v>341</v>
      </c>
      <c r="H31" s="37">
        <v>254.21000000000004</v>
      </c>
      <c r="I31" s="4">
        <f t="shared" si="0"/>
        <v>63.552500000000009</v>
      </c>
    </row>
    <row r="32" spans="1:9" x14ac:dyDescent="0.2">
      <c r="A32" s="37" t="s">
        <v>344</v>
      </c>
      <c r="B32">
        <v>7</v>
      </c>
      <c r="C32">
        <v>24.3</v>
      </c>
      <c r="G32" s="43" t="s">
        <v>1985</v>
      </c>
      <c r="H32" s="37">
        <v>243.28000000000003</v>
      </c>
      <c r="I32" s="4">
        <f t="shared" si="0"/>
        <v>60.820000000000007</v>
      </c>
    </row>
    <row r="33" spans="1:9" x14ac:dyDescent="0.2">
      <c r="A33" s="37" t="s">
        <v>344</v>
      </c>
      <c r="B33">
        <v>8</v>
      </c>
      <c r="C33">
        <v>13.139999999999999</v>
      </c>
      <c r="G33" s="43" t="s">
        <v>379</v>
      </c>
      <c r="H33" s="37">
        <v>139.69</v>
      </c>
      <c r="I33" s="4">
        <f t="shared" si="0"/>
        <v>34.922499999999999</v>
      </c>
    </row>
    <row r="34" spans="1:9" x14ac:dyDescent="0.2">
      <c r="A34" s="37" t="s">
        <v>344</v>
      </c>
      <c r="B34">
        <v>9</v>
      </c>
      <c r="C34">
        <v>20.5</v>
      </c>
      <c r="G34" s="43" t="s">
        <v>365</v>
      </c>
      <c r="H34" s="37">
        <v>167.96999999999997</v>
      </c>
      <c r="I34" s="4">
        <f t="shared" si="0"/>
        <v>41.992499999999993</v>
      </c>
    </row>
    <row r="35" spans="1:9" x14ac:dyDescent="0.2">
      <c r="A35" s="37" t="s">
        <v>1975</v>
      </c>
      <c r="B35">
        <v>1</v>
      </c>
      <c r="C35">
        <v>9.51</v>
      </c>
      <c r="G35" s="43" t="s">
        <v>1986</v>
      </c>
      <c r="H35" s="37">
        <v>157.16</v>
      </c>
      <c r="I35" s="4">
        <f t="shared" si="0"/>
        <v>39.29</v>
      </c>
    </row>
    <row r="36" spans="1:9" x14ac:dyDescent="0.2">
      <c r="A36" s="37" t="s">
        <v>1975</v>
      </c>
      <c r="B36">
        <v>10</v>
      </c>
      <c r="C36">
        <v>6.45</v>
      </c>
      <c r="G36" s="43" t="s">
        <v>433</v>
      </c>
      <c r="H36" s="37">
        <v>360.52</v>
      </c>
      <c r="I36" s="4">
        <f t="shared" si="0"/>
        <v>90.13</v>
      </c>
    </row>
    <row r="37" spans="1:9" x14ac:dyDescent="0.2">
      <c r="A37" s="37" t="s">
        <v>1975</v>
      </c>
      <c r="B37">
        <v>11</v>
      </c>
      <c r="C37">
        <v>9.36</v>
      </c>
      <c r="G37" s="43" t="s">
        <v>440</v>
      </c>
      <c r="H37" s="37">
        <v>215.66999999999996</v>
      </c>
      <c r="I37" s="4">
        <f t="shared" si="0"/>
        <v>53.91749999999999</v>
      </c>
    </row>
    <row r="38" spans="1:9" x14ac:dyDescent="0.2">
      <c r="A38" s="37" t="s">
        <v>1975</v>
      </c>
      <c r="B38">
        <v>2</v>
      </c>
      <c r="C38">
        <v>4.79</v>
      </c>
      <c r="G38" s="43" t="s">
        <v>398</v>
      </c>
      <c r="H38" s="37">
        <v>414.90999999999997</v>
      </c>
      <c r="I38" s="4">
        <f t="shared" si="0"/>
        <v>103.72749999999999</v>
      </c>
    </row>
    <row r="39" spans="1:9" x14ac:dyDescent="0.2">
      <c r="A39" s="37" t="s">
        <v>1975</v>
      </c>
      <c r="B39">
        <v>3</v>
      </c>
      <c r="C39">
        <v>6.9</v>
      </c>
      <c r="G39" s="43" t="s">
        <v>1987</v>
      </c>
      <c r="H39" s="37">
        <v>97.79</v>
      </c>
      <c r="I39" s="4">
        <f t="shared" si="0"/>
        <v>24.447500000000002</v>
      </c>
    </row>
    <row r="40" spans="1:9" x14ac:dyDescent="0.2">
      <c r="A40" s="37" t="s">
        <v>1975</v>
      </c>
      <c r="B40">
        <v>4</v>
      </c>
      <c r="C40">
        <v>7.6000000000000005</v>
      </c>
      <c r="G40" s="43" t="s">
        <v>1988</v>
      </c>
      <c r="H40" s="37">
        <v>115.25999999999999</v>
      </c>
      <c r="I40" s="4">
        <f t="shared" si="0"/>
        <v>28.814999999999998</v>
      </c>
    </row>
    <row r="41" spans="1:9" x14ac:dyDescent="0.2">
      <c r="A41" s="37" t="s">
        <v>1975</v>
      </c>
      <c r="B41">
        <v>5</v>
      </c>
      <c r="C41">
        <v>5.6099999999999994</v>
      </c>
      <c r="G41" s="43" t="s">
        <v>338</v>
      </c>
      <c r="H41" s="37">
        <v>166.07999999999998</v>
      </c>
      <c r="I41" s="4">
        <f t="shared" si="0"/>
        <v>41.519999999999996</v>
      </c>
    </row>
    <row r="42" spans="1:9" x14ac:dyDescent="0.2">
      <c r="A42" s="37" t="s">
        <v>1975</v>
      </c>
      <c r="B42">
        <v>6</v>
      </c>
      <c r="C42">
        <v>5.91</v>
      </c>
      <c r="G42" s="43" t="s">
        <v>1989</v>
      </c>
      <c r="H42" s="37">
        <v>172.37</v>
      </c>
      <c r="I42" s="4">
        <f t="shared" si="0"/>
        <v>43.092500000000001</v>
      </c>
    </row>
    <row r="43" spans="1:9" x14ac:dyDescent="0.2">
      <c r="A43" s="37" t="s">
        <v>1975</v>
      </c>
      <c r="B43">
        <v>7</v>
      </c>
      <c r="C43">
        <v>6.42</v>
      </c>
      <c r="G43" s="43" t="s">
        <v>325</v>
      </c>
      <c r="H43" s="37">
        <v>55.440000000000005</v>
      </c>
      <c r="I43" s="4">
        <f t="shared" si="0"/>
        <v>13.860000000000001</v>
      </c>
    </row>
    <row r="44" spans="1:9" x14ac:dyDescent="0.2">
      <c r="A44" s="37" t="s">
        <v>1975</v>
      </c>
      <c r="B44">
        <v>8</v>
      </c>
      <c r="C44">
        <v>6.55</v>
      </c>
      <c r="G44" s="43" t="s">
        <v>465</v>
      </c>
      <c r="H44" s="37">
        <v>173.67000000000002</v>
      </c>
      <c r="I44" s="4">
        <f t="shared" si="0"/>
        <v>43.417500000000004</v>
      </c>
    </row>
    <row r="45" spans="1:9" x14ac:dyDescent="0.2">
      <c r="A45" s="37" t="s">
        <v>1975</v>
      </c>
      <c r="B45">
        <v>9</v>
      </c>
      <c r="C45">
        <v>6.73</v>
      </c>
      <c r="G45" s="43" t="s">
        <v>350</v>
      </c>
      <c r="H45" s="37">
        <v>356.99000000000007</v>
      </c>
      <c r="I45" s="4">
        <f t="shared" si="0"/>
        <v>89.247500000000016</v>
      </c>
    </row>
    <row r="46" spans="1:9" x14ac:dyDescent="0.2">
      <c r="A46" s="37" t="s">
        <v>496</v>
      </c>
      <c r="B46">
        <v>1</v>
      </c>
      <c r="C46">
        <v>11.580000000000002</v>
      </c>
      <c r="G46" s="43" t="s">
        <v>1990</v>
      </c>
      <c r="H46" s="37">
        <v>60.89</v>
      </c>
      <c r="I46" s="4">
        <f t="shared" si="0"/>
        <v>15.2225</v>
      </c>
    </row>
    <row r="47" spans="1:9" x14ac:dyDescent="0.2">
      <c r="A47" s="37" t="s">
        <v>496</v>
      </c>
      <c r="B47">
        <v>10</v>
      </c>
      <c r="C47">
        <v>12.079999999999998</v>
      </c>
      <c r="G47" s="43" t="s">
        <v>1991</v>
      </c>
      <c r="H47" s="37">
        <v>144.70000000000002</v>
      </c>
      <c r="I47" s="4">
        <f t="shared" si="0"/>
        <v>36.175000000000004</v>
      </c>
    </row>
    <row r="48" spans="1:9" x14ac:dyDescent="0.2">
      <c r="A48" s="37" t="s">
        <v>496</v>
      </c>
      <c r="B48">
        <v>11</v>
      </c>
      <c r="C48">
        <v>10.89</v>
      </c>
      <c r="G48" s="43" t="s">
        <v>1992</v>
      </c>
      <c r="H48" s="37">
        <v>70.39</v>
      </c>
      <c r="I48" s="4">
        <f t="shared" si="0"/>
        <v>17.5975</v>
      </c>
    </row>
    <row r="49" spans="1:9" x14ac:dyDescent="0.2">
      <c r="A49" s="37" t="s">
        <v>496</v>
      </c>
      <c r="B49">
        <v>2</v>
      </c>
      <c r="C49">
        <v>12.719999999999999</v>
      </c>
      <c r="G49" s="43" t="s">
        <v>356</v>
      </c>
      <c r="H49" s="37">
        <v>125.79999999999998</v>
      </c>
      <c r="I49" s="4">
        <f t="shared" si="0"/>
        <v>31.449999999999996</v>
      </c>
    </row>
    <row r="50" spans="1:9" x14ac:dyDescent="0.2">
      <c r="A50" s="37" t="s">
        <v>496</v>
      </c>
      <c r="B50">
        <v>3</v>
      </c>
      <c r="C50">
        <v>10.68</v>
      </c>
      <c r="G50" s="43" t="s">
        <v>1993</v>
      </c>
      <c r="H50" s="37">
        <v>113.9</v>
      </c>
      <c r="I50" s="4">
        <f t="shared" si="0"/>
        <v>28.475000000000001</v>
      </c>
    </row>
    <row r="51" spans="1:9" x14ac:dyDescent="0.2">
      <c r="A51" s="37" t="s">
        <v>496</v>
      </c>
      <c r="B51">
        <v>4</v>
      </c>
      <c r="C51">
        <v>11.82</v>
      </c>
      <c r="G51" s="43" t="s">
        <v>1994</v>
      </c>
      <c r="H51" s="37">
        <v>159.65</v>
      </c>
      <c r="I51" s="4">
        <f t="shared" si="0"/>
        <v>39.912500000000001</v>
      </c>
    </row>
    <row r="52" spans="1:9" x14ac:dyDescent="0.2">
      <c r="A52" s="37" t="s">
        <v>496</v>
      </c>
      <c r="B52">
        <v>5</v>
      </c>
      <c r="C52">
        <v>7.84</v>
      </c>
      <c r="G52" s="43" t="s">
        <v>457</v>
      </c>
      <c r="H52" s="37">
        <v>122.89</v>
      </c>
      <c r="I52" s="4">
        <f t="shared" si="0"/>
        <v>30.7225</v>
      </c>
    </row>
    <row r="53" spans="1:9" x14ac:dyDescent="0.2">
      <c r="A53" s="37" t="s">
        <v>496</v>
      </c>
      <c r="B53">
        <v>6</v>
      </c>
      <c r="C53">
        <v>10.72</v>
      </c>
      <c r="G53" s="43" t="s">
        <v>490</v>
      </c>
      <c r="H53" s="37">
        <v>147.56</v>
      </c>
      <c r="I53" s="4">
        <f t="shared" si="0"/>
        <v>36.89</v>
      </c>
    </row>
    <row r="54" spans="1:9" x14ac:dyDescent="0.2">
      <c r="A54" s="37" t="s">
        <v>496</v>
      </c>
      <c r="B54">
        <v>7</v>
      </c>
      <c r="C54">
        <v>18.96</v>
      </c>
      <c r="G54" s="43" t="s">
        <v>441</v>
      </c>
      <c r="H54" s="37">
        <v>158.63</v>
      </c>
      <c r="I54" s="4">
        <f t="shared" si="0"/>
        <v>39.657499999999999</v>
      </c>
    </row>
    <row r="55" spans="1:9" x14ac:dyDescent="0.2">
      <c r="A55" s="37" t="s">
        <v>496</v>
      </c>
      <c r="B55">
        <v>8</v>
      </c>
      <c r="C55">
        <v>9.26</v>
      </c>
      <c r="G55" s="43" t="s">
        <v>386</v>
      </c>
      <c r="H55" s="37">
        <v>89.11</v>
      </c>
      <c r="I55" s="4">
        <f t="shared" si="0"/>
        <v>22.2775</v>
      </c>
    </row>
    <row r="56" spans="1:9" x14ac:dyDescent="0.2">
      <c r="A56" s="37" t="s">
        <v>496</v>
      </c>
      <c r="B56">
        <v>9</v>
      </c>
      <c r="C56">
        <v>10.210000000000001</v>
      </c>
      <c r="G56" s="43" t="s">
        <v>366</v>
      </c>
      <c r="H56" s="37">
        <v>295.70999999999998</v>
      </c>
      <c r="I56" s="4">
        <f t="shared" si="0"/>
        <v>73.927499999999995</v>
      </c>
    </row>
    <row r="57" spans="1:9" x14ac:dyDescent="0.2">
      <c r="A57" s="37" t="s">
        <v>348</v>
      </c>
      <c r="B57">
        <v>1</v>
      </c>
      <c r="C57">
        <v>6.15</v>
      </c>
      <c r="G57" s="43" t="s">
        <v>367</v>
      </c>
      <c r="H57" s="37">
        <v>277.86</v>
      </c>
      <c r="I57" s="4">
        <f t="shared" si="0"/>
        <v>69.465000000000003</v>
      </c>
    </row>
    <row r="58" spans="1:9" x14ac:dyDescent="0.2">
      <c r="A58" s="37" t="s">
        <v>348</v>
      </c>
      <c r="B58">
        <v>10</v>
      </c>
      <c r="C58">
        <v>3.76</v>
      </c>
      <c r="G58" s="43" t="s">
        <v>358</v>
      </c>
      <c r="H58" s="37">
        <v>215.44</v>
      </c>
      <c r="I58" s="4">
        <f t="shared" si="0"/>
        <v>53.86</v>
      </c>
    </row>
    <row r="59" spans="1:9" x14ac:dyDescent="0.2">
      <c r="A59" s="37" t="s">
        <v>348</v>
      </c>
      <c r="B59">
        <v>11</v>
      </c>
      <c r="C59">
        <v>8.0599999999999987</v>
      </c>
      <c r="G59" s="43" t="s">
        <v>1318</v>
      </c>
      <c r="H59" s="37">
        <v>165.76999999999998</v>
      </c>
      <c r="I59" s="4">
        <f t="shared" si="0"/>
        <v>41.442499999999995</v>
      </c>
    </row>
    <row r="60" spans="1:9" x14ac:dyDescent="0.2">
      <c r="A60" s="37" t="s">
        <v>348</v>
      </c>
      <c r="B60">
        <v>2</v>
      </c>
      <c r="C60">
        <v>10.56</v>
      </c>
      <c r="G60" s="43" t="s">
        <v>1995</v>
      </c>
      <c r="H60" s="37">
        <v>51.940000000000012</v>
      </c>
      <c r="I60" s="4">
        <f t="shared" si="0"/>
        <v>12.985000000000003</v>
      </c>
    </row>
    <row r="61" spans="1:9" x14ac:dyDescent="0.2">
      <c r="A61" s="37" t="s">
        <v>348</v>
      </c>
      <c r="B61">
        <v>3</v>
      </c>
      <c r="C61">
        <v>6.21</v>
      </c>
      <c r="G61" s="43" t="s">
        <v>1996</v>
      </c>
      <c r="H61" s="37">
        <v>86.98</v>
      </c>
      <c r="I61" s="4">
        <f t="shared" si="0"/>
        <v>21.745000000000001</v>
      </c>
    </row>
    <row r="62" spans="1:9" x14ac:dyDescent="0.2">
      <c r="A62" s="37" t="s">
        <v>348</v>
      </c>
      <c r="B62">
        <v>4</v>
      </c>
      <c r="C62">
        <v>5.0199999999999996</v>
      </c>
      <c r="G62" s="43" t="s">
        <v>1997</v>
      </c>
      <c r="H62" s="37">
        <v>86.32</v>
      </c>
      <c r="I62" s="4">
        <f t="shared" si="0"/>
        <v>21.58</v>
      </c>
    </row>
    <row r="63" spans="1:9" x14ac:dyDescent="0.2">
      <c r="A63" s="37" t="s">
        <v>348</v>
      </c>
      <c r="B63">
        <v>5</v>
      </c>
      <c r="C63">
        <v>2.9</v>
      </c>
      <c r="G63" s="43" t="s">
        <v>1998</v>
      </c>
      <c r="H63" s="37">
        <v>121.98</v>
      </c>
      <c r="I63" s="4">
        <f t="shared" si="0"/>
        <v>30.495000000000001</v>
      </c>
    </row>
    <row r="64" spans="1:9" x14ac:dyDescent="0.2">
      <c r="A64" s="37" t="s">
        <v>348</v>
      </c>
      <c r="B64">
        <v>6</v>
      </c>
      <c r="C64">
        <v>11.159999999999998</v>
      </c>
      <c r="G64" s="43" t="s">
        <v>368</v>
      </c>
      <c r="H64" s="37">
        <v>85.04</v>
      </c>
      <c r="I64" s="4">
        <f t="shared" si="0"/>
        <v>21.26</v>
      </c>
    </row>
    <row r="65" spans="1:9" x14ac:dyDescent="0.2">
      <c r="A65" s="37" t="s">
        <v>348</v>
      </c>
      <c r="B65">
        <v>7</v>
      </c>
      <c r="C65">
        <v>9.4699999999999989</v>
      </c>
      <c r="G65" s="43" t="s">
        <v>369</v>
      </c>
      <c r="H65" s="37">
        <v>276.2</v>
      </c>
      <c r="I65" s="4">
        <f t="shared" si="0"/>
        <v>69.05</v>
      </c>
    </row>
    <row r="66" spans="1:9" x14ac:dyDescent="0.2">
      <c r="A66" s="37" t="s">
        <v>348</v>
      </c>
      <c r="B66">
        <v>8</v>
      </c>
      <c r="C66">
        <v>11.379999999999999</v>
      </c>
      <c r="G66" s="43" t="s">
        <v>1999</v>
      </c>
      <c r="H66" s="37">
        <v>77.059999999999988</v>
      </c>
      <c r="I66" s="4">
        <f t="shared" si="0"/>
        <v>19.264999999999997</v>
      </c>
    </row>
    <row r="67" spans="1:9" x14ac:dyDescent="0.2">
      <c r="A67" s="37" t="s">
        <v>348</v>
      </c>
      <c r="B67">
        <v>9</v>
      </c>
      <c r="C67">
        <v>5.3900000000000006</v>
      </c>
      <c r="G67" s="43" t="s">
        <v>351</v>
      </c>
      <c r="H67" s="37">
        <v>165.34</v>
      </c>
      <c r="I67" s="4">
        <f t="shared" ref="I67:I130" si="1">H67/4</f>
        <v>41.335000000000001</v>
      </c>
    </row>
    <row r="68" spans="1:9" x14ac:dyDescent="0.2">
      <c r="A68" s="37" t="s">
        <v>506</v>
      </c>
      <c r="B68">
        <v>1</v>
      </c>
      <c r="C68">
        <v>10.119999999999999</v>
      </c>
      <c r="G68" s="43" t="s">
        <v>2000</v>
      </c>
      <c r="H68" s="37">
        <v>203.38000000000005</v>
      </c>
      <c r="I68" s="4">
        <f t="shared" si="1"/>
        <v>50.845000000000013</v>
      </c>
    </row>
    <row r="69" spans="1:9" x14ac:dyDescent="0.2">
      <c r="A69" s="37" t="s">
        <v>506</v>
      </c>
      <c r="B69">
        <v>10</v>
      </c>
      <c r="C69">
        <v>8.629999999999999</v>
      </c>
      <c r="G69" s="43" t="s">
        <v>2001</v>
      </c>
      <c r="H69" s="37">
        <v>76.44</v>
      </c>
      <c r="I69" s="4">
        <f t="shared" si="1"/>
        <v>19.11</v>
      </c>
    </row>
    <row r="70" spans="1:9" x14ac:dyDescent="0.2">
      <c r="A70" s="37" t="s">
        <v>506</v>
      </c>
      <c r="B70">
        <v>11</v>
      </c>
      <c r="C70">
        <v>6.57</v>
      </c>
      <c r="G70" s="43" t="s">
        <v>447</v>
      </c>
      <c r="H70" s="37">
        <v>214.07</v>
      </c>
      <c r="I70" s="4">
        <f t="shared" si="1"/>
        <v>53.517499999999998</v>
      </c>
    </row>
    <row r="71" spans="1:9" x14ac:dyDescent="0.2">
      <c r="A71" s="37" t="s">
        <v>506</v>
      </c>
      <c r="B71">
        <v>2</v>
      </c>
      <c r="C71">
        <v>9.5500000000000007</v>
      </c>
      <c r="G71" s="43" t="s">
        <v>2002</v>
      </c>
      <c r="H71" s="37">
        <v>105.35</v>
      </c>
      <c r="I71" s="4">
        <f t="shared" si="1"/>
        <v>26.337499999999999</v>
      </c>
    </row>
    <row r="72" spans="1:9" x14ac:dyDescent="0.2">
      <c r="A72" s="37" t="s">
        <v>506</v>
      </c>
      <c r="B72">
        <v>3</v>
      </c>
      <c r="C72">
        <v>11.82</v>
      </c>
      <c r="G72" s="43" t="s">
        <v>2003</v>
      </c>
      <c r="H72" s="37">
        <v>202.09</v>
      </c>
      <c r="I72" s="4">
        <f t="shared" si="1"/>
        <v>50.522500000000001</v>
      </c>
    </row>
    <row r="73" spans="1:9" x14ac:dyDescent="0.2">
      <c r="A73" s="37" t="s">
        <v>506</v>
      </c>
      <c r="B73">
        <v>4</v>
      </c>
      <c r="C73">
        <v>15.25</v>
      </c>
      <c r="G73" s="43" t="s">
        <v>401</v>
      </c>
      <c r="H73" s="37">
        <v>99.86</v>
      </c>
      <c r="I73" s="4">
        <f t="shared" si="1"/>
        <v>24.965</v>
      </c>
    </row>
    <row r="74" spans="1:9" x14ac:dyDescent="0.2">
      <c r="A74" s="37" t="s">
        <v>506</v>
      </c>
      <c r="B74">
        <v>5</v>
      </c>
      <c r="C74">
        <v>14.809999999999999</v>
      </c>
      <c r="G74" s="43" t="s">
        <v>394</v>
      </c>
      <c r="H74" s="37">
        <v>230.88</v>
      </c>
      <c r="I74" s="4">
        <f t="shared" si="1"/>
        <v>57.72</v>
      </c>
    </row>
    <row r="75" spans="1:9" x14ac:dyDescent="0.2">
      <c r="A75" s="37" t="s">
        <v>506</v>
      </c>
      <c r="B75">
        <v>6</v>
      </c>
      <c r="C75">
        <v>13.89</v>
      </c>
      <c r="G75" s="43" t="s">
        <v>2004</v>
      </c>
      <c r="H75" s="37">
        <v>171.19</v>
      </c>
      <c r="I75" s="4">
        <f t="shared" si="1"/>
        <v>42.797499999999999</v>
      </c>
    </row>
    <row r="76" spans="1:9" x14ac:dyDescent="0.2">
      <c r="A76" s="37" t="s">
        <v>506</v>
      </c>
      <c r="B76">
        <v>7</v>
      </c>
      <c r="C76">
        <v>14.419999999999998</v>
      </c>
      <c r="G76" s="43" t="s">
        <v>2005</v>
      </c>
      <c r="H76" s="37">
        <v>230.98999999999998</v>
      </c>
      <c r="I76" s="4">
        <f t="shared" si="1"/>
        <v>57.747499999999995</v>
      </c>
    </row>
    <row r="77" spans="1:9" x14ac:dyDescent="0.2">
      <c r="A77" s="37" t="s">
        <v>506</v>
      </c>
      <c r="B77">
        <v>8</v>
      </c>
      <c r="C77">
        <v>11.08</v>
      </c>
      <c r="G77" s="43" t="s">
        <v>389</v>
      </c>
      <c r="H77" s="37">
        <v>261.97000000000003</v>
      </c>
      <c r="I77" s="4">
        <f t="shared" si="1"/>
        <v>65.492500000000007</v>
      </c>
    </row>
    <row r="78" spans="1:9" x14ac:dyDescent="0.2">
      <c r="A78" s="37" t="s">
        <v>506</v>
      </c>
      <c r="B78">
        <v>9</v>
      </c>
      <c r="C78">
        <v>10.920000000000002</v>
      </c>
      <c r="G78" s="43" t="s">
        <v>422</v>
      </c>
      <c r="H78" s="37">
        <v>154.17000000000002</v>
      </c>
      <c r="I78" s="4">
        <f t="shared" si="1"/>
        <v>38.542500000000004</v>
      </c>
    </row>
    <row r="79" spans="1:9" x14ac:dyDescent="0.2">
      <c r="A79" s="37" t="s">
        <v>319</v>
      </c>
      <c r="B79">
        <v>1</v>
      </c>
      <c r="C79">
        <v>14.820000000000002</v>
      </c>
      <c r="G79" s="43" t="s">
        <v>399</v>
      </c>
      <c r="H79" s="37">
        <v>248.59</v>
      </c>
      <c r="I79" s="4">
        <f t="shared" si="1"/>
        <v>62.147500000000001</v>
      </c>
    </row>
    <row r="80" spans="1:9" x14ac:dyDescent="0.2">
      <c r="A80" s="37" t="s">
        <v>319</v>
      </c>
      <c r="B80">
        <v>10</v>
      </c>
      <c r="C80">
        <v>16.91</v>
      </c>
      <c r="G80" s="43" t="s">
        <v>403</v>
      </c>
      <c r="H80" s="37">
        <v>183.14000000000001</v>
      </c>
      <c r="I80" s="4">
        <f t="shared" si="1"/>
        <v>45.785000000000004</v>
      </c>
    </row>
    <row r="81" spans="1:9" x14ac:dyDescent="0.2">
      <c r="A81" s="37" t="s">
        <v>319</v>
      </c>
      <c r="B81">
        <v>11</v>
      </c>
      <c r="C81">
        <v>11.49</v>
      </c>
      <c r="G81" s="43" t="s">
        <v>391</v>
      </c>
      <c r="H81" s="37">
        <v>157.86000000000001</v>
      </c>
      <c r="I81" s="4">
        <f t="shared" si="1"/>
        <v>39.465000000000003</v>
      </c>
    </row>
    <row r="82" spans="1:9" x14ac:dyDescent="0.2">
      <c r="A82" s="37" t="s">
        <v>319</v>
      </c>
      <c r="B82">
        <v>2</v>
      </c>
      <c r="C82">
        <v>14.810000000000002</v>
      </c>
      <c r="G82" s="43" t="s">
        <v>2006</v>
      </c>
      <c r="H82" s="37">
        <v>115.89</v>
      </c>
      <c r="I82" s="4">
        <f t="shared" si="1"/>
        <v>28.9725</v>
      </c>
    </row>
    <row r="83" spans="1:9" x14ac:dyDescent="0.2">
      <c r="A83" s="37" t="s">
        <v>319</v>
      </c>
      <c r="B83">
        <v>3</v>
      </c>
      <c r="C83">
        <v>14.82</v>
      </c>
      <c r="G83" s="43" t="s">
        <v>2007</v>
      </c>
      <c r="H83" s="37">
        <v>70.839999999999989</v>
      </c>
      <c r="I83" s="4">
        <f t="shared" si="1"/>
        <v>17.709999999999997</v>
      </c>
    </row>
    <row r="84" spans="1:9" x14ac:dyDescent="0.2">
      <c r="A84" s="37" t="s">
        <v>319</v>
      </c>
      <c r="B84">
        <v>4</v>
      </c>
      <c r="C84">
        <v>12.939999999999998</v>
      </c>
      <c r="G84" s="43" t="s">
        <v>2008</v>
      </c>
      <c r="H84" s="37">
        <v>252.76</v>
      </c>
      <c r="I84" s="4">
        <f t="shared" si="1"/>
        <v>63.19</v>
      </c>
    </row>
    <row r="85" spans="1:9" x14ac:dyDescent="0.2">
      <c r="A85" s="37" t="s">
        <v>319</v>
      </c>
      <c r="B85">
        <v>5</v>
      </c>
      <c r="C85">
        <v>15.18</v>
      </c>
      <c r="G85" s="43" t="s">
        <v>2009</v>
      </c>
      <c r="H85" s="37">
        <v>101.27999999999999</v>
      </c>
      <c r="I85" s="4">
        <f t="shared" si="1"/>
        <v>25.319999999999997</v>
      </c>
    </row>
    <row r="86" spans="1:9" x14ac:dyDescent="0.2">
      <c r="A86" s="37" t="s">
        <v>319</v>
      </c>
      <c r="B86">
        <v>6</v>
      </c>
      <c r="C86">
        <v>10.48</v>
      </c>
      <c r="G86" s="43" t="s">
        <v>428</v>
      </c>
      <c r="H86" s="37">
        <v>120.00999999999999</v>
      </c>
      <c r="I86" s="4">
        <f t="shared" si="1"/>
        <v>30.002499999999998</v>
      </c>
    </row>
    <row r="87" spans="1:9" x14ac:dyDescent="0.2">
      <c r="A87" s="37" t="s">
        <v>319</v>
      </c>
      <c r="B87">
        <v>7</v>
      </c>
      <c r="C87">
        <v>15.42</v>
      </c>
      <c r="G87" s="43" t="s">
        <v>392</v>
      </c>
      <c r="H87" s="37">
        <v>204.95999999999998</v>
      </c>
      <c r="I87" s="4">
        <f t="shared" si="1"/>
        <v>51.239999999999995</v>
      </c>
    </row>
    <row r="88" spans="1:9" x14ac:dyDescent="0.2">
      <c r="A88" s="37" t="s">
        <v>319</v>
      </c>
      <c r="B88">
        <v>8</v>
      </c>
      <c r="C88">
        <v>10.42</v>
      </c>
      <c r="G88" s="43" t="s">
        <v>2010</v>
      </c>
      <c r="H88" s="37">
        <v>273.36</v>
      </c>
      <c r="I88" s="4">
        <f t="shared" si="1"/>
        <v>68.34</v>
      </c>
    </row>
    <row r="89" spans="1:9" x14ac:dyDescent="0.2">
      <c r="A89" s="37" t="s">
        <v>319</v>
      </c>
      <c r="B89">
        <v>9</v>
      </c>
      <c r="C89">
        <v>11.79</v>
      </c>
      <c r="G89" s="43" t="s">
        <v>2011</v>
      </c>
      <c r="H89" s="37">
        <v>98.259999999999991</v>
      </c>
      <c r="I89" s="4">
        <f t="shared" si="1"/>
        <v>24.564999999999998</v>
      </c>
    </row>
    <row r="90" spans="1:9" x14ac:dyDescent="0.2">
      <c r="A90" s="37" t="s">
        <v>430</v>
      </c>
      <c r="B90">
        <v>1</v>
      </c>
      <c r="C90">
        <v>5.28</v>
      </c>
      <c r="G90" s="43" t="s">
        <v>2012</v>
      </c>
      <c r="H90" s="37">
        <v>273.44000000000005</v>
      </c>
      <c r="I90" s="4">
        <f t="shared" si="1"/>
        <v>68.360000000000014</v>
      </c>
    </row>
    <row r="91" spans="1:9" x14ac:dyDescent="0.2">
      <c r="A91" s="37" t="s">
        <v>1976</v>
      </c>
      <c r="B91">
        <v>1</v>
      </c>
      <c r="C91">
        <v>40.159999999999997</v>
      </c>
      <c r="G91" s="43" t="s">
        <v>2013</v>
      </c>
      <c r="H91" s="37">
        <v>306.14999999999998</v>
      </c>
      <c r="I91" s="4">
        <f t="shared" si="1"/>
        <v>76.537499999999994</v>
      </c>
    </row>
    <row r="92" spans="1:9" x14ac:dyDescent="0.2">
      <c r="A92" s="37" t="s">
        <v>1976</v>
      </c>
      <c r="B92">
        <v>10</v>
      </c>
      <c r="C92">
        <v>16.98</v>
      </c>
      <c r="G92" s="43" t="s">
        <v>504</v>
      </c>
      <c r="H92" s="37">
        <v>276.77</v>
      </c>
      <c r="I92" s="4">
        <f t="shared" si="1"/>
        <v>69.192499999999995</v>
      </c>
    </row>
    <row r="93" spans="1:9" x14ac:dyDescent="0.2">
      <c r="A93" s="37" t="s">
        <v>1976</v>
      </c>
      <c r="B93">
        <v>11</v>
      </c>
      <c r="C93">
        <v>14.33</v>
      </c>
      <c r="G93" s="43" t="s">
        <v>1578</v>
      </c>
      <c r="H93" s="37">
        <v>162.03</v>
      </c>
      <c r="I93" s="4">
        <f t="shared" si="1"/>
        <v>40.5075</v>
      </c>
    </row>
    <row r="94" spans="1:9" x14ac:dyDescent="0.2">
      <c r="A94" s="37" t="s">
        <v>1976</v>
      </c>
      <c r="B94">
        <v>2</v>
      </c>
      <c r="C94">
        <v>13.32</v>
      </c>
      <c r="G94" s="43" t="s">
        <v>1585</v>
      </c>
      <c r="H94" s="37">
        <v>206.80999999999997</v>
      </c>
      <c r="I94" s="4">
        <f t="shared" si="1"/>
        <v>51.702499999999993</v>
      </c>
    </row>
    <row r="95" spans="1:9" x14ac:dyDescent="0.2">
      <c r="A95" s="37" t="s">
        <v>1976</v>
      </c>
      <c r="B95">
        <v>3</v>
      </c>
      <c r="C95">
        <v>22.610000000000003</v>
      </c>
      <c r="G95" s="43" t="s">
        <v>360</v>
      </c>
      <c r="H95" s="37">
        <v>146.39000000000004</v>
      </c>
      <c r="I95" s="4">
        <f t="shared" si="1"/>
        <v>36.597500000000011</v>
      </c>
    </row>
    <row r="96" spans="1:9" x14ac:dyDescent="0.2">
      <c r="A96" s="37" t="s">
        <v>1976</v>
      </c>
      <c r="B96">
        <v>4</v>
      </c>
      <c r="C96">
        <v>19.369999999999997</v>
      </c>
      <c r="G96" s="43" t="s">
        <v>500</v>
      </c>
      <c r="H96" s="37">
        <v>347.16</v>
      </c>
      <c r="I96" s="4">
        <f t="shared" si="1"/>
        <v>86.79</v>
      </c>
    </row>
    <row r="97" spans="1:9" x14ac:dyDescent="0.2">
      <c r="A97" s="37" t="s">
        <v>1976</v>
      </c>
      <c r="B97">
        <v>5</v>
      </c>
      <c r="C97">
        <v>19.819999999999997</v>
      </c>
      <c r="G97" s="43" t="s">
        <v>470</v>
      </c>
      <c r="H97" s="37">
        <v>206.88000000000002</v>
      </c>
      <c r="I97" s="4">
        <f t="shared" si="1"/>
        <v>51.720000000000006</v>
      </c>
    </row>
    <row r="98" spans="1:9" x14ac:dyDescent="0.2">
      <c r="A98" s="37" t="s">
        <v>1976</v>
      </c>
      <c r="B98">
        <v>6</v>
      </c>
      <c r="C98">
        <v>19.12</v>
      </c>
      <c r="G98" s="43" t="s">
        <v>471</v>
      </c>
      <c r="H98" s="37">
        <v>210.36</v>
      </c>
      <c r="I98" s="4">
        <f t="shared" si="1"/>
        <v>52.59</v>
      </c>
    </row>
    <row r="99" spans="1:9" x14ac:dyDescent="0.2">
      <c r="A99" s="37" t="s">
        <v>1976</v>
      </c>
      <c r="B99">
        <v>7</v>
      </c>
      <c r="C99">
        <v>18.350000000000001</v>
      </c>
      <c r="G99" s="43" t="s">
        <v>511</v>
      </c>
      <c r="H99" s="37">
        <v>120.64</v>
      </c>
      <c r="I99" s="4">
        <f t="shared" si="1"/>
        <v>30.16</v>
      </c>
    </row>
    <row r="100" spans="1:9" x14ac:dyDescent="0.2">
      <c r="A100" s="37" t="s">
        <v>1976</v>
      </c>
      <c r="B100">
        <v>8</v>
      </c>
      <c r="C100">
        <v>19.420000000000002</v>
      </c>
      <c r="G100" s="43" t="s">
        <v>2014</v>
      </c>
      <c r="H100" s="37">
        <v>173.03</v>
      </c>
      <c r="I100" s="4">
        <f t="shared" si="1"/>
        <v>43.2575</v>
      </c>
    </row>
    <row r="101" spans="1:9" x14ac:dyDescent="0.2">
      <c r="A101" s="37" t="s">
        <v>1976</v>
      </c>
      <c r="B101">
        <v>9</v>
      </c>
      <c r="C101">
        <v>17.46</v>
      </c>
      <c r="G101" s="43" t="s">
        <v>516</v>
      </c>
      <c r="H101" s="37">
        <v>111.42</v>
      </c>
      <c r="I101" s="4">
        <f t="shared" si="1"/>
        <v>27.855</v>
      </c>
    </row>
    <row r="102" spans="1:9" x14ac:dyDescent="0.2">
      <c r="A102" s="37" t="s">
        <v>1977</v>
      </c>
      <c r="B102">
        <v>1</v>
      </c>
      <c r="C102">
        <v>16.290000000000003</v>
      </c>
      <c r="G102" s="43" t="s">
        <v>329</v>
      </c>
      <c r="H102" s="37">
        <v>199.77000000000004</v>
      </c>
      <c r="I102" s="4">
        <f t="shared" si="1"/>
        <v>49.94250000000001</v>
      </c>
    </row>
    <row r="103" spans="1:9" x14ac:dyDescent="0.2">
      <c r="A103" s="37" t="s">
        <v>1977</v>
      </c>
      <c r="B103">
        <v>10</v>
      </c>
      <c r="C103">
        <v>14.58</v>
      </c>
      <c r="G103" s="43" t="s">
        <v>2015</v>
      </c>
      <c r="H103" s="37">
        <v>108.37999999999998</v>
      </c>
      <c r="I103" s="4">
        <f t="shared" si="1"/>
        <v>27.094999999999995</v>
      </c>
    </row>
    <row r="104" spans="1:9" x14ac:dyDescent="0.2">
      <c r="A104" s="37" t="s">
        <v>1977</v>
      </c>
      <c r="B104">
        <v>11</v>
      </c>
      <c r="C104">
        <v>16.32</v>
      </c>
      <c r="G104" s="43" t="s">
        <v>2016</v>
      </c>
      <c r="H104" s="37">
        <v>220.15</v>
      </c>
      <c r="I104" s="4">
        <f t="shared" si="1"/>
        <v>55.037500000000001</v>
      </c>
    </row>
    <row r="105" spans="1:9" x14ac:dyDescent="0.2">
      <c r="A105" s="37" t="s">
        <v>1977</v>
      </c>
      <c r="B105">
        <v>2</v>
      </c>
      <c r="C105">
        <v>11.639999999999999</v>
      </c>
      <c r="G105" s="43" t="s">
        <v>331</v>
      </c>
      <c r="H105" s="37">
        <v>91.320000000000007</v>
      </c>
      <c r="I105" s="4">
        <f t="shared" si="1"/>
        <v>22.830000000000002</v>
      </c>
    </row>
    <row r="106" spans="1:9" x14ac:dyDescent="0.2">
      <c r="A106" s="37" t="s">
        <v>1977</v>
      </c>
      <c r="B106">
        <v>3</v>
      </c>
      <c r="C106">
        <v>18.7</v>
      </c>
      <c r="G106" s="43" t="s">
        <v>2017</v>
      </c>
      <c r="H106" s="37">
        <v>186.75000000000006</v>
      </c>
      <c r="I106" s="4">
        <f t="shared" si="1"/>
        <v>46.687500000000014</v>
      </c>
    </row>
    <row r="107" spans="1:9" x14ac:dyDescent="0.2">
      <c r="A107" s="37" t="s">
        <v>1977</v>
      </c>
      <c r="B107">
        <v>4</v>
      </c>
      <c r="C107">
        <v>18.04</v>
      </c>
      <c r="G107" s="43" t="s">
        <v>2018</v>
      </c>
      <c r="H107" s="37">
        <v>114.83999999999999</v>
      </c>
      <c r="I107" s="4">
        <f t="shared" si="1"/>
        <v>28.709999999999997</v>
      </c>
    </row>
    <row r="108" spans="1:9" x14ac:dyDescent="0.2">
      <c r="A108" s="37" t="s">
        <v>1977</v>
      </c>
      <c r="B108">
        <v>5</v>
      </c>
      <c r="C108">
        <v>20.36</v>
      </c>
      <c r="G108" s="43" t="s">
        <v>2019</v>
      </c>
      <c r="H108" s="37">
        <v>64.08</v>
      </c>
      <c r="I108" s="4">
        <f t="shared" si="1"/>
        <v>16.02</v>
      </c>
    </row>
    <row r="109" spans="1:9" x14ac:dyDescent="0.2">
      <c r="A109" s="37" t="s">
        <v>1977</v>
      </c>
      <c r="B109">
        <v>6</v>
      </c>
      <c r="C109">
        <v>13.73</v>
      </c>
      <c r="G109" s="43" t="s">
        <v>2020</v>
      </c>
      <c r="H109" s="37">
        <v>51.16</v>
      </c>
      <c r="I109" s="4">
        <f t="shared" si="1"/>
        <v>12.79</v>
      </c>
    </row>
    <row r="110" spans="1:9" x14ac:dyDescent="0.2">
      <c r="A110" s="37" t="s">
        <v>1977</v>
      </c>
      <c r="B110">
        <v>7</v>
      </c>
      <c r="C110">
        <v>22.4</v>
      </c>
      <c r="G110" s="43" t="s">
        <v>333</v>
      </c>
      <c r="H110" s="37">
        <v>223.88000000000002</v>
      </c>
      <c r="I110" s="4">
        <f t="shared" si="1"/>
        <v>55.970000000000006</v>
      </c>
    </row>
    <row r="111" spans="1:9" x14ac:dyDescent="0.2">
      <c r="A111" s="37" t="s">
        <v>1977</v>
      </c>
      <c r="B111">
        <v>8</v>
      </c>
      <c r="C111">
        <v>11.82</v>
      </c>
      <c r="G111" s="43" t="s">
        <v>2021</v>
      </c>
      <c r="H111" s="37">
        <v>231.08999999999997</v>
      </c>
      <c r="I111" s="4">
        <f t="shared" si="1"/>
        <v>57.772499999999994</v>
      </c>
    </row>
    <row r="112" spans="1:9" x14ac:dyDescent="0.2">
      <c r="A112" s="37" t="s">
        <v>1977</v>
      </c>
      <c r="B112">
        <v>9</v>
      </c>
      <c r="C112">
        <v>17.309999999999999</v>
      </c>
      <c r="G112" s="43" t="s">
        <v>423</v>
      </c>
      <c r="H112" s="37">
        <v>149.07999999999998</v>
      </c>
      <c r="I112" s="4">
        <f t="shared" si="1"/>
        <v>37.269999999999996</v>
      </c>
    </row>
    <row r="113" spans="1:9" x14ac:dyDescent="0.2">
      <c r="A113" s="37" t="s">
        <v>520</v>
      </c>
      <c r="B113">
        <v>1</v>
      </c>
      <c r="C113">
        <v>9.2600000000000016</v>
      </c>
      <c r="G113" s="43" t="s">
        <v>522</v>
      </c>
      <c r="H113" s="37">
        <v>99.710000000000022</v>
      </c>
      <c r="I113" s="4">
        <f t="shared" si="1"/>
        <v>24.927500000000006</v>
      </c>
    </row>
    <row r="114" spans="1:9" x14ac:dyDescent="0.2">
      <c r="A114" s="37" t="s">
        <v>520</v>
      </c>
      <c r="B114">
        <v>10</v>
      </c>
      <c r="C114">
        <v>6.3699999999999992</v>
      </c>
      <c r="G114" s="43" t="s">
        <v>2022</v>
      </c>
      <c r="H114" s="37">
        <v>135.09</v>
      </c>
      <c r="I114" s="4">
        <f t="shared" si="1"/>
        <v>33.772500000000001</v>
      </c>
    </row>
    <row r="115" spans="1:9" x14ac:dyDescent="0.2">
      <c r="A115" s="37" t="s">
        <v>520</v>
      </c>
      <c r="B115">
        <v>11</v>
      </c>
      <c r="C115">
        <v>6.0100000000000007</v>
      </c>
      <c r="G115" s="43" t="s">
        <v>2023</v>
      </c>
      <c r="H115" s="37">
        <v>260.12</v>
      </c>
      <c r="I115" s="4">
        <f t="shared" si="1"/>
        <v>65.03</v>
      </c>
    </row>
    <row r="116" spans="1:9" x14ac:dyDescent="0.2">
      <c r="A116" s="37" t="s">
        <v>520</v>
      </c>
      <c r="B116">
        <v>2</v>
      </c>
      <c r="C116">
        <v>3.92</v>
      </c>
      <c r="G116" s="43" t="s">
        <v>2024</v>
      </c>
      <c r="H116" s="37">
        <v>208.95</v>
      </c>
      <c r="I116" s="4">
        <f t="shared" si="1"/>
        <v>52.237499999999997</v>
      </c>
    </row>
    <row r="117" spans="1:9" x14ac:dyDescent="0.2">
      <c r="A117" s="37" t="s">
        <v>520</v>
      </c>
      <c r="B117">
        <v>3</v>
      </c>
      <c r="C117">
        <v>10.199999999999999</v>
      </c>
      <c r="G117" s="43" t="s">
        <v>517</v>
      </c>
      <c r="H117" s="37">
        <v>211.48</v>
      </c>
      <c r="I117" s="4">
        <f t="shared" si="1"/>
        <v>52.87</v>
      </c>
    </row>
    <row r="118" spans="1:9" x14ac:dyDescent="0.2">
      <c r="A118" s="37" t="s">
        <v>520</v>
      </c>
      <c r="B118">
        <v>4</v>
      </c>
      <c r="C118">
        <v>8.5299999999999994</v>
      </c>
      <c r="G118" s="43" t="s">
        <v>2025</v>
      </c>
      <c r="H118" s="37">
        <v>90.44</v>
      </c>
      <c r="I118" s="4">
        <f t="shared" si="1"/>
        <v>22.61</v>
      </c>
    </row>
    <row r="119" spans="1:9" x14ac:dyDescent="0.2">
      <c r="A119" s="37" t="s">
        <v>520</v>
      </c>
      <c r="B119">
        <v>5</v>
      </c>
      <c r="C119">
        <v>6.26</v>
      </c>
      <c r="G119" s="43" t="s">
        <v>2026</v>
      </c>
      <c r="H119" s="37">
        <v>189.76</v>
      </c>
      <c r="I119" s="4">
        <f t="shared" si="1"/>
        <v>47.44</v>
      </c>
    </row>
    <row r="120" spans="1:9" x14ac:dyDescent="0.2">
      <c r="A120" s="37" t="s">
        <v>520</v>
      </c>
      <c r="B120">
        <v>6</v>
      </c>
      <c r="C120">
        <v>8.02</v>
      </c>
      <c r="G120" s="43" t="s">
        <v>2027</v>
      </c>
      <c r="H120" s="37">
        <v>161.68</v>
      </c>
      <c r="I120" s="4">
        <f t="shared" si="1"/>
        <v>40.42</v>
      </c>
    </row>
    <row r="121" spans="1:9" x14ac:dyDescent="0.2">
      <c r="A121" s="37" t="s">
        <v>520</v>
      </c>
      <c r="B121">
        <v>8</v>
      </c>
      <c r="C121">
        <v>2.5299999999999998</v>
      </c>
      <c r="G121" s="43" t="s">
        <v>371</v>
      </c>
      <c r="H121" s="37">
        <v>308.2</v>
      </c>
      <c r="I121" s="4">
        <f t="shared" si="1"/>
        <v>77.05</v>
      </c>
    </row>
    <row r="122" spans="1:9" x14ac:dyDescent="0.2">
      <c r="A122" s="37" t="s">
        <v>520</v>
      </c>
      <c r="B122">
        <v>9</v>
      </c>
      <c r="C122">
        <v>6.27</v>
      </c>
      <c r="G122" s="43" t="s">
        <v>2028</v>
      </c>
      <c r="H122" s="37">
        <v>97.049999999999983</v>
      </c>
      <c r="I122" s="4">
        <f t="shared" si="1"/>
        <v>24.262499999999996</v>
      </c>
    </row>
    <row r="123" spans="1:9" x14ac:dyDescent="0.2">
      <c r="A123" s="37" t="s">
        <v>1979</v>
      </c>
      <c r="B123">
        <v>1</v>
      </c>
      <c r="C123">
        <v>10.16</v>
      </c>
      <c r="G123" s="43" t="s">
        <v>424</v>
      </c>
      <c r="H123" s="37">
        <v>246.37</v>
      </c>
      <c r="I123" s="4">
        <f t="shared" si="1"/>
        <v>61.592500000000001</v>
      </c>
    </row>
    <row r="124" spans="1:9" x14ac:dyDescent="0.2">
      <c r="A124" s="37" t="s">
        <v>1979</v>
      </c>
      <c r="B124">
        <v>10</v>
      </c>
      <c r="C124">
        <v>11.78</v>
      </c>
      <c r="G124" s="43" t="s">
        <v>488</v>
      </c>
      <c r="H124" s="37">
        <v>140.89999999999998</v>
      </c>
      <c r="I124" s="4">
        <f t="shared" si="1"/>
        <v>35.224999999999994</v>
      </c>
    </row>
    <row r="125" spans="1:9" x14ac:dyDescent="0.2">
      <c r="A125" s="37" t="s">
        <v>1979</v>
      </c>
      <c r="B125">
        <v>11</v>
      </c>
      <c r="C125">
        <v>12</v>
      </c>
      <c r="G125" s="43" t="s">
        <v>1824</v>
      </c>
      <c r="H125" s="37">
        <v>106.05000000000001</v>
      </c>
      <c r="I125" s="4">
        <f t="shared" si="1"/>
        <v>26.512500000000003</v>
      </c>
    </row>
    <row r="126" spans="1:9" x14ac:dyDescent="0.2">
      <c r="A126" s="37" t="s">
        <v>1979</v>
      </c>
      <c r="B126">
        <v>2</v>
      </c>
      <c r="C126">
        <v>9.56</v>
      </c>
      <c r="G126" s="43" t="s">
        <v>452</v>
      </c>
      <c r="H126" s="37">
        <v>90.59</v>
      </c>
      <c r="I126" s="4">
        <f t="shared" si="1"/>
        <v>22.647500000000001</v>
      </c>
    </row>
    <row r="127" spans="1:9" x14ac:dyDescent="0.2">
      <c r="A127" s="37" t="s">
        <v>1979</v>
      </c>
      <c r="B127">
        <v>3</v>
      </c>
      <c r="C127">
        <v>9.7100000000000009</v>
      </c>
      <c r="G127" s="43" t="s">
        <v>2029</v>
      </c>
      <c r="H127" s="37">
        <v>139.26999999999998</v>
      </c>
      <c r="I127" s="4">
        <f t="shared" si="1"/>
        <v>34.817499999999995</v>
      </c>
    </row>
    <row r="128" spans="1:9" x14ac:dyDescent="0.2">
      <c r="A128" s="37" t="s">
        <v>1979</v>
      </c>
      <c r="B128">
        <v>4</v>
      </c>
      <c r="C128">
        <v>7.02</v>
      </c>
      <c r="G128" s="43" t="s">
        <v>2030</v>
      </c>
      <c r="H128" s="37">
        <v>193.2</v>
      </c>
      <c r="I128" s="4">
        <f t="shared" si="1"/>
        <v>48.3</v>
      </c>
    </row>
    <row r="129" spans="1:9" x14ac:dyDescent="0.2">
      <c r="A129" s="37" t="s">
        <v>1979</v>
      </c>
      <c r="B129">
        <v>5</v>
      </c>
      <c r="C129">
        <v>8.3000000000000007</v>
      </c>
      <c r="G129" s="43" t="s">
        <v>2031</v>
      </c>
      <c r="H129" s="37">
        <v>121.3</v>
      </c>
      <c r="I129" s="4">
        <f t="shared" si="1"/>
        <v>30.324999999999999</v>
      </c>
    </row>
    <row r="130" spans="1:9" x14ac:dyDescent="0.2">
      <c r="A130" s="37" t="s">
        <v>1979</v>
      </c>
      <c r="B130">
        <v>6</v>
      </c>
      <c r="C130">
        <v>9.3299999999999983</v>
      </c>
      <c r="G130" s="43" t="s">
        <v>1864</v>
      </c>
      <c r="H130" s="37">
        <v>285.94999999999993</v>
      </c>
      <c r="I130" s="4">
        <f t="shared" si="1"/>
        <v>71.487499999999983</v>
      </c>
    </row>
    <row r="131" spans="1:9" x14ac:dyDescent="0.2">
      <c r="A131" s="37" t="s">
        <v>1979</v>
      </c>
      <c r="B131">
        <v>7</v>
      </c>
      <c r="C131">
        <v>9.4</v>
      </c>
      <c r="G131" s="43" t="s">
        <v>374</v>
      </c>
      <c r="H131" s="37">
        <v>377.71</v>
      </c>
      <c r="I131" s="4">
        <f t="shared" ref="I131:I140" si="2">H131/4</f>
        <v>94.427499999999995</v>
      </c>
    </row>
    <row r="132" spans="1:9" x14ac:dyDescent="0.2">
      <c r="A132" s="37" t="s">
        <v>1979</v>
      </c>
      <c r="B132">
        <v>8</v>
      </c>
      <c r="C132">
        <v>10.49</v>
      </c>
      <c r="G132" s="43" t="s">
        <v>334</v>
      </c>
      <c r="H132" s="37">
        <v>216.28</v>
      </c>
      <c r="I132" s="4">
        <f t="shared" si="2"/>
        <v>54.07</v>
      </c>
    </row>
    <row r="133" spans="1:9" x14ac:dyDescent="0.2">
      <c r="A133" s="37" t="s">
        <v>1979</v>
      </c>
      <c r="B133">
        <v>9</v>
      </c>
      <c r="C133">
        <v>9.65</v>
      </c>
      <c r="G133" s="43" t="s">
        <v>402</v>
      </c>
      <c r="H133" s="37">
        <v>171.51999999999998</v>
      </c>
      <c r="I133" s="4">
        <f t="shared" si="2"/>
        <v>42.879999999999995</v>
      </c>
    </row>
    <row r="134" spans="1:9" x14ac:dyDescent="0.2">
      <c r="A134" s="37" t="s">
        <v>431</v>
      </c>
      <c r="B134">
        <v>1</v>
      </c>
      <c r="C134">
        <v>15.66</v>
      </c>
      <c r="G134" s="43" t="s">
        <v>2032</v>
      </c>
      <c r="H134" s="37">
        <v>132.12</v>
      </c>
      <c r="I134" s="4">
        <f t="shared" si="2"/>
        <v>33.03</v>
      </c>
    </row>
    <row r="135" spans="1:9" x14ac:dyDescent="0.2">
      <c r="A135" s="37" t="s">
        <v>431</v>
      </c>
      <c r="B135">
        <v>10</v>
      </c>
      <c r="C135">
        <v>14.229999999999999</v>
      </c>
      <c r="G135" s="43" t="s">
        <v>442</v>
      </c>
      <c r="H135" s="37">
        <v>170.07000000000002</v>
      </c>
      <c r="I135" s="4">
        <f t="shared" si="2"/>
        <v>42.517500000000005</v>
      </c>
    </row>
    <row r="136" spans="1:9" x14ac:dyDescent="0.2">
      <c r="A136" s="37" t="s">
        <v>431</v>
      </c>
      <c r="B136">
        <v>11</v>
      </c>
      <c r="C136">
        <v>13.379999999999999</v>
      </c>
      <c r="G136" s="43" t="s">
        <v>1933</v>
      </c>
      <c r="H136" s="37">
        <v>152.6</v>
      </c>
      <c r="I136" s="4">
        <f t="shared" si="2"/>
        <v>38.15</v>
      </c>
    </row>
    <row r="137" spans="1:9" x14ac:dyDescent="0.2">
      <c r="A137" s="37" t="s">
        <v>431</v>
      </c>
      <c r="B137">
        <v>2</v>
      </c>
      <c r="C137">
        <v>15.52</v>
      </c>
      <c r="G137" s="43" t="s">
        <v>1940</v>
      </c>
      <c r="H137" s="37">
        <v>151.35000000000002</v>
      </c>
      <c r="I137" s="4">
        <f t="shared" si="2"/>
        <v>37.837500000000006</v>
      </c>
    </row>
    <row r="138" spans="1:9" x14ac:dyDescent="0.2">
      <c r="A138" s="37" t="s">
        <v>431</v>
      </c>
      <c r="B138">
        <v>3</v>
      </c>
      <c r="C138">
        <v>14.17</v>
      </c>
      <c r="G138" s="43" t="s">
        <v>501</v>
      </c>
      <c r="H138" s="37">
        <v>129.6</v>
      </c>
      <c r="I138" s="4">
        <f t="shared" si="2"/>
        <v>32.4</v>
      </c>
    </row>
    <row r="139" spans="1:9" x14ac:dyDescent="0.2">
      <c r="A139" s="37" t="s">
        <v>431</v>
      </c>
      <c r="B139">
        <v>4</v>
      </c>
      <c r="C139">
        <v>18.869999999999997</v>
      </c>
      <c r="G139" s="43" t="s">
        <v>1949</v>
      </c>
      <c r="H139" s="37">
        <v>18.16</v>
      </c>
      <c r="I139" s="4">
        <f t="shared" si="2"/>
        <v>4.54</v>
      </c>
    </row>
    <row r="140" spans="1:9" x14ac:dyDescent="0.2">
      <c r="A140" s="37" t="s">
        <v>431</v>
      </c>
      <c r="B140">
        <v>5</v>
      </c>
      <c r="C140">
        <v>16.270000000000003</v>
      </c>
      <c r="G140" s="43" t="s">
        <v>2033</v>
      </c>
      <c r="H140" s="37">
        <v>82.31</v>
      </c>
      <c r="I140" s="4">
        <f t="shared" si="2"/>
        <v>20.577500000000001</v>
      </c>
    </row>
    <row r="141" spans="1:9" x14ac:dyDescent="0.2">
      <c r="A141" s="37" t="s">
        <v>431</v>
      </c>
      <c r="B141">
        <v>6</v>
      </c>
      <c r="C141">
        <v>12.179999999999998</v>
      </c>
      <c r="G141" s="43" t="s">
        <v>1978</v>
      </c>
      <c r="H141" s="37">
        <v>23404.829999999994</v>
      </c>
    </row>
    <row r="142" spans="1:9" x14ac:dyDescent="0.2">
      <c r="A142" s="37" t="s">
        <v>431</v>
      </c>
      <c r="B142">
        <v>7</v>
      </c>
      <c r="C142">
        <v>18.27</v>
      </c>
    </row>
    <row r="143" spans="1:9" x14ac:dyDescent="0.2">
      <c r="A143" s="37" t="s">
        <v>431</v>
      </c>
      <c r="B143">
        <v>8</v>
      </c>
      <c r="C143">
        <v>13.040000000000001</v>
      </c>
    </row>
    <row r="144" spans="1:9" x14ac:dyDescent="0.2">
      <c r="A144" s="37" t="s">
        <v>431</v>
      </c>
      <c r="B144">
        <v>9</v>
      </c>
      <c r="C144">
        <v>14.530000000000001</v>
      </c>
    </row>
    <row r="145" spans="1:3" x14ac:dyDescent="0.2">
      <c r="A145" s="37" t="s">
        <v>1980</v>
      </c>
      <c r="B145">
        <v>1</v>
      </c>
      <c r="C145">
        <v>11.95</v>
      </c>
    </row>
    <row r="146" spans="1:3" x14ac:dyDescent="0.2">
      <c r="A146" s="37" t="s">
        <v>1980</v>
      </c>
      <c r="B146">
        <v>10</v>
      </c>
      <c r="C146">
        <v>19.080000000000002</v>
      </c>
    </row>
    <row r="147" spans="1:3" x14ac:dyDescent="0.2">
      <c r="A147" s="37" t="s">
        <v>1980</v>
      </c>
      <c r="B147">
        <v>11</v>
      </c>
      <c r="C147">
        <v>17.860000000000003</v>
      </c>
    </row>
    <row r="148" spans="1:3" x14ac:dyDescent="0.2">
      <c r="A148" s="37" t="s">
        <v>1980</v>
      </c>
      <c r="B148">
        <v>2</v>
      </c>
      <c r="C148">
        <v>28.979999999999997</v>
      </c>
    </row>
    <row r="149" spans="1:3" x14ac:dyDescent="0.2">
      <c r="A149" s="37" t="s">
        <v>1980</v>
      </c>
      <c r="B149">
        <v>3</v>
      </c>
      <c r="C149">
        <v>10.26</v>
      </c>
    </row>
    <row r="150" spans="1:3" x14ac:dyDescent="0.2">
      <c r="A150" s="37" t="s">
        <v>1980</v>
      </c>
      <c r="B150">
        <v>4</v>
      </c>
      <c r="C150">
        <v>23</v>
      </c>
    </row>
    <row r="151" spans="1:3" x14ac:dyDescent="0.2">
      <c r="A151" s="37" t="s">
        <v>1980</v>
      </c>
      <c r="B151">
        <v>5</v>
      </c>
      <c r="C151">
        <v>26.08</v>
      </c>
    </row>
    <row r="152" spans="1:3" x14ac:dyDescent="0.2">
      <c r="A152" s="37" t="s">
        <v>1980</v>
      </c>
      <c r="B152">
        <v>6</v>
      </c>
      <c r="C152">
        <v>12.59</v>
      </c>
    </row>
    <row r="153" spans="1:3" x14ac:dyDescent="0.2">
      <c r="A153" s="37" t="s">
        <v>1980</v>
      </c>
      <c r="B153">
        <v>7</v>
      </c>
      <c r="C153">
        <v>28.049999999999997</v>
      </c>
    </row>
    <row r="154" spans="1:3" x14ac:dyDescent="0.2">
      <c r="A154" s="37" t="s">
        <v>1980</v>
      </c>
      <c r="B154">
        <v>8</v>
      </c>
      <c r="C154">
        <v>24.31</v>
      </c>
    </row>
    <row r="155" spans="1:3" x14ac:dyDescent="0.2">
      <c r="A155" s="37" t="s">
        <v>1980</v>
      </c>
      <c r="B155">
        <v>9</v>
      </c>
      <c r="C155">
        <v>19.959999999999997</v>
      </c>
    </row>
    <row r="156" spans="1:3" x14ac:dyDescent="0.2">
      <c r="A156" s="37" t="s">
        <v>1981</v>
      </c>
      <c r="B156">
        <v>1</v>
      </c>
      <c r="C156">
        <v>22.599999999999998</v>
      </c>
    </row>
    <row r="157" spans="1:3" x14ac:dyDescent="0.2">
      <c r="A157" s="37" t="s">
        <v>1981</v>
      </c>
      <c r="B157">
        <v>10</v>
      </c>
      <c r="C157">
        <v>22.12</v>
      </c>
    </row>
    <row r="158" spans="1:3" x14ac:dyDescent="0.2">
      <c r="A158" s="37" t="s">
        <v>1981</v>
      </c>
      <c r="B158">
        <v>11</v>
      </c>
      <c r="C158">
        <v>27.31</v>
      </c>
    </row>
    <row r="159" spans="1:3" x14ac:dyDescent="0.2">
      <c r="A159" s="37" t="s">
        <v>1981</v>
      </c>
      <c r="B159">
        <v>2</v>
      </c>
      <c r="C159">
        <v>19.559999999999999</v>
      </c>
    </row>
    <row r="160" spans="1:3" x14ac:dyDescent="0.2">
      <c r="A160" s="37" t="s">
        <v>1981</v>
      </c>
      <c r="B160">
        <v>3</v>
      </c>
      <c r="C160">
        <v>19.57</v>
      </c>
    </row>
    <row r="161" spans="1:3" x14ac:dyDescent="0.2">
      <c r="A161" s="37" t="s">
        <v>1981</v>
      </c>
      <c r="B161">
        <v>4</v>
      </c>
      <c r="C161">
        <v>29.81</v>
      </c>
    </row>
    <row r="162" spans="1:3" x14ac:dyDescent="0.2">
      <c r="A162" s="37" t="s">
        <v>1981</v>
      </c>
      <c r="B162">
        <v>5</v>
      </c>
      <c r="C162">
        <v>34.32</v>
      </c>
    </row>
    <row r="163" spans="1:3" x14ac:dyDescent="0.2">
      <c r="A163" s="37" t="s">
        <v>1981</v>
      </c>
      <c r="B163">
        <v>6</v>
      </c>
      <c r="C163">
        <v>27.550000000000004</v>
      </c>
    </row>
    <row r="164" spans="1:3" x14ac:dyDescent="0.2">
      <c r="A164" s="37" t="s">
        <v>1981</v>
      </c>
      <c r="B164">
        <v>7</v>
      </c>
      <c r="C164">
        <v>31.61</v>
      </c>
    </row>
    <row r="165" spans="1:3" x14ac:dyDescent="0.2">
      <c r="A165" s="37" t="s">
        <v>1981</v>
      </c>
      <c r="B165">
        <v>8</v>
      </c>
      <c r="C165">
        <v>19.909999999999997</v>
      </c>
    </row>
    <row r="166" spans="1:3" x14ac:dyDescent="0.2">
      <c r="A166" s="37" t="s">
        <v>1981</v>
      </c>
      <c r="B166">
        <v>9</v>
      </c>
      <c r="C166">
        <v>23.25</v>
      </c>
    </row>
    <row r="167" spans="1:3" x14ac:dyDescent="0.2">
      <c r="A167" s="37" t="s">
        <v>443</v>
      </c>
      <c r="B167">
        <v>1</v>
      </c>
      <c r="C167">
        <v>14.669999999999998</v>
      </c>
    </row>
    <row r="168" spans="1:3" x14ac:dyDescent="0.2">
      <c r="A168" s="37" t="s">
        <v>443</v>
      </c>
      <c r="B168">
        <v>10</v>
      </c>
      <c r="C168">
        <v>14.07</v>
      </c>
    </row>
    <row r="169" spans="1:3" x14ac:dyDescent="0.2">
      <c r="A169" s="37" t="s">
        <v>443</v>
      </c>
      <c r="B169">
        <v>11</v>
      </c>
      <c r="C169">
        <v>10.119999999999999</v>
      </c>
    </row>
    <row r="170" spans="1:3" x14ac:dyDescent="0.2">
      <c r="A170" s="37" t="s">
        <v>443</v>
      </c>
      <c r="B170">
        <v>2</v>
      </c>
      <c r="C170">
        <v>11.78</v>
      </c>
    </row>
    <row r="171" spans="1:3" x14ac:dyDescent="0.2">
      <c r="A171" s="37" t="s">
        <v>443</v>
      </c>
      <c r="B171">
        <v>3</v>
      </c>
      <c r="C171">
        <v>12.629999999999999</v>
      </c>
    </row>
    <row r="172" spans="1:3" x14ac:dyDescent="0.2">
      <c r="A172" s="37" t="s">
        <v>443</v>
      </c>
      <c r="B172">
        <v>4</v>
      </c>
      <c r="C172">
        <v>11.100000000000001</v>
      </c>
    </row>
    <row r="173" spans="1:3" x14ac:dyDescent="0.2">
      <c r="A173" s="37" t="s">
        <v>443</v>
      </c>
      <c r="B173">
        <v>5</v>
      </c>
      <c r="C173">
        <v>17.059999999999999</v>
      </c>
    </row>
    <row r="174" spans="1:3" x14ac:dyDescent="0.2">
      <c r="A174" s="37" t="s">
        <v>443</v>
      </c>
      <c r="B174">
        <v>6</v>
      </c>
      <c r="C174">
        <v>17.36</v>
      </c>
    </row>
    <row r="175" spans="1:3" x14ac:dyDescent="0.2">
      <c r="A175" s="37" t="s">
        <v>443</v>
      </c>
      <c r="B175">
        <v>7</v>
      </c>
      <c r="C175">
        <v>11.070000000000002</v>
      </c>
    </row>
    <row r="176" spans="1:3" x14ac:dyDescent="0.2">
      <c r="A176" s="37" t="s">
        <v>443</v>
      </c>
      <c r="B176">
        <v>8</v>
      </c>
      <c r="C176">
        <v>15.52</v>
      </c>
    </row>
    <row r="177" spans="1:3" x14ac:dyDescent="0.2">
      <c r="A177" s="37" t="s">
        <v>443</v>
      </c>
      <c r="B177">
        <v>9</v>
      </c>
      <c r="C177">
        <v>15.82</v>
      </c>
    </row>
    <row r="178" spans="1:3" x14ac:dyDescent="0.2">
      <c r="A178" s="37" t="s">
        <v>418</v>
      </c>
      <c r="B178">
        <v>1</v>
      </c>
      <c r="C178">
        <v>16.88</v>
      </c>
    </row>
    <row r="179" spans="1:3" x14ac:dyDescent="0.2">
      <c r="A179" s="37" t="s">
        <v>418</v>
      </c>
      <c r="B179">
        <v>10</v>
      </c>
      <c r="C179">
        <v>16.259999999999998</v>
      </c>
    </row>
    <row r="180" spans="1:3" x14ac:dyDescent="0.2">
      <c r="A180" s="37" t="s">
        <v>418</v>
      </c>
      <c r="B180">
        <v>11</v>
      </c>
      <c r="C180">
        <v>13.25</v>
      </c>
    </row>
    <row r="181" spans="1:3" x14ac:dyDescent="0.2">
      <c r="A181" s="37" t="s">
        <v>418</v>
      </c>
      <c r="B181">
        <v>2</v>
      </c>
      <c r="C181">
        <v>14.779999999999998</v>
      </c>
    </row>
    <row r="182" spans="1:3" x14ac:dyDescent="0.2">
      <c r="A182" s="37" t="s">
        <v>418</v>
      </c>
      <c r="B182">
        <v>3</v>
      </c>
      <c r="C182">
        <v>19.229999999999997</v>
      </c>
    </row>
    <row r="183" spans="1:3" x14ac:dyDescent="0.2">
      <c r="A183" s="37" t="s">
        <v>418</v>
      </c>
      <c r="B183">
        <v>4</v>
      </c>
      <c r="C183">
        <v>20.64</v>
      </c>
    </row>
    <row r="184" spans="1:3" x14ac:dyDescent="0.2">
      <c r="A184" s="37" t="s">
        <v>418</v>
      </c>
      <c r="B184">
        <v>5</v>
      </c>
      <c r="C184">
        <v>15.259999999999998</v>
      </c>
    </row>
    <row r="185" spans="1:3" x14ac:dyDescent="0.2">
      <c r="A185" s="37" t="s">
        <v>418</v>
      </c>
      <c r="B185">
        <v>6</v>
      </c>
      <c r="C185">
        <v>16.02</v>
      </c>
    </row>
    <row r="186" spans="1:3" x14ac:dyDescent="0.2">
      <c r="A186" s="37" t="s">
        <v>418</v>
      </c>
      <c r="B186">
        <v>7</v>
      </c>
      <c r="C186">
        <v>15.95</v>
      </c>
    </row>
    <row r="187" spans="1:3" x14ac:dyDescent="0.2">
      <c r="A187" s="37" t="s">
        <v>418</v>
      </c>
      <c r="B187">
        <v>8</v>
      </c>
      <c r="C187">
        <v>25.179999999999996</v>
      </c>
    </row>
    <row r="188" spans="1:3" x14ac:dyDescent="0.2">
      <c r="A188" s="37" t="s">
        <v>418</v>
      </c>
      <c r="B188">
        <v>9</v>
      </c>
      <c r="C188">
        <v>16.79</v>
      </c>
    </row>
    <row r="189" spans="1:3" x14ac:dyDescent="0.2">
      <c r="A189" s="37" t="s">
        <v>485</v>
      </c>
      <c r="B189">
        <v>1</v>
      </c>
      <c r="C189">
        <v>16.36</v>
      </c>
    </row>
    <row r="190" spans="1:3" x14ac:dyDescent="0.2">
      <c r="A190" s="37" t="s">
        <v>485</v>
      </c>
      <c r="B190">
        <v>10</v>
      </c>
      <c r="C190">
        <v>10.61</v>
      </c>
    </row>
    <row r="191" spans="1:3" x14ac:dyDescent="0.2">
      <c r="A191" s="37" t="s">
        <v>485</v>
      </c>
      <c r="B191">
        <v>11</v>
      </c>
      <c r="C191">
        <v>12.69</v>
      </c>
    </row>
    <row r="192" spans="1:3" x14ac:dyDescent="0.2">
      <c r="A192" s="37" t="s">
        <v>485</v>
      </c>
      <c r="B192">
        <v>2</v>
      </c>
      <c r="C192">
        <v>14.879999999999999</v>
      </c>
    </row>
    <row r="193" spans="1:3" x14ac:dyDescent="0.2">
      <c r="A193" s="37" t="s">
        <v>485</v>
      </c>
      <c r="B193">
        <v>3</v>
      </c>
      <c r="C193">
        <v>10.42</v>
      </c>
    </row>
    <row r="194" spans="1:3" x14ac:dyDescent="0.2">
      <c r="A194" s="37" t="s">
        <v>485</v>
      </c>
      <c r="B194">
        <v>4</v>
      </c>
      <c r="C194">
        <v>11.91</v>
      </c>
    </row>
    <row r="195" spans="1:3" x14ac:dyDescent="0.2">
      <c r="A195" s="37" t="s">
        <v>485</v>
      </c>
      <c r="B195">
        <v>5</v>
      </c>
      <c r="C195">
        <v>21.14</v>
      </c>
    </row>
    <row r="196" spans="1:3" x14ac:dyDescent="0.2">
      <c r="A196" s="37" t="s">
        <v>485</v>
      </c>
      <c r="B196">
        <v>6</v>
      </c>
      <c r="C196">
        <v>15</v>
      </c>
    </row>
    <row r="197" spans="1:3" x14ac:dyDescent="0.2">
      <c r="A197" s="37" t="s">
        <v>485</v>
      </c>
      <c r="B197">
        <v>7</v>
      </c>
      <c r="C197">
        <v>15.9</v>
      </c>
    </row>
    <row r="198" spans="1:3" x14ac:dyDescent="0.2">
      <c r="A198" s="37" t="s">
        <v>485</v>
      </c>
      <c r="B198">
        <v>8</v>
      </c>
      <c r="C198">
        <v>11.13</v>
      </c>
    </row>
    <row r="199" spans="1:3" x14ac:dyDescent="0.2">
      <c r="A199" s="37" t="s">
        <v>485</v>
      </c>
      <c r="B199">
        <v>9</v>
      </c>
      <c r="C199">
        <v>8.129999999999999</v>
      </c>
    </row>
    <row r="200" spans="1:3" x14ac:dyDescent="0.2">
      <c r="A200" s="37" t="s">
        <v>858</v>
      </c>
      <c r="B200">
        <v>1</v>
      </c>
      <c r="C200">
        <v>26.88</v>
      </c>
    </row>
    <row r="201" spans="1:3" x14ac:dyDescent="0.2">
      <c r="A201" s="37" t="s">
        <v>858</v>
      </c>
      <c r="B201">
        <v>10</v>
      </c>
      <c r="C201">
        <v>17.91</v>
      </c>
    </row>
    <row r="202" spans="1:3" x14ac:dyDescent="0.2">
      <c r="A202" s="37" t="s">
        <v>858</v>
      </c>
      <c r="B202">
        <v>11</v>
      </c>
      <c r="C202">
        <v>13.48</v>
      </c>
    </row>
    <row r="203" spans="1:3" x14ac:dyDescent="0.2">
      <c r="A203" s="37" t="s">
        <v>858</v>
      </c>
      <c r="B203">
        <v>2</v>
      </c>
      <c r="C203">
        <v>27.689999999999994</v>
      </c>
    </row>
    <row r="204" spans="1:3" x14ac:dyDescent="0.2">
      <c r="A204" s="37" t="s">
        <v>858</v>
      </c>
      <c r="B204">
        <v>3</v>
      </c>
      <c r="C204">
        <v>29.72</v>
      </c>
    </row>
    <row r="205" spans="1:3" x14ac:dyDescent="0.2">
      <c r="A205" s="37" t="s">
        <v>858</v>
      </c>
      <c r="B205">
        <v>4</v>
      </c>
      <c r="C205">
        <v>20.72</v>
      </c>
    </row>
    <row r="206" spans="1:3" x14ac:dyDescent="0.2">
      <c r="A206" s="37" t="s">
        <v>858</v>
      </c>
      <c r="B206">
        <v>5</v>
      </c>
      <c r="C206">
        <v>21.86</v>
      </c>
    </row>
    <row r="207" spans="1:3" x14ac:dyDescent="0.2">
      <c r="A207" s="37" t="s">
        <v>858</v>
      </c>
      <c r="B207">
        <v>6</v>
      </c>
      <c r="C207">
        <v>22.34</v>
      </c>
    </row>
    <row r="208" spans="1:3" x14ac:dyDescent="0.2">
      <c r="A208" s="37" t="s">
        <v>858</v>
      </c>
      <c r="B208">
        <v>7</v>
      </c>
      <c r="C208">
        <v>25.79</v>
      </c>
    </row>
    <row r="209" spans="1:3" x14ac:dyDescent="0.2">
      <c r="A209" s="37" t="s">
        <v>858</v>
      </c>
      <c r="B209">
        <v>8</v>
      </c>
      <c r="C209">
        <v>19.84</v>
      </c>
    </row>
    <row r="210" spans="1:3" x14ac:dyDescent="0.2">
      <c r="A210" s="37" t="s">
        <v>858</v>
      </c>
      <c r="B210">
        <v>9</v>
      </c>
      <c r="C210">
        <v>15.54</v>
      </c>
    </row>
    <row r="211" spans="1:3" x14ac:dyDescent="0.2">
      <c r="A211" s="37" t="s">
        <v>400</v>
      </c>
      <c r="B211">
        <v>1</v>
      </c>
      <c r="C211">
        <v>24.32</v>
      </c>
    </row>
    <row r="212" spans="1:3" x14ac:dyDescent="0.2">
      <c r="A212" s="37" t="s">
        <v>400</v>
      </c>
      <c r="B212">
        <v>10</v>
      </c>
      <c r="C212">
        <v>27</v>
      </c>
    </row>
    <row r="213" spans="1:3" x14ac:dyDescent="0.2">
      <c r="A213" s="37" t="s">
        <v>400</v>
      </c>
      <c r="B213">
        <v>11</v>
      </c>
      <c r="C213">
        <v>3.56</v>
      </c>
    </row>
    <row r="214" spans="1:3" x14ac:dyDescent="0.2">
      <c r="A214" s="37" t="s">
        <v>400</v>
      </c>
      <c r="B214">
        <v>2</v>
      </c>
      <c r="C214">
        <v>19.979999999999997</v>
      </c>
    </row>
    <row r="215" spans="1:3" x14ac:dyDescent="0.2">
      <c r="A215" s="37" t="s">
        <v>400</v>
      </c>
      <c r="B215">
        <v>3</v>
      </c>
      <c r="C215">
        <v>27.4</v>
      </c>
    </row>
    <row r="216" spans="1:3" x14ac:dyDescent="0.2">
      <c r="A216" s="37" t="s">
        <v>400</v>
      </c>
      <c r="B216">
        <v>4</v>
      </c>
      <c r="C216">
        <v>28.220000000000002</v>
      </c>
    </row>
    <row r="217" spans="1:3" x14ac:dyDescent="0.2">
      <c r="A217" s="37" t="s">
        <v>400</v>
      </c>
      <c r="B217">
        <v>5</v>
      </c>
      <c r="C217">
        <v>25.6</v>
      </c>
    </row>
    <row r="218" spans="1:3" x14ac:dyDescent="0.2">
      <c r="A218" s="37" t="s">
        <v>400</v>
      </c>
      <c r="B218">
        <v>6</v>
      </c>
      <c r="C218">
        <v>29.9</v>
      </c>
    </row>
    <row r="219" spans="1:3" x14ac:dyDescent="0.2">
      <c r="A219" s="37" t="s">
        <v>400</v>
      </c>
      <c r="B219">
        <v>7</v>
      </c>
      <c r="C219">
        <v>30.990000000000002</v>
      </c>
    </row>
    <row r="220" spans="1:3" x14ac:dyDescent="0.2">
      <c r="A220" s="37" t="s">
        <v>400</v>
      </c>
      <c r="B220">
        <v>8</v>
      </c>
      <c r="C220">
        <v>22.309999999999995</v>
      </c>
    </row>
    <row r="221" spans="1:3" x14ac:dyDescent="0.2">
      <c r="A221" s="37" t="s">
        <v>400</v>
      </c>
      <c r="B221">
        <v>9</v>
      </c>
      <c r="C221">
        <v>20.43</v>
      </c>
    </row>
    <row r="222" spans="1:3" x14ac:dyDescent="0.2">
      <c r="A222" s="37" t="s">
        <v>1982</v>
      </c>
      <c r="B222">
        <v>1</v>
      </c>
      <c r="C222">
        <v>20.339999999999996</v>
      </c>
    </row>
    <row r="223" spans="1:3" x14ac:dyDescent="0.2">
      <c r="A223" s="37" t="s">
        <v>1982</v>
      </c>
      <c r="B223">
        <v>10</v>
      </c>
      <c r="C223">
        <v>19.36</v>
      </c>
    </row>
    <row r="224" spans="1:3" x14ac:dyDescent="0.2">
      <c r="A224" s="37" t="s">
        <v>1982</v>
      </c>
      <c r="B224">
        <v>11</v>
      </c>
      <c r="C224">
        <v>17.559999999999999</v>
      </c>
    </row>
    <row r="225" spans="1:3" x14ac:dyDescent="0.2">
      <c r="A225" s="37" t="s">
        <v>1982</v>
      </c>
      <c r="B225">
        <v>2</v>
      </c>
      <c r="C225">
        <v>18.940000000000001</v>
      </c>
    </row>
    <row r="226" spans="1:3" x14ac:dyDescent="0.2">
      <c r="A226" s="37" t="s">
        <v>1982</v>
      </c>
      <c r="B226">
        <v>3</v>
      </c>
      <c r="C226">
        <v>22.929999999999996</v>
      </c>
    </row>
    <row r="227" spans="1:3" x14ac:dyDescent="0.2">
      <c r="A227" s="37" t="s">
        <v>1982</v>
      </c>
      <c r="B227">
        <v>4</v>
      </c>
      <c r="C227">
        <v>17.16</v>
      </c>
    </row>
    <row r="228" spans="1:3" x14ac:dyDescent="0.2">
      <c r="A228" s="37" t="s">
        <v>1982</v>
      </c>
      <c r="B228">
        <v>5</v>
      </c>
      <c r="C228">
        <v>17.490000000000002</v>
      </c>
    </row>
    <row r="229" spans="1:3" x14ac:dyDescent="0.2">
      <c r="A229" s="37" t="s">
        <v>1982</v>
      </c>
      <c r="B229">
        <v>6</v>
      </c>
      <c r="C229">
        <v>22.270000000000003</v>
      </c>
    </row>
    <row r="230" spans="1:3" x14ac:dyDescent="0.2">
      <c r="A230" s="37" t="s">
        <v>1982</v>
      </c>
      <c r="B230">
        <v>7</v>
      </c>
      <c r="C230">
        <v>19.32</v>
      </c>
    </row>
    <row r="231" spans="1:3" x14ac:dyDescent="0.2">
      <c r="A231" s="37" t="s">
        <v>1982</v>
      </c>
      <c r="B231">
        <v>8</v>
      </c>
      <c r="C231">
        <v>17.020000000000003</v>
      </c>
    </row>
    <row r="232" spans="1:3" x14ac:dyDescent="0.2">
      <c r="A232" s="37" t="s">
        <v>1982</v>
      </c>
      <c r="B232">
        <v>9</v>
      </c>
      <c r="C232">
        <v>18.12</v>
      </c>
    </row>
    <row r="233" spans="1:3" x14ac:dyDescent="0.2">
      <c r="A233" s="37" t="s">
        <v>362</v>
      </c>
      <c r="B233">
        <v>1</v>
      </c>
      <c r="C233">
        <v>15.4</v>
      </c>
    </row>
    <row r="234" spans="1:3" x14ac:dyDescent="0.2">
      <c r="A234" s="37" t="s">
        <v>362</v>
      </c>
      <c r="B234">
        <v>10</v>
      </c>
      <c r="C234">
        <v>13.84</v>
      </c>
    </row>
    <row r="235" spans="1:3" x14ac:dyDescent="0.2">
      <c r="A235" s="37" t="s">
        <v>362</v>
      </c>
      <c r="B235">
        <v>11</v>
      </c>
      <c r="C235">
        <v>15.120000000000001</v>
      </c>
    </row>
    <row r="236" spans="1:3" x14ac:dyDescent="0.2">
      <c r="A236" s="37" t="s">
        <v>362</v>
      </c>
      <c r="B236">
        <v>2</v>
      </c>
      <c r="C236">
        <v>16.260000000000002</v>
      </c>
    </row>
    <row r="237" spans="1:3" x14ac:dyDescent="0.2">
      <c r="A237" s="37" t="s">
        <v>362</v>
      </c>
      <c r="B237">
        <v>3</v>
      </c>
      <c r="C237">
        <v>16.849999999999998</v>
      </c>
    </row>
    <row r="238" spans="1:3" x14ac:dyDescent="0.2">
      <c r="A238" s="37" t="s">
        <v>362</v>
      </c>
      <c r="B238">
        <v>4</v>
      </c>
      <c r="C238">
        <v>15.870000000000001</v>
      </c>
    </row>
    <row r="239" spans="1:3" x14ac:dyDescent="0.2">
      <c r="A239" s="37" t="s">
        <v>362</v>
      </c>
      <c r="B239">
        <v>5</v>
      </c>
      <c r="C239">
        <v>11.49</v>
      </c>
    </row>
    <row r="240" spans="1:3" x14ac:dyDescent="0.2">
      <c r="A240" s="37" t="s">
        <v>362</v>
      </c>
      <c r="B240">
        <v>6</v>
      </c>
      <c r="C240">
        <v>24.409999999999997</v>
      </c>
    </row>
    <row r="241" spans="1:3" x14ac:dyDescent="0.2">
      <c r="A241" s="37" t="s">
        <v>362</v>
      </c>
      <c r="B241">
        <v>7</v>
      </c>
      <c r="C241">
        <v>29.419999999999998</v>
      </c>
    </row>
    <row r="242" spans="1:3" x14ac:dyDescent="0.2">
      <c r="A242" s="37" t="s">
        <v>362</v>
      </c>
      <c r="B242">
        <v>8</v>
      </c>
      <c r="C242">
        <v>14.52</v>
      </c>
    </row>
    <row r="243" spans="1:3" x14ac:dyDescent="0.2">
      <c r="A243" s="37" t="s">
        <v>362</v>
      </c>
      <c r="B243">
        <v>9</v>
      </c>
      <c r="C243">
        <v>16.93</v>
      </c>
    </row>
    <row r="244" spans="1:3" x14ac:dyDescent="0.2">
      <c r="A244" s="37" t="s">
        <v>421</v>
      </c>
      <c r="B244">
        <v>1</v>
      </c>
      <c r="C244">
        <v>33.07</v>
      </c>
    </row>
    <row r="245" spans="1:3" x14ac:dyDescent="0.2">
      <c r="A245" s="37" t="s">
        <v>421</v>
      </c>
      <c r="B245">
        <v>10</v>
      </c>
      <c r="C245">
        <v>21.220000000000002</v>
      </c>
    </row>
    <row r="246" spans="1:3" x14ac:dyDescent="0.2">
      <c r="A246" s="37" t="s">
        <v>421</v>
      </c>
      <c r="B246">
        <v>11</v>
      </c>
      <c r="C246">
        <v>19.22</v>
      </c>
    </row>
    <row r="247" spans="1:3" x14ac:dyDescent="0.2">
      <c r="A247" s="37" t="s">
        <v>421</v>
      </c>
      <c r="B247">
        <v>2</v>
      </c>
      <c r="C247">
        <v>23.560000000000002</v>
      </c>
    </row>
    <row r="248" spans="1:3" x14ac:dyDescent="0.2">
      <c r="A248" s="37" t="s">
        <v>421</v>
      </c>
      <c r="B248">
        <v>3</v>
      </c>
      <c r="C248">
        <v>27.750000000000004</v>
      </c>
    </row>
    <row r="249" spans="1:3" x14ac:dyDescent="0.2">
      <c r="A249" s="37" t="s">
        <v>421</v>
      </c>
      <c r="B249">
        <v>4</v>
      </c>
      <c r="C249">
        <v>30.599999999999994</v>
      </c>
    </row>
    <row r="250" spans="1:3" x14ac:dyDescent="0.2">
      <c r="A250" s="37" t="s">
        <v>421</v>
      </c>
      <c r="B250">
        <v>5</v>
      </c>
      <c r="C250">
        <v>29.480000000000004</v>
      </c>
    </row>
    <row r="251" spans="1:3" x14ac:dyDescent="0.2">
      <c r="A251" s="37" t="s">
        <v>421</v>
      </c>
      <c r="B251">
        <v>6</v>
      </c>
      <c r="C251">
        <v>28.120000000000005</v>
      </c>
    </row>
    <row r="252" spans="1:3" x14ac:dyDescent="0.2">
      <c r="A252" s="37" t="s">
        <v>421</v>
      </c>
      <c r="B252">
        <v>7</v>
      </c>
      <c r="C252">
        <v>20.730000000000004</v>
      </c>
    </row>
    <row r="253" spans="1:3" x14ac:dyDescent="0.2">
      <c r="A253" s="37" t="s">
        <v>421</v>
      </c>
      <c r="B253">
        <v>8</v>
      </c>
      <c r="C253">
        <v>16.309999999999999</v>
      </c>
    </row>
    <row r="254" spans="1:3" x14ac:dyDescent="0.2">
      <c r="A254" s="37" t="s">
        <v>421</v>
      </c>
      <c r="B254">
        <v>9</v>
      </c>
      <c r="C254">
        <v>25.179999999999996</v>
      </c>
    </row>
    <row r="255" spans="1:3" x14ac:dyDescent="0.2">
      <c r="A255" s="37" t="s">
        <v>335</v>
      </c>
      <c r="B255">
        <v>1</v>
      </c>
      <c r="C255">
        <v>9.75</v>
      </c>
    </row>
    <row r="256" spans="1:3" x14ac:dyDescent="0.2">
      <c r="A256" s="37" t="s">
        <v>335</v>
      </c>
      <c r="B256">
        <v>10</v>
      </c>
      <c r="C256">
        <v>12.37</v>
      </c>
    </row>
    <row r="257" spans="1:3" x14ac:dyDescent="0.2">
      <c r="A257" s="37" t="s">
        <v>335</v>
      </c>
      <c r="B257">
        <v>11</v>
      </c>
      <c r="C257">
        <v>13.43</v>
      </c>
    </row>
    <row r="258" spans="1:3" x14ac:dyDescent="0.2">
      <c r="A258" s="37" t="s">
        <v>335</v>
      </c>
      <c r="B258">
        <v>2</v>
      </c>
      <c r="C258">
        <v>11.2</v>
      </c>
    </row>
    <row r="259" spans="1:3" x14ac:dyDescent="0.2">
      <c r="A259" s="37" t="s">
        <v>335</v>
      </c>
      <c r="B259">
        <v>3</v>
      </c>
      <c r="C259">
        <v>11.98</v>
      </c>
    </row>
    <row r="260" spans="1:3" x14ac:dyDescent="0.2">
      <c r="A260" s="37" t="s">
        <v>335</v>
      </c>
      <c r="B260">
        <v>4</v>
      </c>
      <c r="C260">
        <v>13.61</v>
      </c>
    </row>
    <row r="261" spans="1:3" x14ac:dyDescent="0.2">
      <c r="A261" s="37" t="s">
        <v>335</v>
      </c>
      <c r="B261">
        <v>5</v>
      </c>
      <c r="C261">
        <v>12.96</v>
      </c>
    </row>
    <row r="262" spans="1:3" x14ac:dyDescent="0.2">
      <c r="A262" s="37" t="s">
        <v>335</v>
      </c>
      <c r="B262">
        <v>6</v>
      </c>
      <c r="C262">
        <v>14.509999999999998</v>
      </c>
    </row>
    <row r="263" spans="1:3" x14ac:dyDescent="0.2">
      <c r="A263" s="37" t="s">
        <v>335</v>
      </c>
      <c r="B263">
        <v>7</v>
      </c>
      <c r="C263">
        <v>21.35</v>
      </c>
    </row>
    <row r="264" spans="1:3" x14ac:dyDescent="0.2">
      <c r="A264" s="37" t="s">
        <v>335</v>
      </c>
      <c r="B264">
        <v>8</v>
      </c>
      <c r="C264">
        <v>16.079999999999998</v>
      </c>
    </row>
    <row r="265" spans="1:3" x14ac:dyDescent="0.2">
      <c r="A265" s="37" t="s">
        <v>335</v>
      </c>
      <c r="B265">
        <v>9</v>
      </c>
      <c r="C265">
        <v>22.41</v>
      </c>
    </row>
    <row r="266" spans="1:3" x14ac:dyDescent="0.2">
      <c r="A266" s="37" t="s">
        <v>1983</v>
      </c>
      <c r="B266">
        <v>1</v>
      </c>
      <c r="C266">
        <v>8.1300000000000008</v>
      </c>
    </row>
    <row r="267" spans="1:3" x14ac:dyDescent="0.2">
      <c r="A267" s="37" t="s">
        <v>1983</v>
      </c>
      <c r="B267">
        <v>10</v>
      </c>
      <c r="C267">
        <v>10.65</v>
      </c>
    </row>
    <row r="268" spans="1:3" x14ac:dyDescent="0.2">
      <c r="A268" s="37" t="s">
        <v>1983</v>
      </c>
      <c r="B268">
        <v>11</v>
      </c>
      <c r="C268">
        <v>10.790000000000001</v>
      </c>
    </row>
    <row r="269" spans="1:3" x14ac:dyDescent="0.2">
      <c r="A269" s="37" t="s">
        <v>1983</v>
      </c>
      <c r="B269">
        <v>2</v>
      </c>
      <c r="C269">
        <v>17.78</v>
      </c>
    </row>
    <row r="270" spans="1:3" x14ac:dyDescent="0.2">
      <c r="A270" s="37" t="s">
        <v>1983</v>
      </c>
      <c r="B270">
        <v>3</v>
      </c>
      <c r="C270">
        <v>12.500000000000002</v>
      </c>
    </row>
    <row r="271" spans="1:3" x14ac:dyDescent="0.2">
      <c r="A271" s="37" t="s">
        <v>1983</v>
      </c>
      <c r="B271">
        <v>4</v>
      </c>
      <c r="C271">
        <v>14.810000000000002</v>
      </c>
    </row>
    <row r="272" spans="1:3" x14ac:dyDescent="0.2">
      <c r="A272" s="37" t="s">
        <v>1983</v>
      </c>
      <c r="B272">
        <v>5</v>
      </c>
      <c r="C272">
        <v>12.260000000000002</v>
      </c>
    </row>
    <row r="273" spans="1:3" x14ac:dyDescent="0.2">
      <c r="A273" s="37" t="s">
        <v>1983</v>
      </c>
      <c r="B273">
        <v>6</v>
      </c>
      <c r="C273">
        <v>9.4400000000000013</v>
      </c>
    </row>
    <row r="274" spans="1:3" x14ac:dyDescent="0.2">
      <c r="A274" s="37" t="s">
        <v>1983</v>
      </c>
      <c r="B274">
        <v>7</v>
      </c>
      <c r="C274">
        <v>6.94</v>
      </c>
    </row>
    <row r="275" spans="1:3" x14ac:dyDescent="0.2">
      <c r="A275" s="37" t="s">
        <v>1983</v>
      </c>
      <c r="B275">
        <v>8</v>
      </c>
      <c r="C275">
        <v>7.59</v>
      </c>
    </row>
    <row r="276" spans="1:3" x14ac:dyDescent="0.2">
      <c r="A276" s="37" t="s">
        <v>1983</v>
      </c>
      <c r="B276">
        <v>9</v>
      </c>
      <c r="C276">
        <v>10.780000000000001</v>
      </c>
    </row>
    <row r="277" spans="1:3" x14ac:dyDescent="0.2">
      <c r="A277" s="37" t="s">
        <v>364</v>
      </c>
      <c r="B277">
        <v>1</v>
      </c>
      <c r="C277">
        <v>8.66</v>
      </c>
    </row>
    <row r="278" spans="1:3" x14ac:dyDescent="0.2">
      <c r="A278" s="37" t="s">
        <v>364</v>
      </c>
      <c r="B278">
        <v>10</v>
      </c>
      <c r="C278">
        <v>10.46</v>
      </c>
    </row>
    <row r="279" spans="1:3" x14ac:dyDescent="0.2">
      <c r="A279" s="37" t="s">
        <v>364</v>
      </c>
      <c r="B279">
        <v>11</v>
      </c>
      <c r="C279">
        <v>10.669999999999998</v>
      </c>
    </row>
    <row r="280" spans="1:3" x14ac:dyDescent="0.2">
      <c r="A280" s="37" t="s">
        <v>364</v>
      </c>
      <c r="B280">
        <v>2</v>
      </c>
      <c r="C280">
        <v>7.75</v>
      </c>
    </row>
    <row r="281" spans="1:3" x14ac:dyDescent="0.2">
      <c r="A281" s="37" t="s">
        <v>364</v>
      </c>
      <c r="B281">
        <v>3</v>
      </c>
      <c r="C281">
        <v>8.11</v>
      </c>
    </row>
    <row r="282" spans="1:3" x14ac:dyDescent="0.2">
      <c r="A282" s="37" t="s">
        <v>364</v>
      </c>
      <c r="B282">
        <v>4</v>
      </c>
      <c r="C282">
        <v>10.35</v>
      </c>
    </row>
    <row r="283" spans="1:3" x14ac:dyDescent="0.2">
      <c r="A283" s="37" t="s">
        <v>364</v>
      </c>
      <c r="B283">
        <v>5</v>
      </c>
      <c r="C283">
        <v>8.8099999999999987</v>
      </c>
    </row>
    <row r="284" spans="1:3" x14ac:dyDescent="0.2">
      <c r="A284" s="37" t="s">
        <v>364</v>
      </c>
      <c r="B284">
        <v>6</v>
      </c>
      <c r="C284">
        <v>7.12</v>
      </c>
    </row>
    <row r="285" spans="1:3" x14ac:dyDescent="0.2">
      <c r="A285" s="37" t="s">
        <v>364</v>
      </c>
      <c r="B285">
        <v>7</v>
      </c>
      <c r="C285">
        <v>10.440000000000001</v>
      </c>
    </row>
    <row r="286" spans="1:3" x14ac:dyDescent="0.2">
      <c r="A286" s="37" t="s">
        <v>364</v>
      </c>
      <c r="B286">
        <v>8</v>
      </c>
      <c r="C286">
        <v>10.379999999999999</v>
      </c>
    </row>
    <row r="287" spans="1:3" x14ac:dyDescent="0.2">
      <c r="A287" s="37" t="s">
        <v>364</v>
      </c>
      <c r="B287">
        <v>9</v>
      </c>
      <c r="C287">
        <v>8.370000000000001</v>
      </c>
    </row>
    <row r="288" spans="1:3" x14ac:dyDescent="0.2">
      <c r="A288" s="37" t="s">
        <v>987</v>
      </c>
      <c r="B288">
        <v>1</v>
      </c>
      <c r="C288">
        <v>7.83</v>
      </c>
    </row>
    <row r="289" spans="1:3" x14ac:dyDescent="0.2">
      <c r="A289" s="37" t="s">
        <v>987</v>
      </c>
      <c r="B289">
        <v>10</v>
      </c>
      <c r="C289">
        <v>6.02</v>
      </c>
    </row>
    <row r="290" spans="1:3" x14ac:dyDescent="0.2">
      <c r="A290" s="37" t="s">
        <v>987</v>
      </c>
      <c r="B290">
        <v>11</v>
      </c>
      <c r="C290">
        <v>7.9700000000000006</v>
      </c>
    </row>
    <row r="291" spans="1:3" x14ac:dyDescent="0.2">
      <c r="A291" s="37" t="s">
        <v>987</v>
      </c>
      <c r="B291">
        <v>2</v>
      </c>
      <c r="C291">
        <v>6.8999999999999995</v>
      </c>
    </row>
    <row r="292" spans="1:3" x14ac:dyDescent="0.2">
      <c r="A292" s="37" t="s">
        <v>987</v>
      </c>
      <c r="B292">
        <v>3</v>
      </c>
      <c r="C292">
        <v>8.59</v>
      </c>
    </row>
    <row r="293" spans="1:3" x14ac:dyDescent="0.2">
      <c r="A293" s="37" t="s">
        <v>987</v>
      </c>
      <c r="B293">
        <v>4</v>
      </c>
      <c r="C293">
        <v>9.11</v>
      </c>
    </row>
    <row r="294" spans="1:3" x14ac:dyDescent="0.2">
      <c r="A294" s="37" t="s">
        <v>987</v>
      </c>
      <c r="B294">
        <v>5</v>
      </c>
      <c r="C294">
        <v>5.91</v>
      </c>
    </row>
    <row r="295" spans="1:3" x14ac:dyDescent="0.2">
      <c r="A295" s="37" t="s">
        <v>987</v>
      </c>
      <c r="B295">
        <v>6</v>
      </c>
      <c r="C295">
        <v>8.99</v>
      </c>
    </row>
    <row r="296" spans="1:3" x14ac:dyDescent="0.2">
      <c r="A296" s="37" t="s">
        <v>987</v>
      </c>
      <c r="B296">
        <v>7</v>
      </c>
      <c r="C296">
        <v>7.98</v>
      </c>
    </row>
    <row r="297" spans="1:3" x14ac:dyDescent="0.2">
      <c r="A297" s="37" t="s">
        <v>987</v>
      </c>
      <c r="B297">
        <v>8</v>
      </c>
      <c r="C297">
        <v>7.41</v>
      </c>
    </row>
    <row r="298" spans="1:3" x14ac:dyDescent="0.2">
      <c r="A298" s="37" t="s">
        <v>987</v>
      </c>
      <c r="B298">
        <v>9</v>
      </c>
      <c r="C298">
        <v>5.32</v>
      </c>
    </row>
    <row r="299" spans="1:3" x14ac:dyDescent="0.2">
      <c r="A299" s="37" t="s">
        <v>1984</v>
      </c>
      <c r="B299">
        <v>1</v>
      </c>
      <c r="C299">
        <v>10.799999999999999</v>
      </c>
    </row>
    <row r="300" spans="1:3" x14ac:dyDescent="0.2">
      <c r="A300" s="37" t="s">
        <v>1984</v>
      </c>
      <c r="B300">
        <v>10</v>
      </c>
      <c r="C300">
        <v>9.2900000000000009</v>
      </c>
    </row>
    <row r="301" spans="1:3" x14ac:dyDescent="0.2">
      <c r="A301" s="37" t="s">
        <v>1984</v>
      </c>
      <c r="B301">
        <v>11</v>
      </c>
      <c r="C301">
        <v>15.549999999999999</v>
      </c>
    </row>
    <row r="302" spans="1:3" x14ac:dyDescent="0.2">
      <c r="A302" s="37" t="s">
        <v>1984</v>
      </c>
      <c r="B302">
        <v>2</v>
      </c>
      <c r="C302">
        <v>8.9700000000000006</v>
      </c>
    </row>
    <row r="303" spans="1:3" x14ac:dyDescent="0.2">
      <c r="A303" s="37" t="s">
        <v>1984</v>
      </c>
      <c r="B303">
        <v>3</v>
      </c>
      <c r="C303">
        <v>23.66</v>
      </c>
    </row>
    <row r="304" spans="1:3" x14ac:dyDescent="0.2">
      <c r="A304" s="37" t="s">
        <v>1984</v>
      </c>
      <c r="B304">
        <v>4</v>
      </c>
      <c r="C304">
        <v>18.96</v>
      </c>
    </row>
    <row r="305" spans="1:3" x14ac:dyDescent="0.2">
      <c r="A305" s="37" t="s">
        <v>1984</v>
      </c>
      <c r="B305">
        <v>5</v>
      </c>
      <c r="C305">
        <v>14.669999999999998</v>
      </c>
    </row>
    <row r="306" spans="1:3" x14ac:dyDescent="0.2">
      <c r="A306" s="37" t="s">
        <v>1984</v>
      </c>
      <c r="B306">
        <v>6</v>
      </c>
      <c r="C306">
        <v>14.330000000000002</v>
      </c>
    </row>
    <row r="307" spans="1:3" x14ac:dyDescent="0.2">
      <c r="A307" s="37" t="s">
        <v>1984</v>
      </c>
      <c r="B307">
        <v>7</v>
      </c>
      <c r="C307">
        <v>8.83</v>
      </c>
    </row>
    <row r="308" spans="1:3" x14ac:dyDescent="0.2">
      <c r="A308" s="37" t="s">
        <v>1984</v>
      </c>
      <c r="B308">
        <v>8</v>
      </c>
      <c r="C308">
        <v>9.870000000000001</v>
      </c>
    </row>
    <row r="309" spans="1:3" x14ac:dyDescent="0.2">
      <c r="A309" s="37" t="s">
        <v>1984</v>
      </c>
      <c r="B309">
        <v>9</v>
      </c>
      <c r="C309">
        <v>13.84</v>
      </c>
    </row>
    <row r="310" spans="1:3" x14ac:dyDescent="0.2">
      <c r="A310" s="37" t="s">
        <v>341</v>
      </c>
      <c r="B310">
        <v>1</v>
      </c>
      <c r="C310">
        <v>24.63</v>
      </c>
    </row>
    <row r="311" spans="1:3" x14ac:dyDescent="0.2">
      <c r="A311" s="37" t="s">
        <v>341</v>
      </c>
      <c r="B311">
        <v>10</v>
      </c>
      <c r="C311">
        <v>25.520000000000003</v>
      </c>
    </row>
    <row r="312" spans="1:3" x14ac:dyDescent="0.2">
      <c r="A312" s="37" t="s">
        <v>341</v>
      </c>
      <c r="B312">
        <v>11</v>
      </c>
      <c r="C312">
        <v>18.100000000000001</v>
      </c>
    </row>
    <row r="313" spans="1:3" x14ac:dyDescent="0.2">
      <c r="A313" s="37" t="s">
        <v>341</v>
      </c>
      <c r="B313">
        <v>2</v>
      </c>
      <c r="C313">
        <v>23.650000000000002</v>
      </c>
    </row>
    <row r="314" spans="1:3" x14ac:dyDescent="0.2">
      <c r="A314" s="37" t="s">
        <v>341</v>
      </c>
      <c r="B314">
        <v>3</v>
      </c>
      <c r="C314">
        <v>26.65</v>
      </c>
    </row>
    <row r="315" spans="1:3" x14ac:dyDescent="0.2">
      <c r="A315" s="37" t="s">
        <v>341</v>
      </c>
      <c r="B315">
        <v>4</v>
      </c>
      <c r="C315">
        <v>19.86</v>
      </c>
    </row>
    <row r="316" spans="1:3" x14ac:dyDescent="0.2">
      <c r="A316" s="37" t="s">
        <v>341</v>
      </c>
      <c r="B316">
        <v>5</v>
      </c>
      <c r="C316">
        <v>21.56</v>
      </c>
    </row>
    <row r="317" spans="1:3" x14ac:dyDescent="0.2">
      <c r="A317" s="37" t="s">
        <v>341</v>
      </c>
      <c r="B317">
        <v>6</v>
      </c>
      <c r="C317">
        <v>20.930000000000003</v>
      </c>
    </row>
    <row r="318" spans="1:3" x14ac:dyDescent="0.2">
      <c r="A318" s="37" t="s">
        <v>341</v>
      </c>
      <c r="B318">
        <v>7</v>
      </c>
      <c r="C318">
        <v>34.68</v>
      </c>
    </row>
    <row r="319" spans="1:3" x14ac:dyDescent="0.2">
      <c r="A319" s="37" t="s">
        <v>341</v>
      </c>
      <c r="B319">
        <v>8</v>
      </c>
      <c r="C319">
        <v>23.58</v>
      </c>
    </row>
    <row r="320" spans="1:3" x14ac:dyDescent="0.2">
      <c r="A320" s="37" t="s">
        <v>341</v>
      </c>
      <c r="B320">
        <v>9</v>
      </c>
      <c r="C320">
        <v>15.05</v>
      </c>
    </row>
    <row r="321" spans="1:3" x14ac:dyDescent="0.2">
      <c r="A321" s="37" t="s">
        <v>1985</v>
      </c>
      <c r="B321">
        <v>1</v>
      </c>
      <c r="C321">
        <v>27.810000000000002</v>
      </c>
    </row>
    <row r="322" spans="1:3" x14ac:dyDescent="0.2">
      <c r="A322" s="37" t="s">
        <v>1985</v>
      </c>
      <c r="B322">
        <v>10</v>
      </c>
      <c r="C322">
        <v>22.950000000000003</v>
      </c>
    </row>
    <row r="323" spans="1:3" x14ac:dyDescent="0.2">
      <c r="A323" s="37" t="s">
        <v>1985</v>
      </c>
      <c r="B323">
        <v>11</v>
      </c>
      <c r="C323">
        <v>18.419999999999998</v>
      </c>
    </row>
    <row r="324" spans="1:3" x14ac:dyDescent="0.2">
      <c r="A324" s="37" t="s">
        <v>1985</v>
      </c>
      <c r="B324">
        <v>2</v>
      </c>
      <c r="C324">
        <v>17.21</v>
      </c>
    </row>
    <row r="325" spans="1:3" x14ac:dyDescent="0.2">
      <c r="A325" s="37" t="s">
        <v>1985</v>
      </c>
      <c r="B325">
        <v>3</v>
      </c>
      <c r="C325">
        <v>25.91</v>
      </c>
    </row>
    <row r="326" spans="1:3" x14ac:dyDescent="0.2">
      <c r="A326" s="37" t="s">
        <v>1985</v>
      </c>
      <c r="B326">
        <v>4</v>
      </c>
      <c r="C326">
        <v>20.799999999999997</v>
      </c>
    </row>
    <row r="327" spans="1:3" x14ac:dyDescent="0.2">
      <c r="A327" s="37" t="s">
        <v>1985</v>
      </c>
      <c r="B327">
        <v>5</v>
      </c>
      <c r="C327">
        <v>19.32</v>
      </c>
    </row>
    <row r="328" spans="1:3" x14ac:dyDescent="0.2">
      <c r="A328" s="37" t="s">
        <v>1985</v>
      </c>
      <c r="B328">
        <v>6</v>
      </c>
      <c r="C328">
        <v>25.009999999999998</v>
      </c>
    </row>
    <row r="329" spans="1:3" x14ac:dyDescent="0.2">
      <c r="A329" s="37" t="s">
        <v>1985</v>
      </c>
      <c r="B329">
        <v>7</v>
      </c>
      <c r="C329">
        <v>25.820000000000004</v>
      </c>
    </row>
    <row r="330" spans="1:3" x14ac:dyDescent="0.2">
      <c r="A330" s="37" t="s">
        <v>1985</v>
      </c>
      <c r="B330">
        <v>8</v>
      </c>
      <c r="C330">
        <v>19.36</v>
      </c>
    </row>
    <row r="331" spans="1:3" x14ac:dyDescent="0.2">
      <c r="A331" s="37" t="s">
        <v>1985</v>
      </c>
      <c r="B331">
        <v>9</v>
      </c>
      <c r="C331">
        <v>20.67</v>
      </c>
    </row>
    <row r="332" spans="1:3" x14ac:dyDescent="0.2">
      <c r="A332" s="37" t="s">
        <v>379</v>
      </c>
      <c r="B332">
        <v>1</v>
      </c>
      <c r="C332">
        <v>11.55</v>
      </c>
    </row>
    <row r="333" spans="1:3" x14ac:dyDescent="0.2">
      <c r="A333" s="37" t="s">
        <v>379</v>
      </c>
      <c r="B333">
        <v>10</v>
      </c>
      <c r="C333">
        <v>12.899999999999999</v>
      </c>
    </row>
    <row r="334" spans="1:3" x14ac:dyDescent="0.2">
      <c r="A334" s="37" t="s">
        <v>379</v>
      </c>
      <c r="B334">
        <v>11</v>
      </c>
      <c r="C334">
        <v>12.65</v>
      </c>
    </row>
    <row r="335" spans="1:3" x14ac:dyDescent="0.2">
      <c r="A335" s="37" t="s">
        <v>379</v>
      </c>
      <c r="B335">
        <v>2</v>
      </c>
      <c r="C335">
        <v>9.92</v>
      </c>
    </row>
    <row r="336" spans="1:3" x14ac:dyDescent="0.2">
      <c r="A336" s="37" t="s">
        <v>379</v>
      </c>
      <c r="B336">
        <v>3</v>
      </c>
      <c r="C336">
        <v>10.46</v>
      </c>
    </row>
    <row r="337" spans="1:3" x14ac:dyDescent="0.2">
      <c r="A337" s="37" t="s">
        <v>379</v>
      </c>
      <c r="B337">
        <v>4</v>
      </c>
      <c r="C337">
        <v>14.35</v>
      </c>
    </row>
    <row r="338" spans="1:3" x14ac:dyDescent="0.2">
      <c r="A338" s="37" t="s">
        <v>379</v>
      </c>
      <c r="B338">
        <v>5</v>
      </c>
      <c r="C338">
        <v>14.060000000000002</v>
      </c>
    </row>
    <row r="339" spans="1:3" x14ac:dyDescent="0.2">
      <c r="A339" s="37" t="s">
        <v>379</v>
      </c>
      <c r="B339">
        <v>6</v>
      </c>
      <c r="C339">
        <v>9.6300000000000008</v>
      </c>
    </row>
    <row r="340" spans="1:3" x14ac:dyDescent="0.2">
      <c r="A340" s="37" t="s">
        <v>379</v>
      </c>
      <c r="B340">
        <v>7</v>
      </c>
      <c r="C340">
        <v>20.700000000000003</v>
      </c>
    </row>
    <row r="341" spans="1:3" x14ac:dyDescent="0.2">
      <c r="A341" s="37" t="s">
        <v>379</v>
      </c>
      <c r="B341">
        <v>8</v>
      </c>
      <c r="C341">
        <v>12.53</v>
      </c>
    </row>
    <row r="342" spans="1:3" x14ac:dyDescent="0.2">
      <c r="A342" s="37" t="s">
        <v>379</v>
      </c>
      <c r="B342">
        <v>9</v>
      </c>
      <c r="C342">
        <v>10.94</v>
      </c>
    </row>
    <row r="343" spans="1:3" x14ac:dyDescent="0.2">
      <c r="A343" s="37" t="s">
        <v>365</v>
      </c>
      <c r="B343">
        <v>1</v>
      </c>
      <c r="C343">
        <v>14.54</v>
      </c>
    </row>
    <row r="344" spans="1:3" x14ac:dyDescent="0.2">
      <c r="A344" s="37" t="s">
        <v>365</v>
      </c>
      <c r="B344">
        <v>10</v>
      </c>
      <c r="C344">
        <v>17.899999999999999</v>
      </c>
    </row>
    <row r="345" spans="1:3" x14ac:dyDescent="0.2">
      <c r="A345" s="37" t="s">
        <v>365</v>
      </c>
      <c r="B345">
        <v>11</v>
      </c>
      <c r="C345">
        <v>16.599999999999998</v>
      </c>
    </row>
    <row r="346" spans="1:3" x14ac:dyDescent="0.2">
      <c r="A346" s="37" t="s">
        <v>365</v>
      </c>
      <c r="B346">
        <v>2</v>
      </c>
      <c r="C346">
        <v>14.73</v>
      </c>
    </row>
    <row r="347" spans="1:3" x14ac:dyDescent="0.2">
      <c r="A347" s="37" t="s">
        <v>365</v>
      </c>
      <c r="B347">
        <v>3</v>
      </c>
      <c r="C347">
        <v>12.78</v>
      </c>
    </row>
    <row r="348" spans="1:3" x14ac:dyDescent="0.2">
      <c r="A348" s="37" t="s">
        <v>365</v>
      </c>
      <c r="B348">
        <v>4</v>
      </c>
      <c r="C348">
        <v>15.660000000000002</v>
      </c>
    </row>
    <row r="349" spans="1:3" x14ac:dyDescent="0.2">
      <c r="A349" s="37" t="s">
        <v>365</v>
      </c>
      <c r="B349">
        <v>5</v>
      </c>
      <c r="C349">
        <v>12.68</v>
      </c>
    </row>
    <row r="350" spans="1:3" x14ac:dyDescent="0.2">
      <c r="A350" s="37" t="s">
        <v>365</v>
      </c>
      <c r="B350">
        <v>6</v>
      </c>
      <c r="C350">
        <v>14.69</v>
      </c>
    </row>
    <row r="351" spans="1:3" x14ac:dyDescent="0.2">
      <c r="A351" s="37" t="s">
        <v>365</v>
      </c>
      <c r="B351">
        <v>7</v>
      </c>
      <c r="C351">
        <v>15.29</v>
      </c>
    </row>
    <row r="352" spans="1:3" x14ac:dyDescent="0.2">
      <c r="A352" s="37" t="s">
        <v>365</v>
      </c>
      <c r="B352">
        <v>8</v>
      </c>
      <c r="C352">
        <v>18.029999999999998</v>
      </c>
    </row>
    <row r="353" spans="1:3" x14ac:dyDescent="0.2">
      <c r="A353" s="37" t="s">
        <v>365</v>
      </c>
      <c r="B353">
        <v>9</v>
      </c>
      <c r="C353">
        <v>15.07</v>
      </c>
    </row>
    <row r="354" spans="1:3" x14ac:dyDescent="0.2">
      <c r="A354" s="37" t="s">
        <v>1986</v>
      </c>
      <c r="B354">
        <v>1</v>
      </c>
      <c r="C354">
        <v>10.02</v>
      </c>
    </row>
    <row r="355" spans="1:3" x14ac:dyDescent="0.2">
      <c r="A355" s="37" t="s">
        <v>1986</v>
      </c>
      <c r="B355">
        <v>10</v>
      </c>
      <c r="C355">
        <v>17.149999999999999</v>
      </c>
    </row>
    <row r="356" spans="1:3" x14ac:dyDescent="0.2">
      <c r="A356" s="37" t="s">
        <v>1986</v>
      </c>
      <c r="B356">
        <v>11</v>
      </c>
      <c r="C356">
        <v>14.600000000000001</v>
      </c>
    </row>
    <row r="357" spans="1:3" x14ac:dyDescent="0.2">
      <c r="A357" s="37" t="s">
        <v>1986</v>
      </c>
      <c r="B357">
        <v>2</v>
      </c>
      <c r="C357">
        <v>12.379999999999999</v>
      </c>
    </row>
    <row r="358" spans="1:3" x14ac:dyDescent="0.2">
      <c r="A358" s="37" t="s">
        <v>1986</v>
      </c>
      <c r="B358">
        <v>3</v>
      </c>
      <c r="C358">
        <v>11.969999999999999</v>
      </c>
    </row>
    <row r="359" spans="1:3" x14ac:dyDescent="0.2">
      <c r="A359" s="37" t="s">
        <v>1986</v>
      </c>
      <c r="B359">
        <v>4</v>
      </c>
      <c r="C359">
        <v>12.219999999999999</v>
      </c>
    </row>
    <row r="360" spans="1:3" x14ac:dyDescent="0.2">
      <c r="A360" s="37" t="s">
        <v>1986</v>
      </c>
      <c r="B360">
        <v>5</v>
      </c>
      <c r="C360">
        <v>13.19</v>
      </c>
    </row>
    <row r="361" spans="1:3" x14ac:dyDescent="0.2">
      <c r="A361" s="37" t="s">
        <v>1986</v>
      </c>
      <c r="B361">
        <v>6</v>
      </c>
      <c r="C361">
        <v>16.740000000000002</v>
      </c>
    </row>
    <row r="362" spans="1:3" x14ac:dyDescent="0.2">
      <c r="A362" s="37" t="s">
        <v>1986</v>
      </c>
      <c r="B362">
        <v>7</v>
      </c>
      <c r="C362">
        <v>19.47</v>
      </c>
    </row>
    <row r="363" spans="1:3" x14ac:dyDescent="0.2">
      <c r="A363" s="37" t="s">
        <v>1986</v>
      </c>
      <c r="B363">
        <v>8</v>
      </c>
      <c r="C363">
        <v>13.900000000000002</v>
      </c>
    </row>
    <row r="364" spans="1:3" x14ac:dyDescent="0.2">
      <c r="A364" s="37" t="s">
        <v>1986</v>
      </c>
      <c r="B364">
        <v>9</v>
      </c>
      <c r="C364">
        <v>15.52</v>
      </c>
    </row>
    <row r="365" spans="1:3" x14ac:dyDescent="0.2">
      <c r="A365" s="37" t="s">
        <v>433</v>
      </c>
      <c r="B365">
        <v>1</v>
      </c>
      <c r="C365">
        <v>41.2</v>
      </c>
    </row>
    <row r="366" spans="1:3" x14ac:dyDescent="0.2">
      <c r="A366" s="37" t="s">
        <v>433</v>
      </c>
      <c r="B366">
        <v>10</v>
      </c>
      <c r="C366">
        <v>30.740000000000002</v>
      </c>
    </row>
    <row r="367" spans="1:3" x14ac:dyDescent="0.2">
      <c r="A367" s="37" t="s">
        <v>433</v>
      </c>
      <c r="B367">
        <v>11</v>
      </c>
      <c r="C367">
        <v>26.779999999999998</v>
      </c>
    </row>
    <row r="368" spans="1:3" x14ac:dyDescent="0.2">
      <c r="A368" s="37" t="s">
        <v>433</v>
      </c>
      <c r="B368">
        <v>2</v>
      </c>
      <c r="C368">
        <v>29.93</v>
      </c>
    </row>
    <row r="369" spans="1:3" x14ac:dyDescent="0.2">
      <c r="A369" s="37" t="s">
        <v>433</v>
      </c>
      <c r="B369">
        <v>3</v>
      </c>
      <c r="C369">
        <v>34.660000000000004</v>
      </c>
    </row>
    <row r="370" spans="1:3" x14ac:dyDescent="0.2">
      <c r="A370" s="37" t="s">
        <v>433</v>
      </c>
      <c r="B370">
        <v>4</v>
      </c>
      <c r="C370">
        <v>39.28</v>
      </c>
    </row>
    <row r="371" spans="1:3" x14ac:dyDescent="0.2">
      <c r="A371" s="37" t="s">
        <v>433</v>
      </c>
      <c r="B371">
        <v>5</v>
      </c>
      <c r="C371">
        <v>38.939999999999991</v>
      </c>
    </row>
    <row r="372" spans="1:3" x14ac:dyDescent="0.2">
      <c r="A372" s="37" t="s">
        <v>433</v>
      </c>
      <c r="B372">
        <v>6</v>
      </c>
      <c r="C372">
        <v>32.19</v>
      </c>
    </row>
    <row r="373" spans="1:3" x14ac:dyDescent="0.2">
      <c r="A373" s="37" t="s">
        <v>433</v>
      </c>
      <c r="B373">
        <v>7</v>
      </c>
      <c r="C373">
        <v>28.39</v>
      </c>
    </row>
    <row r="374" spans="1:3" x14ac:dyDescent="0.2">
      <c r="A374" s="37" t="s">
        <v>433</v>
      </c>
      <c r="B374">
        <v>8</v>
      </c>
      <c r="C374">
        <v>32.880000000000003</v>
      </c>
    </row>
    <row r="375" spans="1:3" x14ac:dyDescent="0.2">
      <c r="A375" s="37" t="s">
        <v>433</v>
      </c>
      <c r="B375">
        <v>9</v>
      </c>
      <c r="C375">
        <v>25.53</v>
      </c>
    </row>
    <row r="376" spans="1:3" x14ac:dyDescent="0.2">
      <c r="A376" s="37" t="s">
        <v>440</v>
      </c>
      <c r="B376">
        <v>1</v>
      </c>
      <c r="C376">
        <v>19.02</v>
      </c>
    </row>
    <row r="377" spans="1:3" x14ac:dyDescent="0.2">
      <c r="A377" s="37" t="s">
        <v>440</v>
      </c>
      <c r="B377">
        <v>10</v>
      </c>
      <c r="C377">
        <v>13.01</v>
      </c>
    </row>
    <row r="378" spans="1:3" x14ac:dyDescent="0.2">
      <c r="A378" s="37" t="s">
        <v>440</v>
      </c>
      <c r="B378">
        <v>11</v>
      </c>
      <c r="C378">
        <v>12.37</v>
      </c>
    </row>
    <row r="379" spans="1:3" x14ac:dyDescent="0.2">
      <c r="A379" s="37" t="s">
        <v>440</v>
      </c>
      <c r="B379">
        <v>2</v>
      </c>
      <c r="C379">
        <v>23.74</v>
      </c>
    </row>
    <row r="380" spans="1:3" x14ac:dyDescent="0.2">
      <c r="A380" s="37" t="s">
        <v>440</v>
      </c>
      <c r="B380">
        <v>3</v>
      </c>
      <c r="C380">
        <v>24.56</v>
      </c>
    </row>
    <row r="381" spans="1:3" x14ac:dyDescent="0.2">
      <c r="A381" s="37" t="s">
        <v>440</v>
      </c>
      <c r="B381">
        <v>4</v>
      </c>
      <c r="C381">
        <v>22.619999999999997</v>
      </c>
    </row>
    <row r="382" spans="1:3" x14ac:dyDescent="0.2">
      <c r="A382" s="37" t="s">
        <v>440</v>
      </c>
      <c r="B382">
        <v>5</v>
      </c>
      <c r="C382">
        <v>22.9</v>
      </c>
    </row>
    <row r="383" spans="1:3" x14ac:dyDescent="0.2">
      <c r="A383" s="37" t="s">
        <v>440</v>
      </c>
      <c r="B383">
        <v>6</v>
      </c>
      <c r="C383">
        <v>14.169999999999998</v>
      </c>
    </row>
    <row r="384" spans="1:3" x14ac:dyDescent="0.2">
      <c r="A384" s="37" t="s">
        <v>440</v>
      </c>
      <c r="B384">
        <v>7</v>
      </c>
      <c r="C384">
        <v>23.569999999999997</v>
      </c>
    </row>
    <row r="385" spans="1:3" x14ac:dyDescent="0.2">
      <c r="A385" s="37" t="s">
        <v>440</v>
      </c>
      <c r="B385">
        <v>8</v>
      </c>
      <c r="C385">
        <v>22.700000000000003</v>
      </c>
    </row>
    <row r="386" spans="1:3" x14ac:dyDescent="0.2">
      <c r="A386" s="37" t="s">
        <v>440</v>
      </c>
      <c r="B386">
        <v>9</v>
      </c>
      <c r="C386">
        <v>17.009999999999998</v>
      </c>
    </row>
    <row r="387" spans="1:3" x14ac:dyDescent="0.2">
      <c r="A387" s="37" t="s">
        <v>398</v>
      </c>
      <c r="B387">
        <v>1</v>
      </c>
      <c r="C387">
        <v>59.489999999999995</v>
      </c>
    </row>
    <row r="388" spans="1:3" x14ac:dyDescent="0.2">
      <c r="A388" s="37" t="s">
        <v>398</v>
      </c>
      <c r="B388">
        <v>10</v>
      </c>
      <c r="C388">
        <v>35.17</v>
      </c>
    </row>
    <row r="389" spans="1:3" x14ac:dyDescent="0.2">
      <c r="A389" s="37" t="s">
        <v>398</v>
      </c>
      <c r="B389">
        <v>11</v>
      </c>
      <c r="C389">
        <v>32.81</v>
      </c>
    </row>
    <row r="390" spans="1:3" x14ac:dyDescent="0.2">
      <c r="A390" s="37" t="s">
        <v>398</v>
      </c>
      <c r="B390">
        <v>2</v>
      </c>
      <c r="C390">
        <v>46.449999999999989</v>
      </c>
    </row>
    <row r="391" spans="1:3" x14ac:dyDescent="0.2">
      <c r="A391" s="37" t="s">
        <v>398</v>
      </c>
      <c r="B391">
        <v>3</v>
      </c>
      <c r="C391">
        <v>36.869999999999997</v>
      </c>
    </row>
    <row r="392" spans="1:3" x14ac:dyDescent="0.2">
      <c r="A392" s="37" t="s">
        <v>398</v>
      </c>
      <c r="B392">
        <v>4</v>
      </c>
      <c r="C392">
        <v>32.35</v>
      </c>
    </row>
    <row r="393" spans="1:3" x14ac:dyDescent="0.2">
      <c r="A393" s="37" t="s">
        <v>398</v>
      </c>
      <c r="B393">
        <v>5</v>
      </c>
      <c r="C393">
        <v>37.14</v>
      </c>
    </row>
    <row r="394" spans="1:3" x14ac:dyDescent="0.2">
      <c r="A394" s="37" t="s">
        <v>398</v>
      </c>
      <c r="B394">
        <v>6</v>
      </c>
      <c r="C394">
        <v>26.86</v>
      </c>
    </row>
    <row r="395" spans="1:3" x14ac:dyDescent="0.2">
      <c r="A395" s="37" t="s">
        <v>398</v>
      </c>
      <c r="B395">
        <v>7</v>
      </c>
      <c r="C395">
        <v>36.76</v>
      </c>
    </row>
    <row r="396" spans="1:3" x14ac:dyDescent="0.2">
      <c r="A396" s="37" t="s">
        <v>398</v>
      </c>
      <c r="B396">
        <v>8</v>
      </c>
      <c r="C396">
        <v>38.68</v>
      </c>
    </row>
    <row r="397" spans="1:3" x14ac:dyDescent="0.2">
      <c r="A397" s="37" t="s">
        <v>398</v>
      </c>
      <c r="B397">
        <v>9</v>
      </c>
      <c r="C397">
        <v>32.33</v>
      </c>
    </row>
    <row r="398" spans="1:3" x14ac:dyDescent="0.2">
      <c r="A398" s="37" t="s">
        <v>1987</v>
      </c>
      <c r="B398">
        <v>1</v>
      </c>
      <c r="C398">
        <v>7.6700000000000008</v>
      </c>
    </row>
    <row r="399" spans="1:3" x14ac:dyDescent="0.2">
      <c r="A399" s="37" t="s">
        <v>1987</v>
      </c>
      <c r="B399">
        <v>10</v>
      </c>
      <c r="C399">
        <v>11.280000000000001</v>
      </c>
    </row>
    <row r="400" spans="1:3" x14ac:dyDescent="0.2">
      <c r="A400" s="37" t="s">
        <v>1987</v>
      </c>
      <c r="B400">
        <v>11</v>
      </c>
      <c r="C400">
        <v>8.8999999999999986</v>
      </c>
    </row>
    <row r="401" spans="1:3" x14ac:dyDescent="0.2">
      <c r="A401" s="37" t="s">
        <v>1987</v>
      </c>
      <c r="B401">
        <v>2</v>
      </c>
      <c r="C401">
        <v>8.1999999999999993</v>
      </c>
    </row>
    <row r="402" spans="1:3" x14ac:dyDescent="0.2">
      <c r="A402" s="37" t="s">
        <v>1987</v>
      </c>
      <c r="B402">
        <v>3</v>
      </c>
      <c r="C402">
        <v>10.15</v>
      </c>
    </row>
    <row r="403" spans="1:3" x14ac:dyDescent="0.2">
      <c r="A403" s="37" t="s">
        <v>1987</v>
      </c>
      <c r="B403">
        <v>4</v>
      </c>
      <c r="C403">
        <v>6.45</v>
      </c>
    </row>
    <row r="404" spans="1:3" x14ac:dyDescent="0.2">
      <c r="A404" s="37" t="s">
        <v>1987</v>
      </c>
      <c r="B404">
        <v>5</v>
      </c>
      <c r="C404">
        <v>9.8899999999999988</v>
      </c>
    </row>
    <row r="405" spans="1:3" x14ac:dyDescent="0.2">
      <c r="A405" s="37" t="s">
        <v>1987</v>
      </c>
      <c r="B405">
        <v>6</v>
      </c>
      <c r="C405">
        <v>8.57</v>
      </c>
    </row>
    <row r="406" spans="1:3" x14ac:dyDescent="0.2">
      <c r="A406" s="37" t="s">
        <v>1987</v>
      </c>
      <c r="B406">
        <v>7</v>
      </c>
      <c r="C406">
        <v>9.3099999999999987</v>
      </c>
    </row>
    <row r="407" spans="1:3" x14ac:dyDescent="0.2">
      <c r="A407" s="37" t="s">
        <v>1987</v>
      </c>
      <c r="B407">
        <v>8</v>
      </c>
      <c r="C407">
        <v>4.72</v>
      </c>
    </row>
    <row r="408" spans="1:3" x14ac:dyDescent="0.2">
      <c r="A408" s="37" t="s">
        <v>1987</v>
      </c>
      <c r="B408">
        <v>9</v>
      </c>
      <c r="C408">
        <v>12.65</v>
      </c>
    </row>
    <row r="409" spans="1:3" x14ac:dyDescent="0.2">
      <c r="A409" s="37" t="s">
        <v>1988</v>
      </c>
      <c r="B409">
        <v>1</v>
      </c>
      <c r="C409">
        <v>10.77</v>
      </c>
    </row>
    <row r="410" spans="1:3" x14ac:dyDescent="0.2">
      <c r="A410" s="37" t="s">
        <v>1988</v>
      </c>
      <c r="B410">
        <v>10</v>
      </c>
      <c r="C410">
        <v>9.09</v>
      </c>
    </row>
    <row r="411" spans="1:3" x14ac:dyDescent="0.2">
      <c r="A411" s="37" t="s">
        <v>1988</v>
      </c>
      <c r="B411">
        <v>11</v>
      </c>
      <c r="C411">
        <v>10.74</v>
      </c>
    </row>
    <row r="412" spans="1:3" x14ac:dyDescent="0.2">
      <c r="A412" s="37" t="s">
        <v>1988</v>
      </c>
      <c r="B412">
        <v>2</v>
      </c>
      <c r="C412">
        <v>6.06</v>
      </c>
    </row>
    <row r="413" spans="1:3" x14ac:dyDescent="0.2">
      <c r="A413" s="37" t="s">
        <v>1988</v>
      </c>
      <c r="B413">
        <v>3</v>
      </c>
      <c r="C413">
        <v>12.64</v>
      </c>
    </row>
    <row r="414" spans="1:3" x14ac:dyDescent="0.2">
      <c r="A414" s="37" t="s">
        <v>1988</v>
      </c>
      <c r="B414">
        <v>4</v>
      </c>
      <c r="C414">
        <v>14.44</v>
      </c>
    </row>
    <row r="415" spans="1:3" x14ac:dyDescent="0.2">
      <c r="A415" s="37" t="s">
        <v>1988</v>
      </c>
      <c r="B415">
        <v>5</v>
      </c>
      <c r="C415">
        <v>13.67</v>
      </c>
    </row>
    <row r="416" spans="1:3" x14ac:dyDescent="0.2">
      <c r="A416" s="37" t="s">
        <v>1988</v>
      </c>
      <c r="B416">
        <v>6</v>
      </c>
      <c r="C416">
        <v>12.91</v>
      </c>
    </row>
    <row r="417" spans="1:3" x14ac:dyDescent="0.2">
      <c r="A417" s="37" t="s">
        <v>1988</v>
      </c>
      <c r="B417">
        <v>7</v>
      </c>
      <c r="C417">
        <v>9.6699999999999982</v>
      </c>
    </row>
    <row r="418" spans="1:3" x14ac:dyDescent="0.2">
      <c r="A418" s="37" t="s">
        <v>1988</v>
      </c>
      <c r="B418">
        <v>8</v>
      </c>
      <c r="C418">
        <v>7.129999999999999</v>
      </c>
    </row>
    <row r="419" spans="1:3" x14ac:dyDescent="0.2">
      <c r="A419" s="37" t="s">
        <v>1988</v>
      </c>
      <c r="B419">
        <v>9</v>
      </c>
      <c r="C419">
        <v>8.14</v>
      </c>
    </row>
    <row r="420" spans="1:3" x14ac:dyDescent="0.2">
      <c r="A420" s="37" t="s">
        <v>338</v>
      </c>
      <c r="B420">
        <v>1</v>
      </c>
      <c r="C420">
        <v>14.649999999999999</v>
      </c>
    </row>
    <row r="421" spans="1:3" x14ac:dyDescent="0.2">
      <c r="A421" s="37" t="s">
        <v>338</v>
      </c>
      <c r="B421">
        <v>10</v>
      </c>
      <c r="C421">
        <v>16.649999999999999</v>
      </c>
    </row>
    <row r="422" spans="1:3" x14ac:dyDescent="0.2">
      <c r="A422" s="37" t="s">
        <v>338</v>
      </c>
      <c r="B422">
        <v>11</v>
      </c>
      <c r="C422">
        <v>14.84</v>
      </c>
    </row>
    <row r="423" spans="1:3" x14ac:dyDescent="0.2">
      <c r="A423" s="37" t="s">
        <v>338</v>
      </c>
      <c r="B423">
        <v>2</v>
      </c>
      <c r="C423">
        <v>15.51</v>
      </c>
    </row>
    <row r="424" spans="1:3" x14ac:dyDescent="0.2">
      <c r="A424" s="37" t="s">
        <v>338</v>
      </c>
      <c r="B424">
        <v>3</v>
      </c>
      <c r="C424">
        <v>17.57</v>
      </c>
    </row>
    <row r="425" spans="1:3" x14ac:dyDescent="0.2">
      <c r="A425" s="37" t="s">
        <v>338</v>
      </c>
      <c r="B425">
        <v>4</v>
      </c>
      <c r="C425">
        <v>14.719999999999999</v>
      </c>
    </row>
    <row r="426" spans="1:3" x14ac:dyDescent="0.2">
      <c r="A426" s="37" t="s">
        <v>338</v>
      </c>
      <c r="B426">
        <v>5</v>
      </c>
      <c r="C426">
        <v>13.7</v>
      </c>
    </row>
    <row r="427" spans="1:3" x14ac:dyDescent="0.2">
      <c r="A427" s="37" t="s">
        <v>338</v>
      </c>
      <c r="B427">
        <v>6</v>
      </c>
      <c r="C427">
        <v>13.079999999999998</v>
      </c>
    </row>
    <row r="428" spans="1:3" x14ac:dyDescent="0.2">
      <c r="A428" s="37" t="s">
        <v>338</v>
      </c>
      <c r="B428">
        <v>7</v>
      </c>
      <c r="C428">
        <v>17.100000000000001</v>
      </c>
    </row>
    <row r="429" spans="1:3" x14ac:dyDescent="0.2">
      <c r="A429" s="37" t="s">
        <v>338</v>
      </c>
      <c r="B429">
        <v>8</v>
      </c>
      <c r="C429">
        <v>14.12</v>
      </c>
    </row>
    <row r="430" spans="1:3" x14ac:dyDescent="0.2">
      <c r="A430" s="37" t="s">
        <v>338</v>
      </c>
      <c r="B430">
        <v>9</v>
      </c>
      <c r="C430">
        <v>14.14</v>
      </c>
    </row>
    <row r="431" spans="1:3" x14ac:dyDescent="0.2">
      <c r="A431" s="37" t="s">
        <v>1989</v>
      </c>
      <c r="B431">
        <v>1</v>
      </c>
      <c r="C431">
        <v>19</v>
      </c>
    </row>
    <row r="432" spans="1:3" x14ac:dyDescent="0.2">
      <c r="A432" s="37" t="s">
        <v>1989</v>
      </c>
      <c r="B432">
        <v>10</v>
      </c>
      <c r="C432">
        <v>15.089999999999998</v>
      </c>
    </row>
    <row r="433" spans="1:3" x14ac:dyDescent="0.2">
      <c r="A433" s="37" t="s">
        <v>1989</v>
      </c>
      <c r="B433">
        <v>11</v>
      </c>
      <c r="C433">
        <v>10.71</v>
      </c>
    </row>
    <row r="434" spans="1:3" x14ac:dyDescent="0.2">
      <c r="A434" s="37" t="s">
        <v>1989</v>
      </c>
      <c r="B434">
        <v>2</v>
      </c>
      <c r="C434">
        <v>18.190000000000001</v>
      </c>
    </row>
    <row r="435" spans="1:3" x14ac:dyDescent="0.2">
      <c r="A435" s="37" t="s">
        <v>1989</v>
      </c>
      <c r="B435">
        <v>3</v>
      </c>
      <c r="C435">
        <v>12.850000000000001</v>
      </c>
    </row>
    <row r="436" spans="1:3" x14ac:dyDescent="0.2">
      <c r="A436" s="37" t="s">
        <v>1989</v>
      </c>
      <c r="B436">
        <v>4</v>
      </c>
      <c r="C436">
        <v>10.049999999999999</v>
      </c>
    </row>
    <row r="437" spans="1:3" x14ac:dyDescent="0.2">
      <c r="A437" s="37" t="s">
        <v>1989</v>
      </c>
      <c r="B437">
        <v>5</v>
      </c>
      <c r="C437">
        <v>17.71</v>
      </c>
    </row>
    <row r="438" spans="1:3" x14ac:dyDescent="0.2">
      <c r="A438" s="37" t="s">
        <v>1989</v>
      </c>
      <c r="B438">
        <v>6</v>
      </c>
      <c r="C438">
        <v>17.689999999999998</v>
      </c>
    </row>
    <row r="439" spans="1:3" x14ac:dyDescent="0.2">
      <c r="A439" s="37" t="s">
        <v>1989</v>
      </c>
      <c r="B439">
        <v>7</v>
      </c>
      <c r="C439">
        <v>20.149999999999999</v>
      </c>
    </row>
    <row r="440" spans="1:3" x14ac:dyDescent="0.2">
      <c r="A440" s="37" t="s">
        <v>1989</v>
      </c>
      <c r="B440">
        <v>8</v>
      </c>
      <c r="C440">
        <v>16.16</v>
      </c>
    </row>
    <row r="441" spans="1:3" x14ac:dyDescent="0.2">
      <c r="A441" s="37" t="s">
        <v>1989</v>
      </c>
      <c r="B441">
        <v>9</v>
      </c>
      <c r="C441">
        <v>14.77</v>
      </c>
    </row>
    <row r="442" spans="1:3" x14ac:dyDescent="0.2">
      <c r="A442" s="37" t="s">
        <v>325</v>
      </c>
      <c r="B442">
        <v>1</v>
      </c>
      <c r="C442">
        <v>5.59</v>
      </c>
    </row>
    <row r="443" spans="1:3" x14ac:dyDescent="0.2">
      <c r="A443" s="37" t="s">
        <v>325</v>
      </c>
      <c r="B443">
        <v>10</v>
      </c>
      <c r="C443">
        <v>7.74</v>
      </c>
    </row>
    <row r="444" spans="1:3" x14ac:dyDescent="0.2">
      <c r="A444" s="37" t="s">
        <v>325</v>
      </c>
      <c r="B444">
        <v>11</v>
      </c>
      <c r="C444">
        <v>2.91</v>
      </c>
    </row>
    <row r="445" spans="1:3" x14ac:dyDescent="0.2">
      <c r="A445" s="37" t="s">
        <v>325</v>
      </c>
      <c r="B445">
        <v>2</v>
      </c>
      <c r="C445">
        <v>5.34</v>
      </c>
    </row>
    <row r="446" spans="1:3" x14ac:dyDescent="0.2">
      <c r="A446" s="37" t="s">
        <v>325</v>
      </c>
      <c r="B446">
        <v>3</v>
      </c>
      <c r="C446">
        <v>3.95</v>
      </c>
    </row>
    <row r="447" spans="1:3" x14ac:dyDescent="0.2">
      <c r="A447" s="37" t="s">
        <v>325</v>
      </c>
      <c r="B447">
        <v>4</v>
      </c>
      <c r="C447">
        <v>5.07</v>
      </c>
    </row>
    <row r="448" spans="1:3" x14ac:dyDescent="0.2">
      <c r="A448" s="37" t="s">
        <v>325</v>
      </c>
      <c r="B448">
        <v>5</v>
      </c>
      <c r="C448">
        <v>2.79</v>
      </c>
    </row>
    <row r="449" spans="1:3" x14ac:dyDescent="0.2">
      <c r="A449" s="37" t="s">
        <v>325</v>
      </c>
      <c r="B449">
        <v>6</v>
      </c>
      <c r="C449">
        <v>5.63</v>
      </c>
    </row>
    <row r="450" spans="1:3" x14ac:dyDescent="0.2">
      <c r="A450" s="37" t="s">
        <v>325</v>
      </c>
      <c r="B450">
        <v>7</v>
      </c>
      <c r="C450">
        <v>5.64</v>
      </c>
    </row>
    <row r="451" spans="1:3" x14ac:dyDescent="0.2">
      <c r="A451" s="37" t="s">
        <v>325</v>
      </c>
      <c r="B451">
        <v>8</v>
      </c>
      <c r="C451">
        <v>3.88</v>
      </c>
    </row>
    <row r="452" spans="1:3" x14ac:dyDescent="0.2">
      <c r="A452" s="37" t="s">
        <v>325</v>
      </c>
      <c r="B452">
        <v>9</v>
      </c>
      <c r="C452">
        <v>6.8999999999999995</v>
      </c>
    </row>
    <row r="453" spans="1:3" x14ac:dyDescent="0.2">
      <c r="A453" s="37" t="s">
        <v>465</v>
      </c>
      <c r="B453">
        <v>1</v>
      </c>
      <c r="C453">
        <v>22.009999999999998</v>
      </c>
    </row>
    <row r="454" spans="1:3" x14ac:dyDescent="0.2">
      <c r="A454" s="37" t="s">
        <v>465</v>
      </c>
      <c r="B454">
        <v>10</v>
      </c>
      <c r="C454">
        <v>14.329999999999998</v>
      </c>
    </row>
    <row r="455" spans="1:3" x14ac:dyDescent="0.2">
      <c r="A455" s="37" t="s">
        <v>465</v>
      </c>
      <c r="B455">
        <v>11</v>
      </c>
      <c r="C455">
        <v>17.119999999999997</v>
      </c>
    </row>
    <row r="456" spans="1:3" x14ac:dyDescent="0.2">
      <c r="A456" s="37" t="s">
        <v>465</v>
      </c>
      <c r="B456">
        <v>2</v>
      </c>
      <c r="C456">
        <v>12.31</v>
      </c>
    </row>
    <row r="457" spans="1:3" x14ac:dyDescent="0.2">
      <c r="A457" s="37" t="s">
        <v>465</v>
      </c>
      <c r="B457">
        <v>3</v>
      </c>
      <c r="C457">
        <v>23.220000000000002</v>
      </c>
    </row>
    <row r="458" spans="1:3" x14ac:dyDescent="0.2">
      <c r="A458" s="37" t="s">
        <v>465</v>
      </c>
      <c r="B458">
        <v>4</v>
      </c>
      <c r="C458">
        <v>14.379999999999999</v>
      </c>
    </row>
    <row r="459" spans="1:3" x14ac:dyDescent="0.2">
      <c r="A459" s="37" t="s">
        <v>465</v>
      </c>
      <c r="B459">
        <v>5</v>
      </c>
      <c r="C459">
        <v>14.86</v>
      </c>
    </row>
    <row r="460" spans="1:3" x14ac:dyDescent="0.2">
      <c r="A460" s="37" t="s">
        <v>465</v>
      </c>
      <c r="B460">
        <v>6</v>
      </c>
      <c r="C460">
        <v>10.14</v>
      </c>
    </row>
    <row r="461" spans="1:3" x14ac:dyDescent="0.2">
      <c r="A461" s="37" t="s">
        <v>465</v>
      </c>
      <c r="B461">
        <v>7</v>
      </c>
      <c r="C461">
        <v>17.170000000000002</v>
      </c>
    </row>
    <row r="462" spans="1:3" x14ac:dyDescent="0.2">
      <c r="A462" s="37" t="s">
        <v>465</v>
      </c>
      <c r="B462">
        <v>8</v>
      </c>
      <c r="C462">
        <v>12.39</v>
      </c>
    </row>
    <row r="463" spans="1:3" x14ac:dyDescent="0.2">
      <c r="A463" s="37" t="s">
        <v>465</v>
      </c>
      <c r="B463">
        <v>9</v>
      </c>
      <c r="C463">
        <v>15.740000000000002</v>
      </c>
    </row>
    <row r="464" spans="1:3" x14ac:dyDescent="0.2">
      <c r="A464" s="37" t="s">
        <v>350</v>
      </c>
      <c r="B464">
        <v>1</v>
      </c>
      <c r="C464">
        <v>41.930000000000007</v>
      </c>
    </row>
    <row r="465" spans="1:3" x14ac:dyDescent="0.2">
      <c r="A465" s="37" t="s">
        <v>350</v>
      </c>
      <c r="B465">
        <v>10</v>
      </c>
      <c r="C465">
        <v>27.790000000000006</v>
      </c>
    </row>
    <row r="466" spans="1:3" x14ac:dyDescent="0.2">
      <c r="A466" s="37" t="s">
        <v>350</v>
      </c>
      <c r="B466">
        <v>11</v>
      </c>
      <c r="C466">
        <v>25.759999999999998</v>
      </c>
    </row>
    <row r="467" spans="1:3" x14ac:dyDescent="0.2">
      <c r="A467" s="37" t="s">
        <v>350</v>
      </c>
      <c r="B467">
        <v>2</v>
      </c>
      <c r="C467">
        <v>25.960000000000004</v>
      </c>
    </row>
    <row r="468" spans="1:3" x14ac:dyDescent="0.2">
      <c r="A468" s="37" t="s">
        <v>350</v>
      </c>
      <c r="B468">
        <v>3</v>
      </c>
      <c r="C468">
        <v>39.560000000000009</v>
      </c>
    </row>
    <row r="469" spans="1:3" x14ac:dyDescent="0.2">
      <c r="A469" s="37" t="s">
        <v>350</v>
      </c>
      <c r="B469">
        <v>4</v>
      </c>
      <c r="C469">
        <v>34.120000000000005</v>
      </c>
    </row>
    <row r="470" spans="1:3" x14ac:dyDescent="0.2">
      <c r="A470" s="37" t="s">
        <v>350</v>
      </c>
      <c r="B470">
        <v>5</v>
      </c>
      <c r="C470">
        <v>37.659999999999997</v>
      </c>
    </row>
    <row r="471" spans="1:3" x14ac:dyDescent="0.2">
      <c r="A471" s="37" t="s">
        <v>350</v>
      </c>
      <c r="B471">
        <v>6</v>
      </c>
      <c r="C471">
        <v>29.060000000000006</v>
      </c>
    </row>
    <row r="472" spans="1:3" x14ac:dyDescent="0.2">
      <c r="A472" s="37" t="s">
        <v>350</v>
      </c>
      <c r="B472">
        <v>7</v>
      </c>
      <c r="C472">
        <v>29.419999999999998</v>
      </c>
    </row>
    <row r="473" spans="1:3" x14ac:dyDescent="0.2">
      <c r="A473" s="37" t="s">
        <v>350</v>
      </c>
      <c r="B473">
        <v>8</v>
      </c>
      <c r="C473">
        <v>30.690000000000005</v>
      </c>
    </row>
    <row r="474" spans="1:3" x14ac:dyDescent="0.2">
      <c r="A474" s="37" t="s">
        <v>350</v>
      </c>
      <c r="B474">
        <v>9</v>
      </c>
      <c r="C474">
        <v>35.04</v>
      </c>
    </row>
    <row r="475" spans="1:3" x14ac:dyDescent="0.2">
      <c r="A475" s="37" t="s">
        <v>1990</v>
      </c>
      <c r="B475">
        <v>1</v>
      </c>
      <c r="C475">
        <v>5.26</v>
      </c>
    </row>
    <row r="476" spans="1:3" x14ac:dyDescent="0.2">
      <c r="A476" s="37" t="s">
        <v>1990</v>
      </c>
      <c r="B476">
        <v>10</v>
      </c>
      <c r="C476">
        <v>5.1999999999999993</v>
      </c>
    </row>
    <row r="477" spans="1:3" x14ac:dyDescent="0.2">
      <c r="A477" s="37" t="s">
        <v>1990</v>
      </c>
      <c r="B477">
        <v>11</v>
      </c>
      <c r="C477">
        <v>3.7</v>
      </c>
    </row>
    <row r="478" spans="1:3" x14ac:dyDescent="0.2">
      <c r="A478" s="37" t="s">
        <v>1990</v>
      </c>
      <c r="B478">
        <v>2</v>
      </c>
      <c r="C478">
        <v>8.1100000000000012</v>
      </c>
    </row>
    <row r="479" spans="1:3" x14ac:dyDescent="0.2">
      <c r="A479" s="37" t="s">
        <v>1990</v>
      </c>
      <c r="B479">
        <v>3</v>
      </c>
      <c r="C479">
        <v>6.04</v>
      </c>
    </row>
    <row r="480" spans="1:3" x14ac:dyDescent="0.2">
      <c r="A480" s="37" t="s">
        <v>1990</v>
      </c>
      <c r="B480">
        <v>4</v>
      </c>
      <c r="C480">
        <v>8.7899999999999991</v>
      </c>
    </row>
    <row r="481" spans="1:3" x14ac:dyDescent="0.2">
      <c r="A481" s="37" t="s">
        <v>1990</v>
      </c>
      <c r="B481">
        <v>5</v>
      </c>
      <c r="C481">
        <v>5.7299999999999995</v>
      </c>
    </row>
    <row r="482" spans="1:3" x14ac:dyDescent="0.2">
      <c r="A482" s="37" t="s">
        <v>1990</v>
      </c>
      <c r="B482">
        <v>6</v>
      </c>
      <c r="C482">
        <v>5.4600000000000009</v>
      </c>
    </row>
    <row r="483" spans="1:3" x14ac:dyDescent="0.2">
      <c r="A483" s="37" t="s">
        <v>1990</v>
      </c>
      <c r="B483">
        <v>7</v>
      </c>
      <c r="C483">
        <v>5.1899999999999995</v>
      </c>
    </row>
    <row r="484" spans="1:3" x14ac:dyDescent="0.2">
      <c r="A484" s="37" t="s">
        <v>1990</v>
      </c>
      <c r="B484">
        <v>8</v>
      </c>
      <c r="C484">
        <v>3.63</v>
      </c>
    </row>
    <row r="485" spans="1:3" x14ac:dyDescent="0.2">
      <c r="A485" s="37" t="s">
        <v>1990</v>
      </c>
      <c r="B485">
        <v>9</v>
      </c>
      <c r="C485">
        <v>3.7800000000000002</v>
      </c>
    </row>
    <row r="486" spans="1:3" x14ac:dyDescent="0.2">
      <c r="A486" s="37" t="s">
        <v>1991</v>
      </c>
      <c r="B486">
        <v>1</v>
      </c>
      <c r="C486">
        <v>15.75</v>
      </c>
    </row>
    <row r="487" spans="1:3" x14ac:dyDescent="0.2">
      <c r="A487" s="37" t="s">
        <v>1991</v>
      </c>
      <c r="B487">
        <v>10</v>
      </c>
      <c r="C487">
        <v>13.14</v>
      </c>
    </row>
    <row r="488" spans="1:3" x14ac:dyDescent="0.2">
      <c r="A488" s="37" t="s">
        <v>1991</v>
      </c>
      <c r="B488">
        <v>11</v>
      </c>
      <c r="C488">
        <v>9.9400000000000013</v>
      </c>
    </row>
    <row r="489" spans="1:3" x14ac:dyDescent="0.2">
      <c r="A489" s="37" t="s">
        <v>1991</v>
      </c>
      <c r="B489">
        <v>2</v>
      </c>
      <c r="C489">
        <v>16.12</v>
      </c>
    </row>
    <row r="490" spans="1:3" x14ac:dyDescent="0.2">
      <c r="A490" s="37" t="s">
        <v>1991</v>
      </c>
      <c r="B490">
        <v>3</v>
      </c>
      <c r="C490">
        <v>15.349999999999998</v>
      </c>
    </row>
    <row r="491" spans="1:3" x14ac:dyDescent="0.2">
      <c r="A491" s="37" t="s">
        <v>1991</v>
      </c>
      <c r="B491">
        <v>4</v>
      </c>
      <c r="C491">
        <v>12.030000000000001</v>
      </c>
    </row>
    <row r="492" spans="1:3" x14ac:dyDescent="0.2">
      <c r="A492" s="37" t="s">
        <v>1991</v>
      </c>
      <c r="B492">
        <v>5</v>
      </c>
      <c r="C492">
        <v>13.2</v>
      </c>
    </row>
    <row r="493" spans="1:3" x14ac:dyDescent="0.2">
      <c r="A493" s="37" t="s">
        <v>1991</v>
      </c>
      <c r="B493">
        <v>6</v>
      </c>
      <c r="C493">
        <v>12.12</v>
      </c>
    </row>
    <row r="494" spans="1:3" x14ac:dyDescent="0.2">
      <c r="A494" s="37" t="s">
        <v>1991</v>
      </c>
      <c r="B494">
        <v>7</v>
      </c>
      <c r="C494">
        <v>12.97</v>
      </c>
    </row>
    <row r="495" spans="1:3" x14ac:dyDescent="0.2">
      <c r="A495" s="37" t="s">
        <v>1991</v>
      </c>
      <c r="B495">
        <v>8</v>
      </c>
      <c r="C495">
        <v>8.8999999999999986</v>
      </c>
    </row>
    <row r="496" spans="1:3" x14ac:dyDescent="0.2">
      <c r="A496" s="37" t="s">
        <v>1991</v>
      </c>
      <c r="B496">
        <v>9</v>
      </c>
      <c r="C496">
        <v>15.180000000000001</v>
      </c>
    </row>
    <row r="497" spans="1:3" x14ac:dyDescent="0.2">
      <c r="A497" s="37" t="s">
        <v>1992</v>
      </c>
      <c r="B497">
        <v>1</v>
      </c>
      <c r="C497">
        <v>6.85</v>
      </c>
    </row>
    <row r="498" spans="1:3" x14ac:dyDescent="0.2">
      <c r="A498" s="37" t="s">
        <v>1992</v>
      </c>
      <c r="B498">
        <v>10</v>
      </c>
      <c r="C498">
        <v>5.53</v>
      </c>
    </row>
    <row r="499" spans="1:3" x14ac:dyDescent="0.2">
      <c r="A499" s="37" t="s">
        <v>1992</v>
      </c>
      <c r="B499">
        <v>11</v>
      </c>
      <c r="C499">
        <v>7.1999999999999993</v>
      </c>
    </row>
    <row r="500" spans="1:3" x14ac:dyDescent="0.2">
      <c r="A500" s="37" t="s">
        <v>1992</v>
      </c>
      <c r="B500">
        <v>2</v>
      </c>
      <c r="C500">
        <v>9.33</v>
      </c>
    </row>
    <row r="501" spans="1:3" x14ac:dyDescent="0.2">
      <c r="A501" s="37" t="s">
        <v>1992</v>
      </c>
      <c r="B501">
        <v>3</v>
      </c>
      <c r="C501">
        <v>10.030000000000001</v>
      </c>
    </row>
    <row r="502" spans="1:3" x14ac:dyDescent="0.2">
      <c r="A502" s="37" t="s">
        <v>1992</v>
      </c>
      <c r="B502">
        <v>4</v>
      </c>
      <c r="C502">
        <v>4.9000000000000004</v>
      </c>
    </row>
    <row r="503" spans="1:3" x14ac:dyDescent="0.2">
      <c r="A503" s="37" t="s">
        <v>1992</v>
      </c>
      <c r="B503">
        <v>5</v>
      </c>
      <c r="C503">
        <v>6.87</v>
      </c>
    </row>
    <row r="504" spans="1:3" x14ac:dyDescent="0.2">
      <c r="A504" s="37" t="s">
        <v>1992</v>
      </c>
      <c r="B504">
        <v>6</v>
      </c>
      <c r="C504">
        <v>4.67</v>
      </c>
    </row>
    <row r="505" spans="1:3" x14ac:dyDescent="0.2">
      <c r="A505" s="37" t="s">
        <v>1992</v>
      </c>
      <c r="B505">
        <v>7</v>
      </c>
      <c r="C505">
        <v>3.86</v>
      </c>
    </row>
    <row r="506" spans="1:3" x14ac:dyDescent="0.2">
      <c r="A506" s="37" t="s">
        <v>1992</v>
      </c>
      <c r="B506">
        <v>8</v>
      </c>
      <c r="C506">
        <v>5.01</v>
      </c>
    </row>
    <row r="507" spans="1:3" x14ac:dyDescent="0.2">
      <c r="A507" s="37" t="s">
        <v>1992</v>
      </c>
      <c r="B507">
        <v>9</v>
      </c>
      <c r="C507">
        <v>6.1400000000000006</v>
      </c>
    </row>
    <row r="508" spans="1:3" x14ac:dyDescent="0.2">
      <c r="A508" s="37" t="s">
        <v>356</v>
      </c>
      <c r="B508">
        <v>1</v>
      </c>
      <c r="C508">
        <v>11.100000000000001</v>
      </c>
    </row>
    <row r="509" spans="1:3" x14ac:dyDescent="0.2">
      <c r="A509" s="37" t="s">
        <v>356</v>
      </c>
      <c r="B509">
        <v>10</v>
      </c>
      <c r="C509">
        <v>12.629999999999999</v>
      </c>
    </row>
    <row r="510" spans="1:3" x14ac:dyDescent="0.2">
      <c r="A510" s="37" t="s">
        <v>356</v>
      </c>
      <c r="B510">
        <v>11</v>
      </c>
      <c r="C510">
        <v>11.18</v>
      </c>
    </row>
    <row r="511" spans="1:3" x14ac:dyDescent="0.2">
      <c r="A511" s="37" t="s">
        <v>356</v>
      </c>
      <c r="B511">
        <v>2</v>
      </c>
      <c r="C511">
        <v>12.36</v>
      </c>
    </row>
    <row r="512" spans="1:3" x14ac:dyDescent="0.2">
      <c r="A512" s="37" t="s">
        <v>356</v>
      </c>
      <c r="B512">
        <v>3</v>
      </c>
      <c r="C512">
        <v>10.360000000000001</v>
      </c>
    </row>
    <row r="513" spans="1:3" x14ac:dyDescent="0.2">
      <c r="A513" s="37" t="s">
        <v>356</v>
      </c>
      <c r="B513">
        <v>4</v>
      </c>
      <c r="C513">
        <v>11.15</v>
      </c>
    </row>
    <row r="514" spans="1:3" x14ac:dyDescent="0.2">
      <c r="A514" s="37" t="s">
        <v>356</v>
      </c>
      <c r="B514">
        <v>5</v>
      </c>
      <c r="C514">
        <v>16.3</v>
      </c>
    </row>
    <row r="515" spans="1:3" x14ac:dyDescent="0.2">
      <c r="A515" s="37" t="s">
        <v>356</v>
      </c>
      <c r="B515">
        <v>6</v>
      </c>
      <c r="C515">
        <v>10.5</v>
      </c>
    </row>
    <row r="516" spans="1:3" x14ac:dyDescent="0.2">
      <c r="A516" s="37" t="s">
        <v>356</v>
      </c>
      <c r="B516">
        <v>7</v>
      </c>
      <c r="C516">
        <v>11.379999999999999</v>
      </c>
    </row>
    <row r="517" spans="1:3" x14ac:dyDescent="0.2">
      <c r="A517" s="37" t="s">
        <v>356</v>
      </c>
      <c r="B517">
        <v>8</v>
      </c>
      <c r="C517">
        <v>9.66</v>
      </c>
    </row>
    <row r="518" spans="1:3" x14ac:dyDescent="0.2">
      <c r="A518" s="37" t="s">
        <v>356</v>
      </c>
      <c r="B518">
        <v>9</v>
      </c>
      <c r="C518">
        <v>9.18</v>
      </c>
    </row>
    <row r="519" spans="1:3" x14ac:dyDescent="0.2">
      <c r="A519" s="37" t="s">
        <v>1993</v>
      </c>
      <c r="B519">
        <v>1</v>
      </c>
      <c r="C519">
        <v>12.26</v>
      </c>
    </row>
    <row r="520" spans="1:3" x14ac:dyDescent="0.2">
      <c r="A520" s="37" t="s">
        <v>1993</v>
      </c>
      <c r="B520">
        <v>10</v>
      </c>
      <c r="C520">
        <v>14.620000000000001</v>
      </c>
    </row>
    <row r="521" spans="1:3" x14ac:dyDescent="0.2">
      <c r="A521" s="37" t="s">
        <v>1993</v>
      </c>
      <c r="B521">
        <v>11</v>
      </c>
      <c r="C521">
        <v>11.54</v>
      </c>
    </row>
    <row r="522" spans="1:3" x14ac:dyDescent="0.2">
      <c r="A522" s="37" t="s">
        <v>1993</v>
      </c>
      <c r="B522">
        <v>2</v>
      </c>
      <c r="C522">
        <v>8.94</v>
      </c>
    </row>
    <row r="523" spans="1:3" x14ac:dyDescent="0.2">
      <c r="A523" s="37" t="s">
        <v>1993</v>
      </c>
      <c r="B523">
        <v>3</v>
      </c>
      <c r="C523">
        <v>10.199999999999999</v>
      </c>
    </row>
    <row r="524" spans="1:3" x14ac:dyDescent="0.2">
      <c r="A524" s="37" t="s">
        <v>1993</v>
      </c>
      <c r="B524">
        <v>4</v>
      </c>
      <c r="C524">
        <v>9.89</v>
      </c>
    </row>
    <row r="525" spans="1:3" x14ac:dyDescent="0.2">
      <c r="A525" s="37" t="s">
        <v>1993</v>
      </c>
      <c r="B525">
        <v>5</v>
      </c>
      <c r="C525">
        <v>10.209999999999999</v>
      </c>
    </row>
    <row r="526" spans="1:3" x14ac:dyDescent="0.2">
      <c r="A526" s="37" t="s">
        <v>1993</v>
      </c>
      <c r="B526">
        <v>6</v>
      </c>
      <c r="C526">
        <v>8.5400000000000009</v>
      </c>
    </row>
    <row r="527" spans="1:3" x14ac:dyDescent="0.2">
      <c r="A527" s="37" t="s">
        <v>1993</v>
      </c>
      <c r="B527">
        <v>7</v>
      </c>
      <c r="C527">
        <v>8.9700000000000006</v>
      </c>
    </row>
    <row r="528" spans="1:3" x14ac:dyDescent="0.2">
      <c r="A528" s="37" t="s">
        <v>1993</v>
      </c>
      <c r="B528">
        <v>8</v>
      </c>
      <c r="C528">
        <v>8.31</v>
      </c>
    </row>
    <row r="529" spans="1:3" x14ac:dyDescent="0.2">
      <c r="A529" s="37" t="s">
        <v>1993</v>
      </c>
      <c r="B529">
        <v>9</v>
      </c>
      <c r="C529">
        <v>10.419999999999998</v>
      </c>
    </row>
    <row r="530" spans="1:3" x14ac:dyDescent="0.2">
      <c r="A530" s="37" t="s">
        <v>1994</v>
      </c>
      <c r="B530">
        <v>1</v>
      </c>
      <c r="C530">
        <v>14.479999999999999</v>
      </c>
    </row>
    <row r="531" spans="1:3" x14ac:dyDescent="0.2">
      <c r="A531" s="37" t="s">
        <v>1994</v>
      </c>
      <c r="B531">
        <v>10</v>
      </c>
      <c r="C531">
        <v>18.93</v>
      </c>
    </row>
    <row r="532" spans="1:3" x14ac:dyDescent="0.2">
      <c r="A532" s="37" t="s">
        <v>1994</v>
      </c>
      <c r="B532">
        <v>11</v>
      </c>
      <c r="C532">
        <v>13.209999999999999</v>
      </c>
    </row>
    <row r="533" spans="1:3" x14ac:dyDescent="0.2">
      <c r="A533" s="37" t="s">
        <v>1994</v>
      </c>
      <c r="B533">
        <v>2</v>
      </c>
      <c r="C533">
        <v>12.620000000000001</v>
      </c>
    </row>
    <row r="534" spans="1:3" x14ac:dyDescent="0.2">
      <c r="A534" s="37" t="s">
        <v>1994</v>
      </c>
      <c r="B534">
        <v>3</v>
      </c>
      <c r="C534">
        <v>18.059999999999999</v>
      </c>
    </row>
    <row r="535" spans="1:3" x14ac:dyDescent="0.2">
      <c r="A535" s="37" t="s">
        <v>1994</v>
      </c>
      <c r="B535">
        <v>4</v>
      </c>
      <c r="C535">
        <v>13.700000000000001</v>
      </c>
    </row>
    <row r="536" spans="1:3" x14ac:dyDescent="0.2">
      <c r="A536" s="37" t="s">
        <v>1994</v>
      </c>
      <c r="B536">
        <v>5</v>
      </c>
      <c r="C536">
        <v>13.21</v>
      </c>
    </row>
    <row r="537" spans="1:3" x14ac:dyDescent="0.2">
      <c r="A537" s="37" t="s">
        <v>1994</v>
      </c>
      <c r="B537">
        <v>6</v>
      </c>
      <c r="C537">
        <v>11.54</v>
      </c>
    </row>
    <row r="538" spans="1:3" x14ac:dyDescent="0.2">
      <c r="A538" s="37" t="s">
        <v>1994</v>
      </c>
      <c r="B538">
        <v>7</v>
      </c>
      <c r="C538">
        <v>11.67</v>
      </c>
    </row>
    <row r="539" spans="1:3" x14ac:dyDescent="0.2">
      <c r="A539" s="37" t="s">
        <v>1994</v>
      </c>
      <c r="B539">
        <v>8</v>
      </c>
      <c r="C539">
        <v>16.95</v>
      </c>
    </row>
    <row r="540" spans="1:3" x14ac:dyDescent="0.2">
      <c r="A540" s="37" t="s">
        <v>1994</v>
      </c>
      <c r="B540">
        <v>9</v>
      </c>
      <c r="C540">
        <v>15.280000000000001</v>
      </c>
    </row>
    <row r="541" spans="1:3" x14ac:dyDescent="0.2">
      <c r="A541" s="37" t="s">
        <v>457</v>
      </c>
      <c r="B541">
        <v>1</v>
      </c>
      <c r="C541">
        <v>20.77</v>
      </c>
    </row>
    <row r="542" spans="1:3" x14ac:dyDescent="0.2">
      <c r="A542" s="37" t="s">
        <v>457</v>
      </c>
      <c r="B542">
        <v>2</v>
      </c>
      <c r="C542">
        <v>15.669999999999998</v>
      </c>
    </row>
    <row r="543" spans="1:3" x14ac:dyDescent="0.2">
      <c r="A543" s="37" t="s">
        <v>457</v>
      </c>
      <c r="B543">
        <v>3</v>
      </c>
      <c r="C543">
        <v>14.59</v>
      </c>
    </row>
    <row r="544" spans="1:3" x14ac:dyDescent="0.2">
      <c r="A544" s="37" t="s">
        <v>457</v>
      </c>
      <c r="B544">
        <v>4</v>
      </c>
      <c r="C544">
        <v>24.77</v>
      </c>
    </row>
    <row r="545" spans="1:3" x14ac:dyDescent="0.2">
      <c r="A545" s="37" t="s">
        <v>457</v>
      </c>
      <c r="B545">
        <v>5</v>
      </c>
      <c r="C545">
        <v>14.13</v>
      </c>
    </row>
    <row r="546" spans="1:3" x14ac:dyDescent="0.2">
      <c r="A546" s="37" t="s">
        <v>457</v>
      </c>
      <c r="B546">
        <v>6</v>
      </c>
      <c r="C546">
        <v>11.120000000000001</v>
      </c>
    </row>
    <row r="547" spans="1:3" x14ac:dyDescent="0.2">
      <c r="A547" s="37" t="s">
        <v>457</v>
      </c>
      <c r="B547">
        <v>7</v>
      </c>
      <c r="C547">
        <v>14.799999999999999</v>
      </c>
    </row>
    <row r="548" spans="1:3" x14ac:dyDescent="0.2">
      <c r="A548" s="37" t="s">
        <v>457</v>
      </c>
      <c r="B548">
        <v>9</v>
      </c>
      <c r="C548">
        <v>7.04</v>
      </c>
    </row>
    <row r="549" spans="1:3" x14ac:dyDescent="0.2">
      <c r="A549" s="37" t="s">
        <v>490</v>
      </c>
      <c r="B549">
        <v>1</v>
      </c>
      <c r="C549">
        <v>17.200000000000003</v>
      </c>
    </row>
    <row r="550" spans="1:3" x14ac:dyDescent="0.2">
      <c r="A550" s="37" t="s">
        <v>490</v>
      </c>
      <c r="B550">
        <v>10</v>
      </c>
      <c r="C550">
        <v>9.6999999999999993</v>
      </c>
    </row>
    <row r="551" spans="1:3" x14ac:dyDescent="0.2">
      <c r="A551" s="37" t="s">
        <v>490</v>
      </c>
      <c r="B551">
        <v>11</v>
      </c>
      <c r="C551">
        <v>12.879999999999999</v>
      </c>
    </row>
    <row r="552" spans="1:3" x14ac:dyDescent="0.2">
      <c r="A552" s="37" t="s">
        <v>490</v>
      </c>
      <c r="B552">
        <v>2</v>
      </c>
      <c r="C552">
        <v>12.58</v>
      </c>
    </row>
    <row r="553" spans="1:3" x14ac:dyDescent="0.2">
      <c r="A553" s="37" t="s">
        <v>490</v>
      </c>
      <c r="B553">
        <v>3</v>
      </c>
      <c r="C553">
        <v>10.86</v>
      </c>
    </row>
    <row r="554" spans="1:3" x14ac:dyDescent="0.2">
      <c r="A554" s="37" t="s">
        <v>490</v>
      </c>
      <c r="B554">
        <v>4</v>
      </c>
      <c r="C554">
        <v>13.37</v>
      </c>
    </row>
    <row r="555" spans="1:3" x14ac:dyDescent="0.2">
      <c r="A555" s="37" t="s">
        <v>490</v>
      </c>
      <c r="B555">
        <v>5</v>
      </c>
      <c r="C555">
        <v>13.959999999999999</v>
      </c>
    </row>
    <row r="556" spans="1:3" x14ac:dyDescent="0.2">
      <c r="A556" s="37" t="s">
        <v>490</v>
      </c>
      <c r="B556">
        <v>6</v>
      </c>
      <c r="C556">
        <v>12.02</v>
      </c>
    </row>
    <row r="557" spans="1:3" x14ac:dyDescent="0.2">
      <c r="A557" s="37" t="s">
        <v>490</v>
      </c>
      <c r="B557">
        <v>7</v>
      </c>
      <c r="C557">
        <v>12.25</v>
      </c>
    </row>
    <row r="558" spans="1:3" x14ac:dyDescent="0.2">
      <c r="A558" s="37" t="s">
        <v>490</v>
      </c>
      <c r="B558">
        <v>8</v>
      </c>
      <c r="C558">
        <v>16.899999999999999</v>
      </c>
    </row>
    <row r="559" spans="1:3" x14ac:dyDescent="0.2">
      <c r="A559" s="37" t="s">
        <v>490</v>
      </c>
      <c r="B559">
        <v>9</v>
      </c>
      <c r="C559">
        <v>15.84</v>
      </c>
    </row>
    <row r="560" spans="1:3" x14ac:dyDescent="0.2">
      <c r="A560" s="37" t="s">
        <v>441</v>
      </c>
      <c r="B560">
        <v>1</v>
      </c>
      <c r="C560">
        <v>10.23</v>
      </c>
    </row>
    <row r="561" spans="1:3" x14ac:dyDescent="0.2">
      <c r="A561" s="37" t="s">
        <v>441</v>
      </c>
      <c r="B561">
        <v>10</v>
      </c>
      <c r="C561">
        <v>12.21</v>
      </c>
    </row>
    <row r="562" spans="1:3" x14ac:dyDescent="0.2">
      <c r="A562" s="37" t="s">
        <v>441</v>
      </c>
      <c r="B562">
        <v>11</v>
      </c>
      <c r="C562">
        <v>13.63</v>
      </c>
    </row>
    <row r="563" spans="1:3" x14ac:dyDescent="0.2">
      <c r="A563" s="37" t="s">
        <v>441</v>
      </c>
      <c r="B563">
        <v>2</v>
      </c>
      <c r="C563">
        <v>15.760000000000002</v>
      </c>
    </row>
    <row r="564" spans="1:3" x14ac:dyDescent="0.2">
      <c r="A564" s="37" t="s">
        <v>441</v>
      </c>
      <c r="B564">
        <v>3</v>
      </c>
      <c r="C564">
        <v>14.239999999999998</v>
      </c>
    </row>
    <row r="565" spans="1:3" x14ac:dyDescent="0.2">
      <c r="A565" s="37" t="s">
        <v>441</v>
      </c>
      <c r="B565">
        <v>4</v>
      </c>
      <c r="C565">
        <v>21.42</v>
      </c>
    </row>
    <row r="566" spans="1:3" x14ac:dyDescent="0.2">
      <c r="A566" s="37" t="s">
        <v>441</v>
      </c>
      <c r="B566">
        <v>5</v>
      </c>
      <c r="C566">
        <v>16.029999999999998</v>
      </c>
    </row>
    <row r="567" spans="1:3" x14ac:dyDescent="0.2">
      <c r="A567" s="37" t="s">
        <v>441</v>
      </c>
      <c r="B567">
        <v>6</v>
      </c>
      <c r="C567">
        <v>17.39</v>
      </c>
    </row>
    <row r="568" spans="1:3" x14ac:dyDescent="0.2">
      <c r="A568" s="37" t="s">
        <v>441</v>
      </c>
      <c r="B568">
        <v>7</v>
      </c>
      <c r="C568">
        <v>10.130000000000001</v>
      </c>
    </row>
    <row r="569" spans="1:3" x14ac:dyDescent="0.2">
      <c r="A569" s="37" t="s">
        <v>441</v>
      </c>
      <c r="B569">
        <v>8</v>
      </c>
      <c r="C569">
        <v>11.78</v>
      </c>
    </row>
    <row r="570" spans="1:3" x14ac:dyDescent="0.2">
      <c r="A570" s="37" t="s">
        <v>441</v>
      </c>
      <c r="B570">
        <v>9</v>
      </c>
      <c r="C570">
        <v>15.81</v>
      </c>
    </row>
    <row r="571" spans="1:3" x14ac:dyDescent="0.2">
      <c r="A571" s="37" t="s">
        <v>386</v>
      </c>
      <c r="B571">
        <v>1</v>
      </c>
      <c r="C571">
        <v>7.9799999999999995</v>
      </c>
    </row>
    <row r="572" spans="1:3" x14ac:dyDescent="0.2">
      <c r="A572" s="37" t="s">
        <v>386</v>
      </c>
      <c r="B572">
        <v>10</v>
      </c>
      <c r="C572">
        <v>5.05</v>
      </c>
    </row>
    <row r="573" spans="1:3" x14ac:dyDescent="0.2">
      <c r="A573" s="37" t="s">
        <v>386</v>
      </c>
      <c r="B573">
        <v>11</v>
      </c>
      <c r="C573">
        <v>6.9</v>
      </c>
    </row>
    <row r="574" spans="1:3" x14ac:dyDescent="0.2">
      <c r="A574" s="37" t="s">
        <v>386</v>
      </c>
      <c r="B574">
        <v>2</v>
      </c>
      <c r="C574">
        <v>5.3900000000000006</v>
      </c>
    </row>
    <row r="575" spans="1:3" x14ac:dyDescent="0.2">
      <c r="A575" s="37" t="s">
        <v>386</v>
      </c>
      <c r="B575">
        <v>3</v>
      </c>
      <c r="C575">
        <v>7.63</v>
      </c>
    </row>
    <row r="576" spans="1:3" x14ac:dyDescent="0.2">
      <c r="A576" s="37" t="s">
        <v>386</v>
      </c>
      <c r="B576">
        <v>4</v>
      </c>
      <c r="C576">
        <v>9.9300000000000015</v>
      </c>
    </row>
    <row r="577" spans="1:3" x14ac:dyDescent="0.2">
      <c r="A577" s="37" t="s">
        <v>386</v>
      </c>
      <c r="B577">
        <v>5</v>
      </c>
      <c r="C577">
        <v>8.98</v>
      </c>
    </row>
    <row r="578" spans="1:3" x14ac:dyDescent="0.2">
      <c r="A578" s="37" t="s">
        <v>386</v>
      </c>
      <c r="B578">
        <v>6</v>
      </c>
      <c r="C578">
        <v>8.3099999999999987</v>
      </c>
    </row>
    <row r="579" spans="1:3" x14ac:dyDescent="0.2">
      <c r="A579" s="37" t="s">
        <v>386</v>
      </c>
      <c r="B579">
        <v>7</v>
      </c>
      <c r="C579">
        <v>13.5</v>
      </c>
    </row>
    <row r="580" spans="1:3" x14ac:dyDescent="0.2">
      <c r="A580" s="37" t="s">
        <v>386</v>
      </c>
      <c r="B580">
        <v>8</v>
      </c>
      <c r="C580">
        <v>7.72</v>
      </c>
    </row>
    <row r="581" spans="1:3" x14ac:dyDescent="0.2">
      <c r="A581" s="37" t="s">
        <v>386</v>
      </c>
      <c r="B581">
        <v>9</v>
      </c>
      <c r="C581">
        <v>7.72</v>
      </c>
    </row>
    <row r="582" spans="1:3" x14ac:dyDescent="0.2">
      <c r="A582" s="37" t="s">
        <v>366</v>
      </c>
      <c r="B582">
        <v>1</v>
      </c>
      <c r="C582">
        <v>20.420000000000002</v>
      </c>
    </row>
    <row r="583" spans="1:3" x14ac:dyDescent="0.2">
      <c r="A583" s="37" t="s">
        <v>366</v>
      </c>
      <c r="B583">
        <v>10</v>
      </c>
      <c r="C583">
        <v>27.580000000000002</v>
      </c>
    </row>
    <row r="584" spans="1:3" x14ac:dyDescent="0.2">
      <c r="A584" s="37" t="s">
        <v>366</v>
      </c>
      <c r="B584">
        <v>11</v>
      </c>
      <c r="C584">
        <v>30.89</v>
      </c>
    </row>
    <row r="585" spans="1:3" x14ac:dyDescent="0.2">
      <c r="A585" s="37" t="s">
        <v>366</v>
      </c>
      <c r="B585">
        <v>2</v>
      </c>
      <c r="C585">
        <v>26.349999999999998</v>
      </c>
    </row>
    <row r="586" spans="1:3" x14ac:dyDescent="0.2">
      <c r="A586" s="37" t="s">
        <v>366</v>
      </c>
      <c r="B586">
        <v>3</v>
      </c>
      <c r="C586">
        <v>27.790000000000003</v>
      </c>
    </row>
    <row r="587" spans="1:3" x14ac:dyDescent="0.2">
      <c r="A587" s="37" t="s">
        <v>366</v>
      </c>
      <c r="B587">
        <v>4</v>
      </c>
      <c r="C587">
        <v>35.479999999999997</v>
      </c>
    </row>
    <row r="588" spans="1:3" x14ac:dyDescent="0.2">
      <c r="A588" s="37" t="s">
        <v>366</v>
      </c>
      <c r="B588">
        <v>5</v>
      </c>
      <c r="C588">
        <v>21.57</v>
      </c>
    </row>
    <row r="589" spans="1:3" x14ac:dyDescent="0.2">
      <c r="A589" s="37" t="s">
        <v>366</v>
      </c>
      <c r="B589">
        <v>6</v>
      </c>
      <c r="C589">
        <v>22.8</v>
      </c>
    </row>
    <row r="590" spans="1:3" x14ac:dyDescent="0.2">
      <c r="A590" s="37" t="s">
        <v>366</v>
      </c>
      <c r="B590">
        <v>7</v>
      </c>
      <c r="C590">
        <v>26.83</v>
      </c>
    </row>
    <row r="591" spans="1:3" x14ac:dyDescent="0.2">
      <c r="A591" s="37" t="s">
        <v>366</v>
      </c>
      <c r="B591">
        <v>8</v>
      </c>
      <c r="C591">
        <v>29.240000000000002</v>
      </c>
    </row>
    <row r="592" spans="1:3" x14ac:dyDescent="0.2">
      <c r="A592" s="37" t="s">
        <v>366</v>
      </c>
      <c r="B592">
        <v>9</v>
      </c>
      <c r="C592">
        <v>26.76</v>
      </c>
    </row>
    <row r="593" spans="1:3" x14ac:dyDescent="0.2">
      <c r="A593" s="37" t="s">
        <v>367</v>
      </c>
      <c r="B593">
        <v>1</v>
      </c>
      <c r="C593">
        <v>29.47</v>
      </c>
    </row>
    <row r="594" spans="1:3" x14ac:dyDescent="0.2">
      <c r="A594" s="37" t="s">
        <v>367</v>
      </c>
      <c r="B594">
        <v>10</v>
      </c>
      <c r="C594">
        <v>24.37</v>
      </c>
    </row>
    <row r="595" spans="1:3" x14ac:dyDescent="0.2">
      <c r="A595" s="37" t="s">
        <v>367</v>
      </c>
      <c r="B595">
        <v>11</v>
      </c>
      <c r="C595">
        <v>17.12</v>
      </c>
    </row>
    <row r="596" spans="1:3" x14ac:dyDescent="0.2">
      <c r="A596" s="37" t="s">
        <v>367</v>
      </c>
      <c r="B596">
        <v>2</v>
      </c>
      <c r="C596">
        <v>22.979999999999997</v>
      </c>
    </row>
    <row r="597" spans="1:3" x14ac:dyDescent="0.2">
      <c r="A597" s="37" t="s">
        <v>367</v>
      </c>
      <c r="B597">
        <v>3</v>
      </c>
      <c r="C597">
        <v>22.070000000000004</v>
      </c>
    </row>
    <row r="598" spans="1:3" x14ac:dyDescent="0.2">
      <c r="A598" s="37" t="s">
        <v>367</v>
      </c>
      <c r="B598">
        <v>4</v>
      </c>
      <c r="C598">
        <v>37.340000000000003</v>
      </c>
    </row>
    <row r="599" spans="1:3" x14ac:dyDescent="0.2">
      <c r="A599" s="37" t="s">
        <v>367</v>
      </c>
      <c r="B599">
        <v>5</v>
      </c>
      <c r="C599">
        <v>21.57</v>
      </c>
    </row>
    <row r="600" spans="1:3" x14ac:dyDescent="0.2">
      <c r="A600" s="37" t="s">
        <v>367</v>
      </c>
      <c r="B600">
        <v>6</v>
      </c>
      <c r="C600">
        <v>26.17</v>
      </c>
    </row>
    <row r="601" spans="1:3" x14ac:dyDescent="0.2">
      <c r="A601" s="37" t="s">
        <v>367</v>
      </c>
      <c r="B601">
        <v>7</v>
      </c>
      <c r="C601">
        <v>26.96</v>
      </c>
    </row>
    <row r="602" spans="1:3" x14ac:dyDescent="0.2">
      <c r="A602" s="37" t="s">
        <v>367</v>
      </c>
      <c r="B602">
        <v>8</v>
      </c>
      <c r="C602">
        <v>22.04</v>
      </c>
    </row>
    <row r="603" spans="1:3" x14ac:dyDescent="0.2">
      <c r="A603" s="37" t="s">
        <v>367</v>
      </c>
      <c r="B603">
        <v>9</v>
      </c>
      <c r="C603">
        <v>27.77</v>
      </c>
    </row>
    <row r="604" spans="1:3" x14ac:dyDescent="0.2">
      <c r="A604" s="37" t="s">
        <v>358</v>
      </c>
      <c r="B604">
        <v>1</v>
      </c>
      <c r="C604">
        <v>17.02</v>
      </c>
    </row>
    <row r="605" spans="1:3" x14ac:dyDescent="0.2">
      <c r="A605" s="37" t="s">
        <v>358</v>
      </c>
      <c r="B605">
        <v>10</v>
      </c>
      <c r="C605">
        <v>18.54</v>
      </c>
    </row>
    <row r="606" spans="1:3" x14ac:dyDescent="0.2">
      <c r="A606" s="37" t="s">
        <v>358</v>
      </c>
      <c r="B606">
        <v>11</v>
      </c>
      <c r="C606">
        <v>19.489999999999998</v>
      </c>
    </row>
    <row r="607" spans="1:3" x14ac:dyDescent="0.2">
      <c r="A607" s="37" t="s">
        <v>358</v>
      </c>
      <c r="B607">
        <v>2</v>
      </c>
      <c r="C607">
        <v>19.18</v>
      </c>
    </row>
    <row r="608" spans="1:3" x14ac:dyDescent="0.2">
      <c r="A608" s="37" t="s">
        <v>358</v>
      </c>
      <c r="B608">
        <v>3</v>
      </c>
      <c r="C608">
        <v>19.46</v>
      </c>
    </row>
    <row r="609" spans="1:3" x14ac:dyDescent="0.2">
      <c r="A609" s="37" t="s">
        <v>358</v>
      </c>
      <c r="B609">
        <v>4</v>
      </c>
      <c r="C609">
        <v>22.67</v>
      </c>
    </row>
    <row r="610" spans="1:3" x14ac:dyDescent="0.2">
      <c r="A610" s="37" t="s">
        <v>358</v>
      </c>
      <c r="B610">
        <v>5</v>
      </c>
      <c r="C610">
        <v>26.950000000000003</v>
      </c>
    </row>
    <row r="611" spans="1:3" x14ac:dyDescent="0.2">
      <c r="A611" s="37" t="s">
        <v>358</v>
      </c>
      <c r="B611">
        <v>6</v>
      </c>
      <c r="C611">
        <v>21.61</v>
      </c>
    </row>
    <row r="612" spans="1:3" x14ac:dyDescent="0.2">
      <c r="A612" s="37" t="s">
        <v>358</v>
      </c>
      <c r="B612">
        <v>7</v>
      </c>
      <c r="C612">
        <v>17.419999999999998</v>
      </c>
    </row>
    <row r="613" spans="1:3" x14ac:dyDescent="0.2">
      <c r="A613" s="37" t="s">
        <v>358</v>
      </c>
      <c r="B613">
        <v>8</v>
      </c>
      <c r="C613">
        <v>17.84</v>
      </c>
    </row>
    <row r="614" spans="1:3" x14ac:dyDescent="0.2">
      <c r="A614" s="37" t="s">
        <v>358</v>
      </c>
      <c r="B614">
        <v>9</v>
      </c>
      <c r="C614">
        <v>15.259999999999998</v>
      </c>
    </row>
    <row r="615" spans="1:3" x14ac:dyDescent="0.2">
      <c r="A615" s="37" t="s">
        <v>1318</v>
      </c>
      <c r="B615">
        <v>1</v>
      </c>
      <c r="C615">
        <v>11.909999999999998</v>
      </c>
    </row>
    <row r="616" spans="1:3" x14ac:dyDescent="0.2">
      <c r="A616" s="37" t="s">
        <v>1318</v>
      </c>
      <c r="B616">
        <v>10</v>
      </c>
      <c r="C616">
        <v>21.75</v>
      </c>
    </row>
    <row r="617" spans="1:3" x14ac:dyDescent="0.2">
      <c r="A617" s="37" t="s">
        <v>1318</v>
      </c>
      <c r="B617">
        <v>11</v>
      </c>
      <c r="C617">
        <v>15.84</v>
      </c>
    </row>
    <row r="618" spans="1:3" x14ac:dyDescent="0.2">
      <c r="A618" s="37" t="s">
        <v>1318</v>
      </c>
      <c r="B618">
        <v>2</v>
      </c>
      <c r="C618">
        <v>13.82</v>
      </c>
    </row>
    <row r="619" spans="1:3" x14ac:dyDescent="0.2">
      <c r="A619" s="37" t="s">
        <v>1318</v>
      </c>
      <c r="B619">
        <v>3</v>
      </c>
      <c r="C619">
        <v>18.260000000000002</v>
      </c>
    </row>
    <row r="620" spans="1:3" x14ac:dyDescent="0.2">
      <c r="A620" s="37" t="s">
        <v>1318</v>
      </c>
      <c r="B620">
        <v>4</v>
      </c>
      <c r="C620">
        <v>13.06</v>
      </c>
    </row>
    <row r="621" spans="1:3" x14ac:dyDescent="0.2">
      <c r="A621" s="37" t="s">
        <v>1318</v>
      </c>
      <c r="B621">
        <v>5</v>
      </c>
      <c r="C621">
        <v>14.61</v>
      </c>
    </row>
    <row r="622" spans="1:3" x14ac:dyDescent="0.2">
      <c r="A622" s="37" t="s">
        <v>1318</v>
      </c>
      <c r="B622">
        <v>6</v>
      </c>
      <c r="C622">
        <v>14.440000000000001</v>
      </c>
    </row>
    <row r="623" spans="1:3" x14ac:dyDescent="0.2">
      <c r="A623" s="37" t="s">
        <v>1318</v>
      </c>
      <c r="B623">
        <v>7</v>
      </c>
      <c r="C623">
        <v>12.56</v>
      </c>
    </row>
    <row r="624" spans="1:3" x14ac:dyDescent="0.2">
      <c r="A624" s="37" t="s">
        <v>1318</v>
      </c>
      <c r="B624">
        <v>8</v>
      </c>
      <c r="C624">
        <v>14.35</v>
      </c>
    </row>
    <row r="625" spans="1:3" x14ac:dyDescent="0.2">
      <c r="A625" s="37" t="s">
        <v>1318</v>
      </c>
      <c r="B625">
        <v>9</v>
      </c>
      <c r="C625">
        <v>15.17</v>
      </c>
    </row>
    <row r="626" spans="1:3" x14ac:dyDescent="0.2">
      <c r="A626" s="37" t="s">
        <v>1995</v>
      </c>
      <c r="B626">
        <v>1</v>
      </c>
      <c r="C626">
        <v>14.29</v>
      </c>
    </row>
    <row r="627" spans="1:3" x14ac:dyDescent="0.2">
      <c r="A627" s="37" t="s">
        <v>1995</v>
      </c>
      <c r="B627">
        <v>10</v>
      </c>
      <c r="C627">
        <v>5.17</v>
      </c>
    </row>
    <row r="628" spans="1:3" x14ac:dyDescent="0.2">
      <c r="A628" s="37" t="s">
        <v>1995</v>
      </c>
      <c r="B628">
        <v>11</v>
      </c>
      <c r="C628">
        <v>6.1</v>
      </c>
    </row>
    <row r="629" spans="1:3" x14ac:dyDescent="0.2">
      <c r="A629" s="37" t="s">
        <v>1995</v>
      </c>
      <c r="B629">
        <v>2</v>
      </c>
      <c r="C629">
        <v>5.7099999999999991</v>
      </c>
    </row>
    <row r="630" spans="1:3" x14ac:dyDescent="0.2">
      <c r="A630" s="37" t="s">
        <v>1995</v>
      </c>
      <c r="B630">
        <v>3</v>
      </c>
      <c r="C630">
        <v>7.46</v>
      </c>
    </row>
    <row r="631" spans="1:3" x14ac:dyDescent="0.2">
      <c r="A631" s="37" t="s">
        <v>1995</v>
      </c>
      <c r="B631">
        <v>4</v>
      </c>
      <c r="C631">
        <v>5.59</v>
      </c>
    </row>
    <row r="632" spans="1:3" x14ac:dyDescent="0.2">
      <c r="A632" s="37" t="s">
        <v>1995</v>
      </c>
      <c r="B632">
        <v>5</v>
      </c>
      <c r="C632">
        <v>2.99</v>
      </c>
    </row>
    <row r="633" spans="1:3" x14ac:dyDescent="0.2">
      <c r="A633" s="37" t="s">
        <v>1995</v>
      </c>
      <c r="B633">
        <v>9</v>
      </c>
      <c r="C633">
        <v>4.63</v>
      </c>
    </row>
    <row r="634" spans="1:3" x14ac:dyDescent="0.2">
      <c r="A634" s="37" t="s">
        <v>1996</v>
      </c>
      <c r="B634">
        <v>1</v>
      </c>
      <c r="C634">
        <v>7.54</v>
      </c>
    </row>
    <row r="635" spans="1:3" x14ac:dyDescent="0.2">
      <c r="A635" s="37" t="s">
        <v>1996</v>
      </c>
      <c r="B635">
        <v>10</v>
      </c>
      <c r="C635">
        <v>5.67</v>
      </c>
    </row>
    <row r="636" spans="1:3" x14ac:dyDescent="0.2">
      <c r="A636" s="37" t="s">
        <v>1996</v>
      </c>
      <c r="B636">
        <v>11</v>
      </c>
      <c r="C636">
        <v>7.88</v>
      </c>
    </row>
    <row r="637" spans="1:3" x14ac:dyDescent="0.2">
      <c r="A637" s="37" t="s">
        <v>1996</v>
      </c>
      <c r="B637">
        <v>2</v>
      </c>
      <c r="C637">
        <v>8.18</v>
      </c>
    </row>
    <row r="638" spans="1:3" x14ac:dyDescent="0.2">
      <c r="A638" s="37" t="s">
        <v>1996</v>
      </c>
      <c r="B638">
        <v>3</v>
      </c>
      <c r="C638">
        <v>10.06</v>
      </c>
    </row>
    <row r="639" spans="1:3" x14ac:dyDescent="0.2">
      <c r="A639" s="37" t="s">
        <v>1996</v>
      </c>
      <c r="B639">
        <v>4</v>
      </c>
      <c r="C639">
        <v>9.9699999999999989</v>
      </c>
    </row>
    <row r="640" spans="1:3" x14ac:dyDescent="0.2">
      <c r="A640" s="37" t="s">
        <v>1996</v>
      </c>
      <c r="B640">
        <v>5</v>
      </c>
      <c r="C640">
        <v>7.79</v>
      </c>
    </row>
    <row r="641" spans="1:3" x14ac:dyDescent="0.2">
      <c r="A641" s="37" t="s">
        <v>1996</v>
      </c>
      <c r="B641">
        <v>6</v>
      </c>
      <c r="C641">
        <v>7.2700000000000005</v>
      </c>
    </row>
    <row r="642" spans="1:3" x14ac:dyDescent="0.2">
      <c r="A642" s="37" t="s">
        <v>1996</v>
      </c>
      <c r="B642">
        <v>7</v>
      </c>
      <c r="C642">
        <v>6.8599999999999994</v>
      </c>
    </row>
    <row r="643" spans="1:3" x14ac:dyDescent="0.2">
      <c r="A643" s="37" t="s">
        <v>1996</v>
      </c>
      <c r="B643">
        <v>8</v>
      </c>
      <c r="C643">
        <v>8.6700000000000017</v>
      </c>
    </row>
    <row r="644" spans="1:3" x14ac:dyDescent="0.2">
      <c r="A644" s="37" t="s">
        <v>1996</v>
      </c>
      <c r="B644">
        <v>9</v>
      </c>
      <c r="C644">
        <v>7.09</v>
      </c>
    </row>
    <row r="645" spans="1:3" x14ac:dyDescent="0.2">
      <c r="A645" s="37" t="s">
        <v>1997</v>
      </c>
      <c r="B645">
        <v>1</v>
      </c>
      <c r="C645">
        <v>2.31</v>
      </c>
    </row>
    <row r="646" spans="1:3" x14ac:dyDescent="0.2">
      <c r="A646" s="37" t="s">
        <v>1997</v>
      </c>
      <c r="B646">
        <v>10</v>
      </c>
      <c r="C646">
        <v>11.22</v>
      </c>
    </row>
    <row r="647" spans="1:3" x14ac:dyDescent="0.2">
      <c r="A647" s="37" t="s">
        <v>1997</v>
      </c>
      <c r="B647">
        <v>11</v>
      </c>
      <c r="C647">
        <v>10.43</v>
      </c>
    </row>
    <row r="648" spans="1:3" x14ac:dyDescent="0.2">
      <c r="A648" s="37" t="s">
        <v>1997</v>
      </c>
      <c r="B648">
        <v>2</v>
      </c>
      <c r="C648">
        <v>8</v>
      </c>
    </row>
    <row r="649" spans="1:3" x14ac:dyDescent="0.2">
      <c r="A649" s="37" t="s">
        <v>1997</v>
      </c>
      <c r="B649">
        <v>3</v>
      </c>
      <c r="C649">
        <v>6.46</v>
      </c>
    </row>
    <row r="650" spans="1:3" x14ac:dyDescent="0.2">
      <c r="A650" s="37" t="s">
        <v>1997</v>
      </c>
      <c r="B650">
        <v>4</v>
      </c>
      <c r="C650">
        <v>3.7199999999999998</v>
      </c>
    </row>
    <row r="651" spans="1:3" x14ac:dyDescent="0.2">
      <c r="A651" s="37" t="s">
        <v>1997</v>
      </c>
      <c r="B651">
        <v>5</v>
      </c>
      <c r="C651">
        <v>7.4</v>
      </c>
    </row>
    <row r="652" spans="1:3" x14ac:dyDescent="0.2">
      <c r="A652" s="37" t="s">
        <v>1997</v>
      </c>
      <c r="B652">
        <v>6</v>
      </c>
      <c r="C652">
        <v>7.83</v>
      </c>
    </row>
    <row r="653" spans="1:3" x14ac:dyDescent="0.2">
      <c r="A653" s="37" t="s">
        <v>1997</v>
      </c>
      <c r="B653">
        <v>7</v>
      </c>
      <c r="C653">
        <v>7.28</v>
      </c>
    </row>
    <row r="654" spans="1:3" x14ac:dyDescent="0.2">
      <c r="A654" s="37" t="s">
        <v>1997</v>
      </c>
      <c r="B654">
        <v>8</v>
      </c>
      <c r="C654">
        <v>9.7799999999999994</v>
      </c>
    </row>
    <row r="655" spans="1:3" x14ac:dyDescent="0.2">
      <c r="A655" s="37" t="s">
        <v>1997</v>
      </c>
      <c r="B655">
        <v>9</v>
      </c>
      <c r="C655">
        <v>11.89</v>
      </c>
    </row>
    <row r="656" spans="1:3" x14ac:dyDescent="0.2">
      <c r="A656" s="37" t="s">
        <v>1998</v>
      </c>
      <c r="B656">
        <v>1</v>
      </c>
      <c r="C656">
        <v>8.89</v>
      </c>
    </row>
    <row r="657" spans="1:3" x14ac:dyDescent="0.2">
      <c r="A657" s="37" t="s">
        <v>1998</v>
      </c>
      <c r="B657">
        <v>10</v>
      </c>
      <c r="C657">
        <v>7.7299999999999995</v>
      </c>
    </row>
    <row r="658" spans="1:3" x14ac:dyDescent="0.2">
      <c r="A658" s="37" t="s">
        <v>1998</v>
      </c>
      <c r="B658">
        <v>11</v>
      </c>
      <c r="C658">
        <v>10.280000000000001</v>
      </c>
    </row>
    <row r="659" spans="1:3" x14ac:dyDescent="0.2">
      <c r="A659" s="37" t="s">
        <v>1998</v>
      </c>
      <c r="B659">
        <v>2</v>
      </c>
      <c r="C659">
        <v>10.87</v>
      </c>
    </row>
    <row r="660" spans="1:3" x14ac:dyDescent="0.2">
      <c r="A660" s="37" t="s">
        <v>1998</v>
      </c>
      <c r="B660">
        <v>3</v>
      </c>
      <c r="C660">
        <v>13.479999999999999</v>
      </c>
    </row>
    <row r="661" spans="1:3" x14ac:dyDescent="0.2">
      <c r="A661" s="37" t="s">
        <v>1998</v>
      </c>
      <c r="B661">
        <v>4</v>
      </c>
      <c r="C661">
        <v>11.59</v>
      </c>
    </row>
    <row r="662" spans="1:3" x14ac:dyDescent="0.2">
      <c r="A662" s="37" t="s">
        <v>1998</v>
      </c>
      <c r="B662">
        <v>5</v>
      </c>
      <c r="C662">
        <v>14.2</v>
      </c>
    </row>
    <row r="663" spans="1:3" x14ac:dyDescent="0.2">
      <c r="A663" s="37" t="s">
        <v>1998</v>
      </c>
      <c r="B663">
        <v>6</v>
      </c>
      <c r="C663">
        <v>16.14</v>
      </c>
    </row>
    <row r="664" spans="1:3" x14ac:dyDescent="0.2">
      <c r="A664" s="37" t="s">
        <v>1998</v>
      </c>
      <c r="B664">
        <v>7</v>
      </c>
      <c r="C664">
        <v>11.600000000000001</v>
      </c>
    </row>
    <row r="665" spans="1:3" x14ac:dyDescent="0.2">
      <c r="A665" s="37" t="s">
        <v>1998</v>
      </c>
      <c r="B665">
        <v>8</v>
      </c>
      <c r="C665">
        <v>9.44</v>
      </c>
    </row>
    <row r="666" spans="1:3" x14ac:dyDescent="0.2">
      <c r="A666" s="37" t="s">
        <v>1998</v>
      </c>
      <c r="B666">
        <v>9</v>
      </c>
      <c r="C666">
        <v>7.76</v>
      </c>
    </row>
    <row r="667" spans="1:3" x14ac:dyDescent="0.2">
      <c r="A667" s="37" t="s">
        <v>368</v>
      </c>
      <c r="B667">
        <v>1</v>
      </c>
      <c r="C667">
        <v>7.02</v>
      </c>
    </row>
    <row r="668" spans="1:3" x14ac:dyDescent="0.2">
      <c r="A668" s="37" t="s">
        <v>368</v>
      </c>
      <c r="B668">
        <v>10</v>
      </c>
      <c r="C668">
        <v>7.25</v>
      </c>
    </row>
    <row r="669" spans="1:3" x14ac:dyDescent="0.2">
      <c r="A669" s="37" t="s">
        <v>368</v>
      </c>
      <c r="B669">
        <v>11</v>
      </c>
      <c r="C669">
        <v>7.6199999999999992</v>
      </c>
    </row>
    <row r="670" spans="1:3" x14ac:dyDescent="0.2">
      <c r="A670" s="37" t="s">
        <v>368</v>
      </c>
      <c r="B670">
        <v>2</v>
      </c>
      <c r="C670">
        <v>6.83</v>
      </c>
    </row>
    <row r="671" spans="1:3" x14ac:dyDescent="0.2">
      <c r="A671" s="37" t="s">
        <v>368</v>
      </c>
      <c r="B671">
        <v>3</v>
      </c>
      <c r="C671">
        <v>7.39</v>
      </c>
    </row>
    <row r="672" spans="1:3" x14ac:dyDescent="0.2">
      <c r="A672" s="37" t="s">
        <v>368</v>
      </c>
      <c r="B672">
        <v>4</v>
      </c>
      <c r="C672">
        <v>5.6999999999999993</v>
      </c>
    </row>
    <row r="673" spans="1:3" x14ac:dyDescent="0.2">
      <c r="A673" s="37" t="s">
        <v>368</v>
      </c>
      <c r="B673">
        <v>5</v>
      </c>
      <c r="C673">
        <v>7.9999999999999991</v>
      </c>
    </row>
    <row r="674" spans="1:3" x14ac:dyDescent="0.2">
      <c r="A674" s="37" t="s">
        <v>368</v>
      </c>
      <c r="B674">
        <v>6</v>
      </c>
      <c r="C674">
        <v>7.12</v>
      </c>
    </row>
    <row r="675" spans="1:3" x14ac:dyDescent="0.2">
      <c r="A675" s="37" t="s">
        <v>368</v>
      </c>
      <c r="B675">
        <v>7</v>
      </c>
      <c r="C675">
        <v>13.350000000000001</v>
      </c>
    </row>
    <row r="676" spans="1:3" x14ac:dyDescent="0.2">
      <c r="A676" s="37" t="s">
        <v>368</v>
      </c>
      <c r="B676">
        <v>8</v>
      </c>
      <c r="C676">
        <v>8.9699999999999989</v>
      </c>
    </row>
    <row r="677" spans="1:3" x14ac:dyDescent="0.2">
      <c r="A677" s="37" t="s">
        <v>368</v>
      </c>
      <c r="B677">
        <v>9</v>
      </c>
      <c r="C677">
        <v>5.79</v>
      </c>
    </row>
    <row r="678" spans="1:3" x14ac:dyDescent="0.2">
      <c r="A678" s="37" t="s">
        <v>369</v>
      </c>
      <c r="B678">
        <v>1</v>
      </c>
      <c r="C678">
        <v>20.980000000000004</v>
      </c>
    </row>
    <row r="679" spans="1:3" x14ac:dyDescent="0.2">
      <c r="A679" s="37" t="s">
        <v>369</v>
      </c>
      <c r="B679">
        <v>10</v>
      </c>
      <c r="C679">
        <v>32.919999999999995</v>
      </c>
    </row>
    <row r="680" spans="1:3" x14ac:dyDescent="0.2">
      <c r="A680" s="37" t="s">
        <v>369</v>
      </c>
      <c r="B680">
        <v>11</v>
      </c>
      <c r="C680">
        <v>12.04</v>
      </c>
    </row>
    <row r="681" spans="1:3" x14ac:dyDescent="0.2">
      <c r="A681" s="37" t="s">
        <v>369</v>
      </c>
      <c r="B681">
        <v>2</v>
      </c>
      <c r="C681">
        <v>28.640000000000004</v>
      </c>
    </row>
    <row r="682" spans="1:3" x14ac:dyDescent="0.2">
      <c r="A682" s="37" t="s">
        <v>369</v>
      </c>
      <c r="B682">
        <v>3</v>
      </c>
      <c r="C682">
        <v>22.900000000000002</v>
      </c>
    </row>
    <row r="683" spans="1:3" x14ac:dyDescent="0.2">
      <c r="A683" s="37" t="s">
        <v>369</v>
      </c>
      <c r="B683">
        <v>4</v>
      </c>
      <c r="C683">
        <v>18.12</v>
      </c>
    </row>
    <row r="684" spans="1:3" x14ac:dyDescent="0.2">
      <c r="A684" s="37" t="s">
        <v>369</v>
      </c>
      <c r="B684">
        <v>5</v>
      </c>
      <c r="C684">
        <v>23.87</v>
      </c>
    </row>
    <row r="685" spans="1:3" x14ac:dyDescent="0.2">
      <c r="A685" s="37" t="s">
        <v>369</v>
      </c>
      <c r="B685">
        <v>6</v>
      </c>
      <c r="C685">
        <v>15.399999999999999</v>
      </c>
    </row>
    <row r="686" spans="1:3" x14ac:dyDescent="0.2">
      <c r="A686" s="37" t="s">
        <v>369</v>
      </c>
      <c r="B686">
        <v>7</v>
      </c>
      <c r="C686">
        <v>32.36</v>
      </c>
    </row>
    <row r="687" spans="1:3" x14ac:dyDescent="0.2">
      <c r="A687" s="37" t="s">
        <v>369</v>
      </c>
      <c r="B687">
        <v>8</v>
      </c>
      <c r="C687">
        <v>39.949999999999996</v>
      </c>
    </row>
    <row r="688" spans="1:3" x14ac:dyDescent="0.2">
      <c r="A688" s="37" t="s">
        <v>369</v>
      </c>
      <c r="B688">
        <v>9</v>
      </c>
      <c r="C688">
        <v>29.020000000000003</v>
      </c>
    </row>
    <row r="689" spans="1:3" x14ac:dyDescent="0.2">
      <c r="A689" s="37" t="s">
        <v>1999</v>
      </c>
      <c r="B689">
        <v>1</v>
      </c>
      <c r="C689">
        <v>10.129999999999999</v>
      </c>
    </row>
    <row r="690" spans="1:3" x14ac:dyDescent="0.2">
      <c r="A690" s="37" t="s">
        <v>1999</v>
      </c>
      <c r="B690">
        <v>10</v>
      </c>
      <c r="C690">
        <v>8.31</v>
      </c>
    </row>
    <row r="691" spans="1:3" x14ac:dyDescent="0.2">
      <c r="A691" s="37" t="s">
        <v>1999</v>
      </c>
      <c r="B691">
        <v>11</v>
      </c>
      <c r="C691">
        <v>5.6899999999999995</v>
      </c>
    </row>
    <row r="692" spans="1:3" x14ac:dyDescent="0.2">
      <c r="A692" s="37" t="s">
        <v>1999</v>
      </c>
      <c r="B692">
        <v>2</v>
      </c>
      <c r="C692">
        <v>2.82</v>
      </c>
    </row>
    <row r="693" spans="1:3" x14ac:dyDescent="0.2">
      <c r="A693" s="37" t="s">
        <v>1999</v>
      </c>
      <c r="B693">
        <v>3</v>
      </c>
      <c r="C693">
        <v>5.6199999999999992</v>
      </c>
    </row>
    <row r="694" spans="1:3" x14ac:dyDescent="0.2">
      <c r="A694" s="37" t="s">
        <v>1999</v>
      </c>
      <c r="B694">
        <v>4</v>
      </c>
      <c r="C694">
        <v>6.32</v>
      </c>
    </row>
    <row r="695" spans="1:3" x14ac:dyDescent="0.2">
      <c r="A695" s="37" t="s">
        <v>1999</v>
      </c>
      <c r="B695">
        <v>5</v>
      </c>
      <c r="C695">
        <v>6.16</v>
      </c>
    </row>
    <row r="696" spans="1:3" x14ac:dyDescent="0.2">
      <c r="A696" s="37" t="s">
        <v>1999</v>
      </c>
      <c r="B696">
        <v>6</v>
      </c>
      <c r="C696">
        <v>8.1000000000000014</v>
      </c>
    </row>
    <row r="697" spans="1:3" x14ac:dyDescent="0.2">
      <c r="A697" s="37" t="s">
        <v>1999</v>
      </c>
      <c r="B697">
        <v>7</v>
      </c>
      <c r="C697">
        <v>7.83</v>
      </c>
    </row>
    <row r="698" spans="1:3" x14ac:dyDescent="0.2">
      <c r="A698" s="37" t="s">
        <v>1999</v>
      </c>
      <c r="B698">
        <v>8</v>
      </c>
      <c r="C698">
        <v>8.48</v>
      </c>
    </row>
    <row r="699" spans="1:3" x14ac:dyDescent="0.2">
      <c r="A699" s="37" t="s">
        <v>1999</v>
      </c>
      <c r="B699">
        <v>9</v>
      </c>
      <c r="C699">
        <v>7.6</v>
      </c>
    </row>
    <row r="700" spans="1:3" x14ac:dyDescent="0.2">
      <c r="A700" s="37" t="s">
        <v>351</v>
      </c>
      <c r="B700">
        <v>1</v>
      </c>
      <c r="C700">
        <v>20.449999999999996</v>
      </c>
    </row>
    <row r="701" spans="1:3" x14ac:dyDescent="0.2">
      <c r="A701" s="37" t="s">
        <v>351</v>
      </c>
      <c r="B701">
        <v>10</v>
      </c>
      <c r="C701">
        <v>9.39</v>
      </c>
    </row>
    <row r="702" spans="1:3" x14ac:dyDescent="0.2">
      <c r="A702" s="37" t="s">
        <v>351</v>
      </c>
      <c r="B702">
        <v>11</v>
      </c>
      <c r="C702">
        <v>15.270000000000001</v>
      </c>
    </row>
    <row r="703" spans="1:3" x14ac:dyDescent="0.2">
      <c r="A703" s="37" t="s">
        <v>351</v>
      </c>
      <c r="B703">
        <v>2</v>
      </c>
      <c r="C703">
        <v>16.080000000000002</v>
      </c>
    </row>
    <row r="704" spans="1:3" x14ac:dyDescent="0.2">
      <c r="A704" s="37" t="s">
        <v>351</v>
      </c>
      <c r="B704">
        <v>3</v>
      </c>
      <c r="C704">
        <v>15.94</v>
      </c>
    </row>
    <row r="705" spans="1:3" x14ac:dyDescent="0.2">
      <c r="A705" s="37" t="s">
        <v>351</v>
      </c>
      <c r="B705">
        <v>4</v>
      </c>
      <c r="C705">
        <v>15.47</v>
      </c>
    </row>
    <row r="706" spans="1:3" x14ac:dyDescent="0.2">
      <c r="A706" s="37" t="s">
        <v>351</v>
      </c>
      <c r="B706">
        <v>5</v>
      </c>
      <c r="C706">
        <v>16.399999999999999</v>
      </c>
    </row>
    <row r="707" spans="1:3" x14ac:dyDescent="0.2">
      <c r="A707" s="37" t="s">
        <v>351</v>
      </c>
      <c r="B707">
        <v>6</v>
      </c>
      <c r="C707">
        <v>14.680000000000001</v>
      </c>
    </row>
    <row r="708" spans="1:3" x14ac:dyDescent="0.2">
      <c r="A708" s="37" t="s">
        <v>351</v>
      </c>
      <c r="B708">
        <v>7</v>
      </c>
      <c r="C708">
        <v>15.649999999999999</v>
      </c>
    </row>
    <row r="709" spans="1:3" x14ac:dyDescent="0.2">
      <c r="A709" s="37" t="s">
        <v>351</v>
      </c>
      <c r="B709">
        <v>8</v>
      </c>
      <c r="C709">
        <v>13.29</v>
      </c>
    </row>
    <row r="710" spans="1:3" x14ac:dyDescent="0.2">
      <c r="A710" s="37" t="s">
        <v>351</v>
      </c>
      <c r="B710">
        <v>9</v>
      </c>
      <c r="C710">
        <v>12.72</v>
      </c>
    </row>
    <row r="711" spans="1:3" x14ac:dyDescent="0.2">
      <c r="A711" s="37" t="s">
        <v>2000</v>
      </c>
      <c r="B711">
        <v>1</v>
      </c>
      <c r="C711">
        <v>26.980000000000004</v>
      </c>
    </row>
    <row r="712" spans="1:3" x14ac:dyDescent="0.2">
      <c r="A712" s="37" t="s">
        <v>2000</v>
      </c>
      <c r="B712">
        <v>10</v>
      </c>
      <c r="C712">
        <v>18.57</v>
      </c>
    </row>
    <row r="713" spans="1:3" x14ac:dyDescent="0.2">
      <c r="A713" s="37" t="s">
        <v>2000</v>
      </c>
      <c r="B713">
        <v>11</v>
      </c>
      <c r="C713">
        <v>19.11</v>
      </c>
    </row>
    <row r="714" spans="1:3" x14ac:dyDescent="0.2">
      <c r="A714" s="37" t="s">
        <v>2000</v>
      </c>
      <c r="B714">
        <v>2</v>
      </c>
      <c r="C714">
        <v>19.050000000000004</v>
      </c>
    </row>
    <row r="715" spans="1:3" x14ac:dyDescent="0.2">
      <c r="A715" s="37" t="s">
        <v>2000</v>
      </c>
      <c r="B715">
        <v>3</v>
      </c>
      <c r="C715">
        <v>25.499999999999996</v>
      </c>
    </row>
    <row r="716" spans="1:3" x14ac:dyDescent="0.2">
      <c r="A716" s="37" t="s">
        <v>2000</v>
      </c>
      <c r="B716">
        <v>4</v>
      </c>
      <c r="C716">
        <v>18.23</v>
      </c>
    </row>
    <row r="717" spans="1:3" x14ac:dyDescent="0.2">
      <c r="A717" s="37" t="s">
        <v>2000</v>
      </c>
      <c r="B717">
        <v>5</v>
      </c>
      <c r="C717">
        <v>16.91</v>
      </c>
    </row>
    <row r="718" spans="1:3" x14ac:dyDescent="0.2">
      <c r="A718" s="37" t="s">
        <v>2000</v>
      </c>
      <c r="B718">
        <v>6</v>
      </c>
      <c r="C718">
        <v>21.68</v>
      </c>
    </row>
    <row r="719" spans="1:3" x14ac:dyDescent="0.2">
      <c r="A719" s="37" t="s">
        <v>2000</v>
      </c>
      <c r="B719">
        <v>7</v>
      </c>
      <c r="C719">
        <v>13.170000000000002</v>
      </c>
    </row>
    <row r="720" spans="1:3" x14ac:dyDescent="0.2">
      <c r="A720" s="37" t="s">
        <v>2000</v>
      </c>
      <c r="B720">
        <v>8</v>
      </c>
      <c r="C720">
        <v>12.549999999999999</v>
      </c>
    </row>
    <row r="721" spans="1:3" x14ac:dyDescent="0.2">
      <c r="A721" s="37" t="s">
        <v>2000</v>
      </c>
      <c r="B721">
        <v>9</v>
      </c>
      <c r="C721">
        <v>11.630000000000003</v>
      </c>
    </row>
    <row r="722" spans="1:3" x14ac:dyDescent="0.2">
      <c r="A722" s="37" t="s">
        <v>2001</v>
      </c>
      <c r="B722">
        <v>1</v>
      </c>
      <c r="C722">
        <v>5.78</v>
      </c>
    </row>
    <row r="723" spans="1:3" x14ac:dyDescent="0.2">
      <c r="A723" s="37" t="s">
        <v>2001</v>
      </c>
      <c r="B723">
        <v>10</v>
      </c>
      <c r="C723">
        <v>7.0600000000000005</v>
      </c>
    </row>
    <row r="724" spans="1:3" x14ac:dyDescent="0.2">
      <c r="A724" s="37" t="s">
        <v>2001</v>
      </c>
      <c r="B724">
        <v>11</v>
      </c>
      <c r="C724">
        <v>7.3000000000000007</v>
      </c>
    </row>
    <row r="725" spans="1:3" x14ac:dyDescent="0.2">
      <c r="A725" s="37" t="s">
        <v>2001</v>
      </c>
      <c r="B725">
        <v>2</v>
      </c>
      <c r="C725">
        <v>8.36</v>
      </c>
    </row>
    <row r="726" spans="1:3" x14ac:dyDescent="0.2">
      <c r="A726" s="37" t="s">
        <v>2001</v>
      </c>
      <c r="B726">
        <v>3</v>
      </c>
      <c r="C726">
        <v>7.2899999999999991</v>
      </c>
    </row>
    <row r="727" spans="1:3" x14ac:dyDescent="0.2">
      <c r="A727" s="37" t="s">
        <v>2001</v>
      </c>
      <c r="B727">
        <v>4</v>
      </c>
      <c r="C727">
        <v>5.6999999999999993</v>
      </c>
    </row>
    <row r="728" spans="1:3" x14ac:dyDescent="0.2">
      <c r="A728" s="37" t="s">
        <v>2001</v>
      </c>
      <c r="B728">
        <v>5</v>
      </c>
      <c r="C728">
        <v>7.2299999999999995</v>
      </c>
    </row>
    <row r="729" spans="1:3" x14ac:dyDescent="0.2">
      <c r="A729" s="37" t="s">
        <v>2001</v>
      </c>
      <c r="B729">
        <v>6</v>
      </c>
      <c r="C729">
        <v>8.77</v>
      </c>
    </row>
    <row r="730" spans="1:3" x14ac:dyDescent="0.2">
      <c r="A730" s="37" t="s">
        <v>2001</v>
      </c>
      <c r="B730">
        <v>7</v>
      </c>
      <c r="C730">
        <v>5.7</v>
      </c>
    </row>
    <row r="731" spans="1:3" x14ac:dyDescent="0.2">
      <c r="A731" s="37" t="s">
        <v>2001</v>
      </c>
      <c r="B731">
        <v>8</v>
      </c>
      <c r="C731">
        <v>6.43</v>
      </c>
    </row>
    <row r="732" spans="1:3" x14ac:dyDescent="0.2">
      <c r="A732" s="37" t="s">
        <v>2001</v>
      </c>
      <c r="B732">
        <v>9</v>
      </c>
      <c r="C732">
        <v>6.82</v>
      </c>
    </row>
    <row r="733" spans="1:3" x14ac:dyDescent="0.2">
      <c r="A733" s="37" t="s">
        <v>447</v>
      </c>
      <c r="B733">
        <v>1</v>
      </c>
      <c r="C733">
        <v>17.100000000000001</v>
      </c>
    </row>
    <row r="734" spans="1:3" x14ac:dyDescent="0.2">
      <c r="A734" s="37" t="s">
        <v>447</v>
      </c>
      <c r="B734">
        <v>10</v>
      </c>
      <c r="C734">
        <v>18.849999999999998</v>
      </c>
    </row>
    <row r="735" spans="1:3" x14ac:dyDescent="0.2">
      <c r="A735" s="37" t="s">
        <v>447</v>
      </c>
      <c r="B735">
        <v>11</v>
      </c>
      <c r="C735">
        <v>17.830000000000002</v>
      </c>
    </row>
    <row r="736" spans="1:3" x14ac:dyDescent="0.2">
      <c r="A736" s="37" t="s">
        <v>447</v>
      </c>
      <c r="B736">
        <v>2</v>
      </c>
      <c r="C736">
        <v>23.369999999999997</v>
      </c>
    </row>
    <row r="737" spans="1:3" x14ac:dyDescent="0.2">
      <c r="A737" s="37" t="s">
        <v>447</v>
      </c>
      <c r="B737">
        <v>3</v>
      </c>
      <c r="C737">
        <v>32.75</v>
      </c>
    </row>
    <row r="738" spans="1:3" x14ac:dyDescent="0.2">
      <c r="A738" s="37" t="s">
        <v>447</v>
      </c>
      <c r="B738">
        <v>4</v>
      </c>
      <c r="C738">
        <v>14.469999999999999</v>
      </c>
    </row>
    <row r="739" spans="1:3" x14ac:dyDescent="0.2">
      <c r="A739" s="37" t="s">
        <v>447</v>
      </c>
      <c r="B739">
        <v>5</v>
      </c>
      <c r="C739">
        <v>20.459999999999997</v>
      </c>
    </row>
    <row r="740" spans="1:3" x14ac:dyDescent="0.2">
      <c r="A740" s="37" t="s">
        <v>447</v>
      </c>
      <c r="B740">
        <v>6</v>
      </c>
      <c r="C740">
        <v>15.74</v>
      </c>
    </row>
    <row r="741" spans="1:3" x14ac:dyDescent="0.2">
      <c r="A741" s="37" t="s">
        <v>447</v>
      </c>
      <c r="B741">
        <v>7</v>
      </c>
      <c r="C741">
        <v>17.86</v>
      </c>
    </row>
    <row r="742" spans="1:3" x14ac:dyDescent="0.2">
      <c r="A742" s="37" t="s">
        <v>447</v>
      </c>
      <c r="B742">
        <v>8</v>
      </c>
      <c r="C742">
        <v>20.57</v>
      </c>
    </row>
    <row r="743" spans="1:3" x14ac:dyDescent="0.2">
      <c r="A743" s="37" t="s">
        <v>447</v>
      </c>
      <c r="B743">
        <v>9</v>
      </c>
      <c r="C743">
        <v>15.07</v>
      </c>
    </row>
    <row r="744" spans="1:3" x14ac:dyDescent="0.2">
      <c r="A744" s="37" t="s">
        <v>2002</v>
      </c>
      <c r="B744">
        <v>1</v>
      </c>
      <c r="C744">
        <v>12.309999999999999</v>
      </c>
    </row>
    <row r="745" spans="1:3" x14ac:dyDescent="0.2">
      <c r="A745" s="37" t="s">
        <v>2002</v>
      </c>
      <c r="B745">
        <v>10</v>
      </c>
      <c r="C745">
        <v>8.23</v>
      </c>
    </row>
    <row r="746" spans="1:3" x14ac:dyDescent="0.2">
      <c r="A746" s="37" t="s">
        <v>2002</v>
      </c>
      <c r="B746">
        <v>11</v>
      </c>
      <c r="C746">
        <v>12.33</v>
      </c>
    </row>
    <row r="747" spans="1:3" x14ac:dyDescent="0.2">
      <c r="A747" s="37" t="s">
        <v>2002</v>
      </c>
      <c r="B747">
        <v>2</v>
      </c>
      <c r="C747">
        <v>13.61</v>
      </c>
    </row>
    <row r="748" spans="1:3" x14ac:dyDescent="0.2">
      <c r="A748" s="37" t="s">
        <v>2002</v>
      </c>
      <c r="B748">
        <v>3</v>
      </c>
      <c r="C748">
        <v>9.65</v>
      </c>
    </row>
    <row r="749" spans="1:3" x14ac:dyDescent="0.2">
      <c r="A749" s="37" t="s">
        <v>2002</v>
      </c>
      <c r="B749">
        <v>4</v>
      </c>
      <c r="C749">
        <v>9.92</v>
      </c>
    </row>
    <row r="750" spans="1:3" x14ac:dyDescent="0.2">
      <c r="A750" s="37" t="s">
        <v>2002</v>
      </c>
      <c r="B750">
        <v>5</v>
      </c>
      <c r="C750">
        <v>10.19</v>
      </c>
    </row>
    <row r="751" spans="1:3" x14ac:dyDescent="0.2">
      <c r="A751" s="37" t="s">
        <v>2002</v>
      </c>
      <c r="B751">
        <v>6</v>
      </c>
      <c r="C751">
        <v>7.74</v>
      </c>
    </row>
    <row r="752" spans="1:3" x14ac:dyDescent="0.2">
      <c r="A752" s="37" t="s">
        <v>2002</v>
      </c>
      <c r="B752">
        <v>7</v>
      </c>
      <c r="C752">
        <v>9.1100000000000012</v>
      </c>
    </row>
    <row r="753" spans="1:3" x14ac:dyDescent="0.2">
      <c r="A753" s="37" t="s">
        <v>2002</v>
      </c>
      <c r="B753">
        <v>8</v>
      </c>
      <c r="C753">
        <v>6.5</v>
      </c>
    </row>
    <row r="754" spans="1:3" x14ac:dyDescent="0.2">
      <c r="A754" s="37" t="s">
        <v>2002</v>
      </c>
      <c r="B754">
        <v>9</v>
      </c>
      <c r="C754">
        <v>5.76</v>
      </c>
    </row>
    <row r="755" spans="1:3" x14ac:dyDescent="0.2">
      <c r="A755" s="37" t="s">
        <v>2003</v>
      </c>
      <c r="B755">
        <v>1</v>
      </c>
      <c r="C755">
        <v>20.149999999999999</v>
      </c>
    </row>
    <row r="756" spans="1:3" x14ac:dyDescent="0.2">
      <c r="A756" s="37" t="s">
        <v>2003</v>
      </c>
      <c r="B756">
        <v>10</v>
      </c>
      <c r="C756">
        <v>12.65</v>
      </c>
    </row>
    <row r="757" spans="1:3" x14ac:dyDescent="0.2">
      <c r="A757" s="37" t="s">
        <v>2003</v>
      </c>
      <c r="B757">
        <v>11</v>
      </c>
      <c r="C757">
        <v>17.07</v>
      </c>
    </row>
    <row r="758" spans="1:3" x14ac:dyDescent="0.2">
      <c r="A758" s="37" t="s">
        <v>2003</v>
      </c>
      <c r="B758">
        <v>2</v>
      </c>
      <c r="C758">
        <v>11.46</v>
      </c>
    </row>
    <row r="759" spans="1:3" x14ac:dyDescent="0.2">
      <c r="A759" s="37" t="s">
        <v>2003</v>
      </c>
      <c r="B759">
        <v>3</v>
      </c>
      <c r="C759">
        <v>22.529999999999998</v>
      </c>
    </row>
    <row r="760" spans="1:3" x14ac:dyDescent="0.2">
      <c r="A760" s="37" t="s">
        <v>2003</v>
      </c>
      <c r="B760">
        <v>4</v>
      </c>
      <c r="C760">
        <v>25.439999999999998</v>
      </c>
    </row>
    <row r="761" spans="1:3" x14ac:dyDescent="0.2">
      <c r="A761" s="37" t="s">
        <v>2003</v>
      </c>
      <c r="B761">
        <v>5</v>
      </c>
      <c r="C761">
        <v>18.600000000000001</v>
      </c>
    </row>
    <row r="762" spans="1:3" x14ac:dyDescent="0.2">
      <c r="A762" s="37" t="s">
        <v>2003</v>
      </c>
      <c r="B762">
        <v>6</v>
      </c>
      <c r="C762">
        <v>22.03</v>
      </c>
    </row>
    <row r="763" spans="1:3" x14ac:dyDescent="0.2">
      <c r="A763" s="37" t="s">
        <v>2003</v>
      </c>
      <c r="B763">
        <v>7</v>
      </c>
      <c r="C763">
        <v>18.86</v>
      </c>
    </row>
    <row r="764" spans="1:3" x14ac:dyDescent="0.2">
      <c r="A764" s="37" t="s">
        <v>2003</v>
      </c>
      <c r="B764">
        <v>8</v>
      </c>
      <c r="C764">
        <v>14.889999999999997</v>
      </c>
    </row>
    <row r="765" spans="1:3" x14ac:dyDescent="0.2">
      <c r="A765" s="37" t="s">
        <v>2003</v>
      </c>
      <c r="B765">
        <v>9</v>
      </c>
      <c r="C765">
        <v>18.409999999999997</v>
      </c>
    </row>
    <row r="766" spans="1:3" x14ac:dyDescent="0.2">
      <c r="A766" s="37" t="s">
        <v>401</v>
      </c>
      <c r="B766">
        <v>1</v>
      </c>
      <c r="C766">
        <v>10.469999999999999</v>
      </c>
    </row>
    <row r="767" spans="1:3" x14ac:dyDescent="0.2">
      <c r="A767" s="37" t="s">
        <v>401</v>
      </c>
      <c r="B767">
        <v>10</v>
      </c>
      <c r="C767">
        <v>8.0500000000000007</v>
      </c>
    </row>
    <row r="768" spans="1:3" x14ac:dyDescent="0.2">
      <c r="A768" s="37" t="s">
        <v>401</v>
      </c>
      <c r="B768">
        <v>11</v>
      </c>
      <c r="C768">
        <v>9.129999999999999</v>
      </c>
    </row>
    <row r="769" spans="1:3" x14ac:dyDescent="0.2">
      <c r="A769" s="37" t="s">
        <v>401</v>
      </c>
      <c r="B769">
        <v>2</v>
      </c>
      <c r="C769">
        <v>13.93</v>
      </c>
    </row>
    <row r="770" spans="1:3" x14ac:dyDescent="0.2">
      <c r="A770" s="37" t="s">
        <v>401</v>
      </c>
      <c r="B770">
        <v>3</v>
      </c>
      <c r="C770">
        <v>10.17</v>
      </c>
    </row>
    <row r="771" spans="1:3" x14ac:dyDescent="0.2">
      <c r="A771" s="37" t="s">
        <v>401</v>
      </c>
      <c r="B771">
        <v>4</v>
      </c>
      <c r="C771">
        <v>8.4700000000000006</v>
      </c>
    </row>
    <row r="772" spans="1:3" x14ac:dyDescent="0.2">
      <c r="A772" s="37" t="s">
        <v>401</v>
      </c>
      <c r="B772">
        <v>5</v>
      </c>
      <c r="C772">
        <v>10.98</v>
      </c>
    </row>
    <row r="773" spans="1:3" x14ac:dyDescent="0.2">
      <c r="A773" s="37" t="s">
        <v>401</v>
      </c>
      <c r="B773">
        <v>6</v>
      </c>
      <c r="C773">
        <v>7.6899999999999995</v>
      </c>
    </row>
    <row r="774" spans="1:3" x14ac:dyDescent="0.2">
      <c r="A774" s="37" t="s">
        <v>401</v>
      </c>
      <c r="B774">
        <v>7</v>
      </c>
      <c r="C774">
        <v>5.85</v>
      </c>
    </row>
    <row r="775" spans="1:3" x14ac:dyDescent="0.2">
      <c r="A775" s="37" t="s">
        <v>401</v>
      </c>
      <c r="B775">
        <v>8</v>
      </c>
      <c r="C775">
        <v>8.5300000000000011</v>
      </c>
    </row>
    <row r="776" spans="1:3" x14ac:dyDescent="0.2">
      <c r="A776" s="37" t="s">
        <v>401</v>
      </c>
      <c r="B776">
        <v>9</v>
      </c>
      <c r="C776">
        <v>6.59</v>
      </c>
    </row>
    <row r="777" spans="1:3" x14ac:dyDescent="0.2">
      <c r="A777" s="37" t="s">
        <v>394</v>
      </c>
      <c r="B777">
        <v>1</v>
      </c>
      <c r="C777">
        <v>22.16</v>
      </c>
    </row>
    <row r="778" spans="1:3" x14ac:dyDescent="0.2">
      <c r="A778" s="37" t="s">
        <v>394</v>
      </c>
      <c r="B778">
        <v>10</v>
      </c>
      <c r="C778">
        <v>18.439999999999998</v>
      </c>
    </row>
    <row r="779" spans="1:3" x14ac:dyDescent="0.2">
      <c r="A779" s="37" t="s">
        <v>394</v>
      </c>
      <c r="B779">
        <v>11</v>
      </c>
      <c r="C779">
        <v>20.63</v>
      </c>
    </row>
    <row r="780" spans="1:3" x14ac:dyDescent="0.2">
      <c r="A780" s="37" t="s">
        <v>394</v>
      </c>
      <c r="B780">
        <v>2</v>
      </c>
      <c r="C780">
        <v>22.700000000000003</v>
      </c>
    </row>
    <row r="781" spans="1:3" x14ac:dyDescent="0.2">
      <c r="A781" s="37" t="s">
        <v>394</v>
      </c>
      <c r="B781">
        <v>3</v>
      </c>
      <c r="C781">
        <v>21.360000000000003</v>
      </c>
    </row>
    <row r="782" spans="1:3" x14ac:dyDescent="0.2">
      <c r="A782" s="37" t="s">
        <v>394</v>
      </c>
      <c r="B782">
        <v>4</v>
      </c>
      <c r="C782">
        <v>23.88</v>
      </c>
    </row>
    <row r="783" spans="1:3" x14ac:dyDescent="0.2">
      <c r="A783" s="37" t="s">
        <v>394</v>
      </c>
      <c r="B783">
        <v>5</v>
      </c>
      <c r="C783">
        <v>24.53</v>
      </c>
    </row>
    <row r="784" spans="1:3" x14ac:dyDescent="0.2">
      <c r="A784" s="37" t="s">
        <v>394</v>
      </c>
      <c r="B784">
        <v>6</v>
      </c>
      <c r="C784">
        <v>19.77</v>
      </c>
    </row>
    <row r="785" spans="1:3" x14ac:dyDescent="0.2">
      <c r="A785" s="37" t="s">
        <v>394</v>
      </c>
      <c r="B785">
        <v>7</v>
      </c>
      <c r="C785">
        <v>23.04</v>
      </c>
    </row>
    <row r="786" spans="1:3" x14ac:dyDescent="0.2">
      <c r="A786" s="37" t="s">
        <v>394</v>
      </c>
      <c r="B786">
        <v>8</v>
      </c>
      <c r="C786">
        <v>19.18</v>
      </c>
    </row>
    <row r="787" spans="1:3" x14ac:dyDescent="0.2">
      <c r="A787" s="37" t="s">
        <v>394</v>
      </c>
      <c r="B787">
        <v>9</v>
      </c>
      <c r="C787">
        <v>15.189999999999998</v>
      </c>
    </row>
    <row r="788" spans="1:3" x14ac:dyDescent="0.2">
      <c r="A788" s="37" t="s">
        <v>2004</v>
      </c>
      <c r="B788">
        <v>1</v>
      </c>
      <c r="C788">
        <v>18.07</v>
      </c>
    </row>
    <row r="789" spans="1:3" x14ac:dyDescent="0.2">
      <c r="A789" s="37" t="s">
        <v>2004</v>
      </c>
      <c r="B789">
        <v>10</v>
      </c>
      <c r="C789">
        <v>15.11</v>
      </c>
    </row>
    <row r="790" spans="1:3" x14ac:dyDescent="0.2">
      <c r="A790" s="37" t="s">
        <v>2004</v>
      </c>
      <c r="B790">
        <v>11</v>
      </c>
      <c r="C790">
        <v>13.06</v>
      </c>
    </row>
    <row r="791" spans="1:3" x14ac:dyDescent="0.2">
      <c r="A791" s="37" t="s">
        <v>2004</v>
      </c>
      <c r="B791">
        <v>2</v>
      </c>
      <c r="C791">
        <v>14.38</v>
      </c>
    </row>
    <row r="792" spans="1:3" x14ac:dyDescent="0.2">
      <c r="A792" s="37" t="s">
        <v>2004</v>
      </c>
      <c r="B792">
        <v>3</v>
      </c>
      <c r="C792">
        <v>15.629999999999999</v>
      </c>
    </row>
    <row r="793" spans="1:3" x14ac:dyDescent="0.2">
      <c r="A793" s="37" t="s">
        <v>2004</v>
      </c>
      <c r="B793">
        <v>4</v>
      </c>
      <c r="C793">
        <v>19.59</v>
      </c>
    </row>
    <row r="794" spans="1:3" x14ac:dyDescent="0.2">
      <c r="A794" s="37" t="s">
        <v>2004</v>
      </c>
      <c r="B794">
        <v>5</v>
      </c>
      <c r="C794">
        <v>15.08</v>
      </c>
    </row>
    <row r="795" spans="1:3" x14ac:dyDescent="0.2">
      <c r="A795" s="37" t="s">
        <v>2004</v>
      </c>
      <c r="B795">
        <v>6</v>
      </c>
      <c r="C795">
        <v>15.009999999999998</v>
      </c>
    </row>
    <row r="796" spans="1:3" x14ac:dyDescent="0.2">
      <c r="A796" s="37" t="s">
        <v>2004</v>
      </c>
      <c r="B796">
        <v>7</v>
      </c>
      <c r="C796">
        <v>13.98</v>
      </c>
    </row>
    <row r="797" spans="1:3" x14ac:dyDescent="0.2">
      <c r="A797" s="37" t="s">
        <v>2004</v>
      </c>
      <c r="B797">
        <v>8</v>
      </c>
      <c r="C797">
        <v>13.899999999999999</v>
      </c>
    </row>
    <row r="798" spans="1:3" x14ac:dyDescent="0.2">
      <c r="A798" s="37" t="s">
        <v>2004</v>
      </c>
      <c r="B798">
        <v>9</v>
      </c>
      <c r="C798">
        <v>17.38</v>
      </c>
    </row>
    <row r="799" spans="1:3" x14ac:dyDescent="0.2">
      <c r="A799" s="37" t="s">
        <v>2005</v>
      </c>
      <c r="B799">
        <v>1</v>
      </c>
      <c r="C799">
        <v>21.790000000000003</v>
      </c>
    </row>
    <row r="800" spans="1:3" x14ac:dyDescent="0.2">
      <c r="A800" s="37" t="s">
        <v>2005</v>
      </c>
      <c r="B800">
        <v>10</v>
      </c>
      <c r="C800">
        <v>22.429999999999996</v>
      </c>
    </row>
    <row r="801" spans="1:3" x14ac:dyDescent="0.2">
      <c r="A801" s="37" t="s">
        <v>2005</v>
      </c>
      <c r="B801">
        <v>11</v>
      </c>
      <c r="C801">
        <v>18.5</v>
      </c>
    </row>
    <row r="802" spans="1:3" x14ac:dyDescent="0.2">
      <c r="A802" s="37" t="s">
        <v>2005</v>
      </c>
      <c r="B802">
        <v>2</v>
      </c>
      <c r="C802">
        <v>24.590000000000003</v>
      </c>
    </row>
    <row r="803" spans="1:3" x14ac:dyDescent="0.2">
      <c r="A803" s="37" t="s">
        <v>2005</v>
      </c>
      <c r="B803">
        <v>3</v>
      </c>
      <c r="C803">
        <v>19.97</v>
      </c>
    </row>
    <row r="804" spans="1:3" x14ac:dyDescent="0.2">
      <c r="A804" s="37" t="s">
        <v>2005</v>
      </c>
      <c r="B804">
        <v>4</v>
      </c>
      <c r="C804">
        <v>21.73</v>
      </c>
    </row>
    <row r="805" spans="1:3" x14ac:dyDescent="0.2">
      <c r="A805" s="37" t="s">
        <v>2005</v>
      </c>
      <c r="B805">
        <v>5</v>
      </c>
      <c r="C805">
        <v>22.65</v>
      </c>
    </row>
    <row r="806" spans="1:3" x14ac:dyDescent="0.2">
      <c r="A806" s="37" t="s">
        <v>2005</v>
      </c>
      <c r="B806">
        <v>6</v>
      </c>
      <c r="C806">
        <v>21.76</v>
      </c>
    </row>
    <row r="807" spans="1:3" x14ac:dyDescent="0.2">
      <c r="A807" s="37" t="s">
        <v>2005</v>
      </c>
      <c r="B807">
        <v>7</v>
      </c>
      <c r="C807">
        <v>19.77</v>
      </c>
    </row>
    <row r="808" spans="1:3" x14ac:dyDescent="0.2">
      <c r="A808" s="37" t="s">
        <v>2005</v>
      </c>
      <c r="B808">
        <v>8</v>
      </c>
      <c r="C808">
        <v>18.979999999999997</v>
      </c>
    </row>
    <row r="809" spans="1:3" x14ac:dyDescent="0.2">
      <c r="A809" s="37" t="s">
        <v>2005</v>
      </c>
      <c r="B809">
        <v>9</v>
      </c>
      <c r="C809">
        <v>18.82</v>
      </c>
    </row>
    <row r="810" spans="1:3" x14ac:dyDescent="0.2">
      <c r="A810" s="37" t="s">
        <v>389</v>
      </c>
      <c r="B810">
        <v>1</v>
      </c>
      <c r="C810">
        <v>24.56</v>
      </c>
    </row>
    <row r="811" spans="1:3" x14ac:dyDescent="0.2">
      <c r="A811" s="37" t="s">
        <v>389</v>
      </c>
      <c r="B811">
        <v>10</v>
      </c>
      <c r="C811">
        <v>27.76</v>
      </c>
    </row>
    <row r="812" spans="1:3" x14ac:dyDescent="0.2">
      <c r="A812" s="37" t="s">
        <v>389</v>
      </c>
      <c r="B812">
        <v>11</v>
      </c>
      <c r="C812">
        <v>21.199999999999996</v>
      </c>
    </row>
    <row r="813" spans="1:3" x14ac:dyDescent="0.2">
      <c r="A813" s="37" t="s">
        <v>389</v>
      </c>
      <c r="B813">
        <v>2</v>
      </c>
      <c r="C813">
        <v>28.12</v>
      </c>
    </row>
    <row r="814" spans="1:3" x14ac:dyDescent="0.2">
      <c r="A814" s="37" t="s">
        <v>389</v>
      </c>
      <c r="B814">
        <v>3</v>
      </c>
      <c r="C814">
        <v>25.690000000000005</v>
      </c>
    </row>
    <row r="815" spans="1:3" x14ac:dyDescent="0.2">
      <c r="A815" s="37" t="s">
        <v>389</v>
      </c>
      <c r="B815">
        <v>4</v>
      </c>
      <c r="C815">
        <v>27.88</v>
      </c>
    </row>
    <row r="816" spans="1:3" x14ac:dyDescent="0.2">
      <c r="A816" s="37" t="s">
        <v>389</v>
      </c>
      <c r="B816">
        <v>5</v>
      </c>
      <c r="C816">
        <v>27.519999999999996</v>
      </c>
    </row>
    <row r="817" spans="1:3" x14ac:dyDescent="0.2">
      <c r="A817" s="37" t="s">
        <v>389</v>
      </c>
      <c r="B817">
        <v>6</v>
      </c>
      <c r="C817">
        <v>19.559999999999999</v>
      </c>
    </row>
    <row r="818" spans="1:3" x14ac:dyDescent="0.2">
      <c r="A818" s="37" t="s">
        <v>389</v>
      </c>
      <c r="B818">
        <v>7</v>
      </c>
      <c r="C818">
        <v>22.36</v>
      </c>
    </row>
    <row r="819" spans="1:3" x14ac:dyDescent="0.2">
      <c r="A819" s="37" t="s">
        <v>389</v>
      </c>
      <c r="B819">
        <v>8</v>
      </c>
      <c r="C819">
        <v>15.010000000000002</v>
      </c>
    </row>
    <row r="820" spans="1:3" x14ac:dyDescent="0.2">
      <c r="A820" s="37" t="s">
        <v>389</v>
      </c>
      <c r="B820">
        <v>9</v>
      </c>
      <c r="C820">
        <v>22.31</v>
      </c>
    </row>
    <row r="821" spans="1:3" x14ac:dyDescent="0.2">
      <c r="A821" s="37" t="s">
        <v>422</v>
      </c>
      <c r="B821">
        <v>1</v>
      </c>
      <c r="C821">
        <v>17.760000000000002</v>
      </c>
    </row>
    <row r="822" spans="1:3" x14ac:dyDescent="0.2">
      <c r="A822" s="37" t="s">
        <v>422</v>
      </c>
      <c r="B822">
        <v>10</v>
      </c>
      <c r="C822">
        <v>15.23</v>
      </c>
    </row>
    <row r="823" spans="1:3" x14ac:dyDescent="0.2">
      <c r="A823" s="37" t="s">
        <v>422</v>
      </c>
      <c r="B823">
        <v>11</v>
      </c>
      <c r="C823">
        <v>10.07</v>
      </c>
    </row>
    <row r="824" spans="1:3" x14ac:dyDescent="0.2">
      <c r="A824" s="37" t="s">
        <v>422</v>
      </c>
      <c r="B824">
        <v>2</v>
      </c>
      <c r="C824">
        <v>11.969999999999999</v>
      </c>
    </row>
    <row r="825" spans="1:3" x14ac:dyDescent="0.2">
      <c r="A825" s="37" t="s">
        <v>422</v>
      </c>
      <c r="B825">
        <v>3</v>
      </c>
      <c r="C825">
        <v>15.42</v>
      </c>
    </row>
    <row r="826" spans="1:3" x14ac:dyDescent="0.2">
      <c r="A826" s="37" t="s">
        <v>422</v>
      </c>
      <c r="B826">
        <v>4</v>
      </c>
      <c r="C826">
        <v>13.49</v>
      </c>
    </row>
    <row r="827" spans="1:3" x14ac:dyDescent="0.2">
      <c r="A827" s="37" t="s">
        <v>422</v>
      </c>
      <c r="B827">
        <v>5</v>
      </c>
      <c r="C827">
        <v>18.73</v>
      </c>
    </row>
    <row r="828" spans="1:3" x14ac:dyDescent="0.2">
      <c r="A828" s="37" t="s">
        <v>422</v>
      </c>
      <c r="B828">
        <v>6</v>
      </c>
      <c r="C828">
        <v>15.370000000000001</v>
      </c>
    </row>
    <row r="829" spans="1:3" x14ac:dyDescent="0.2">
      <c r="A829" s="37" t="s">
        <v>422</v>
      </c>
      <c r="B829">
        <v>7</v>
      </c>
      <c r="C829">
        <v>16.540000000000003</v>
      </c>
    </row>
    <row r="830" spans="1:3" x14ac:dyDescent="0.2">
      <c r="A830" s="37" t="s">
        <v>422</v>
      </c>
      <c r="B830">
        <v>8</v>
      </c>
      <c r="C830">
        <v>8.77</v>
      </c>
    </row>
    <row r="831" spans="1:3" x14ac:dyDescent="0.2">
      <c r="A831" s="37" t="s">
        <v>422</v>
      </c>
      <c r="B831">
        <v>9</v>
      </c>
      <c r="C831">
        <v>10.82</v>
      </c>
    </row>
    <row r="832" spans="1:3" x14ac:dyDescent="0.2">
      <c r="A832" s="37" t="s">
        <v>399</v>
      </c>
      <c r="B832">
        <v>1</v>
      </c>
      <c r="C832">
        <v>24.110000000000003</v>
      </c>
    </row>
    <row r="833" spans="1:3" x14ac:dyDescent="0.2">
      <c r="A833" s="37" t="s">
        <v>399</v>
      </c>
      <c r="B833">
        <v>10</v>
      </c>
      <c r="C833">
        <v>25.049999999999997</v>
      </c>
    </row>
    <row r="834" spans="1:3" x14ac:dyDescent="0.2">
      <c r="A834" s="37" t="s">
        <v>399</v>
      </c>
      <c r="B834">
        <v>11</v>
      </c>
      <c r="C834">
        <v>22.92</v>
      </c>
    </row>
    <row r="835" spans="1:3" x14ac:dyDescent="0.2">
      <c r="A835" s="37" t="s">
        <v>399</v>
      </c>
      <c r="B835">
        <v>2</v>
      </c>
      <c r="C835">
        <v>19.439999999999998</v>
      </c>
    </row>
    <row r="836" spans="1:3" x14ac:dyDescent="0.2">
      <c r="A836" s="37" t="s">
        <v>399</v>
      </c>
      <c r="B836">
        <v>3</v>
      </c>
      <c r="C836">
        <v>27.96</v>
      </c>
    </row>
    <row r="837" spans="1:3" x14ac:dyDescent="0.2">
      <c r="A837" s="37" t="s">
        <v>399</v>
      </c>
      <c r="B837">
        <v>4</v>
      </c>
      <c r="C837">
        <v>20.11</v>
      </c>
    </row>
    <row r="838" spans="1:3" x14ac:dyDescent="0.2">
      <c r="A838" s="37" t="s">
        <v>399</v>
      </c>
      <c r="B838">
        <v>5</v>
      </c>
      <c r="C838">
        <v>23.09</v>
      </c>
    </row>
    <row r="839" spans="1:3" x14ac:dyDescent="0.2">
      <c r="A839" s="37" t="s">
        <v>399</v>
      </c>
      <c r="B839">
        <v>6</v>
      </c>
      <c r="C839">
        <v>17.770000000000003</v>
      </c>
    </row>
    <row r="840" spans="1:3" x14ac:dyDescent="0.2">
      <c r="A840" s="37" t="s">
        <v>399</v>
      </c>
      <c r="B840">
        <v>7</v>
      </c>
      <c r="C840">
        <v>22.01</v>
      </c>
    </row>
    <row r="841" spans="1:3" x14ac:dyDescent="0.2">
      <c r="A841" s="37" t="s">
        <v>399</v>
      </c>
      <c r="B841">
        <v>8</v>
      </c>
      <c r="C841">
        <v>23.36</v>
      </c>
    </row>
    <row r="842" spans="1:3" x14ac:dyDescent="0.2">
      <c r="A842" s="37" t="s">
        <v>399</v>
      </c>
      <c r="B842">
        <v>9</v>
      </c>
      <c r="C842">
        <v>22.770000000000003</v>
      </c>
    </row>
    <row r="843" spans="1:3" x14ac:dyDescent="0.2">
      <c r="A843" s="37" t="s">
        <v>403</v>
      </c>
      <c r="B843">
        <v>1</v>
      </c>
      <c r="C843">
        <v>17.939999999999998</v>
      </c>
    </row>
    <row r="844" spans="1:3" x14ac:dyDescent="0.2">
      <c r="A844" s="37" t="s">
        <v>403</v>
      </c>
      <c r="B844">
        <v>10</v>
      </c>
      <c r="C844">
        <v>21.220000000000002</v>
      </c>
    </row>
    <row r="845" spans="1:3" x14ac:dyDescent="0.2">
      <c r="A845" s="37" t="s">
        <v>403</v>
      </c>
      <c r="B845">
        <v>11</v>
      </c>
      <c r="C845">
        <v>12.68</v>
      </c>
    </row>
    <row r="846" spans="1:3" x14ac:dyDescent="0.2">
      <c r="A846" s="37" t="s">
        <v>403</v>
      </c>
      <c r="B846">
        <v>2</v>
      </c>
      <c r="C846">
        <v>25.68</v>
      </c>
    </row>
    <row r="847" spans="1:3" x14ac:dyDescent="0.2">
      <c r="A847" s="37" t="s">
        <v>403</v>
      </c>
      <c r="B847">
        <v>3</v>
      </c>
      <c r="C847">
        <v>18.91</v>
      </c>
    </row>
    <row r="848" spans="1:3" x14ac:dyDescent="0.2">
      <c r="A848" s="37" t="s">
        <v>403</v>
      </c>
      <c r="B848">
        <v>4</v>
      </c>
      <c r="C848">
        <v>12.5</v>
      </c>
    </row>
    <row r="849" spans="1:3" x14ac:dyDescent="0.2">
      <c r="A849" s="37" t="s">
        <v>403</v>
      </c>
      <c r="B849">
        <v>5</v>
      </c>
      <c r="C849">
        <v>14.799999999999999</v>
      </c>
    </row>
    <row r="850" spans="1:3" x14ac:dyDescent="0.2">
      <c r="A850" s="37" t="s">
        <v>403</v>
      </c>
      <c r="B850">
        <v>6</v>
      </c>
      <c r="C850">
        <v>13.6</v>
      </c>
    </row>
    <row r="851" spans="1:3" x14ac:dyDescent="0.2">
      <c r="A851" s="37" t="s">
        <v>403</v>
      </c>
      <c r="B851">
        <v>7</v>
      </c>
      <c r="C851">
        <v>13.61</v>
      </c>
    </row>
    <row r="852" spans="1:3" x14ac:dyDescent="0.2">
      <c r="A852" s="37" t="s">
        <v>403</v>
      </c>
      <c r="B852">
        <v>8</v>
      </c>
      <c r="C852">
        <v>16.899999999999999</v>
      </c>
    </row>
    <row r="853" spans="1:3" x14ac:dyDescent="0.2">
      <c r="A853" s="37" t="s">
        <v>403</v>
      </c>
      <c r="B853">
        <v>9</v>
      </c>
      <c r="C853">
        <v>15.3</v>
      </c>
    </row>
    <row r="854" spans="1:3" x14ac:dyDescent="0.2">
      <c r="A854" s="37" t="s">
        <v>391</v>
      </c>
      <c r="B854">
        <v>1</v>
      </c>
      <c r="C854">
        <v>12.53</v>
      </c>
    </row>
    <row r="855" spans="1:3" x14ac:dyDescent="0.2">
      <c r="A855" s="37" t="s">
        <v>391</v>
      </c>
      <c r="B855">
        <v>10</v>
      </c>
      <c r="C855">
        <v>14.13</v>
      </c>
    </row>
    <row r="856" spans="1:3" x14ac:dyDescent="0.2">
      <c r="A856" s="37" t="s">
        <v>391</v>
      </c>
      <c r="B856">
        <v>11</v>
      </c>
      <c r="C856">
        <v>16.21</v>
      </c>
    </row>
    <row r="857" spans="1:3" x14ac:dyDescent="0.2">
      <c r="A857" s="37" t="s">
        <v>391</v>
      </c>
      <c r="B857">
        <v>2</v>
      </c>
      <c r="C857">
        <v>14.31</v>
      </c>
    </row>
    <row r="858" spans="1:3" x14ac:dyDescent="0.2">
      <c r="A858" s="37" t="s">
        <v>391</v>
      </c>
      <c r="B858">
        <v>3</v>
      </c>
      <c r="C858">
        <v>19.240000000000002</v>
      </c>
    </row>
    <row r="859" spans="1:3" x14ac:dyDescent="0.2">
      <c r="A859" s="37" t="s">
        <v>391</v>
      </c>
      <c r="B859">
        <v>4</v>
      </c>
      <c r="C859">
        <v>11.4</v>
      </c>
    </row>
    <row r="860" spans="1:3" x14ac:dyDescent="0.2">
      <c r="A860" s="37" t="s">
        <v>391</v>
      </c>
      <c r="B860">
        <v>5</v>
      </c>
      <c r="C860">
        <v>14.48</v>
      </c>
    </row>
    <row r="861" spans="1:3" x14ac:dyDescent="0.2">
      <c r="A861" s="37" t="s">
        <v>391</v>
      </c>
      <c r="B861">
        <v>6</v>
      </c>
      <c r="C861">
        <v>14.24</v>
      </c>
    </row>
    <row r="862" spans="1:3" x14ac:dyDescent="0.2">
      <c r="A862" s="37" t="s">
        <v>391</v>
      </c>
      <c r="B862">
        <v>7</v>
      </c>
      <c r="C862">
        <v>11.88</v>
      </c>
    </row>
    <row r="863" spans="1:3" x14ac:dyDescent="0.2">
      <c r="A863" s="37" t="s">
        <v>391</v>
      </c>
      <c r="B863">
        <v>8</v>
      </c>
      <c r="C863">
        <v>15.419999999999998</v>
      </c>
    </row>
    <row r="864" spans="1:3" x14ac:dyDescent="0.2">
      <c r="A864" s="37" t="s">
        <v>391</v>
      </c>
      <c r="B864">
        <v>9</v>
      </c>
      <c r="C864">
        <v>14.02</v>
      </c>
    </row>
    <row r="865" spans="1:3" x14ac:dyDescent="0.2">
      <c r="A865" s="37" t="s">
        <v>2006</v>
      </c>
      <c r="B865">
        <v>1</v>
      </c>
      <c r="C865">
        <v>10.440000000000001</v>
      </c>
    </row>
    <row r="866" spans="1:3" x14ac:dyDescent="0.2">
      <c r="A866" s="37" t="s">
        <v>2006</v>
      </c>
      <c r="B866">
        <v>10</v>
      </c>
      <c r="C866">
        <v>6.33</v>
      </c>
    </row>
    <row r="867" spans="1:3" x14ac:dyDescent="0.2">
      <c r="A867" s="37" t="s">
        <v>2006</v>
      </c>
      <c r="B867">
        <v>11</v>
      </c>
      <c r="C867">
        <v>6.7399999999999993</v>
      </c>
    </row>
    <row r="868" spans="1:3" x14ac:dyDescent="0.2">
      <c r="A868" s="37" t="s">
        <v>2006</v>
      </c>
      <c r="B868">
        <v>2</v>
      </c>
      <c r="C868">
        <v>7.98</v>
      </c>
    </row>
    <row r="869" spans="1:3" x14ac:dyDescent="0.2">
      <c r="A869" s="37" t="s">
        <v>2006</v>
      </c>
      <c r="B869">
        <v>3</v>
      </c>
      <c r="C869">
        <v>14.4</v>
      </c>
    </row>
    <row r="870" spans="1:3" x14ac:dyDescent="0.2">
      <c r="A870" s="37" t="s">
        <v>2006</v>
      </c>
      <c r="B870">
        <v>4</v>
      </c>
      <c r="C870">
        <v>14.290000000000003</v>
      </c>
    </row>
    <row r="871" spans="1:3" x14ac:dyDescent="0.2">
      <c r="A871" s="37" t="s">
        <v>2006</v>
      </c>
      <c r="B871">
        <v>5</v>
      </c>
      <c r="C871">
        <v>17.799999999999997</v>
      </c>
    </row>
    <row r="872" spans="1:3" x14ac:dyDescent="0.2">
      <c r="A872" s="37" t="s">
        <v>2006</v>
      </c>
      <c r="B872">
        <v>6</v>
      </c>
      <c r="C872">
        <v>11.97</v>
      </c>
    </row>
    <row r="873" spans="1:3" x14ac:dyDescent="0.2">
      <c r="A873" s="37" t="s">
        <v>2006</v>
      </c>
      <c r="B873">
        <v>7</v>
      </c>
      <c r="C873">
        <v>9.51</v>
      </c>
    </row>
    <row r="874" spans="1:3" x14ac:dyDescent="0.2">
      <c r="A874" s="37" t="s">
        <v>2006</v>
      </c>
      <c r="B874">
        <v>8</v>
      </c>
      <c r="C874">
        <v>9.07</v>
      </c>
    </row>
    <row r="875" spans="1:3" x14ac:dyDescent="0.2">
      <c r="A875" s="37" t="s">
        <v>2006</v>
      </c>
      <c r="B875">
        <v>9</v>
      </c>
      <c r="C875">
        <v>7.36</v>
      </c>
    </row>
    <row r="876" spans="1:3" x14ac:dyDescent="0.2">
      <c r="A876" s="37" t="s">
        <v>2007</v>
      </c>
      <c r="B876">
        <v>1</v>
      </c>
      <c r="C876">
        <v>6.8599999999999994</v>
      </c>
    </row>
    <row r="877" spans="1:3" x14ac:dyDescent="0.2">
      <c r="A877" s="37" t="s">
        <v>2007</v>
      </c>
      <c r="B877">
        <v>10</v>
      </c>
      <c r="C877">
        <v>10.88</v>
      </c>
    </row>
    <row r="878" spans="1:3" x14ac:dyDescent="0.2">
      <c r="A878" s="37" t="s">
        <v>2007</v>
      </c>
      <c r="B878">
        <v>11</v>
      </c>
      <c r="C878">
        <v>6.1400000000000006</v>
      </c>
    </row>
    <row r="879" spans="1:3" x14ac:dyDescent="0.2">
      <c r="A879" s="37" t="s">
        <v>2007</v>
      </c>
      <c r="B879">
        <v>2</v>
      </c>
      <c r="C879">
        <v>7.7200000000000006</v>
      </c>
    </row>
    <row r="880" spans="1:3" x14ac:dyDescent="0.2">
      <c r="A880" s="37" t="s">
        <v>2007</v>
      </c>
      <c r="B880">
        <v>3</v>
      </c>
      <c r="C880">
        <v>7.26</v>
      </c>
    </row>
    <row r="881" spans="1:3" x14ac:dyDescent="0.2">
      <c r="A881" s="37" t="s">
        <v>2007</v>
      </c>
      <c r="B881">
        <v>4</v>
      </c>
      <c r="C881">
        <v>4.12</v>
      </c>
    </row>
    <row r="882" spans="1:3" x14ac:dyDescent="0.2">
      <c r="A882" s="37" t="s">
        <v>2007</v>
      </c>
      <c r="B882">
        <v>5</v>
      </c>
      <c r="C882">
        <v>5.93</v>
      </c>
    </row>
    <row r="883" spans="1:3" x14ac:dyDescent="0.2">
      <c r="A883" s="37" t="s">
        <v>2007</v>
      </c>
      <c r="B883">
        <v>6</v>
      </c>
      <c r="C883">
        <v>4.3099999999999996</v>
      </c>
    </row>
    <row r="884" spans="1:3" x14ac:dyDescent="0.2">
      <c r="A884" s="37" t="s">
        <v>2007</v>
      </c>
      <c r="B884">
        <v>7</v>
      </c>
      <c r="C884">
        <v>6.4</v>
      </c>
    </row>
    <row r="885" spans="1:3" x14ac:dyDescent="0.2">
      <c r="A885" s="37" t="s">
        <v>2007</v>
      </c>
      <c r="B885">
        <v>8</v>
      </c>
      <c r="C885">
        <v>7.9</v>
      </c>
    </row>
    <row r="886" spans="1:3" x14ac:dyDescent="0.2">
      <c r="A886" s="37" t="s">
        <v>2007</v>
      </c>
      <c r="B886">
        <v>9</v>
      </c>
      <c r="C886">
        <v>3.32</v>
      </c>
    </row>
    <row r="887" spans="1:3" x14ac:dyDescent="0.2">
      <c r="A887" s="37" t="s">
        <v>2008</v>
      </c>
      <c r="B887">
        <v>1</v>
      </c>
      <c r="C887">
        <v>18.170000000000002</v>
      </c>
    </row>
    <row r="888" spans="1:3" x14ac:dyDescent="0.2">
      <c r="A888" s="37" t="s">
        <v>2008</v>
      </c>
      <c r="B888">
        <v>10</v>
      </c>
      <c r="C888">
        <v>23.340000000000003</v>
      </c>
    </row>
    <row r="889" spans="1:3" x14ac:dyDescent="0.2">
      <c r="A889" s="37" t="s">
        <v>2008</v>
      </c>
      <c r="B889">
        <v>11</v>
      </c>
      <c r="C889">
        <v>21.78</v>
      </c>
    </row>
    <row r="890" spans="1:3" x14ac:dyDescent="0.2">
      <c r="A890" s="37" t="s">
        <v>2008</v>
      </c>
      <c r="B890">
        <v>2</v>
      </c>
      <c r="C890">
        <v>18.059999999999999</v>
      </c>
    </row>
    <row r="891" spans="1:3" x14ac:dyDescent="0.2">
      <c r="A891" s="37" t="s">
        <v>2008</v>
      </c>
      <c r="B891">
        <v>3</v>
      </c>
      <c r="C891">
        <v>19.860000000000003</v>
      </c>
    </row>
    <row r="892" spans="1:3" x14ac:dyDescent="0.2">
      <c r="A892" s="37" t="s">
        <v>2008</v>
      </c>
      <c r="B892">
        <v>4</v>
      </c>
      <c r="C892">
        <v>27.95</v>
      </c>
    </row>
    <row r="893" spans="1:3" x14ac:dyDescent="0.2">
      <c r="A893" s="37" t="s">
        <v>2008</v>
      </c>
      <c r="B893">
        <v>5</v>
      </c>
      <c r="C893">
        <v>28.08</v>
      </c>
    </row>
    <row r="894" spans="1:3" x14ac:dyDescent="0.2">
      <c r="A894" s="37" t="s">
        <v>2008</v>
      </c>
      <c r="B894">
        <v>6</v>
      </c>
      <c r="C894">
        <v>26.790000000000003</v>
      </c>
    </row>
    <row r="895" spans="1:3" x14ac:dyDescent="0.2">
      <c r="A895" s="37" t="s">
        <v>2008</v>
      </c>
      <c r="B895">
        <v>7</v>
      </c>
      <c r="C895">
        <v>21.18</v>
      </c>
    </row>
    <row r="896" spans="1:3" x14ac:dyDescent="0.2">
      <c r="A896" s="37" t="s">
        <v>2008</v>
      </c>
      <c r="B896">
        <v>8</v>
      </c>
      <c r="C896">
        <v>23.329999999999995</v>
      </c>
    </row>
    <row r="897" spans="1:3" x14ac:dyDescent="0.2">
      <c r="A897" s="37" t="s">
        <v>2008</v>
      </c>
      <c r="B897">
        <v>9</v>
      </c>
      <c r="C897">
        <v>24.22</v>
      </c>
    </row>
    <row r="898" spans="1:3" x14ac:dyDescent="0.2">
      <c r="A898" s="37" t="s">
        <v>2009</v>
      </c>
      <c r="B898">
        <v>1</v>
      </c>
      <c r="C898">
        <v>8.7900000000000009</v>
      </c>
    </row>
    <row r="899" spans="1:3" x14ac:dyDescent="0.2">
      <c r="A899" s="37" t="s">
        <v>2009</v>
      </c>
      <c r="B899">
        <v>10</v>
      </c>
      <c r="C899">
        <v>7.4700000000000006</v>
      </c>
    </row>
    <row r="900" spans="1:3" x14ac:dyDescent="0.2">
      <c r="A900" s="37" t="s">
        <v>2009</v>
      </c>
      <c r="B900">
        <v>11</v>
      </c>
      <c r="C900">
        <v>11.2</v>
      </c>
    </row>
    <row r="901" spans="1:3" x14ac:dyDescent="0.2">
      <c r="A901" s="37" t="s">
        <v>2009</v>
      </c>
      <c r="B901">
        <v>2</v>
      </c>
      <c r="C901">
        <v>7.93</v>
      </c>
    </row>
    <row r="902" spans="1:3" x14ac:dyDescent="0.2">
      <c r="A902" s="37" t="s">
        <v>2009</v>
      </c>
      <c r="B902">
        <v>3</v>
      </c>
      <c r="C902">
        <v>6.86</v>
      </c>
    </row>
    <row r="903" spans="1:3" x14ac:dyDescent="0.2">
      <c r="A903" s="37" t="s">
        <v>2009</v>
      </c>
      <c r="B903">
        <v>4</v>
      </c>
      <c r="C903">
        <v>11.77</v>
      </c>
    </row>
    <row r="904" spans="1:3" x14ac:dyDescent="0.2">
      <c r="A904" s="37" t="s">
        <v>2009</v>
      </c>
      <c r="B904">
        <v>5</v>
      </c>
      <c r="C904">
        <v>13.31</v>
      </c>
    </row>
    <row r="905" spans="1:3" x14ac:dyDescent="0.2">
      <c r="A905" s="37" t="s">
        <v>2009</v>
      </c>
      <c r="B905">
        <v>6</v>
      </c>
      <c r="C905">
        <v>10.620000000000001</v>
      </c>
    </row>
    <row r="906" spans="1:3" x14ac:dyDescent="0.2">
      <c r="A906" s="37" t="s">
        <v>2009</v>
      </c>
      <c r="B906">
        <v>7</v>
      </c>
      <c r="C906">
        <v>5.6300000000000008</v>
      </c>
    </row>
    <row r="907" spans="1:3" x14ac:dyDescent="0.2">
      <c r="A907" s="37" t="s">
        <v>2009</v>
      </c>
      <c r="B907">
        <v>8</v>
      </c>
      <c r="C907">
        <v>6.18</v>
      </c>
    </row>
    <row r="908" spans="1:3" x14ac:dyDescent="0.2">
      <c r="A908" s="37" t="s">
        <v>2009</v>
      </c>
      <c r="B908">
        <v>9</v>
      </c>
      <c r="C908">
        <v>11.52</v>
      </c>
    </row>
    <row r="909" spans="1:3" x14ac:dyDescent="0.2">
      <c r="A909" s="37" t="s">
        <v>428</v>
      </c>
      <c r="B909">
        <v>1</v>
      </c>
      <c r="C909">
        <v>12.45</v>
      </c>
    </row>
    <row r="910" spans="1:3" x14ac:dyDescent="0.2">
      <c r="A910" s="37" t="s">
        <v>428</v>
      </c>
      <c r="B910">
        <v>10</v>
      </c>
      <c r="C910">
        <v>10.73</v>
      </c>
    </row>
    <row r="911" spans="1:3" x14ac:dyDescent="0.2">
      <c r="A911" s="37" t="s">
        <v>428</v>
      </c>
      <c r="B911">
        <v>11</v>
      </c>
      <c r="C911">
        <v>9.9499999999999993</v>
      </c>
    </row>
    <row r="912" spans="1:3" x14ac:dyDescent="0.2">
      <c r="A912" s="37" t="s">
        <v>428</v>
      </c>
      <c r="B912">
        <v>2</v>
      </c>
      <c r="C912">
        <v>9.7299999999999986</v>
      </c>
    </row>
    <row r="913" spans="1:3" x14ac:dyDescent="0.2">
      <c r="A913" s="37" t="s">
        <v>428</v>
      </c>
      <c r="B913">
        <v>3</v>
      </c>
      <c r="C913">
        <v>8.17</v>
      </c>
    </row>
    <row r="914" spans="1:3" x14ac:dyDescent="0.2">
      <c r="A914" s="37" t="s">
        <v>428</v>
      </c>
      <c r="B914">
        <v>4</v>
      </c>
      <c r="C914">
        <v>15.8</v>
      </c>
    </row>
    <row r="915" spans="1:3" x14ac:dyDescent="0.2">
      <c r="A915" s="37" t="s">
        <v>428</v>
      </c>
      <c r="B915">
        <v>5</v>
      </c>
      <c r="C915">
        <v>11.71</v>
      </c>
    </row>
    <row r="916" spans="1:3" x14ac:dyDescent="0.2">
      <c r="A916" s="37" t="s">
        <v>428</v>
      </c>
      <c r="B916">
        <v>6</v>
      </c>
      <c r="C916">
        <v>13.39</v>
      </c>
    </row>
    <row r="917" spans="1:3" x14ac:dyDescent="0.2">
      <c r="A917" s="37" t="s">
        <v>428</v>
      </c>
      <c r="B917">
        <v>7</v>
      </c>
      <c r="C917">
        <v>11.03</v>
      </c>
    </row>
    <row r="918" spans="1:3" x14ac:dyDescent="0.2">
      <c r="A918" s="37" t="s">
        <v>428</v>
      </c>
      <c r="B918">
        <v>8</v>
      </c>
      <c r="C918">
        <v>8.3800000000000008</v>
      </c>
    </row>
    <row r="919" spans="1:3" x14ac:dyDescent="0.2">
      <c r="A919" s="37" t="s">
        <v>428</v>
      </c>
      <c r="B919">
        <v>9</v>
      </c>
      <c r="C919">
        <v>8.67</v>
      </c>
    </row>
    <row r="920" spans="1:3" x14ac:dyDescent="0.2">
      <c r="A920" s="37" t="s">
        <v>392</v>
      </c>
      <c r="B920">
        <v>1</v>
      </c>
      <c r="C920">
        <v>19.79</v>
      </c>
    </row>
    <row r="921" spans="1:3" x14ac:dyDescent="0.2">
      <c r="A921" s="37" t="s">
        <v>392</v>
      </c>
      <c r="B921">
        <v>10</v>
      </c>
      <c r="C921">
        <v>18.939999999999998</v>
      </c>
    </row>
    <row r="922" spans="1:3" x14ac:dyDescent="0.2">
      <c r="A922" s="37" t="s">
        <v>392</v>
      </c>
      <c r="B922">
        <v>11</v>
      </c>
      <c r="C922">
        <v>14.54</v>
      </c>
    </row>
    <row r="923" spans="1:3" x14ac:dyDescent="0.2">
      <c r="A923" s="37" t="s">
        <v>392</v>
      </c>
      <c r="B923">
        <v>2</v>
      </c>
      <c r="C923">
        <v>21.74</v>
      </c>
    </row>
    <row r="924" spans="1:3" x14ac:dyDescent="0.2">
      <c r="A924" s="37" t="s">
        <v>392</v>
      </c>
      <c r="B924">
        <v>3</v>
      </c>
      <c r="C924">
        <v>19.23</v>
      </c>
    </row>
    <row r="925" spans="1:3" x14ac:dyDescent="0.2">
      <c r="A925" s="37" t="s">
        <v>392</v>
      </c>
      <c r="B925">
        <v>4</v>
      </c>
      <c r="C925">
        <v>19.5</v>
      </c>
    </row>
    <row r="926" spans="1:3" x14ac:dyDescent="0.2">
      <c r="A926" s="37" t="s">
        <v>392</v>
      </c>
      <c r="B926">
        <v>5</v>
      </c>
      <c r="C926">
        <v>15.860000000000001</v>
      </c>
    </row>
    <row r="927" spans="1:3" x14ac:dyDescent="0.2">
      <c r="A927" s="37" t="s">
        <v>392</v>
      </c>
      <c r="B927">
        <v>6</v>
      </c>
      <c r="C927">
        <v>15.000000000000002</v>
      </c>
    </row>
    <row r="928" spans="1:3" x14ac:dyDescent="0.2">
      <c r="A928" s="37" t="s">
        <v>392</v>
      </c>
      <c r="B928">
        <v>7</v>
      </c>
      <c r="C928">
        <v>22.419999999999998</v>
      </c>
    </row>
    <row r="929" spans="1:3" x14ac:dyDescent="0.2">
      <c r="A929" s="37" t="s">
        <v>392</v>
      </c>
      <c r="B929">
        <v>8</v>
      </c>
      <c r="C929">
        <v>22.81</v>
      </c>
    </row>
    <row r="930" spans="1:3" x14ac:dyDescent="0.2">
      <c r="A930" s="37" t="s">
        <v>392</v>
      </c>
      <c r="B930">
        <v>9</v>
      </c>
      <c r="C930">
        <v>15.129999999999999</v>
      </c>
    </row>
    <row r="931" spans="1:3" x14ac:dyDescent="0.2">
      <c r="A931" s="37" t="s">
        <v>2010</v>
      </c>
      <c r="B931">
        <v>1</v>
      </c>
      <c r="C931">
        <v>32.22</v>
      </c>
    </row>
    <row r="932" spans="1:3" x14ac:dyDescent="0.2">
      <c r="A932" s="37" t="s">
        <v>2010</v>
      </c>
      <c r="B932">
        <v>10</v>
      </c>
      <c r="C932">
        <v>26.899999999999995</v>
      </c>
    </row>
    <row r="933" spans="1:3" x14ac:dyDescent="0.2">
      <c r="A933" s="37" t="s">
        <v>2010</v>
      </c>
      <c r="B933">
        <v>11</v>
      </c>
      <c r="C933">
        <v>21.520000000000003</v>
      </c>
    </row>
    <row r="934" spans="1:3" x14ac:dyDescent="0.2">
      <c r="A934" s="37" t="s">
        <v>2010</v>
      </c>
      <c r="B934">
        <v>2</v>
      </c>
      <c r="C934">
        <v>29.97</v>
      </c>
    </row>
    <row r="935" spans="1:3" x14ac:dyDescent="0.2">
      <c r="A935" s="37" t="s">
        <v>2010</v>
      </c>
      <c r="B935">
        <v>3</v>
      </c>
      <c r="C935">
        <v>33.22</v>
      </c>
    </row>
    <row r="936" spans="1:3" x14ac:dyDescent="0.2">
      <c r="A936" s="37" t="s">
        <v>2010</v>
      </c>
      <c r="B936">
        <v>4</v>
      </c>
      <c r="C936">
        <v>23.71</v>
      </c>
    </row>
    <row r="937" spans="1:3" x14ac:dyDescent="0.2">
      <c r="A937" s="37" t="s">
        <v>2010</v>
      </c>
      <c r="B937">
        <v>5</v>
      </c>
      <c r="C937">
        <v>22.88</v>
      </c>
    </row>
    <row r="938" spans="1:3" x14ac:dyDescent="0.2">
      <c r="A938" s="37" t="s">
        <v>2010</v>
      </c>
      <c r="B938">
        <v>6</v>
      </c>
      <c r="C938">
        <v>13.95</v>
      </c>
    </row>
    <row r="939" spans="1:3" x14ac:dyDescent="0.2">
      <c r="A939" s="37" t="s">
        <v>2010</v>
      </c>
      <c r="B939">
        <v>7</v>
      </c>
      <c r="C939">
        <v>26.55</v>
      </c>
    </row>
    <row r="940" spans="1:3" x14ac:dyDescent="0.2">
      <c r="A940" s="37" t="s">
        <v>2010</v>
      </c>
      <c r="B940">
        <v>8</v>
      </c>
      <c r="C940">
        <v>21.060000000000002</v>
      </c>
    </row>
    <row r="941" spans="1:3" x14ac:dyDescent="0.2">
      <c r="A941" s="37" t="s">
        <v>2010</v>
      </c>
      <c r="B941">
        <v>9</v>
      </c>
      <c r="C941">
        <v>21.380000000000003</v>
      </c>
    </row>
    <row r="942" spans="1:3" x14ac:dyDescent="0.2">
      <c r="A942" s="37" t="s">
        <v>2011</v>
      </c>
      <c r="B942">
        <v>1</v>
      </c>
      <c r="C942">
        <v>11.41</v>
      </c>
    </row>
    <row r="943" spans="1:3" x14ac:dyDescent="0.2">
      <c r="A943" s="37" t="s">
        <v>2011</v>
      </c>
      <c r="B943">
        <v>10</v>
      </c>
      <c r="C943">
        <v>5.85</v>
      </c>
    </row>
    <row r="944" spans="1:3" x14ac:dyDescent="0.2">
      <c r="A944" s="37" t="s">
        <v>2011</v>
      </c>
      <c r="B944">
        <v>11</v>
      </c>
      <c r="C944">
        <v>6.57</v>
      </c>
    </row>
    <row r="945" spans="1:3" x14ac:dyDescent="0.2">
      <c r="A945" s="37" t="s">
        <v>2011</v>
      </c>
      <c r="B945">
        <v>2</v>
      </c>
      <c r="C945">
        <v>10.16</v>
      </c>
    </row>
    <row r="946" spans="1:3" x14ac:dyDescent="0.2">
      <c r="A946" s="37" t="s">
        <v>2011</v>
      </c>
      <c r="B946">
        <v>3</v>
      </c>
      <c r="C946">
        <v>9.67</v>
      </c>
    </row>
    <row r="947" spans="1:3" x14ac:dyDescent="0.2">
      <c r="A947" s="37" t="s">
        <v>2011</v>
      </c>
      <c r="B947">
        <v>4</v>
      </c>
      <c r="C947">
        <v>6.71</v>
      </c>
    </row>
    <row r="948" spans="1:3" x14ac:dyDescent="0.2">
      <c r="A948" s="37" t="s">
        <v>2011</v>
      </c>
      <c r="B948">
        <v>5</v>
      </c>
      <c r="C948">
        <v>10.74</v>
      </c>
    </row>
    <row r="949" spans="1:3" x14ac:dyDescent="0.2">
      <c r="A949" s="37" t="s">
        <v>2011</v>
      </c>
      <c r="B949">
        <v>6</v>
      </c>
      <c r="C949">
        <v>8.86</v>
      </c>
    </row>
    <row r="950" spans="1:3" x14ac:dyDescent="0.2">
      <c r="A950" s="37" t="s">
        <v>2011</v>
      </c>
      <c r="B950">
        <v>7</v>
      </c>
      <c r="C950">
        <v>12.53</v>
      </c>
    </row>
    <row r="951" spans="1:3" x14ac:dyDescent="0.2">
      <c r="A951" s="37" t="s">
        <v>2011</v>
      </c>
      <c r="B951">
        <v>8</v>
      </c>
      <c r="C951">
        <v>7.6599999999999993</v>
      </c>
    </row>
    <row r="952" spans="1:3" x14ac:dyDescent="0.2">
      <c r="A952" s="37" t="s">
        <v>2011</v>
      </c>
      <c r="B952">
        <v>9</v>
      </c>
      <c r="C952">
        <v>8.1</v>
      </c>
    </row>
    <row r="953" spans="1:3" x14ac:dyDescent="0.2">
      <c r="A953" s="37" t="s">
        <v>2012</v>
      </c>
      <c r="B953">
        <v>1</v>
      </c>
      <c r="C953">
        <v>21.049999999999997</v>
      </c>
    </row>
    <row r="954" spans="1:3" x14ac:dyDescent="0.2">
      <c r="A954" s="37" t="s">
        <v>2012</v>
      </c>
      <c r="B954">
        <v>10</v>
      </c>
      <c r="C954">
        <v>18.989999999999998</v>
      </c>
    </row>
    <row r="955" spans="1:3" x14ac:dyDescent="0.2">
      <c r="A955" s="37" t="s">
        <v>2012</v>
      </c>
      <c r="B955">
        <v>11</v>
      </c>
      <c r="C955">
        <v>24</v>
      </c>
    </row>
    <row r="956" spans="1:3" x14ac:dyDescent="0.2">
      <c r="A956" s="37" t="s">
        <v>2012</v>
      </c>
      <c r="B956">
        <v>2</v>
      </c>
      <c r="C956">
        <v>19.579999999999998</v>
      </c>
    </row>
    <row r="957" spans="1:3" x14ac:dyDescent="0.2">
      <c r="A957" s="37" t="s">
        <v>2012</v>
      </c>
      <c r="B957">
        <v>3</v>
      </c>
      <c r="C957">
        <v>22.950000000000003</v>
      </c>
    </row>
    <row r="958" spans="1:3" x14ac:dyDescent="0.2">
      <c r="A958" s="37" t="s">
        <v>2012</v>
      </c>
      <c r="B958">
        <v>4</v>
      </c>
      <c r="C958">
        <v>25.080000000000002</v>
      </c>
    </row>
    <row r="959" spans="1:3" x14ac:dyDescent="0.2">
      <c r="A959" s="37" t="s">
        <v>2012</v>
      </c>
      <c r="B959">
        <v>5</v>
      </c>
      <c r="C959">
        <v>32.08</v>
      </c>
    </row>
    <row r="960" spans="1:3" x14ac:dyDescent="0.2">
      <c r="A960" s="37" t="s">
        <v>2012</v>
      </c>
      <c r="B960">
        <v>6</v>
      </c>
      <c r="C960">
        <v>28.309999999999995</v>
      </c>
    </row>
    <row r="961" spans="1:3" x14ac:dyDescent="0.2">
      <c r="A961" s="37" t="s">
        <v>2012</v>
      </c>
      <c r="B961">
        <v>7</v>
      </c>
      <c r="C961">
        <v>26.52</v>
      </c>
    </row>
    <row r="962" spans="1:3" x14ac:dyDescent="0.2">
      <c r="A962" s="37" t="s">
        <v>2012</v>
      </c>
      <c r="B962">
        <v>8</v>
      </c>
      <c r="C962">
        <v>29.85</v>
      </c>
    </row>
    <row r="963" spans="1:3" x14ac:dyDescent="0.2">
      <c r="A963" s="37" t="s">
        <v>2012</v>
      </c>
      <c r="B963">
        <v>9</v>
      </c>
      <c r="C963">
        <v>25.03</v>
      </c>
    </row>
    <row r="964" spans="1:3" x14ac:dyDescent="0.2">
      <c r="A964" s="37" t="s">
        <v>2013</v>
      </c>
      <c r="B964">
        <v>1</v>
      </c>
      <c r="C964">
        <v>27.960000000000008</v>
      </c>
    </row>
    <row r="965" spans="1:3" x14ac:dyDescent="0.2">
      <c r="A965" s="37" t="s">
        <v>2013</v>
      </c>
      <c r="B965">
        <v>10</v>
      </c>
      <c r="C965">
        <v>40.51</v>
      </c>
    </row>
    <row r="966" spans="1:3" x14ac:dyDescent="0.2">
      <c r="A966" s="37" t="s">
        <v>2013</v>
      </c>
      <c r="B966">
        <v>11</v>
      </c>
      <c r="C966">
        <v>36.339999999999996</v>
      </c>
    </row>
    <row r="967" spans="1:3" x14ac:dyDescent="0.2">
      <c r="A967" s="37" t="s">
        <v>2013</v>
      </c>
      <c r="B967">
        <v>2</v>
      </c>
      <c r="C967">
        <v>18.559999999999999</v>
      </c>
    </row>
    <row r="968" spans="1:3" x14ac:dyDescent="0.2">
      <c r="A968" s="37" t="s">
        <v>2013</v>
      </c>
      <c r="B968">
        <v>3</v>
      </c>
      <c r="C968">
        <v>23.020000000000003</v>
      </c>
    </row>
    <row r="969" spans="1:3" x14ac:dyDescent="0.2">
      <c r="A969" s="37" t="s">
        <v>2013</v>
      </c>
      <c r="B969">
        <v>4</v>
      </c>
      <c r="C969">
        <v>23.17</v>
      </c>
    </row>
    <row r="970" spans="1:3" x14ac:dyDescent="0.2">
      <c r="A970" s="37" t="s">
        <v>2013</v>
      </c>
      <c r="B970">
        <v>5</v>
      </c>
      <c r="C970">
        <v>28.08</v>
      </c>
    </row>
    <row r="971" spans="1:3" x14ac:dyDescent="0.2">
      <c r="A971" s="37" t="s">
        <v>2013</v>
      </c>
      <c r="B971">
        <v>6</v>
      </c>
      <c r="C971">
        <v>28.730000000000004</v>
      </c>
    </row>
    <row r="972" spans="1:3" x14ac:dyDescent="0.2">
      <c r="A972" s="37" t="s">
        <v>2013</v>
      </c>
      <c r="B972">
        <v>7</v>
      </c>
      <c r="C972">
        <v>21.130000000000003</v>
      </c>
    </row>
    <row r="973" spans="1:3" x14ac:dyDescent="0.2">
      <c r="A973" s="37" t="s">
        <v>2013</v>
      </c>
      <c r="B973">
        <v>8</v>
      </c>
      <c r="C973">
        <v>29.38</v>
      </c>
    </row>
    <row r="974" spans="1:3" x14ac:dyDescent="0.2">
      <c r="A974" s="37" t="s">
        <v>2013</v>
      </c>
      <c r="B974">
        <v>9</v>
      </c>
      <c r="C974">
        <v>29.270000000000003</v>
      </c>
    </row>
    <row r="975" spans="1:3" x14ac:dyDescent="0.2">
      <c r="A975" s="37" t="s">
        <v>504</v>
      </c>
      <c r="B975">
        <v>1</v>
      </c>
      <c r="C975">
        <v>27.38</v>
      </c>
    </row>
    <row r="976" spans="1:3" x14ac:dyDescent="0.2">
      <c r="A976" s="37" t="s">
        <v>504</v>
      </c>
      <c r="B976">
        <v>10</v>
      </c>
      <c r="C976">
        <v>25.019999999999996</v>
      </c>
    </row>
    <row r="977" spans="1:3" x14ac:dyDescent="0.2">
      <c r="A977" s="37" t="s">
        <v>504</v>
      </c>
      <c r="B977">
        <v>11</v>
      </c>
      <c r="C977">
        <v>22.28</v>
      </c>
    </row>
    <row r="978" spans="1:3" x14ac:dyDescent="0.2">
      <c r="A978" s="37" t="s">
        <v>504</v>
      </c>
      <c r="B978">
        <v>2</v>
      </c>
      <c r="C978">
        <v>22.08</v>
      </c>
    </row>
    <row r="979" spans="1:3" x14ac:dyDescent="0.2">
      <c r="A979" s="37" t="s">
        <v>504</v>
      </c>
      <c r="B979">
        <v>3</v>
      </c>
      <c r="C979">
        <v>26.48</v>
      </c>
    </row>
    <row r="980" spans="1:3" x14ac:dyDescent="0.2">
      <c r="A980" s="37" t="s">
        <v>504</v>
      </c>
      <c r="B980">
        <v>4</v>
      </c>
      <c r="C980">
        <v>32.01</v>
      </c>
    </row>
    <row r="981" spans="1:3" x14ac:dyDescent="0.2">
      <c r="A981" s="37" t="s">
        <v>504</v>
      </c>
      <c r="B981">
        <v>5</v>
      </c>
      <c r="C981">
        <v>24.76</v>
      </c>
    </row>
    <row r="982" spans="1:3" x14ac:dyDescent="0.2">
      <c r="A982" s="37" t="s">
        <v>504</v>
      </c>
      <c r="B982">
        <v>6</v>
      </c>
      <c r="C982">
        <v>28.88</v>
      </c>
    </row>
    <row r="983" spans="1:3" x14ac:dyDescent="0.2">
      <c r="A983" s="37" t="s">
        <v>504</v>
      </c>
      <c r="B983">
        <v>7</v>
      </c>
      <c r="C983">
        <v>26.869999999999997</v>
      </c>
    </row>
    <row r="984" spans="1:3" x14ac:dyDescent="0.2">
      <c r="A984" s="37" t="s">
        <v>504</v>
      </c>
      <c r="B984">
        <v>8</v>
      </c>
      <c r="C984">
        <v>21.360000000000003</v>
      </c>
    </row>
    <row r="985" spans="1:3" x14ac:dyDescent="0.2">
      <c r="A985" s="37" t="s">
        <v>504</v>
      </c>
      <c r="B985">
        <v>9</v>
      </c>
      <c r="C985">
        <v>19.650000000000002</v>
      </c>
    </row>
    <row r="986" spans="1:3" x14ac:dyDescent="0.2">
      <c r="A986" s="37" t="s">
        <v>1578</v>
      </c>
      <c r="B986">
        <v>1</v>
      </c>
      <c r="C986">
        <v>20.23</v>
      </c>
    </row>
    <row r="987" spans="1:3" x14ac:dyDescent="0.2">
      <c r="A987" s="37" t="s">
        <v>1578</v>
      </c>
      <c r="B987">
        <v>10</v>
      </c>
      <c r="C987">
        <v>14.659999999999998</v>
      </c>
    </row>
    <row r="988" spans="1:3" x14ac:dyDescent="0.2">
      <c r="A988" s="37" t="s">
        <v>1578</v>
      </c>
      <c r="B988">
        <v>11</v>
      </c>
      <c r="C988">
        <v>12.879999999999999</v>
      </c>
    </row>
    <row r="989" spans="1:3" x14ac:dyDescent="0.2">
      <c r="A989" s="37" t="s">
        <v>1578</v>
      </c>
      <c r="B989">
        <v>2</v>
      </c>
      <c r="C989">
        <v>13.31</v>
      </c>
    </row>
    <row r="990" spans="1:3" x14ac:dyDescent="0.2">
      <c r="A990" s="37" t="s">
        <v>1578</v>
      </c>
      <c r="B990">
        <v>3</v>
      </c>
      <c r="C990">
        <v>13.900000000000002</v>
      </c>
    </row>
    <row r="991" spans="1:3" x14ac:dyDescent="0.2">
      <c r="A991" s="37" t="s">
        <v>1578</v>
      </c>
      <c r="B991">
        <v>4</v>
      </c>
      <c r="C991">
        <v>13.239999999999998</v>
      </c>
    </row>
    <row r="992" spans="1:3" x14ac:dyDescent="0.2">
      <c r="A992" s="37" t="s">
        <v>1578</v>
      </c>
      <c r="B992">
        <v>5</v>
      </c>
      <c r="C992">
        <v>10.530000000000001</v>
      </c>
    </row>
    <row r="993" spans="1:3" x14ac:dyDescent="0.2">
      <c r="A993" s="37" t="s">
        <v>1578</v>
      </c>
      <c r="B993">
        <v>6</v>
      </c>
      <c r="C993">
        <v>12.66</v>
      </c>
    </row>
    <row r="994" spans="1:3" x14ac:dyDescent="0.2">
      <c r="A994" s="37" t="s">
        <v>1578</v>
      </c>
      <c r="B994">
        <v>7</v>
      </c>
      <c r="C994">
        <v>10.920000000000002</v>
      </c>
    </row>
    <row r="995" spans="1:3" x14ac:dyDescent="0.2">
      <c r="A995" s="37" t="s">
        <v>1578</v>
      </c>
      <c r="B995">
        <v>8</v>
      </c>
      <c r="C995">
        <v>17.61</v>
      </c>
    </row>
    <row r="996" spans="1:3" x14ac:dyDescent="0.2">
      <c r="A996" s="37" t="s">
        <v>1578</v>
      </c>
      <c r="B996">
        <v>9</v>
      </c>
      <c r="C996">
        <v>22.09</v>
      </c>
    </row>
    <row r="997" spans="1:3" x14ac:dyDescent="0.2">
      <c r="A997" s="37" t="s">
        <v>1585</v>
      </c>
      <c r="B997">
        <v>1</v>
      </c>
      <c r="C997">
        <v>30.020000000000003</v>
      </c>
    </row>
    <row r="998" spans="1:3" x14ac:dyDescent="0.2">
      <c r="A998" s="37" t="s">
        <v>1585</v>
      </c>
      <c r="B998">
        <v>10</v>
      </c>
      <c r="C998">
        <v>19.02</v>
      </c>
    </row>
    <row r="999" spans="1:3" x14ac:dyDescent="0.2">
      <c r="A999" s="37" t="s">
        <v>1585</v>
      </c>
      <c r="B999">
        <v>11</v>
      </c>
      <c r="C999">
        <v>15.129999999999999</v>
      </c>
    </row>
    <row r="1000" spans="1:3" x14ac:dyDescent="0.2">
      <c r="A1000" s="37" t="s">
        <v>1585</v>
      </c>
      <c r="B1000">
        <v>2</v>
      </c>
      <c r="C1000">
        <v>12.600000000000001</v>
      </c>
    </row>
    <row r="1001" spans="1:3" x14ac:dyDescent="0.2">
      <c r="A1001" s="37" t="s">
        <v>1585</v>
      </c>
      <c r="B1001">
        <v>3</v>
      </c>
      <c r="C1001">
        <v>14.88</v>
      </c>
    </row>
    <row r="1002" spans="1:3" x14ac:dyDescent="0.2">
      <c r="A1002" s="37" t="s">
        <v>1585</v>
      </c>
      <c r="B1002">
        <v>4</v>
      </c>
      <c r="C1002">
        <v>26.099999999999998</v>
      </c>
    </row>
    <row r="1003" spans="1:3" x14ac:dyDescent="0.2">
      <c r="A1003" s="37" t="s">
        <v>1585</v>
      </c>
      <c r="B1003">
        <v>5</v>
      </c>
      <c r="C1003">
        <v>24.54</v>
      </c>
    </row>
    <row r="1004" spans="1:3" x14ac:dyDescent="0.2">
      <c r="A1004" s="37" t="s">
        <v>1585</v>
      </c>
      <c r="B1004">
        <v>6</v>
      </c>
      <c r="C1004">
        <v>17.86</v>
      </c>
    </row>
    <row r="1005" spans="1:3" x14ac:dyDescent="0.2">
      <c r="A1005" s="37" t="s">
        <v>1585</v>
      </c>
      <c r="B1005">
        <v>7</v>
      </c>
      <c r="C1005">
        <v>19.720000000000002</v>
      </c>
    </row>
    <row r="1006" spans="1:3" x14ac:dyDescent="0.2">
      <c r="A1006" s="37" t="s">
        <v>1585</v>
      </c>
      <c r="B1006">
        <v>8</v>
      </c>
      <c r="C1006">
        <v>10.96</v>
      </c>
    </row>
    <row r="1007" spans="1:3" x14ac:dyDescent="0.2">
      <c r="A1007" s="37" t="s">
        <v>1585</v>
      </c>
      <c r="B1007">
        <v>9</v>
      </c>
      <c r="C1007">
        <v>15.979999999999997</v>
      </c>
    </row>
    <row r="1008" spans="1:3" x14ac:dyDescent="0.2">
      <c r="A1008" s="37" t="s">
        <v>360</v>
      </c>
      <c r="B1008">
        <v>1</v>
      </c>
      <c r="C1008">
        <v>11.989999999999998</v>
      </c>
    </row>
    <row r="1009" spans="1:3" x14ac:dyDescent="0.2">
      <c r="A1009" s="37" t="s">
        <v>360</v>
      </c>
      <c r="B1009">
        <v>10</v>
      </c>
      <c r="C1009">
        <v>14.61</v>
      </c>
    </row>
    <row r="1010" spans="1:3" x14ac:dyDescent="0.2">
      <c r="A1010" s="37" t="s">
        <v>360</v>
      </c>
      <c r="B1010">
        <v>11</v>
      </c>
      <c r="C1010">
        <v>11.19</v>
      </c>
    </row>
    <row r="1011" spans="1:3" x14ac:dyDescent="0.2">
      <c r="A1011" s="37" t="s">
        <v>360</v>
      </c>
      <c r="B1011">
        <v>2</v>
      </c>
      <c r="C1011">
        <v>13.48</v>
      </c>
    </row>
    <row r="1012" spans="1:3" x14ac:dyDescent="0.2">
      <c r="A1012" s="37" t="s">
        <v>360</v>
      </c>
      <c r="B1012">
        <v>3</v>
      </c>
      <c r="C1012">
        <v>15.729999999999999</v>
      </c>
    </row>
    <row r="1013" spans="1:3" x14ac:dyDescent="0.2">
      <c r="A1013" s="37" t="s">
        <v>360</v>
      </c>
      <c r="B1013">
        <v>4</v>
      </c>
      <c r="C1013">
        <v>14.290000000000001</v>
      </c>
    </row>
    <row r="1014" spans="1:3" x14ac:dyDescent="0.2">
      <c r="A1014" s="37" t="s">
        <v>360</v>
      </c>
      <c r="B1014">
        <v>5</v>
      </c>
      <c r="C1014">
        <v>13.229999999999999</v>
      </c>
    </row>
    <row r="1015" spans="1:3" x14ac:dyDescent="0.2">
      <c r="A1015" s="37" t="s">
        <v>360</v>
      </c>
      <c r="B1015">
        <v>6</v>
      </c>
      <c r="C1015">
        <v>12.21</v>
      </c>
    </row>
    <row r="1016" spans="1:3" x14ac:dyDescent="0.2">
      <c r="A1016" s="37" t="s">
        <v>360</v>
      </c>
      <c r="B1016">
        <v>7</v>
      </c>
      <c r="C1016">
        <v>18.010000000000002</v>
      </c>
    </row>
    <row r="1017" spans="1:3" x14ac:dyDescent="0.2">
      <c r="A1017" s="37" t="s">
        <v>360</v>
      </c>
      <c r="B1017">
        <v>8</v>
      </c>
      <c r="C1017">
        <v>12.010000000000002</v>
      </c>
    </row>
    <row r="1018" spans="1:3" x14ac:dyDescent="0.2">
      <c r="A1018" s="37" t="s">
        <v>360</v>
      </c>
      <c r="B1018">
        <v>9</v>
      </c>
      <c r="C1018">
        <v>9.64</v>
      </c>
    </row>
    <row r="1019" spans="1:3" x14ac:dyDescent="0.2">
      <c r="A1019" s="37" t="s">
        <v>500</v>
      </c>
      <c r="B1019">
        <v>1</v>
      </c>
      <c r="C1019">
        <v>44.7</v>
      </c>
    </row>
    <row r="1020" spans="1:3" x14ac:dyDescent="0.2">
      <c r="A1020" s="37" t="s">
        <v>500</v>
      </c>
      <c r="B1020">
        <v>10</v>
      </c>
      <c r="C1020">
        <v>29.830000000000002</v>
      </c>
    </row>
    <row r="1021" spans="1:3" x14ac:dyDescent="0.2">
      <c r="A1021" s="37" t="s">
        <v>500</v>
      </c>
      <c r="B1021">
        <v>11</v>
      </c>
      <c r="C1021">
        <v>20.669999999999998</v>
      </c>
    </row>
    <row r="1022" spans="1:3" x14ac:dyDescent="0.2">
      <c r="A1022" s="37" t="s">
        <v>500</v>
      </c>
      <c r="B1022">
        <v>2</v>
      </c>
      <c r="C1022">
        <v>33.200000000000003</v>
      </c>
    </row>
    <row r="1023" spans="1:3" x14ac:dyDescent="0.2">
      <c r="A1023" s="37" t="s">
        <v>500</v>
      </c>
      <c r="B1023">
        <v>3</v>
      </c>
      <c r="C1023">
        <v>28.9</v>
      </c>
    </row>
    <row r="1024" spans="1:3" x14ac:dyDescent="0.2">
      <c r="A1024" s="37" t="s">
        <v>500</v>
      </c>
      <c r="B1024">
        <v>4</v>
      </c>
      <c r="C1024">
        <v>43.590000000000011</v>
      </c>
    </row>
    <row r="1025" spans="1:3" x14ac:dyDescent="0.2">
      <c r="A1025" s="37" t="s">
        <v>500</v>
      </c>
      <c r="B1025">
        <v>5</v>
      </c>
      <c r="C1025">
        <v>35.799999999999997</v>
      </c>
    </row>
    <row r="1026" spans="1:3" x14ac:dyDescent="0.2">
      <c r="A1026" s="37" t="s">
        <v>500</v>
      </c>
      <c r="B1026">
        <v>6</v>
      </c>
      <c r="C1026">
        <v>27.259999999999998</v>
      </c>
    </row>
    <row r="1027" spans="1:3" x14ac:dyDescent="0.2">
      <c r="A1027" s="37" t="s">
        <v>500</v>
      </c>
      <c r="B1027">
        <v>7</v>
      </c>
      <c r="C1027">
        <v>29.11</v>
      </c>
    </row>
    <row r="1028" spans="1:3" x14ac:dyDescent="0.2">
      <c r="A1028" s="37" t="s">
        <v>500</v>
      </c>
      <c r="B1028">
        <v>8</v>
      </c>
      <c r="C1028">
        <v>27.73</v>
      </c>
    </row>
    <row r="1029" spans="1:3" x14ac:dyDescent="0.2">
      <c r="A1029" s="37" t="s">
        <v>500</v>
      </c>
      <c r="B1029">
        <v>9</v>
      </c>
      <c r="C1029">
        <v>26.370000000000005</v>
      </c>
    </row>
    <row r="1030" spans="1:3" x14ac:dyDescent="0.2">
      <c r="A1030" s="37" t="s">
        <v>470</v>
      </c>
      <c r="B1030">
        <v>1</v>
      </c>
      <c r="C1030">
        <v>15.079999999999998</v>
      </c>
    </row>
    <row r="1031" spans="1:3" x14ac:dyDescent="0.2">
      <c r="A1031" s="37" t="s">
        <v>470</v>
      </c>
      <c r="B1031">
        <v>10</v>
      </c>
      <c r="C1031">
        <v>19.27</v>
      </c>
    </row>
    <row r="1032" spans="1:3" x14ac:dyDescent="0.2">
      <c r="A1032" s="37" t="s">
        <v>470</v>
      </c>
      <c r="B1032">
        <v>11</v>
      </c>
      <c r="C1032">
        <v>24.12</v>
      </c>
    </row>
    <row r="1033" spans="1:3" x14ac:dyDescent="0.2">
      <c r="A1033" s="37" t="s">
        <v>470</v>
      </c>
      <c r="B1033">
        <v>2</v>
      </c>
      <c r="C1033">
        <v>15.75</v>
      </c>
    </row>
    <row r="1034" spans="1:3" x14ac:dyDescent="0.2">
      <c r="A1034" s="37" t="s">
        <v>470</v>
      </c>
      <c r="B1034">
        <v>3</v>
      </c>
      <c r="C1034">
        <v>22.640000000000004</v>
      </c>
    </row>
    <row r="1035" spans="1:3" x14ac:dyDescent="0.2">
      <c r="A1035" s="37" t="s">
        <v>470</v>
      </c>
      <c r="B1035">
        <v>4</v>
      </c>
      <c r="C1035">
        <v>15.79</v>
      </c>
    </row>
    <row r="1036" spans="1:3" x14ac:dyDescent="0.2">
      <c r="A1036" s="37" t="s">
        <v>470</v>
      </c>
      <c r="B1036">
        <v>5</v>
      </c>
      <c r="C1036">
        <v>16.21</v>
      </c>
    </row>
    <row r="1037" spans="1:3" x14ac:dyDescent="0.2">
      <c r="A1037" s="37" t="s">
        <v>470</v>
      </c>
      <c r="B1037">
        <v>6</v>
      </c>
      <c r="C1037">
        <v>22.660000000000004</v>
      </c>
    </row>
    <row r="1038" spans="1:3" x14ac:dyDescent="0.2">
      <c r="A1038" s="37" t="s">
        <v>470</v>
      </c>
      <c r="B1038">
        <v>7</v>
      </c>
      <c r="C1038">
        <v>21</v>
      </c>
    </row>
    <row r="1039" spans="1:3" x14ac:dyDescent="0.2">
      <c r="A1039" s="37" t="s">
        <v>470</v>
      </c>
      <c r="B1039">
        <v>8</v>
      </c>
      <c r="C1039">
        <v>16.14</v>
      </c>
    </row>
    <row r="1040" spans="1:3" x14ac:dyDescent="0.2">
      <c r="A1040" s="37" t="s">
        <v>470</v>
      </c>
      <c r="B1040">
        <v>9</v>
      </c>
      <c r="C1040">
        <v>18.22</v>
      </c>
    </row>
    <row r="1041" spans="1:3" x14ac:dyDescent="0.2">
      <c r="A1041" s="37" t="s">
        <v>471</v>
      </c>
      <c r="B1041">
        <v>1</v>
      </c>
      <c r="C1041">
        <v>23.47</v>
      </c>
    </row>
    <row r="1042" spans="1:3" x14ac:dyDescent="0.2">
      <c r="A1042" s="37" t="s">
        <v>471</v>
      </c>
      <c r="B1042">
        <v>10</v>
      </c>
      <c r="C1042">
        <v>14</v>
      </c>
    </row>
    <row r="1043" spans="1:3" x14ac:dyDescent="0.2">
      <c r="A1043" s="37" t="s">
        <v>471</v>
      </c>
      <c r="B1043">
        <v>11</v>
      </c>
      <c r="C1043">
        <v>17.380000000000003</v>
      </c>
    </row>
    <row r="1044" spans="1:3" x14ac:dyDescent="0.2">
      <c r="A1044" s="37" t="s">
        <v>471</v>
      </c>
      <c r="B1044">
        <v>2</v>
      </c>
      <c r="C1044">
        <v>18.759999999999998</v>
      </c>
    </row>
    <row r="1045" spans="1:3" x14ac:dyDescent="0.2">
      <c r="A1045" s="37" t="s">
        <v>471</v>
      </c>
      <c r="B1045">
        <v>3</v>
      </c>
      <c r="C1045">
        <v>23.82</v>
      </c>
    </row>
    <row r="1046" spans="1:3" x14ac:dyDescent="0.2">
      <c r="A1046" s="37" t="s">
        <v>471</v>
      </c>
      <c r="B1046">
        <v>4</v>
      </c>
      <c r="C1046">
        <v>19.990000000000002</v>
      </c>
    </row>
    <row r="1047" spans="1:3" x14ac:dyDescent="0.2">
      <c r="A1047" s="37" t="s">
        <v>471</v>
      </c>
      <c r="B1047">
        <v>5</v>
      </c>
      <c r="C1047">
        <v>19.25</v>
      </c>
    </row>
    <row r="1048" spans="1:3" x14ac:dyDescent="0.2">
      <c r="A1048" s="37" t="s">
        <v>471</v>
      </c>
      <c r="B1048">
        <v>6</v>
      </c>
      <c r="C1048">
        <v>21.1</v>
      </c>
    </row>
    <row r="1049" spans="1:3" x14ac:dyDescent="0.2">
      <c r="A1049" s="37" t="s">
        <v>471</v>
      </c>
      <c r="B1049">
        <v>7</v>
      </c>
      <c r="C1049">
        <v>14.8</v>
      </c>
    </row>
    <row r="1050" spans="1:3" x14ac:dyDescent="0.2">
      <c r="A1050" s="37" t="s">
        <v>471</v>
      </c>
      <c r="B1050">
        <v>8</v>
      </c>
      <c r="C1050">
        <v>20.840000000000003</v>
      </c>
    </row>
    <row r="1051" spans="1:3" x14ac:dyDescent="0.2">
      <c r="A1051" s="37" t="s">
        <v>471</v>
      </c>
      <c r="B1051">
        <v>9</v>
      </c>
      <c r="C1051">
        <v>16.95</v>
      </c>
    </row>
    <row r="1052" spans="1:3" x14ac:dyDescent="0.2">
      <c r="A1052" s="37" t="s">
        <v>511</v>
      </c>
      <c r="B1052">
        <v>1</v>
      </c>
      <c r="C1052">
        <v>13.549999999999999</v>
      </c>
    </row>
    <row r="1053" spans="1:3" x14ac:dyDescent="0.2">
      <c r="A1053" s="37" t="s">
        <v>511</v>
      </c>
      <c r="B1053">
        <v>10</v>
      </c>
      <c r="C1053">
        <v>10.93</v>
      </c>
    </row>
    <row r="1054" spans="1:3" x14ac:dyDescent="0.2">
      <c r="A1054" s="37" t="s">
        <v>511</v>
      </c>
      <c r="B1054">
        <v>11</v>
      </c>
      <c r="C1054">
        <v>15.280000000000001</v>
      </c>
    </row>
    <row r="1055" spans="1:3" x14ac:dyDescent="0.2">
      <c r="A1055" s="37" t="s">
        <v>511</v>
      </c>
      <c r="B1055">
        <v>2</v>
      </c>
      <c r="C1055">
        <v>9.8800000000000008</v>
      </c>
    </row>
    <row r="1056" spans="1:3" x14ac:dyDescent="0.2">
      <c r="A1056" s="37" t="s">
        <v>511</v>
      </c>
      <c r="B1056">
        <v>3</v>
      </c>
      <c r="C1056">
        <v>8.66</v>
      </c>
    </row>
    <row r="1057" spans="1:3" x14ac:dyDescent="0.2">
      <c r="A1057" s="37" t="s">
        <v>511</v>
      </c>
      <c r="B1057">
        <v>4</v>
      </c>
      <c r="C1057">
        <v>8.49</v>
      </c>
    </row>
    <row r="1058" spans="1:3" x14ac:dyDescent="0.2">
      <c r="A1058" s="37" t="s">
        <v>511</v>
      </c>
      <c r="B1058">
        <v>5</v>
      </c>
      <c r="C1058">
        <v>13.18</v>
      </c>
    </row>
    <row r="1059" spans="1:3" x14ac:dyDescent="0.2">
      <c r="A1059" s="37" t="s">
        <v>511</v>
      </c>
      <c r="B1059">
        <v>6</v>
      </c>
      <c r="C1059">
        <v>8.7799999999999994</v>
      </c>
    </row>
    <row r="1060" spans="1:3" x14ac:dyDescent="0.2">
      <c r="A1060" s="37" t="s">
        <v>511</v>
      </c>
      <c r="B1060">
        <v>7</v>
      </c>
      <c r="C1060">
        <v>10.209999999999999</v>
      </c>
    </row>
    <row r="1061" spans="1:3" x14ac:dyDescent="0.2">
      <c r="A1061" s="37" t="s">
        <v>511</v>
      </c>
      <c r="B1061">
        <v>8</v>
      </c>
      <c r="C1061">
        <v>11.42</v>
      </c>
    </row>
    <row r="1062" spans="1:3" x14ac:dyDescent="0.2">
      <c r="A1062" s="37" t="s">
        <v>511</v>
      </c>
      <c r="B1062">
        <v>9</v>
      </c>
      <c r="C1062">
        <v>10.26</v>
      </c>
    </row>
    <row r="1063" spans="1:3" x14ac:dyDescent="0.2">
      <c r="A1063" s="37" t="s">
        <v>2014</v>
      </c>
      <c r="B1063">
        <v>1</v>
      </c>
      <c r="C1063">
        <v>12.68</v>
      </c>
    </row>
    <row r="1064" spans="1:3" x14ac:dyDescent="0.2">
      <c r="A1064" s="37" t="s">
        <v>2014</v>
      </c>
      <c r="B1064">
        <v>10</v>
      </c>
      <c r="C1064">
        <v>18.54</v>
      </c>
    </row>
    <row r="1065" spans="1:3" x14ac:dyDescent="0.2">
      <c r="A1065" s="37" t="s">
        <v>2014</v>
      </c>
      <c r="B1065">
        <v>11</v>
      </c>
      <c r="C1065">
        <v>16.45</v>
      </c>
    </row>
    <row r="1066" spans="1:3" x14ac:dyDescent="0.2">
      <c r="A1066" s="37" t="s">
        <v>2014</v>
      </c>
      <c r="B1066">
        <v>2</v>
      </c>
      <c r="C1066">
        <v>12.98</v>
      </c>
    </row>
    <row r="1067" spans="1:3" x14ac:dyDescent="0.2">
      <c r="A1067" s="37" t="s">
        <v>2014</v>
      </c>
      <c r="B1067">
        <v>3</v>
      </c>
      <c r="C1067">
        <v>11.559999999999999</v>
      </c>
    </row>
    <row r="1068" spans="1:3" x14ac:dyDescent="0.2">
      <c r="A1068" s="37" t="s">
        <v>2014</v>
      </c>
      <c r="B1068">
        <v>4</v>
      </c>
      <c r="C1068">
        <v>16.66</v>
      </c>
    </row>
    <row r="1069" spans="1:3" x14ac:dyDescent="0.2">
      <c r="A1069" s="37" t="s">
        <v>2014</v>
      </c>
      <c r="B1069">
        <v>5</v>
      </c>
      <c r="C1069">
        <v>18.61</v>
      </c>
    </row>
    <row r="1070" spans="1:3" x14ac:dyDescent="0.2">
      <c r="A1070" s="37" t="s">
        <v>2014</v>
      </c>
      <c r="B1070">
        <v>6</v>
      </c>
      <c r="C1070">
        <v>15.12</v>
      </c>
    </row>
    <row r="1071" spans="1:3" x14ac:dyDescent="0.2">
      <c r="A1071" s="37" t="s">
        <v>2014</v>
      </c>
      <c r="B1071">
        <v>7</v>
      </c>
      <c r="C1071">
        <v>9.59</v>
      </c>
    </row>
    <row r="1072" spans="1:3" x14ac:dyDescent="0.2">
      <c r="A1072" s="37" t="s">
        <v>2014</v>
      </c>
      <c r="B1072">
        <v>8</v>
      </c>
      <c r="C1072">
        <v>17.23</v>
      </c>
    </row>
    <row r="1073" spans="1:3" x14ac:dyDescent="0.2">
      <c r="A1073" s="37" t="s">
        <v>2014</v>
      </c>
      <c r="B1073">
        <v>9</v>
      </c>
      <c r="C1073">
        <v>23.610000000000003</v>
      </c>
    </row>
    <row r="1074" spans="1:3" x14ac:dyDescent="0.2">
      <c r="A1074" s="37" t="s">
        <v>516</v>
      </c>
      <c r="B1074">
        <v>1</v>
      </c>
      <c r="C1074">
        <v>12.239999999999998</v>
      </c>
    </row>
    <row r="1075" spans="1:3" x14ac:dyDescent="0.2">
      <c r="A1075" s="37" t="s">
        <v>516</v>
      </c>
      <c r="B1075">
        <v>10</v>
      </c>
      <c r="C1075">
        <v>9.9</v>
      </c>
    </row>
    <row r="1076" spans="1:3" x14ac:dyDescent="0.2">
      <c r="A1076" s="37" t="s">
        <v>516</v>
      </c>
      <c r="B1076">
        <v>11</v>
      </c>
      <c r="C1076">
        <v>6.92</v>
      </c>
    </row>
    <row r="1077" spans="1:3" x14ac:dyDescent="0.2">
      <c r="A1077" s="37" t="s">
        <v>516</v>
      </c>
      <c r="B1077">
        <v>2</v>
      </c>
      <c r="C1077">
        <v>8.9899999999999984</v>
      </c>
    </row>
    <row r="1078" spans="1:3" x14ac:dyDescent="0.2">
      <c r="A1078" s="37" t="s">
        <v>516</v>
      </c>
      <c r="B1078">
        <v>3</v>
      </c>
      <c r="C1078">
        <v>11.77</v>
      </c>
    </row>
    <row r="1079" spans="1:3" x14ac:dyDescent="0.2">
      <c r="A1079" s="37" t="s">
        <v>516</v>
      </c>
      <c r="B1079">
        <v>4</v>
      </c>
      <c r="C1079">
        <v>8.42</v>
      </c>
    </row>
    <row r="1080" spans="1:3" x14ac:dyDescent="0.2">
      <c r="A1080" s="37" t="s">
        <v>516</v>
      </c>
      <c r="B1080">
        <v>5</v>
      </c>
      <c r="C1080">
        <v>14.07</v>
      </c>
    </row>
    <row r="1081" spans="1:3" x14ac:dyDescent="0.2">
      <c r="A1081" s="37" t="s">
        <v>516</v>
      </c>
      <c r="B1081">
        <v>6</v>
      </c>
      <c r="C1081">
        <v>10.01</v>
      </c>
    </row>
    <row r="1082" spans="1:3" x14ac:dyDescent="0.2">
      <c r="A1082" s="37" t="s">
        <v>516</v>
      </c>
      <c r="B1082">
        <v>7</v>
      </c>
      <c r="C1082">
        <v>11.28</v>
      </c>
    </row>
    <row r="1083" spans="1:3" x14ac:dyDescent="0.2">
      <c r="A1083" s="37" t="s">
        <v>516</v>
      </c>
      <c r="B1083">
        <v>8</v>
      </c>
      <c r="C1083">
        <v>8.7099999999999991</v>
      </c>
    </row>
    <row r="1084" spans="1:3" x14ac:dyDescent="0.2">
      <c r="A1084" s="37" t="s">
        <v>516</v>
      </c>
      <c r="B1084">
        <v>9</v>
      </c>
      <c r="C1084">
        <v>9.11</v>
      </c>
    </row>
    <row r="1085" spans="1:3" x14ac:dyDescent="0.2">
      <c r="A1085" s="37" t="s">
        <v>329</v>
      </c>
      <c r="B1085">
        <v>1</v>
      </c>
      <c r="C1085">
        <v>17.34</v>
      </c>
    </row>
    <row r="1086" spans="1:3" x14ac:dyDescent="0.2">
      <c r="A1086" s="37" t="s">
        <v>329</v>
      </c>
      <c r="B1086">
        <v>10</v>
      </c>
      <c r="C1086">
        <v>12.92</v>
      </c>
    </row>
    <row r="1087" spans="1:3" x14ac:dyDescent="0.2">
      <c r="A1087" s="37" t="s">
        <v>329</v>
      </c>
      <c r="B1087">
        <v>11</v>
      </c>
      <c r="C1087">
        <v>13.540000000000001</v>
      </c>
    </row>
    <row r="1088" spans="1:3" x14ac:dyDescent="0.2">
      <c r="A1088" s="37" t="s">
        <v>329</v>
      </c>
      <c r="B1088">
        <v>2</v>
      </c>
      <c r="C1088">
        <v>16.8</v>
      </c>
    </row>
    <row r="1089" spans="1:3" x14ac:dyDescent="0.2">
      <c r="A1089" s="37" t="s">
        <v>329</v>
      </c>
      <c r="B1089">
        <v>3</v>
      </c>
      <c r="C1089">
        <v>15.48</v>
      </c>
    </row>
    <row r="1090" spans="1:3" x14ac:dyDescent="0.2">
      <c r="A1090" s="37" t="s">
        <v>329</v>
      </c>
      <c r="B1090">
        <v>4</v>
      </c>
      <c r="C1090">
        <v>21</v>
      </c>
    </row>
    <row r="1091" spans="1:3" x14ac:dyDescent="0.2">
      <c r="A1091" s="37" t="s">
        <v>329</v>
      </c>
      <c r="B1091">
        <v>5</v>
      </c>
      <c r="C1091">
        <v>22.05</v>
      </c>
    </row>
    <row r="1092" spans="1:3" x14ac:dyDescent="0.2">
      <c r="A1092" s="37" t="s">
        <v>329</v>
      </c>
      <c r="B1092">
        <v>6</v>
      </c>
      <c r="C1092">
        <v>18.61</v>
      </c>
    </row>
    <row r="1093" spans="1:3" x14ac:dyDescent="0.2">
      <c r="A1093" s="37" t="s">
        <v>329</v>
      </c>
      <c r="B1093">
        <v>7</v>
      </c>
      <c r="C1093">
        <v>24.740000000000002</v>
      </c>
    </row>
    <row r="1094" spans="1:3" x14ac:dyDescent="0.2">
      <c r="A1094" s="37" t="s">
        <v>329</v>
      </c>
      <c r="B1094">
        <v>8</v>
      </c>
      <c r="C1094">
        <v>23.3</v>
      </c>
    </row>
    <row r="1095" spans="1:3" x14ac:dyDescent="0.2">
      <c r="A1095" s="37" t="s">
        <v>329</v>
      </c>
      <c r="B1095">
        <v>9</v>
      </c>
      <c r="C1095">
        <v>13.989999999999998</v>
      </c>
    </row>
    <row r="1096" spans="1:3" x14ac:dyDescent="0.2">
      <c r="A1096" s="37" t="s">
        <v>2015</v>
      </c>
      <c r="B1096">
        <v>1</v>
      </c>
      <c r="C1096">
        <v>6.01</v>
      </c>
    </row>
    <row r="1097" spans="1:3" x14ac:dyDescent="0.2">
      <c r="A1097" s="37" t="s">
        <v>2015</v>
      </c>
      <c r="B1097">
        <v>10</v>
      </c>
      <c r="C1097">
        <v>15.879999999999999</v>
      </c>
    </row>
    <row r="1098" spans="1:3" x14ac:dyDescent="0.2">
      <c r="A1098" s="37" t="s">
        <v>2015</v>
      </c>
      <c r="B1098">
        <v>11</v>
      </c>
      <c r="C1098">
        <v>9.93</v>
      </c>
    </row>
    <row r="1099" spans="1:3" x14ac:dyDescent="0.2">
      <c r="A1099" s="37" t="s">
        <v>2015</v>
      </c>
      <c r="B1099">
        <v>2</v>
      </c>
      <c r="C1099">
        <v>7.67</v>
      </c>
    </row>
    <row r="1100" spans="1:3" x14ac:dyDescent="0.2">
      <c r="A1100" s="37" t="s">
        <v>2015</v>
      </c>
      <c r="B1100">
        <v>3</v>
      </c>
      <c r="C1100">
        <v>6.8900000000000006</v>
      </c>
    </row>
    <row r="1101" spans="1:3" x14ac:dyDescent="0.2">
      <c r="A1101" s="37" t="s">
        <v>2015</v>
      </c>
      <c r="B1101">
        <v>4</v>
      </c>
      <c r="C1101">
        <v>8.01</v>
      </c>
    </row>
    <row r="1102" spans="1:3" x14ac:dyDescent="0.2">
      <c r="A1102" s="37" t="s">
        <v>2015</v>
      </c>
      <c r="B1102">
        <v>5</v>
      </c>
      <c r="C1102">
        <v>7.3</v>
      </c>
    </row>
    <row r="1103" spans="1:3" x14ac:dyDescent="0.2">
      <c r="A1103" s="37" t="s">
        <v>2015</v>
      </c>
      <c r="B1103">
        <v>6</v>
      </c>
      <c r="C1103">
        <v>6.13</v>
      </c>
    </row>
    <row r="1104" spans="1:3" x14ac:dyDescent="0.2">
      <c r="A1104" s="37" t="s">
        <v>2015</v>
      </c>
      <c r="B1104">
        <v>7</v>
      </c>
      <c r="C1104">
        <v>9.0300000000000011</v>
      </c>
    </row>
    <row r="1105" spans="1:3" x14ac:dyDescent="0.2">
      <c r="A1105" s="37" t="s">
        <v>2015</v>
      </c>
      <c r="B1105">
        <v>8</v>
      </c>
      <c r="C1105">
        <v>19.509999999999998</v>
      </c>
    </row>
    <row r="1106" spans="1:3" x14ac:dyDescent="0.2">
      <c r="A1106" s="37" t="s">
        <v>2015</v>
      </c>
      <c r="B1106">
        <v>9</v>
      </c>
      <c r="C1106">
        <v>12.02</v>
      </c>
    </row>
    <row r="1107" spans="1:3" x14ac:dyDescent="0.2">
      <c r="A1107" s="37" t="s">
        <v>2016</v>
      </c>
      <c r="B1107">
        <v>1</v>
      </c>
      <c r="C1107">
        <v>20.64</v>
      </c>
    </row>
    <row r="1108" spans="1:3" x14ac:dyDescent="0.2">
      <c r="A1108" s="37" t="s">
        <v>2016</v>
      </c>
      <c r="B1108">
        <v>10</v>
      </c>
      <c r="C1108">
        <v>12.74</v>
      </c>
    </row>
    <row r="1109" spans="1:3" x14ac:dyDescent="0.2">
      <c r="A1109" s="37" t="s">
        <v>2016</v>
      </c>
      <c r="B1109">
        <v>11</v>
      </c>
      <c r="C1109">
        <v>13.91</v>
      </c>
    </row>
    <row r="1110" spans="1:3" x14ac:dyDescent="0.2">
      <c r="A1110" s="37" t="s">
        <v>2016</v>
      </c>
      <c r="B1110">
        <v>2</v>
      </c>
      <c r="C1110">
        <v>25.220000000000002</v>
      </c>
    </row>
    <row r="1111" spans="1:3" x14ac:dyDescent="0.2">
      <c r="A1111" s="37" t="s">
        <v>2016</v>
      </c>
      <c r="B1111">
        <v>3</v>
      </c>
      <c r="C1111">
        <v>19.809999999999999</v>
      </c>
    </row>
    <row r="1112" spans="1:3" x14ac:dyDescent="0.2">
      <c r="A1112" s="37" t="s">
        <v>2016</v>
      </c>
      <c r="B1112">
        <v>4</v>
      </c>
      <c r="C1112">
        <v>22.729999999999997</v>
      </c>
    </row>
    <row r="1113" spans="1:3" x14ac:dyDescent="0.2">
      <c r="A1113" s="37" t="s">
        <v>2016</v>
      </c>
      <c r="B1113">
        <v>5</v>
      </c>
      <c r="C1113">
        <v>21.53</v>
      </c>
    </row>
    <row r="1114" spans="1:3" x14ac:dyDescent="0.2">
      <c r="A1114" s="37" t="s">
        <v>2016</v>
      </c>
      <c r="B1114">
        <v>6</v>
      </c>
      <c r="C1114">
        <v>19.82</v>
      </c>
    </row>
    <row r="1115" spans="1:3" x14ac:dyDescent="0.2">
      <c r="A1115" s="37" t="s">
        <v>2016</v>
      </c>
      <c r="B1115">
        <v>7</v>
      </c>
      <c r="C1115">
        <v>20.220000000000002</v>
      </c>
    </row>
    <row r="1116" spans="1:3" x14ac:dyDescent="0.2">
      <c r="A1116" s="37" t="s">
        <v>2016</v>
      </c>
      <c r="B1116">
        <v>8</v>
      </c>
      <c r="C1116">
        <v>19.78</v>
      </c>
    </row>
    <row r="1117" spans="1:3" x14ac:dyDescent="0.2">
      <c r="A1117" s="37" t="s">
        <v>2016</v>
      </c>
      <c r="B1117">
        <v>9</v>
      </c>
      <c r="C1117">
        <v>23.750000000000004</v>
      </c>
    </row>
    <row r="1118" spans="1:3" x14ac:dyDescent="0.2">
      <c r="A1118" s="37" t="s">
        <v>331</v>
      </c>
      <c r="B1118">
        <v>1</v>
      </c>
      <c r="C1118">
        <v>19.100000000000001</v>
      </c>
    </row>
    <row r="1119" spans="1:3" x14ac:dyDescent="0.2">
      <c r="A1119" s="37" t="s">
        <v>331</v>
      </c>
      <c r="B1119">
        <v>10</v>
      </c>
      <c r="C1119">
        <v>4.42</v>
      </c>
    </row>
    <row r="1120" spans="1:3" x14ac:dyDescent="0.2">
      <c r="A1120" s="37" t="s">
        <v>331</v>
      </c>
      <c r="B1120">
        <v>11</v>
      </c>
      <c r="C1120">
        <v>5.41</v>
      </c>
    </row>
    <row r="1121" spans="1:3" x14ac:dyDescent="0.2">
      <c r="A1121" s="37" t="s">
        <v>331</v>
      </c>
      <c r="B1121">
        <v>2</v>
      </c>
      <c r="C1121">
        <v>9.75</v>
      </c>
    </row>
    <row r="1122" spans="1:3" x14ac:dyDescent="0.2">
      <c r="A1122" s="37" t="s">
        <v>331</v>
      </c>
      <c r="B1122">
        <v>3</v>
      </c>
      <c r="C1122">
        <v>7.08</v>
      </c>
    </row>
    <row r="1123" spans="1:3" x14ac:dyDescent="0.2">
      <c r="A1123" s="37" t="s">
        <v>331</v>
      </c>
      <c r="B1123">
        <v>4</v>
      </c>
      <c r="C1123">
        <v>5.8500000000000005</v>
      </c>
    </row>
    <row r="1124" spans="1:3" x14ac:dyDescent="0.2">
      <c r="A1124" s="37" t="s">
        <v>331</v>
      </c>
      <c r="B1124">
        <v>5</v>
      </c>
      <c r="C1124">
        <v>13.11</v>
      </c>
    </row>
    <row r="1125" spans="1:3" x14ac:dyDescent="0.2">
      <c r="A1125" s="37" t="s">
        <v>331</v>
      </c>
      <c r="B1125">
        <v>6</v>
      </c>
      <c r="C1125">
        <v>7.55</v>
      </c>
    </row>
    <row r="1126" spans="1:3" x14ac:dyDescent="0.2">
      <c r="A1126" s="37" t="s">
        <v>331</v>
      </c>
      <c r="B1126">
        <v>7</v>
      </c>
      <c r="C1126">
        <v>8.23</v>
      </c>
    </row>
    <row r="1127" spans="1:3" x14ac:dyDescent="0.2">
      <c r="A1127" s="37" t="s">
        <v>331</v>
      </c>
      <c r="B1127">
        <v>8</v>
      </c>
      <c r="C1127">
        <v>7.31</v>
      </c>
    </row>
    <row r="1128" spans="1:3" x14ac:dyDescent="0.2">
      <c r="A1128" s="37" t="s">
        <v>331</v>
      </c>
      <c r="B1128">
        <v>9</v>
      </c>
      <c r="C1128">
        <v>3.51</v>
      </c>
    </row>
    <row r="1129" spans="1:3" x14ac:dyDescent="0.2">
      <c r="A1129" s="37" t="s">
        <v>2017</v>
      </c>
      <c r="B1129">
        <v>1</v>
      </c>
      <c r="C1129">
        <v>20.090000000000003</v>
      </c>
    </row>
    <row r="1130" spans="1:3" x14ac:dyDescent="0.2">
      <c r="A1130" s="37" t="s">
        <v>2017</v>
      </c>
      <c r="B1130">
        <v>10</v>
      </c>
      <c r="C1130">
        <v>20.48</v>
      </c>
    </row>
    <row r="1131" spans="1:3" x14ac:dyDescent="0.2">
      <c r="A1131" s="37" t="s">
        <v>2017</v>
      </c>
      <c r="B1131">
        <v>11</v>
      </c>
      <c r="C1131">
        <v>17.84</v>
      </c>
    </row>
    <row r="1132" spans="1:3" x14ac:dyDescent="0.2">
      <c r="A1132" s="37" t="s">
        <v>2017</v>
      </c>
      <c r="B1132">
        <v>2</v>
      </c>
      <c r="C1132">
        <v>14.23</v>
      </c>
    </row>
    <row r="1133" spans="1:3" x14ac:dyDescent="0.2">
      <c r="A1133" s="37" t="s">
        <v>2017</v>
      </c>
      <c r="B1133">
        <v>3</v>
      </c>
      <c r="C1133">
        <v>20.53</v>
      </c>
    </row>
    <row r="1134" spans="1:3" x14ac:dyDescent="0.2">
      <c r="A1134" s="37" t="s">
        <v>2017</v>
      </c>
      <c r="B1134">
        <v>4</v>
      </c>
      <c r="C1134">
        <v>13.43</v>
      </c>
    </row>
    <row r="1135" spans="1:3" x14ac:dyDescent="0.2">
      <c r="A1135" s="37" t="s">
        <v>2017</v>
      </c>
      <c r="B1135">
        <v>5</v>
      </c>
      <c r="C1135">
        <v>14.110000000000001</v>
      </c>
    </row>
    <row r="1136" spans="1:3" x14ac:dyDescent="0.2">
      <c r="A1136" s="37" t="s">
        <v>2017</v>
      </c>
      <c r="B1136">
        <v>6</v>
      </c>
      <c r="C1136">
        <v>18.850000000000001</v>
      </c>
    </row>
    <row r="1137" spans="1:3" x14ac:dyDescent="0.2">
      <c r="A1137" s="37" t="s">
        <v>2017</v>
      </c>
      <c r="B1137">
        <v>7</v>
      </c>
      <c r="C1137">
        <v>18.53</v>
      </c>
    </row>
    <row r="1138" spans="1:3" x14ac:dyDescent="0.2">
      <c r="A1138" s="37" t="s">
        <v>2017</v>
      </c>
      <c r="B1138">
        <v>8</v>
      </c>
      <c r="C1138">
        <v>15.86</v>
      </c>
    </row>
    <row r="1139" spans="1:3" x14ac:dyDescent="0.2">
      <c r="A1139" s="37" t="s">
        <v>2017</v>
      </c>
      <c r="B1139">
        <v>9</v>
      </c>
      <c r="C1139">
        <v>12.8</v>
      </c>
    </row>
    <row r="1140" spans="1:3" x14ac:dyDescent="0.2">
      <c r="A1140" s="37" t="s">
        <v>2018</v>
      </c>
      <c r="B1140">
        <v>1</v>
      </c>
      <c r="C1140">
        <v>9.6900000000000013</v>
      </c>
    </row>
    <row r="1141" spans="1:3" x14ac:dyDescent="0.2">
      <c r="A1141" s="37" t="s">
        <v>2018</v>
      </c>
      <c r="B1141">
        <v>10</v>
      </c>
      <c r="C1141">
        <v>11.52</v>
      </c>
    </row>
    <row r="1142" spans="1:3" x14ac:dyDescent="0.2">
      <c r="A1142" s="37" t="s">
        <v>2018</v>
      </c>
      <c r="B1142">
        <v>11</v>
      </c>
      <c r="C1142">
        <v>9.74</v>
      </c>
    </row>
    <row r="1143" spans="1:3" x14ac:dyDescent="0.2">
      <c r="A1143" s="37" t="s">
        <v>2018</v>
      </c>
      <c r="B1143">
        <v>2</v>
      </c>
      <c r="C1143">
        <v>11.87</v>
      </c>
    </row>
    <row r="1144" spans="1:3" x14ac:dyDescent="0.2">
      <c r="A1144" s="37" t="s">
        <v>2018</v>
      </c>
      <c r="B1144">
        <v>3</v>
      </c>
      <c r="C1144">
        <v>11.37</v>
      </c>
    </row>
    <row r="1145" spans="1:3" x14ac:dyDescent="0.2">
      <c r="A1145" s="37" t="s">
        <v>2018</v>
      </c>
      <c r="B1145">
        <v>4</v>
      </c>
      <c r="C1145">
        <v>14.25</v>
      </c>
    </row>
    <row r="1146" spans="1:3" x14ac:dyDescent="0.2">
      <c r="A1146" s="37" t="s">
        <v>2018</v>
      </c>
      <c r="B1146">
        <v>5</v>
      </c>
      <c r="C1146">
        <v>11.169999999999998</v>
      </c>
    </row>
    <row r="1147" spans="1:3" x14ac:dyDescent="0.2">
      <c r="A1147" s="37" t="s">
        <v>2018</v>
      </c>
      <c r="B1147">
        <v>6</v>
      </c>
      <c r="C1147">
        <v>7.93</v>
      </c>
    </row>
    <row r="1148" spans="1:3" x14ac:dyDescent="0.2">
      <c r="A1148" s="37" t="s">
        <v>2018</v>
      </c>
      <c r="B1148">
        <v>7</v>
      </c>
      <c r="C1148">
        <v>10.33</v>
      </c>
    </row>
    <row r="1149" spans="1:3" x14ac:dyDescent="0.2">
      <c r="A1149" s="37" t="s">
        <v>2018</v>
      </c>
      <c r="B1149">
        <v>8</v>
      </c>
      <c r="C1149">
        <v>9.9899999999999984</v>
      </c>
    </row>
    <row r="1150" spans="1:3" x14ac:dyDescent="0.2">
      <c r="A1150" s="37" t="s">
        <v>2018</v>
      </c>
      <c r="B1150">
        <v>9</v>
      </c>
      <c r="C1150">
        <v>6.9799999999999995</v>
      </c>
    </row>
    <row r="1151" spans="1:3" x14ac:dyDescent="0.2">
      <c r="A1151" s="37" t="s">
        <v>2019</v>
      </c>
      <c r="B1151">
        <v>1</v>
      </c>
      <c r="C1151">
        <v>1.34</v>
      </c>
    </row>
    <row r="1152" spans="1:3" x14ac:dyDescent="0.2">
      <c r="A1152" s="37" t="s">
        <v>2019</v>
      </c>
      <c r="B1152">
        <v>10</v>
      </c>
      <c r="C1152">
        <v>5.63</v>
      </c>
    </row>
    <row r="1153" spans="1:3" x14ac:dyDescent="0.2">
      <c r="A1153" s="37" t="s">
        <v>2019</v>
      </c>
      <c r="B1153">
        <v>11</v>
      </c>
      <c r="C1153">
        <v>5.73</v>
      </c>
    </row>
    <row r="1154" spans="1:3" x14ac:dyDescent="0.2">
      <c r="A1154" s="37" t="s">
        <v>2019</v>
      </c>
      <c r="B1154">
        <v>2</v>
      </c>
      <c r="C1154">
        <v>3.1</v>
      </c>
    </row>
    <row r="1155" spans="1:3" x14ac:dyDescent="0.2">
      <c r="A1155" s="37" t="s">
        <v>2019</v>
      </c>
      <c r="B1155">
        <v>3</v>
      </c>
      <c r="C1155">
        <v>10.7</v>
      </c>
    </row>
    <row r="1156" spans="1:3" x14ac:dyDescent="0.2">
      <c r="A1156" s="37" t="s">
        <v>2019</v>
      </c>
      <c r="B1156">
        <v>4</v>
      </c>
      <c r="C1156">
        <v>3.41</v>
      </c>
    </row>
    <row r="1157" spans="1:3" x14ac:dyDescent="0.2">
      <c r="A1157" s="37" t="s">
        <v>2019</v>
      </c>
      <c r="B1157">
        <v>5</v>
      </c>
      <c r="C1157">
        <v>6.18</v>
      </c>
    </row>
    <row r="1158" spans="1:3" x14ac:dyDescent="0.2">
      <c r="A1158" s="37" t="s">
        <v>2019</v>
      </c>
      <c r="B1158">
        <v>6</v>
      </c>
      <c r="C1158">
        <v>13.990000000000002</v>
      </c>
    </row>
    <row r="1159" spans="1:3" x14ac:dyDescent="0.2">
      <c r="A1159" s="37" t="s">
        <v>2019</v>
      </c>
      <c r="B1159">
        <v>7</v>
      </c>
      <c r="C1159">
        <v>3</v>
      </c>
    </row>
    <row r="1160" spans="1:3" x14ac:dyDescent="0.2">
      <c r="A1160" s="37" t="s">
        <v>2019</v>
      </c>
      <c r="B1160">
        <v>8</v>
      </c>
      <c r="C1160">
        <v>5.48</v>
      </c>
    </row>
    <row r="1161" spans="1:3" x14ac:dyDescent="0.2">
      <c r="A1161" s="37" t="s">
        <v>2019</v>
      </c>
      <c r="B1161">
        <v>9</v>
      </c>
      <c r="C1161">
        <v>5.52</v>
      </c>
    </row>
    <row r="1162" spans="1:3" x14ac:dyDescent="0.2">
      <c r="A1162" s="37" t="s">
        <v>2020</v>
      </c>
      <c r="B1162">
        <v>1</v>
      </c>
      <c r="C1162">
        <v>5.0999999999999996</v>
      </c>
    </row>
    <row r="1163" spans="1:3" x14ac:dyDescent="0.2">
      <c r="A1163" s="37" t="s">
        <v>2020</v>
      </c>
      <c r="B1163">
        <v>10</v>
      </c>
      <c r="C1163">
        <v>3.1</v>
      </c>
    </row>
    <row r="1164" spans="1:3" x14ac:dyDescent="0.2">
      <c r="A1164" s="37" t="s">
        <v>2020</v>
      </c>
      <c r="B1164">
        <v>11</v>
      </c>
      <c r="C1164">
        <v>3.28</v>
      </c>
    </row>
    <row r="1165" spans="1:3" x14ac:dyDescent="0.2">
      <c r="A1165" s="37" t="s">
        <v>2020</v>
      </c>
      <c r="B1165">
        <v>2</v>
      </c>
      <c r="C1165">
        <v>5</v>
      </c>
    </row>
    <row r="1166" spans="1:3" x14ac:dyDescent="0.2">
      <c r="A1166" s="37" t="s">
        <v>2020</v>
      </c>
      <c r="B1166">
        <v>3</v>
      </c>
      <c r="C1166">
        <v>3.14</v>
      </c>
    </row>
    <row r="1167" spans="1:3" x14ac:dyDescent="0.2">
      <c r="A1167" s="37" t="s">
        <v>2020</v>
      </c>
      <c r="B1167">
        <v>4</v>
      </c>
      <c r="C1167">
        <v>5.24</v>
      </c>
    </row>
    <row r="1168" spans="1:3" x14ac:dyDescent="0.2">
      <c r="A1168" s="37" t="s">
        <v>2020</v>
      </c>
      <c r="B1168">
        <v>5</v>
      </c>
      <c r="C1168">
        <v>7.8900000000000006</v>
      </c>
    </row>
    <row r="1169" spans="1:3" x14ac:dyDescent="0.2">
      <c r="A1169" s="37" t="s">
        <v>2020</v>
      </c>
      <c r="B1169">
        <v>6</v>
      </c>
      <c r="C1169">
        <v>5.79</v>
      </c>
    </row>
    <row r="1170" spans="1:3" x14ac:dyDescent="0.2">
      <c r="A1170" s="37" t="s">
        <v>2020</v>
      </c>
      <c r="B1170">
        <v>7</v>
      </c>
      <c r="C1170">
        <v>5.51</v>
      </c>
    </row>
    <row r="1171" spans="1:3" x14ac:dyDescent="0.2">
      <c r="A1171" s="37" t="s">
        <v>2020</v>
      </c>
      <c r="B1171">
        <v>8</v>
      </c>
      <c r="C1171">
        <v>5.07</v>
      </c>
    </row>
    <row r="1172" spans="1:3" x14ac:dyDescent="0.2">
      <c r="A1172" s="37" t="s">
        <v>2020</v>
      </c>
      <c r="B1172">
        <v>9</v>
      </c>
      <c r="C1172">
        <v>2.04</v>
      </c>
    </row>
    <row r="1173" spans="1:3" x14ac:dyDescent="0.2">
      <c r="A1173" s="37" t="s">
        <v>333</v>
      </c>
      <c r="B1173">
        <v>1</v>
      </c>
      <c r="C1173">
        <v>22.14</v>
      </c>
    </row>
    <row r="1174" spans="1:3" x14ac:dyDescent="0.2">
      <c r="A1174" s="37" t="s">
        <v>333</v>
      </c>
      <c r="B1174">
        <v>10</v>
      </c>
      <c r="C1174">
        <v>21.259999999999998</v>
      </c>
    </row>
    <row r="1175" spans="1:3" x14ac:dyDescent="0.2">
      <c r="A1175" s="37" t="s">
        <v>333</v>
      </c>
      <c r="B1175">
        <v>11</v>
      </c>
      <c r="C1175">
        <v>17.240000000000002</v>
      </c>
    </row>
    <row r="1176" spans="1:3" x14ac:dyDescent="0.2">
      <c r="A1176" s="37" t="s">
        <v>333</v>
      </c>
      <c r="B1176">
        <v>2</v>
      </c>
      <c r="C1176">
        <v>20.53</v>
      </c>
    </row>
    <row r="1177" spans="1:3" x14ac:dyDescent="0.2">
      <c r="A1177" s="37" t="s">
        <v>333</v>
      </c>
      <c r="B1177">
        <v>3</v>
      </c>
      <c r="C1177">
        <v>21.57</v>
      </c>
    </row>
    <row r="1178" spans="1:3" x14ac:dyDescent="0.2">
      <c r="A1178" s="37" t="s">
        <v>333</v>
      </c>
      <c r="B1178">
        <v>4</v>
      </c>
      <c r="C1178">
        <v>21.23</v>
      </c>
    </row>
    <row r="1179" spans="1:3" x14ac:dyDescent="0.2">
      <c r="A1179" s="37" t="s">
        <v>333</v>
      </c>
      <c r="B1179">
        <v>5</v>
      </c>
      <c r="C1179">
        <v>18.819999999999997</v>
      </c>
    </row>
    <row r="1180" spans="1:3" x14ac:dyDescent="0.2">
      <c r="A1180" s="37" t="s">
        <v>333</v>
      </c>
      <c r="B1180">
        <v>6</v>
      </c>
      <c r="C1180">
        <v>19.21</v>
      </c>
    </row>
    <row r="1181" spans="1:3" x14ac:dyDescent="0.2">
      <c r="A1181" s="37" t="s">
        <v>333</v>
      </c>
      <c r="B1181">
        <v>7</v>
      </c>
      <c r="C1181">
        <v>24.44</v>
      </c>
    </row>
    <row r="1182" spans="1:3" x14ac:dyDescent="0.2">
      <c r="A1182" s="37" t="s">
        <v>333</v>
      </c>
      <c r="B1182">
        <v>8</v>
      </c>
      <c r="C1182">
        <v>17.760000000000002</v>
      </c>
    </row>
    <row r="1183" spans="1:3" x14ac:dyDescent="0.2">
      <c r="A1183" s="37" t="s">
        <v>333</v>
      </c>
      <c r="B1183">
        <v>9</v>
      </c>
      <c r="C1183">
        <v>19.68</v>
      </c>
    </row>
    <row r="1184" spans="1:3" x14ac:dyDescent="0.2">
      <c r="A1184" s="37" t="s">
        <v>2021</v>
      </c>
      <c r="B1184">
        <v>1</v>
      </c>
      <c r="C1184">
        <v>18.77</v>
      </c>
    </row>
    <row r="1185" spans="1:3" x14ac:dyDescent="0.2">
      <c r="A1185" s="37" t="s">
        <v>2021</v>
      </c>
      <c r="B1185">
        <v>10</v>
      </c>
      <c r="C1185">
        <v>22.679999999999996</v>
      </c>
    </row>
    <row r="1186" spans="1:3" x14ac:dyDescent="0.2">
      <c r="A1186" s="37" t="s">
        <v>2021</v>
      </c>
      <c r="B1186">
        <v>11</v>
      </c>
      <c r="C1186">
        <v>17.39</v>
      </c>
    </row>
    <row r="1187" spans="1:3" x14ac:dyDescent="0.2">
      <c r="A1187" s="37" t="s">
        <v>2021</v>
      </c>
      <c r="B1187">
        <v>2</v>
      </c>
      <c r="C1187">
        <v>21.520000000000003</v>
      </c>
    </row>
    <row r="1188" spans="1:3" x14ac:dyDescent="0.2">
      <c r="A1188" s="37" t="s">
        <v>2021</v>
      </c>
      <c r="B1188">
        <v>3</v>
      </c>
      <c r="C1188">
        <v>23.91</v>
      </c>
    </row>
    <row r="1189" spans="1:3" x14ac:dyDescent="0.2">
      <c r="A1189" s="37" t="s">
        <v>2021</v>
      </c>
      <c r="B1189">
        <v>4</v>
      </c>
      <c r="C1189">
        <v>28.189999999999998</v>
      </c>
    </row>
    <row r="1190" spans="1:3" x14ac:dyDescent="0.2">
      <c r="A1190" s="37" t="s">
        <v>2021</v>
      </c>
      <c r="B1190">
        <v>5</v>
      </c>
      <c r="C1190">
        <v>24.04</v>
      </c>
    </row>
    <row r="1191" spans="1:3" x14ac:dyDescent="0.2">
      <c r="A1191" s="37" t="s">
        <v>2021</v>
      </c>
      <c r="B1191">
        <v>6</v>
      </c>
      <c r="C1191">
        <v>16.05</v>
      </c>
    </row>
    <row r="1192" spans="1:3" x14ac:dyDescent="0.2">
      <c r="A1192" s="37" t="s">
        <v>2021</v>
      </c>
      <c r="B1192">
        <v>7</v>
      </c>
      <c r="C1192">
        <v>20.95</v>
      </c>
    </row>
    <row r="1193" spans="1:3" x14ac:dyDescent="0.2">
      <c r="A1193" s="37" t="s">
        <v>2021</v>
      </c>
      <c r="B1193">
        <v>8</v>
      </c>
      <c r="C1193">
        <v>17.649999999999999</v>
      </c>
    </row>
    <row r="1194" spans="1:3" x14ac:dyDescent="0.2">
      <c r="A1194" s="37" t="s">
        <v>2021</v>
      </c>
      <c r="B1194">
        <v>9</v>
      </c>
      <c r="C1194">
        <v>19.939999999999998</v>
      </c>
    </row>
    <row r="1195" spans="1:3" x14ac:dyDescent="0.2">
      <c r="A1195" s="37" t="s">
        <v>423</v>
      </c>
      <c r="B1195">
        <v>1</v>
      </c>
      <c r="C1195">
        <v>17.59</v>
      </c>
    </row>
    <row r="1196" spans="1:3" x14ac:dyDescent="0.2">
      <c r="A1196" s="37" t="s">
        <v>423</v>
      </c>
      <c r="B1196">
        <v>10</v>
      </c>
      <c r="C1196">
        <v>12.64</v>
      </c>
    </row>
    <row r="1197" spans="1:3" x14ac:dyDescent="0.2">
      <c r="A1197" s="37" t="s">
        <v>423</v>
      </c>
      <c r="B1197">
        <v>11</v>
      </c>
      <c r="C1197">
        <v>11.74</v>
      </c>
    </row>
    <row r="1198" spans="1:3" x14ac:dyDescent="0.2">
      <c r="A1198" s="37" t="s">
        <v>423</v>
      </c>
      <c r="B1198">
        <v>2</v>
      </c>
      <c r="C1198">
        <v>16.38</v>
      </c>
    </row>
    <row r="1199" spans="1:3" x14ac:dyDescent="0.2">
      <c r="A1199" s="37" t="s">
        <v>423</v>
      </c>
      <c r="B1199">
        <v>3</v>
      </c>
      <c r="C1199">
        <v>16.850000000000001</v>
      </c>
    </row>
    <row r="1200" spans="1:3" x14ac:dyDescent="0.2">
      <c r="A1200" s="37" t="s">
        <v>423</v>
      </c>
      <c r="B1200">
        <v>4</v>
      </c>
      <c r="C1200">
        <v>19.93</v>
      </c>
    </row>
    <row r="1201" spans="1:3" x14ac:dyDescent="0.2">
      <c r="A1201" s="37" t="s">
        <v>423</v>
      </c>
      <c r="B1201">
        <v>5</v>
      </c>
      <c r="C1201">
        <v>11.32</v>
      </c>
    </row>
    <row r="1202" spans="1:3" x14ac:dyDescent="0.2">
      <c r="A1202" s="37" t="s">
        <v>423</v>
      </c>
      <c r="B1202">
        <v>6</v>
      </c>
      <c r="C1202">
        <v>8.4600000000000009</v>
      </c>
    </row>
    <row r="1203" spans="1:3" x14ac:dyDescent="0.2">
      <c r="A1203" s="37" t="s">
        <v>423</v>
      </c>
      <c r="B1203">
        <v>7</v>
      </c>
      <c r="C1203">
        <v>12.5</v>
      </c>
    </row>
    <row r="1204" spans="1:3" x14ac:dyDescent="0.2">
      <c r="A1204" s="37" t="s">
        <v>423</v>
      </c>
      <c r="B1204">
        <v>8</v>
      </c>
      <c r="C1204">
        <v>11.54</v>
      </c>
    </row>
    <row r="1205" spans="1:3" x14ac:dyDescent="0.2">
      <c r="A1205" s="37" t="s">
        <v>423</v>
      </c>
      <c r="B1205">
        <v>9</v>
      </c>
      <c r="C1205">
        <v>10.129999999999999</v>
      </c>
    </row>
    <row r="1206" spans="1:3" x14ac:dyDescent="0.2">
      <c r="A1206" s="37" t="s">
        <v>522</v>
      </c>
      <c r="B1206">
        <v>1</v>
      </c>
      <c r="C1206">
        <v>8.34</v>
      </c>
    </row>
    <row r="1207" spans="1:3" x14ac:dyDescent="0.2">
      <c r="A1207" s="37" t="s">
        <v>522</v>
      </c>
      <c r="B1207">
        <v>10</v>
      </c>
      <c r="C1207">
        <v>8.89</v>
      </c>
    </row>
    <row r="1208" spans="1:3" x14ac:dyDescent="0.2">
      <c r="A1208" s="37" t="s">
        <v>522</v>
      </c>
      <c r="B1208">
        <v>11</v>
      </c>
      <c r="C1208">
        <v>8.1700000000000017</v>
      </c>
    </row>
    <row r="1209" spans="1:3" x14ac:dyDescent="0.2">
      <c r="A1209" s="37" t="s">
        <v>522</v>
      </c>
      <c r="B1209">
        <v>2</v>
      </c>
      <c r="C1209">
        <v>13.190000000000001</v>
      </c>
    </row>
    <row r="1210" spans="1:3" x14ac:dyDescent="0.2">
      <c r="A1210" s="37" t="s">
        <v>522</v>
      </c>
      <c r="B1210">
        <v>3</v>
      </c>
      <c r="C1210">
        <v>9.3800000000000008</v>
      </c>
    </row>
    <row r="1211" spans="1:3" x14ac:dyDescent="0.2">
      <c r="A1211" s="37" t="s">
        <v>522</v>
      </c>
      <c r="B1211">
        <v>4</v>
      </c>
      <c r="C1211">
        <v>9.6300000000000008</v>
      </c>
    </row>
    <row r="1212" spans="1:3" x14ac:dyDescent="0.2">
      <c r="A1212" s="37" t="s">
        <v>522</v>
      </c>
      <c r="B1212">
        <v>5</v>
      </c>
      <c r="C1212">
        <v>8.67</v>
      </c>
    </row>
    <row r="1213" spans="1:3" x14ac:dyDescent="0.2">
      <c r="A1213" s="37" t="s">
        <v>522</v>
      </c>
      <c r="B1213">
        <v>6</v>
      </c>
      <c r="C1213">
        <v>8.98</v>
      </c>
    </row>
    <row r="1214" spans="1:3" x14ac:dyDescent="0.2">
      <c r="A1214" s="37" t="s">
        <v>522</v>
      </c>
      <c r="B1214">
        <v>7</v>
      </c>
      <c r="C1214">
        <v>9.4</v>
      </c>
    </row>
    <row r="1215" spans="1:3" x14ac:dyDescent="0.2">
      <c r="A1215" s="37" t="s">
        <v>522</v>
      </c>
      <c r="B1215">
        <v>8</v>
      </c>
      <c r="C1215">
        <v>7.0299999999999994</v>
      </c>
    </row>
    <row r="1216" spans="1:3" x14ac:dyDescent="0.2">
      <c r="A1216" s="37" t="s">
        <v>522</v>
      </c>
      <c r="B1216">
        <v>9</v>
      </c>
      <c r="C1216">
        <v>8.0300000000000011</v>
      </c>
    </row>
    <row r="1217" spans="1:3" x14ac:dyDescent="0.2">
      <c r="A1217" s="37" t="s">
        <v>2022</v>
      </c>
      <c r="B1217">
        <v>1</v>
      </c>
      <c r="C1217">
        <v>14.47</v>
      </c>
    </row>
    <row r="1218" spans="1:3" x14ac:dyDescent="0.2">
      <c r="A1218" s="37" t="s">
        <v>2022</v>
      </c>
      <c r="B1218">
        <v>10</v>
      </c>
      <c r="C1218">
        <v>11.93</v>
      </c>
    </row>
    <row r="1219" spans="1:3" x14ac:dyDescent="0.2">
      <c r="A1219" s="37" t="s">
        <v>2022</v>
      </c>
      <c r="B1219">
        <v>11</v>
      </c>
      <c r="C1219">
        <v>13.129999999999999</v>
      </c>
    </row>
    <row r="1220" spans="1:3" x14ac:dyDescent="0.2">
      <c r="A1220" s="37" t="s">
        <v>2022</v>
      </c>
      <c r="B1220">
        <v>2</v>
      </c>
      <c r="C1220">
        <v>7.13</v>
      </c>
    </row>
    <row r="1221" spans="1:3" x14ac:dyDescent="0.2">
      <c r="A1221" s="37" t="s">
        <v>2022</v>
      </c>
      <c r="B1221">
        <v>3</v>
      </c>
      <c r="C1221">
        <v>13.850000000000001</v>
      </c>
    </row>
    <row r="1222" spans="1:3" x14ac:dyDescent="0.2">
      <c r="A1222" s="37" t="s">
        <v>2022</v>
      </c>
      <c r="B1222">
        <v>4</v>
      </c>
      <c r="C1222">
        <v>8.9600000000000009</v>
      </c>
    </row>
    <row r="1223" spans="1:3" x14ac:dyDescent="0.2">
      <c r="A1223" s="37" t="s">
        <v>2022</v>
      </c>
      <c r="B1223">
        <v>5</v>
      </c>
      <c r="C1223">
        <v>12.18</v>
      </c>
    </row>
    <row r="1224" spans="1:3" x14ac:dyDescent="0.2">
      <c r="A1224" s="37" t="s">
        <v>2022</v>
      </c>
      <c r="B1224">
        <v>6</v>
      </c>
      <c r="C1224">
        <v>10.44</v>
      </c>
    </row>
    <row r="1225" spans="1:3" x14ac:dyDescent="0.2">
      <c r="A1225" s="37" t="s">
        <v>2022</v>
      </c>
      <c r="B1225">
        <v>7</v>
      </c>
      <c r="C1225">
        <v>10.64</v>
      </c>
    </row>
    <row r="1226" spans="1:3" x14ac:dyDescent="0.2">
      <c r="A1226" s="37" t="s">
        <v>2022</v>
      </c>
      <c r="B1226">
        <v>8</v>
      </c>
      <c r="C1226">
        <v>18.25</v>
      </c>
    </row>
    <row r="1227" spans="1:3" x14ac:dyDescent="0.2">
      <c r="A1227" s="37" t="s">
        <v>2022</v>
      </c>
      <c r="B1227">
        <v>9</v>
      </c>
      <c r="C1227">
        <v>14.11</v>
      </c>
    </row>
    <row r="1228" spans="1:3" x14ac:dyDescent="0.2">
      <c r="A1228" s="37" t="s">
        <v>2023</v>
      </c>
      <c r="B1228">
        <v>1</v>
      </c>
      <c r="C1228">
        <v>19.690000000000005</v>
      </c>
    </row>
    <row r="1229" spans="1:3" x14ac:dyDescent="0.2">
      <c r="A1229" s="37" t="s">
        <v>2023</v>
      </c>
      <c r="B1229">
        <v>10</v>
      </c>
      <c r="C1229">
        <v>26.459999999999997</v>
      </c>
    </row>
    <row r="1230" spans="1:3" x14ac:dyDescent="0.2">
      <c r="A1230" s="37" t="s">
        <v>2023</v>
      </c>
      <c r="B1230">
        <v>11</v>
      </c>
      <c r="C1230">
        <v>20.96</v>
      </c>
    </row>
    <row r="1231" spans="1:3" x14ac:dyDescent="0.2">
      <c r="A1231" s="37" t="s">
        <v>2023</v>
      </c>
      <c r="B1231">
        <v>2</v>
      </c>
      <c r="C1231">
        <v>21.37</v>
      </c>
    </row>
    <row r="1232" spans="1:3" x14ac:dyDescent="0.2">
      <c r="A1232" s="37" t="s">
        <v>2023</v>
      </c>
      <c r="B1232">
        <v>3</v>
      </c>
      <c r="C1232">
        <v>23.62</v>
      </c>
    </row>
    <row r="1233" spans="1:3" x14ac:dyDescent="0.2">
      <c r="A1233" s="37" t="s">
        <v>2023</v>
      </c>
      <c r="B1233">
        <v>4</v>
      </c>
      <c r="C1233">
        <v>22.01</v>
      </c>
    </row>
    <row r="1234" spans="1:3" x14ac:dyDescent="0.2">
      <c r="A1234" s="37" t="s">
        <v>2023</v>
      </c>
      <c r="B1234">
        <v>5</v>
      </c>
      <c r="C1234">
        <v>24.200000000000003</v>
      </c>
    </row>
    <row r="1235" spans="1:3" x14ac:dyDescent="0.2">
      <c r="A1235" s="37" t="s">
        <v>2023</v>
      </c>
      <c r="B1235">
        <v>6</v>
      </c>
      <c r="C1235">
        <v>25.619999999999997</v>
      </c>
    </row>
    <row r="1236" spans="1:3" x14ac:dyDescent="0.2">
      <c r="A1236" s="37" t="s">
        <v>2023</v>
      </c>
      <c r="B1236">
        <v>7</v>
      </c>
      <c r="C1236">
        <v>27.740000000000002</v>
      </c>
    </row>
    <row r="1237" spans="1:3" x14ac:dyDescent="0.2">
      <c r="A1237" s="37" t="s">
        <v>2023</v>
      </c>
      <c r="B1237">
        <v>8</v>
      </c>
      <c r="C1237">
        <v>24.91</v>
      </c>
    </row>
    <row r="1238" spans="1:3" x14ac:dyDescent="0.2">
      <c r="A1238" s="37" t="s">
        <v>2023</v>
      </c>
      <c r="B1238">
        <v>9</v>
      </c>
      <c r="C1238">
        <v>23.54</v>
      </c>
    </row>
    <row r="1239" spans="1:3" x14ac:dyDescent="0.2">
      <c r="A1239" s="37" t="s">
        <v>2024</v>
      </c>
      <c r="B1239">
        <v>1</v>
      </c>
      <c r="C1239">
        <v>16.61</v>
      </c>
    </row>
    <row r="1240" spans="1:3" x14ac:dyDescent="0.2">
      <c r="A1240" s="37" t="s">
        <v>2024</v>
      </c>
      <c r="B1240">
        <v>10</v>
      </c>
      <c r="C1240">
        <v>18.16</v>
      </c>
    </row>
    <row r="1241" spans="1:3" x14ac:dyDescent="0.2">
      <c r="A1241" s="37" t="s">
        <v>2024</v>
      </c>
      <c r="B1241">
        <v>11</v>
      </c>
      <c r="C1241">
        <v>19.490000000000002</v>
      </c>
    </row>
    <row r="1242" spans="1:3" x14ac:dyDescent="0.2">
      <c r="A1242" s="37" t="s">
        <v>2024</v>
      </c>
      <c r="B1242">
        <v>2</v>
      </c>
      <c r="C1242">
        <v>19.5</v>
      </c>
    </row>
    <row r="1243" spans="1:3" x14ac:dyDescent="0.2">
      <c r="A1243" s="37" t="s">
        <v>2024</v>
      </c>
      <c r="B1243">
        <v>3</v>
      </c>
      <c r="C1243">
        <v>17.29</v>
      </c>
    </row>
    <row r="1244" spans="1:3" x14ac:dyDescent="0.2">
      <c r="A1244" s="37" t="s">
        <v>2024</v>
      </c>
      <c r="B1244">
        <v>4</v>
      </c>
      <c r="C1244">
        <v>21.93</v>
      </c>
    </row>
    <row r="1245" spans="1:3" x14ac:dyDescent="0.2">
      <c r="A1245" s="37" t="s">
        <v>2024</v>
      </c>
      <c r="B1245">
        <v>5</v>
      </c>
      <c r="C1245">
        <v>21.640000000000004</v>
      </c>
    </row>
    <row r="1246" spans="1:3" x14ac:dyDescent="0.2">
      <c r="A1246" s="37" t="s">
        <v>2024</v>
      </c>
      <c r="B1246">
        <v>6</v>
      </c>
      <c r="C1246">
        <v>19.569999999999997</v>
      </c>
    </row>
    <row r="1247" spans="1:3" x14ac:dyDescent="0.2">
      <c r="A1247" s="37" t="s">
        <v>2024</v>
      </c>
      <c r="B1247">
        <v>7</v>
      </c>
      <c r="C1247">
        <v>17.75</v>
      </c>
    </row>
    <row r="1248" spans="1:3" x14ac:dyDescent="0.2">
      <c r="A1248" s="37" t="s">
        <v>2024</v>
      </c>
      <c r="B1248">
        <v>8</v>
      </c>
      <c r="C1248">
        <v>19.910000000000004</v>
      </c>
    </row>
    <row r="1249" spans="1:3" x14ac:dyDescent="0.2">
      <c r="A1249" s="37" t="s">
        <v>2024</v>
      </c>
      <c r="B1249">
        <v>9</v>
      </c>
      <c r="C1249">
        <v>17.100000000000001</v>
      </c>
    </row>
    <row r="1250" spans="1:3" x14ac:dyDescent="0.2">
      <c r="A1250" s="37" t="s">
        <v>517</v>
      </c>
      <c r="B1250">
        <v>1</v>
      </c>
      <c r="C1250">
        <v>21.86</v>
      </c>
    </row>
    <row r="1251" spans="1:3" x14ac:dyDescent="0.2">
      <c r="A1251" s="37" t="s">
        <v>517</v>
      </c>
      <c r="B1251">
        <v>10</v>
      </c>
      <c r="C1251">
        <v>16.32</v>
      </c>
    </row>
    <row r="1252" spans="1:3" x14ac:dyDescent="0.2">
      <c r="A1252" s="37" t="s">
        <v>517</v>
      </c>
      <c r="B1252">
        <v>11</v>
      </c>
      <c r="C1252">
        <v>17.690000000000001</v>
      </c>
    </row>
    <row r="1253" spans="1:3" x14ac:dyDescent="0.2">
      <c r="A1253" s="37" t="s">
        <v>517</v>
      </c>
      <c r="B1253">
        <v>2</v>
      </c>
      <c r="C1253">
        <v>13.549999999999999</v>
      </c>
    </row>
    <row r="1254" spans="1:3" x14ac:dyDescent="0.2">
      <c r="A1254" s="37" t="s">
        <v>517</v>
      </c>
      <c r="B1254">
        <v>3</v>
      </c>
      <c r="C1254">
        <v>23.39</v>
      </c>
    </row>
    <row r="1255" spans="1:3" x14ac:dyDescent="0.2">
      <c r="A1255" s="37" t="s">
        <v>517</v>
      </c>
      <c r="B1255">
        <v>4</v>
      </c>
      <c r="C1255">
        <v>20.36</v>
      </c>
    </row>
    <row r="1256" spans="1:3" x14ac:dyDescent="0.2">
      <c r="A1256" s="37" t="s">
        <v>517</v>
      </c>
      <c r="B1256">
        <v>5</v>
      </c>
      <c r="C1256">
        <v>18.21</v>
      </c>
    </row>
    <row r="1257" spans="1:3" x14ac:dyDescent="0.2">
      <c r="A1257" s="37" t="s">
        <v>517</v>
      </c>
      <c r="B1257">
        <v>6</v>
      </c>
      <c r="C1257">
        <v>19.72</v>
      </c>
    </row>
    <row r="1258" spans="1:3" x14ac:dyDescent="0.2">
      <c r="A1258" s="37" t="s">
        <v>517</v>
      </c>
      <c r="B1258">
        <v>7</v>
      </c>
      <c r="C1258">
        <v>21.73</v>
      </c>
    </row>
    <row r="1259" spans="1:3" x14ac:dyDescent="0.2">
      <c r="A1259" s="37" t="s">
        <v>517</v>
      </c>
      <c r="B1259">
        <v>8</v>
      </c>
      <c r="C1259">
        <v>19.610000000000003</v>
      </c>
    </row>
    <row r="1260" spans="1:3" x14ac:dyDescent="0.2">
      <c r="A1260" s="37" t="s">
        <v>517</v>
      </c>
      <c r="B1260">
        <v>9</v>
      </c>
      <c r="C1260">
        <v>19.04</v>
      </c>
    </row>
    <row r="1261" spans="1:3" x14ac:dyDescent="0.2">
      <c r="A1261" s="37" t="s">
        <v>2025</v>
      </c>
      <c r="B1261">
        <v>1</v>
      </c>
      <c r="C1261">
        <v>9.2199999999999989</v>
      </c>
    </row>
    <row r="1262" spans="1:3" x14ac:dyDescent="0.2">
      <c r="A1262" s="37" t="s">
        <v>2025</v>
      </c>
      <c r="B1262">
        <v>10</v>
      </c>
      <c r="C1262">
        <v>7.53</v>
      </c>
    </row>
    <row r="1263" spans="1:3" x14ac:dyDescent="0.2">
      <c r="A1263" s="37" t="s">
        <v>2025</v>
      </c>
      <c r="B1263">
        <v>11</v>
      </c>
      <c r="C1263">
        <v>6.2299999999999995</v>
      </c>
    </row>
    <row r="1264" spans="1:3" x14ac:dyDescent="0.2">
      <c r="A1264" s="37" t="s">
        <v>2025</v>
      </c>
      <c r="B1264">
        <v>2</v>
      </c>
      <c r="C1264">
        <v>7.88</v>
      </c>
    </row>
    <row r="1265" spans="1:3" x14ac:dyDescent="0.2">
      <c r="A1265" s="37" t="s">
        <v>2025</v>
      </c>
      <c r="B1265">
        <v>3</v>
      </c>
      <c r="C1265">
        <v>8.31</v>
      </c>
    </row>
    <row r="1266" spans="1:3" x14ac:dyDescent="0.2">
      <c r="A1266" s="37" t="s">
        <v>2025</v>
      </c>
      <c r="B1266">
        <v>4</v>
      </c>
      <c r="C1266">
        <v>10.870000000000001</v>
      </c>
    </row>
    <row r="1267" spans="1:3" x14ac:dyDescent="0.2">
      <c r="A1267" s="37" t="s">
        <v>2025</v>
      </c>
      <c r="B1267">
        <v>5</v>
      </c>
      <c r="C1267">
        <v>11.35</v>
      </c>
    </row>
    <row r="1268" spans="1:3" x14ac:dyDescent="0.2">
      <c r="A1268" s="37" t="s">
        <v>2025</v>
      </c>
      <c r="B1268">
        <v>6</v>
      </c>
      <c r="C1268">
        <v>9.120000000000001</v>
      </c>
    </row>
    <row r="1269" spans="1:3" x14ac:dyDescent="0.2">
      <c r="A1269" s="37" t="s">
        <v>2025</v>
      </c>
      <c r="B1269">
        <v>7</v>
      </c>
      <c r="C1269">
        <v>5.9399999999999995</v>
      </c>
    </row>
    <row r="1270" spans="1:3" x14ac:dyDescent="0.2">
      <c r="A1270" s="37" t="s">
        <v>2025</v>
      </c>
      <c r="B1270">
        <v>8</v>
      </c>
      <c r="C1270">
        <v>5.69</v>
      </c>
    </row>
    <row r="1271" spans="1:3" x14ac:dyDescent="0.2">
      <c r="A1271" s="37" t="s">
        <v>2025</v>
      </c>
      <c r="B1271">
        <v>9</v>
      </c>
      <c r="C1271">
        <v>8.3000000000000007</v>
      </c>
    </row>
    <row r="1272" spans="1:3" x14ac:dyDescent="0.2">
      <c r="A1272" s="37" t="s">
        <v>2026</v>
      </c>
      <c r="B1272">
        <v>1</v>
      </c>
      <c r="C1272">
        <v>17.78</v>
      </c>
    </row>
    <row r="1273" spans="1:3" x14ac:dyDescent="0.2">
      <c r="A1273" s="37" t="s">
        <v>2026</v>
      </c>
      <c r="B1273">
        <v>10</v>
      </c>
      <c r="C1273">
        <v>12.830000000000002</v>
      </c>
    </row>
    <row r="1274" spans="1:3" x14ac:dyDescent="0.2">
      <c r="A1274" s="37" t="s">
        <v>2026</v>
      </c>
      <c r="B1274">
        <v>11</v>
      </c>
      <c r="C1274">
        <v>12.53</v>
      </c>
    </row>
    <row r="1275" spans="1:3" x14ac:dyDescent="0.2">
      <c r="A1275" s="37" t="s">
        <v>2026</v>
      </c>
      <c r="B1275">
        <v>2</v>
      </c>
      <c r="C1275">
        <v>21.060000000000002</v>
      </c>
    </row>
    <row r="1276" spans="1:3" x14ac:dyDescent="0.2">
      <c r="A1276" s="37" t="s">
        <v>2026</v>
      </c>
      <c r="B1276">
        <v>3</v>
      </c>
      <c r="C1276">
        <v>16.600000000000001</v>
      </c>
    </row>
    <row r="1277" spans="1:3" x14ac:dyDescent="0.2">
      <c r="A1277" s="37" t="s">
        <v>2026</v>
      </c>
      <c r="B1277">
        <v>4</v>
      </c>
      <c r="C1277">
        <v>31.509999999999998</v>
      </c>
    </row>
    <row r="1278" spans="1:3" x14ac:dyDescent="0.2">
      <c r="A1278" s="37" t="s">
        <v>2026</v>
      </c>
      <c r="B1278">
        <v>5</v>
      </c>
      <c r="C1278">
        <v>21.43</v>
      </c>
    </row>
    <row r="1279" spans="1:3" x14ac:dyDescent="0.2">
      <c r="A1279" s="37" t="s">
        <v>2026</v>
      </c>
      <c r="B1279">
        <v>6</v>
      </c>
      <c r="C1279">
        <v>16.600000000000001</v>
      </c>
    </row>
    <row r="1280" spans="1:3" x14ac:dyDescent="0.2">
      <c r="A1280" s="37" t="s">
        <v>2026</v>
      </c>
      <c r="B1280">
        <v>7</v>
      </c>
      <c r="C1280">
        <v>16.57</v>
      </c>
    </row>
    <row r="1281" spans="1:3" x14ac:dyDescent="0.2">
      <c r="A1281" s="37" t="s">
        <v>2026</v>
      </c>
      <c r="B1281">
        <v>8</v>
      </c>
      <c r="C1281">
        <v>10.870000000000001</v>
      </c>
    </row>
    <row r="1282" spans="1:3" x14ac:dyDescent="0.2">
      <c r="A1282" s="37" t="s">
        <v>2026</v>
      </c>
      <c r="B1282">
        <v>9</v>
      </c>
      <c r="C1282">
        <v>11.979999999999999</v>
      </c>
    </row>
    <row r="1283" spans="1:3" x14ac:dyDescent="0.2">
      <c r="A1283" s="37" t="s">
        <v>2027</v>
      </c>
      <c r="B1283">
        <v>1</v>
      </c>
      <c r="C1283">
        <v>12.68</v>
      </c>
    </row>
    <row r="1284" spans="1:3" x14ac:dyDescent="0.2">
      <c r="A1284" s="37" t="s">
        <v>2027</v>
      </c>
      <c r="B1284">
        <v>10</v>
      </c>
      <c r="C1284">
        <v>18.29</v>
      </c>
    </row>
    <row r="1285" spans="1:3" x14ac:dyDescent="0.2">
      <c r="A1285" s="37" t="s">
        <v>2027</v>
      </c>
      <c r="B1285">
        <v>11</v>
      </c>
      <c r="C1285">
        <v>12.39</v>
      </c>
    </row>
    <row r="1286" spans="1:3" x14ac:dyDescent="0.2">
      <c r="A1286" s="37" t="s">
        <v>2027</v>
      </c>
      <c r="B1286">
        <v>2</v>
      </c>
      <c r="C1286">
        <v>15.34</v>
      </c>
    </row>
    <row r="1287" spans="1:3" x14ac:dyDescent="0.2">
      <c r="A1287" s="37" t="s">
        <v>2027</v>
      </c>
      <c r="B1287">
        <v>3</v>
      </c>
      <c r="C1287">
        <v>18.979999999999997</v>
      </c>
    </row>
    <row r="1288" spans="1:3" x14ac:dyDescent="0.2">
      <c r="A1288" s="37" t="s">
        <v>2027</v>
      </c>
      <c r="B1288">
        <v>4</v>
      </c>
      <c r="C1288">
        <v>15.07</v>
      </c>
    </row>
    <row r="1289" spans="1:3" x14ac:dyDescent="0.2">
      <c r="A1289" s="37" t="s">
        <v>2027</v>
      </c>
      <c r="B1289">
        <v>5</v>
      </c>
      <c r="C1289">
        <v>23.35</v>
      </c>
    </row>
    <row r="1290" spans="1:3" x14ac:dyDescent="0.2">
      <c r="A1290" s="37" t="s">
        <v>2027</v>
      </c>
      <c r="B1290">
        <v>6</v>
      </c>
      <c r="C1290">
        <v>11.87</v>
      </c>
    </row>
    <row r="1291" spans="1:3" x14ac:dyDescent="0.2">
      <c r="A1291" s="37" t="s">
        <v>2027</v>
      </c>
      <c r="B1291">
        <v>7</v>
      </c>
      <c r="C1291">
        <v>16.310000000000002</v>
      </c>
    </row>
    <row r="1292" spans="1:3" x14ac:dyDescent="0.2">
      <c r="A1292" s="37" t="s">
        <v>2027</v>
      </c>
      <c r="B1292">
        <v>8</v>
      </c>
      <c r="C1292">
        <v>2.2799999999999998</v>
      </c>
    </row>
    <row r="1293" spans="1:3" x14ac:dyDescent="0.2">
      <c r="A1293" s="37" t="s">
        <v>2027</v>
      </c>
      <c r="B1293">
        <v>9</v>
      </c>
      <c r="C1293">
        <v>15.120000000000001</v>
      </c>
    </row>
    <row r="1294" spans="1:3" x14ac:dyDescent="0.2">
      <c r="A1294" s="37" t="s">
        <v>371</v>
      </c>
      <c r="B1294">
        <v>1</v>
      </c>
      <c r="C1294">
        <v>35.770000000000003</v>
      </c>
    </row>
    <row r="1295" spans="1:3" x14ac:dyDescent="0.2">
      <c r="A1295" s="37" t="s">
        <v>371</v>
      </c>
      <c r="B1295">
        <v>10</v>
      </c>
      <c r="C1295">
        <v>19.839999999999996</v>
      </c>
    </row>
    <row r="1296" spans="1:3" x14ac:dyDescent="0.2">
      <c r="A1296" s="37" t="s">
        <v>371</v>
      </c>
      <c r="B1296">
        <v>11</v>
      </c>
      <c r="C1296">
        <v>16.169999999999998</v>
      </c>
    </row>
    <row r="1297" spans="1:3" x14ac:dyDescent="0.2">
      <c r="A1297" s="37" t="s">
        <v>371</v>
      </c>
      <c r="B1297">
        <v>2</v>
      </c>
      <c r="C1297">
        <v>37.940000000000005</v>
      </c>
    </row>
    <row r="1298" spans="1:3" x14ac:dyDescent="0.2">
      <c r="A1298" s="37" t="s">
        <v>371</v>
      </c>
      <c r="B1298">
        <v>3</v>
      </c>
      <c r="C1298">
        <v>40.72</v>
      </c>
    </row>
    <row r="1299" spans="1:3" x14ac:dyDescent="0.2">
      <c r="A1299" s="37" t="s">
        <v>371</v>
      </c>
      <c r="B1299">
        <v>4</v>
      </c>
      <c r="C1299">
        <v>30.369999999999997</v>
      </c>
    </row>
    <row r="1300" spans="1:3" x14ac:dyDescent="0.2">
      <c r="A1300" s="37" t="s">
        <v>371</v>
      </c>
      <c r="B1300">
        <v>5</v>
      </c>
      <c r="C1300">
        <v>24.419999999999998</v>
      </c>
    </row>
    <row r="1301" spans="1:3" x14ac:dyDescent="0.2">
      <c r="A1301" s="37" t="s">
        <v>371</v>
      </c>
      <c r="B1301">
        <v>6</v>
      </c>
      <c r="C1301">
        <v>28.130000000000003</v>
      </c>
    </row>
    <row r="1302" spans="1:3" x14ac:dyDescent="0.2">
      <c r="A1302" s="37" t="s">
        <v>371</v>
      </c>
      <c r="B1302">
        <v>7</v>
      </c>
      <c r="C1302">
        <v>27.569999999999997</v>
      </c>
    </row>
    <row r="1303" spans="1:3" x14ac:dyDescent="0.2">
      <c r="A1303" s="37" t="s">
        <v>371</v>
      </c>
      <c r="B1303">
        <v>8</v>
      </c>
      <c r="C1303">
        <v>28</v>
      </c>
    </row>
    <row r="1304" spans="1:3" x14ac:dyDescent="0.2">
      <c r="A1304" s="37" t="s">
        <v>371</v>
      </c>
      <c r="B1304">
        <v>9</v>
      </c>
      <c r="C1304">
        <v>19.27</v>
      </c>
    </row>
    <row r="1305" spans="1:3" x14ac:dyDescent="0.2">
      <c r="A1305" s="37" t="s">
        <v>2028</v>
      </c>
      <c r="B1305">
        <v>1</v>
      </c>
      <c r="C1305">
        <v>7.7799999999999994</v>
      </c>
    </row>
    <row r="1306" spans="1:3" x14ac:dyDescent="0.2">
      <c r="A1306" s="37" t="s">
        <v>2028</v>
      </c>
      <c r="B1306">
        <v>10</v>
      </c>
      <c r="C1306">
        <v>6.1499999999999995</v>
      </c>
    </row>
    <row r="1307" spans="1:3" x14ac:dyDescent="0.2">
      <c r="A1307" s="37" t="s">
        <v>2028</v>
      </c>
      <c r="B1307">
        <v>11</v>
      </c>
      <c r="C1307">
        <v>8.24</v>
      </c>
    </row>
    <row r="1308" spans="1:3" x14ac:dyDescent="0.2">
      <c r="A1308" s="37" t="s">
        <v>2028</v>
      </c>
      <c r="B1308">
        <v>2</v>
      </c>
      <c r="C1308">
        <v>10.509999999999998</v>
      </c>
    </row>
    <row r="1309" spans="1:3" x14ac:dyDescent="0.2">
      <c r="A1309" s="37" t="s">
        <v>2028</v>
      </c>
      <c r="B1309">
        <v>3</v>
      </c>
      <c r="C1309">
        <v>14.009999999999998</v>
      </c>
    </row>
    <row r="1310" spans="1:3" x14ac:dyDescent="0.2">
      <c r="A1310" s="37" t="s">
        <v>2028</v>
      </c>
      <c r="B1310">
        <v>4</v>
      </c>
      <c r="C1310">
        <v>13.839999999999998</v>
      </c>
    </row>
    <row r="1311" spans="1:3" x14ac:dyDescent="0.2">
      <c r="A1311" s="37" t="s">
        <v>2028</v>
      </c>
      <c r="B1311">
        <v>5</v>
      </c>
      <c r="C1311">
        <v>8.36</v>
      </c>
    </row>
    <row r="1312" spans="1:3" x14ac:dyDescent="0.2">
      <c r="A1312" s="37" t="s">
        <v>2028</v>
      </c>
      <c r="B1312">
        <v>6</v>
      </c>
      <c r="C1312">
        <v>7.0200000000000005</v>
      </c>
    </row>
    <row r="1313" spans="1:3" x14ac:dyDescent="0.2">
      <c r="A1313" s="37" t="s">
        <v>2028</v>
      </c>
      <c r="B1313">
        <v>7</v>
      </c>
      <c r="C1313">
        <v>7.18</v>
      </c>
    </row>
    <row r="1314" spans="1:3" x14ac:dyDescent="0.2">
      <c r="A1314" s="37" t="s">
        <v>2028</v>
      </c>
      <c r="B1314">
        <v>8</v>
      </c>
      <c r="C1314">
        <v>7.43</v>
      </c>
    </row>
    <row r="1315" spans="1:3" x14ac:dyDescent="0.2">
      <c r="A1315" s="37" t="s">
        <v>2028</v>
      </c>
      <c r="B1315">
        <v>9</v>
      </c>
      <c r="C1315">
        <v>6.5299999999999994</v>
      </c>
    </row>
    <row r="1316" spans="1:3" x14ac:dyDescent="0.2">
      <c r="A1316" s="37" t="s">
        <v>424</v>
      </c>
      <c r="B1316">
        <v>1</v>
      </c>
      <c r="C1316">
        <v>23.800000000000004</v>
      </c>
    </row>
    <row r="1317" spans="1:3" x14ac:dyDescent="0.2">
      <c r="A1317" s="37" t="s">
        <v>424</v>
      </c>
      <c r="B1317">
        <v>10</v>
      </c>
      <c r="C1317">
        <v>21.09</v>
      </c>
    </row>
    <row r="1318" spans="1:3" x14ac:dyDescent="0.2">
      <c r="A1318" s="37" t="s">
        <v>424</v>
      </c>
      <c r="B1318">
        <v>11</v>
      </c>
      <c r="C1318">
        <v>12.680000000000001</v>
      </c>
    </row>
    <row r="1319" spans="1:3" x14ac:dyDescent="0.2">
      <c r="A1319" s="37" t="s">
        <v>424</v>
      </c>
      <c r="B1319">
        <v>2</v>
      </c>
      <c r="C1319">
        <v>21.54</v>
      </c>
    </row>
    <row r="1320" spans="1:3" x14ac:dyDescent="0.2">
      <c r="A1320" s="37" t="s">
        <v>424</v>
      </c>
      <c r="B1320">
        <v>3</v>
      </c>
      <c r="C1320">
        <v>20.180000000000003</v>
      </c>
    </row>
    <row r="1321" spans="1:3" x14ac:dyDescent="0.2">
      <c r="A1321" s="37" t="s">
        <v>424</v>
      </c>
      <c r="B1321">
        <v>4</v>
      </c>
      <c r="C1321">
        <v>18.41</v>
      </c>
    </row>
    <row r="1322" spans="1:3" x14ac:dyDescent="0.2">
      <c r="A1322" s="37" t="s">
        <v>424</v>
      </c>
      <c r="B1322">
        <v>5</v>
      </c>
      <c r="C1322">
        <v>16.62</v>
      </c>
    </row>
    <row r="1323" spans="1:3" x14ac:dyDescent="0.2">
      <c r="A1323" s="37" t="s">
        <v>424</v>
      </c>
      <c r="B1323">
        <v>6</v>
      </c>
      <c r="C1323">
        <v>26.299999999999997</v>
      </c>
    </row>
    <row r="1324" spans="1:3" x14ac:dyDescent="0.2">
      <c r="A1324" s="37" t="s">
        <v>424</v>
      </c>
      <c r="B1324">
        <v>7</v>
      </c>
      <c r="C1324">
        <v>27.37</v>
      </c>
    </row>
    <row r="1325" spans="1:3" x14ac:dyDescent="0.2">
      <c r="A1325" s="37" t="s">
        <v>424</v>
      </c>
      <c r="B1325">
        <v>8</v>
      </c>
      <c r="C1325">
        <v>24.65</v>
      </c>
    </row>
    <row r="1326" spans="1:3" x14ac:dyDescent="0.2">
      <c r="A1326" s="37" t="s">
        <v>424</v>
      </c>
      <c r="B1326">
        <v>9</v>
      </c>
      <c r="C1326">
        <v>33.730000000000004</v>
      </c>
    </row>
    <row r="1327" spans="1:3" x14ac:dyDescent="0.2">
      <c r="A1327" s="37" t="s">
        <v>488</v>
      </c>
      <c r="B1327">
        <v>1</v>
      </c>
      <c r="C1327">
        <v>13.12</v>
      </c>
    </row>
    <row r="1328" spans="1:3" x14ac:dyDescent="0.2">
      <c r="A1328" s="37" t="s">
        <v>488</v>
      </c>
      <c r="B1328">
        <v>10</v>
      </c>
      <c r="C1328">
        <v>12.359999999999998</v>
      </c>
    </row>
    <row r="1329" spans="1:3" x14ac:dyDescent="0.2">
      <c r="A1329" s="37" t="s">
        <v>488</v>
      </c>
      <c r="B1329">
        <v>11</v>
      </c>
      <c r="C1329">
        <v>8.67</v>
      </c>
    </row>
    <row r="1330" spans="1:3" x14ac:dyDescent="0.2">
      <c r="A1330" s="37" t="s">
        <v>488</v>
      </c>
      <c r="B1330">
        <v>2</v>
      </c>
      <c r="C1330">
        <v>10.639999999999999</v>
      </c>
    </row>
    <row r="1331" spans="1:3" x14ac:dyDescent="0.2">
      <c r="A1331" s="37" t="s">
        <v>488</v>
      </c>
      <c r="B1331">
        <v>3</v>
      </c>
      <c r="C1331">
        <v>13.29</v>
      </c>
    </row>
    <row r="1332" spans="1:3" x14ac:dyDescent="0.2">
      <c r="A1332" s="37" t="s">
        <v>488</v>
      </c>
      <c r="B1332">
        <v>4</v>
      </c>
      <c r="C1332">
        <v>19.989999999999995</v>
      </c>
    </row>
    <row r="1333" spans="1:3" x14ac:dyDescent="0.2">
      <c r="A1333" s="37" t="s">
        <v>488</v>
      </c>
      <c r="B1333">
        <v>5</v>
      </c>
      <c r="C1333">
        <v>13.41</v>
      </c>
    </row>
    <row r="1334" spans="1:3" x14ac:dyDescent="0.2">
      <c r="A1334" s="37" t="s">
        <v>488</v>
      </c>
      <c r="B1334">
        <v>6</v>
      </c>
      <c r="C1334">
        <v>14.3</v>
      </c>
    </row>
    <row r="1335" spans="1:3" x14ac:dyDescent="0.2">
      <c r="A1335" s="37" t="s">
        <v>488</v>
      </c>
      <c r="B1335">
        <v>7</v>
      </c>
      <c r="C1335">
        <v>15.68</v>
      </c>
    </row>
    <row r="1336" spans="1:3" x14ac:dyDescent="0.2">
      <c r="A1336" s="37" t="s">
        <v>488</v>
      </c>
      <c r="B1336">
        <v>8</v>
      </c>
      <c r="C1336">
        <v>7.1099999999999994</v>
      </c>
    </row>
    <row r="1337" spans="1:3" x14ac:dyDescent="0.2">
      <c r="A1337" s="37" t="s">
        <v>488</v>
      </c>
      <c r="B1337">
        <v>9</v>
      </c>
      <c r="C1337">
        <v>12.329999999999998</v>
      </c>
    </row>
    <row r="1338" spans="1:3" x14ac:dyDescent="0.2">
      <c r="A1338" s="37" t="s">
        <v>1824</v>
      </c>
      <c r="B1338">
        <v>1</v>
      </c>
      <c r="C1338">
        <v>9.4499999999999993</v>
      </c>
    </row>
    <row r="1339" spans="1:3" x14ac:dyDescent="0.2">
      <c r="A1339" s="37" t="s">
        <v>1824</v>
      </c>
      <c r="B1339">
        <v>10</v>
      </c>
      <c r="C1339">
        <v>8.9700000000000006</v>
      </c>
    </row>
    <row r="1340" spans="1:3" x14ac:dyDescent="0.2">
      <c r="A1340" s="37" t="s">
        <v>1824</v>
      </c>
      <c r="B1340">
        <v>11</v>
      </c>
      <c r="C1340">
        <v>11.059999999999999</v>
      </c>
    </row>
    <row r="1341" spans="1:3" x14ac:dyDescent="0.2">
      <c r="A1341" s="37" t="s">
        <v>1824</v>
      </c>
      <c r="B1341">
        <v>2</v>
      </c>
      <c r="C1341">
        <v>7.8100000000000005</v>
      </c>
    </row>
    <row r="1342" spans="1:3" x14ac:dyDescent="0.2">
      <c r="A1342" s="37" t="s">
        <v>1824</v>
      </c>
      <c r="B1342">
        <v>3</v>
      </c>
      <c r="C1342">
        <v>10.14</v>
      </c>
    </row>
    <row r="1343" spans="1:3" x14ac:dyDescent="0.2">
      <c r="A1343" s="37" t="s">
        <v>1824</v>
      </c>
      <c r="B1343">
        <v>4</v>
      </c>
      <c r="C1343">
        <v>12.27</v>
      </c>
    </row>
    <row r="1344" spans="1:3" x14ac:dyDescent="0.2">
      <c r="A1344" s="37" t="s">
        <v>1824</v>
      </c>
      <c r="B1344">
        <v>5</v>
      </c>
      <c r="C1344">
        <v>10.11</v>
      </c>
    </row>
    <row r="1345" spans="1:3" x14ac:dyDescent="0.2">
      <c r="A1345" s="37" t="s">
        <v>1824</v>
      </c>
      <c r="B1345">
        <v>6</v>
      </c>
      <c r="C1345">
        <v>8.09</v>
      </c>
    </row>
    <row r="1346" spans="1:3" x14ac:dyDescent="0.2">
      <c r="A1346" s="37" t="s">
        <v>1824</v>
      </c>
      <c r="B1346">
        <v>7</v>
      </c>
      <c r="C1346">
        <v>11.8</v>
      </c>
    </row>
    <row r="1347" spans="1:3" x14ac:dyDescent="0.2">
      <c r="A1347" s="37" t="s">
        <v>1824</v>
      </c>
      <c r="B1347">
        <v>8</v>
      </c>
      <c r="C1347">
        <v>9.07</v>
      </c>
    </row>
    <row r="1348" spans="1:3" x14ac:dyDescent="0.2">
      <c r="A1348" s="37" t="s">
        <v>1824</v>
      </c>
      <c r="B1348">
        <v>9</v>
      </c>
      <c r="C1348">
        <v>7.2799999999999994</v>
      </c>
    </row>
    <row r="1349" spans="1:3" x14ac:dyDescent="0.2">
      <c r="A1349" s="37" t="s">
        <v>452</v>
      </c>
      <c r="B1349">
        <v>1</v>
      </c>
      <c r="C1349">
        <v>15.29</v>
      </c>
    </row>
    <row r="1350" spans="1:3" x14ac:dyDescent="0.2">
      <c r="A1350" s="37" t="s">
        <v>452</v>
      </c>
      <c r="B1350">
        <v>10</v>
      </c>
      <c r="C1350">
        <v>8.879999999999999</v>
      </c>
    </row>
    <row r="1351" spans="1:3" x14ac:dyDescent="0.2">
      <c r="A1351" s="37" t="s">
        <v>452</v>
      </c>
      <c r="B1351">
        <v>11</v>
      </c>
      <c r="C1351">
        <v>4.88</v>
      </c>
    </row>
    <row r="1352" spans="1:3" x14ac:dyDescent="0.2">
      <c r="A1352" s="37" t="s">
        <v>452</v>
      </c>
      <c r="B1352">
        <v>2</v>
      </c>
      <c r="C1352">
        <v>13.17</v>
      </c>
    </row>
    <row r="1353" spans="1:3" x14ac:dyDescent="0.2">
      <c r="A1353" s="37" t="s">
        <v>452</v>
      </c>
      <c r="B1353">
        <v>3</v>
      </c>
      <c r="C1353">
        <v>13.38</v>
      </c>
    </row>
    <row r="1354" spans="1:3" x14ac:dyDescent="0.2">
      <c r="A1354" s="37" t="s">
        <v>452</v>
      </c>
      <c r="B1354">
        <v>4</v>
      </c>
      <c r="C1354">
        <v>10.51</v>
      </c>
    </row>
    <row r="1355" spans="1:3" x14ac:dyDescent="0.2">
      <c r="A1355" s="37" t="s">
        <v>452</v>
      </c>
      <c r="B1355">
        <v>5</v>
      </c>
      <c r="C1355">
        <v>3.59</v>
      </c>
    </row>
    <row r="1356" spans="1:3" x14ac:dyDescent="0.2">
      <c r="A1356" s="37" t="s">
        <v>452</v>
      </c>
      <c r="B1356">
        <v>8</v>
      </c>
      <c r="C1356">
        <v>11.17</v>
      </c>
    </row>
    <row r="1357" spans="1:3" x14ac:dyDescent="0.2">
      <c r="A1357" s="37" t="s">
        <v>452</v>
      </c>
      <c r="B1357">
        <v>9</v>
      </c>
      <c r="C1357">
        <v>9.7199999999999989</v>
      </c>
    </row>
    <row r="1358" spans="1:3" x14ac:dyDescent="0.2">
      <c r="A1358" s="37" t="s">
        <v>2029</v>
      </c>
      <c r="B1358">
        <v>1</v>
      </c>
      <c r="C1358">
        <v>12.369999999999997</v>
      </c>
    </row>
    <row r="1359" spans="1:3" x14ac:dyDescent="0.2">
      <c r="A1359" s="37" t="s">
        <v>2029</v>
      </c>
      <c r="B1359">
        <v>10</v>
      </c>
      <c r="C1359">
        <v>15.09</v>
      </c>
    </row>
    <row r="1360" spans="1:3" x14ac:dyDescent="0.2">
      <c r="A1360" s="37" t="s">
        <v>2029</v>
      </c>
      <c r="B1360">
        <v>11</v>
      </c>
      <c r="C1360">
        <v>11.07</v>
      </c>
    </row>
    <row r="1361" spans="1:3" x14ac:dyDescent="0.2">
      <c r="A1361" s="37" t="s">
        <v>2029</v>
      </c>
      <c r="B1361">
        <v>2</v>
      </c>
      <c r="C1361">
        <v>11.43</v>
      </c>
    </row>
    <row r="1362" spans="1:3" x14ac:dyDescent="0.2">
      <c r="A1362" s="37" t="s">
        <v>2029</v>
      </c>
      <c r="B1362">
        <v>3</v>
      </c>
      <c r="C1362">
        <v>12.799999999999999</v>
      </c>
    </row>
    <row r="1363" spans="1:3" x14ac:dyDescent="0.2">
      <c r="A1363" s="37" t="s">
        <v>2029</v>
      </c>
      <c r="B1363">
        <v>4</v>
      </c>
      <c r="C1363">
        <v>19.21</v>
      </c>
    </row>
    <row r="1364" spans="1:3" x14ac:dyDescent="0.2">
      <c r="A1364" s="37" t="s">
        <v>2029</v>
      </c>
      <c r="B1364">
        <v>5</v>
      </c>
      <c r="C1364">
        <v>13.61</v>
      </c>
    </row>
    <row r="1365" spans="1:3" x14ac:dyDescent="0.2">
      <c r="A1365" s="37" t="s">
        <v>2029</v>
      </c>
      <c r="B1365">
        <v>6</v>
      </c>
      <c r="C1365">
        <v>15.02</v>
      </c>
    </row>
    <row r="1366" spans="1:3" x14ac:dyDescent="0.2">
      <c r="A1366" s="37" t="s">
        <v>2029</v>
      </c>
      <c r="B1366">
        <v>7</v>
      </c>
      <c r="C1366">
        <v>6.99</v>
      </c>
    </row>
    <row r="1367" spans="1:3" x14ac:dyDescent="0.2">
      <c r="A1367" s="37" t="s">
        <v>2029</v>
      </c>
      <c r="B1367">
        <v>8</v>
      </c>
      <c r="C1367">
        <v>11.14</v>
      </c>
    </row>
    <row r="1368" spans="1:3" x14ac:dyDescent="0.2">
      <c r="A1368" s="37" t="s">
        <v>2029</v>
      </c>
      <c r="B1368">
        <v>9</v>
      </c>
      <c r="C1368">
        <v>10.54</v>
      </c>
    </row>
    <row r="1369" spans="1:3" x14ac:dyDescent="0.2">
      <c r="A1369" s="37" t="s">
        <v>2030</v>
      </c>
      <c r="B1369">
        <v>1</v>
      </c>
      <c r="C1369">
        <v>16.579999999999998</v>
      </c>
    </row>
    <row r="1370" spans="1:3" x14ac:dyDescent="0.2">
      <c r="A1370" s="37" t="s">
        <v>2030</v>
      </c>
      <c r="B1370">
        <v>10</v>
      </c>
      <c r="C1370">
        <v>13.18</v>
      </c>
    </row>
    <row r="1371" spans="1:3" x14ac:dyDescent="0.2">
      <c r="A1371" s="37" t="s">
        <v>2030</v>
      </c>
      <c r="B1371">
        <v>11</v>
      </c>
      <c r="C1371">
        <v>12.38</v>
      </c>
    </row>
    <row r="1372" spans="1:3" x14ac:dyDescent="0.2">
      <c r="A1372" s="37" t="s">
        <v>2030</v>
      </c>
      <c r="B1372">
        <v>2</v>
      </c>
      <c r="C1372">
        <v>8.0500000000000007</v>
      </c>
    </row>
    <row r="1373" spans="1:3" x14ac:dyDescent="0.2">
      <c r="A1373" s="37" t="s">
        <v>2030</v>
      </c>
      <c r="B1373">
        <v>3</v>
      </c>
      <c r="C1373">
        <v>12.610000000000001</v>
      </c>
    </row>
    <row r="1374" spans="1:3" x14ac:dyDescent="0.2">
      <c r="A1374" s="37" t="s">
        <v>2030</v>
      </c>
      <c r="B1374">
        <v>4</v>
      </c>
      <c r="C1374">
        <v>23.14</v>
      </c>
    </row>
    <row r="1375" spans="1:3" x14ac:dyDescent="0.2">
      <c r="A1375" s="37" t="s">
        <v>2030</v>
      </c>
      <c r="B1375">
        <v>5</v>
      </c>
      <c r="C1375">
        <v>31.850000000000005</v>
      </c>
    </row>
    <row r="1376" spans="1:3" x14ac:dyDescent="0.2">
      <c r="A1376" s="37" t="s">
        <v>2030</v>
      </c>
      <c r="B1376">
        <v>6</v>
      </c>
      <c r="C1376">
        <v>20.209999999999997</v>
      </c>
    </row>
    <row r="1377" spans="1:3" x14ac:dyDescent="0.2">
      <c r="A1377" s="37" t="s">
        <v>2030</v>
      </c>
      <c r="B1377">
        <v>7</v>
      </c>
      <c r="C1377">
        <v>17.509999999999998</v>
      </c>
    </row>
    <row r="1378" spans="1:3" x14ac:dyDescent="0.2">
      <c r="A1378" s="37" t="s">
        <v>2030</v>
      </c>
      <c r="B1378">
        <v>8</v>
      </c>
      <c r="C1378">
        <v>16.329999999999998</v>
      </c>
    </row>
    <row r="1379" spans="1:3" x14ac:dyDescent="0.2">
      <c r="A1379" s="37" t="s">
        <v>2030</v>
      </c>
      <c r="B1379">
        <v>9</v>
      </c>
      <c r="C1379">
        <v>21.36</v>
      </c>
    </row>
    <row r="1380" spans="1:3" x14ac:dyDescent="0.2">
      <c r="A1380" s="37" t="s">
        <v>2031</v>
      </c>
      <c r="B1380">
        <v>1</v>
      </c>
      <c r="C1380">
        <v>15.07</v>
      </c>
    </row>
    <row r="1381" spans="1:3" x14ac:dyDescent="0.2">
      <c r="A1381" s="37" t="s">
        <v>2031</v>
      </c>
      <c r="B1381">
        <v>2</v>
      </c>
      <c r="C1381">
        <v>18.25</v>
      </c>
    </row>
    <row r="1382" spans="1:3" x14ac:dyDescent="0.2">
      <c r="A1382" s="37" t="s">
        <v>2031</v>
      </c>
      <c r="B1382">
        <v>3</v>
      </c>
      <c r="C1382">
        <v>24.82</v>
      </c>
    </row>
    <row r="1383" spans="1:3" x14ac:dyDescent="0.2">
      <c r="A1383" s="37" t="s">
        <v>2031</v>
      </c>
      <c r="B1383">
        <v>4</v>
      </c>
      <c r="C1383">
        <v>20.420000000000002</v>
      </c>
    </row>
    <row r="1384" spans="1:3" x14ac:dyDescent="0.2">
      <c r="A1384" s="37" t="s">
        <v>2031</v>
      </c>
      <c r="B1384">
        <v>5</v>
      </c>
      <c r="C1384">
        <v>25.599999999999998</v>
      </c>
    </row>
    <row r="1385" spans="1:3" x14ac:dyDescent="0.2">
      <c r="A1385" s="37" t="s">
        <v>2031</v>
      </c>
      <c r="B1385">
        <v>6</v>
      </c>
      <c r="C1385">
        <v>15.299999999999999</v>
      </c>
    </row>
    <row r="1386" spans="1:3" x14ac:dyDescent="0.2">
      <c r="A1386" s="37" t="s">
        <v>2031</v>
      </c>
      <c r="B1386">
        <v>7</v>
      </c>
      <c r="C1386">
        <v>1.84</v>
      </c>
    </row>
    <row r="1387" spans="1:3" x14ac:dyDescent="0.2">
      <c r="A1387" s="37" t="s">
        <v>1864</v>
      </c>
      <c r="B1387">
        <v>1</v>
      </c>
      <c r="C1387">
        <v>27.77</v>
      </c>
    </row>
    <row r="1388" spans="1:3" x14ac:dyDescent="0.2">
      <c r="A1388" s="37" t="s">
        <v>1864</v>
      </c>
      <c r="B1388">
        <v>10</v>
      </c>
      <c r="C1388">
        <v>24.259999999999998</v>
      </c>
    </row>
    <row r="1389" spans="1:3" x14ac:dyDescent="0.2">
      <c r="A1389" s="37" t="s">
        <v>1864</v>
      </c>
      <c r="B1389">
        <v>11</v>
      </c>
      <c r="C1389">
        <v>25.889999999999997</v>
      </c>
    </row>
    <row r="1390" spans="1:3" x14ac:dyDescent="0.2">
      <c r="A1390" s="37" t="s">
        <v>1864</v>
      </c>
      <c r="B1390">
        <v>2</v>
      </c>
      <c r="C1390">
        <v>30.17</v>
      </c>
    </row>
    <row r="1391" spans="1:3" x14ac:dyDescent="0.2">
      <c r="A1391" s="37" t="s">
        <v>1864</v>
      </c>
      <c r="B1391">
        <v>3</v>
      </c>
      <c r="C1391">
        <v>25.95</v>
      </c>
    </row>
    <row r="1392" spans="1:3" x14ac:dyDescent="0.2">
      <c r="A1392" s="37" t="s">
        <v>1864</v>
      </c>
      <c r="B1392">
        <v>4</v>
      </c>
      <c r="C1392">
        <v>21.45</v>
      </c>
    </row>
    <row r="1393" spans="1:3" x14ac:dyDescent="0.2">
      <c r="A1393" s="37" t="s">
        <v>1864</v>
      </c>
      <c r="B1393">
        <v>5</v>
      </c>
      <c r="C1393">
        <v>19.73</v>
      </c>
    </row>
    <row r="1394" spans="1:3" x14ac:dyDescent="0.2">
      <c r="A1394" s="37" t="s">
        <v>1864</v>
      </c>
      <c r="B1394">
        <v>6</v>
      </c>
      <c r="C1394">
        <v>39.360000000000007</v>
      </c>
    </row>
    <row r="1395" spans="1:3" x14ac:dyDescent="0.2">
      <c r="A1395" s="37" t="s">
        <v>1864</v>
      </c>
      <c r="B1395">
        <v>7</v>
      </c>
      <c r="C1395">
        <v>29.289999999999996</v>
      </c>
    </row>
    <row r="1396" spans="1:3" x14ac:dyDescent="0.2">
      <c r="A1396" s="37" t="s">
        <v>1864</v>
      </c>
      <c r="B1396">
        <v>8</v>
      </c>
      <c r="C1396">
        <v>19.669999999999998</v>
      </c>
    </row>
    <row r="1397" spans="1:3" x14ac:dyDescent="0.2">
      <c r="A1397" s="37" t="s">
        <v>1864</v>
      </c>
      <c r="B1397">
        <v>9</v>
      </c>
      <c r="C1397">
        <v>22.409999999999997</v>
      </c>
    </row>
    <row r="1398" spans="1:3" x14ac:dyDescent="0.2">
      <c r="A1398" s="37" t="s">
        <v>374</v>
      </c>
      <c r="B1398">
        <v>1</v>
      </c>
      <c r="C1398">
        <v>36.480000000000004</v>
      </c>
    </row>
    <row r="1399" spans="1:3" x14ac:dyDescent="0.2">
      <c r="A1399" s="37" t="s">
        <v>374</v>
      </c>
      <c r="B1399">
        <v>10</v>
      </c>
      <c r="C1399">
        <v>32.71</v>
      </c>
    </row>
    <row r="1400" spans="1:3" x14ac:dyDescent="0.2">
      <c r="A1400" s="37" t="s">
        <v>374</v>
      </c>
      <c r="B1400">
        <v>11</v>
      </c>
      <c r="C1400">
        <v>22.380000000000003</v>
      </c>
    </row>
    <row r="1401" spans="1:3" x14ac:dyDescent="0.2">
      <c r="A1401" s="37" t="s">
        <v>374</v>
      </c>
      <c r="B1401">
        <v>2</v>
      </c>
      <c r="C1401">
        <v>38.550000000000004</v>
      </c>
    </row>
    <row r="1402" spans="1:3" x14ac:dyDescent="0.2">
      <c r="A1402" s="37" t="s">
        <v>374</v>
      </c>
      <c r="B1402">
        <v>3</v>
      </c>
      <c r="C1402">
        <v>34.619999999999997</v>
      </c>
    </row>
    <row r="1403" spans="1:3" x14ac:dyDescent="0.2">
      <c r="A1403" s="37" t="s">
        <v>374</v>
      </c>
      <c r="B1403">
        <v>4</v>
      </c>
      <c r="C1403">
        <v>31.200000000000003</v>
      </c>
    </row>
    <row r="1404" spans="1:3" x14ac:dyDescent="0.2">
      <c r="A1404" s="37" t="s">
        <v>374</v>
      </c>
      <c r="B1404">
        <v>5</v>
      </c>
      <c r="C1404">
        <v>41.14</v>
      </c>
    </row>
    <row r="1405" spans="1:3" x14ac:dyDescent="0.2">
      <c r="A1405" s="37" t="s">
        <v>374</v>
      </c>
      <c r="B1405">
        <v>6</v>
      </c>
      <c r="C1405">
        <v>44.05</v>
      </c>
    </row>
    <row r="1406" spans="1:3" x14ac:dyDescent="0.2">
      <c r="A1406" s="37" t="s">
        <v>374</v>
      </c>
      <c r="B1406">
        <v>7</v>
      </c>
      <c r="C1406">
        <v>39.999999999999993</v>
      </c>
    </row>
    <row r="1407" spans="1:3" x14ac:dyDescent="0.2">
      <c r="A1407" s="37" t="s">
        <v>374</v>
      </c>
      <c r="B1407">
        <v>8</v>
      </c>
      <c r="C1407">
        <v>29.08</v>
      </c>
    </row>
    <row r="1408" spans="1:3" x14ac:dyDescent="0.2">
      <c r="A1408" s="37" t="s">
        <v>374</v>
      </c>
      <c r="B1408">
        <v>9</v>
      </c>
      <c r="C1408">
        <v>27.5</v>
      </c>
    </row>
    <row r="1409" spans="1:3" x14ac:dyDescent="0.2">
      <c r="A1409" s="37" t="s">
        <v>334</v>
      </c>
      <c r="B1409">
        <v>1</v>
      </c>
      <c r="C1409">
        <v>16.21</v>
      </c>
    </row>
    <row r="1410" spans="1:3" x14ac:dyDescent="0.2">
      <c r="A1410" s="37" t="s">
        <v>334</v>
      </c>
      <c r="B1410">
        <v>10</v>
      </c>
      <c r="C1410">
        <v>22.78</v>
      </c>
    </row>
    <row r="1411" spans="1:3" x14ac:dyDescent="0.2">
      <c r="A1411" s="37" t="s">
        <v>334</v>
      </c>
      <c r="B1411">
        <v>11</v>
      </c>
      <c r="C1411">
        <v>19.420000000000002</v>
      </c>
    </row>
    <row r="1412" spans="1:3" x14ac:dyDescent="0.2">
      <c r="A1412" s="37" t="s">
        <v>334</v>
      </c>
      <c r="B1412">
        <v>2</v>
      </c>
      <c r="C1412">
        <v>19.12</v>
      </c>
    </row>
    <row r="1413" spans="1:3" x14ac:dyDescent="0.2">
      <c r="A1413" s="37" t="s">
        <v>334</v>
      </c>
      <c r="B1413">
        <v>3</v>
      </c>
      <c r="C1413">
        <v>17.939999999999998</v>
      </c>
    </row>
    <row r="1414" spans="1:3" x14ac:dyDescent="0.2">
      <c r="A1414" s="37" t="s">
        <v>334</v>
      </c>
      <c r="B1414">
        <v>4</v>
      </c>
      <c r="C1414">
        <v>20.450000000000003</v>
      </c>
    </row>
    <row r="1415" spans="1:3" x14ac:dyDescent="0.2">
      <c r="A1415" s="37" t="s">
        <v>334</v>
      </c>
      <c r="B1415">
        <v>5</v>
      </c>
      <c r="C1415">
        <v>22.29</v>
      </c>
    </row>
    <row r="1416" spans="1:3" x14ac:dyDescent="0.2">
      <c r="A1416" s="37" t="s">
        <v>334</v>
      </c>
      <c r="B1416">
        <v>6</v>
      </c>
      <c r="C1416">
        <v>17.040000000000003</v>
      </c>
    </row>
    <row r="1417" spans="1:3" x14ac:dyDescent="0.2">
      <c r="A1417" s="37" t="s">
        <v>334</v>
      </c>
      <c r="B1417">
        <v>7</v>
      </c>
      <c r="C1417">
        <v>28.02</v>
      </c>
    </row>
    <row r="1418" spans="1:3" x14ac:dyDescent="0.2">
      <c r="A1418" s="37" t="s">
        <v>334</v>
      </c>
      <c r="B1418">
        <v>8</v>
      </c>
      <c r="C1418">
        <v>13.75</v>
      </c>
    </row>
    <row r="1419" spans="1:3" x14ac:dyDescent="0.2">
      <c r="A1419" s="37" t="s">
        <v>334</v>
      </c>
      <c r="B1419">
        <v>9</v>
      </c>
      <c r="C1419">
        <v>19.259999999999998</v>
      </c>
    </row>
    <row r="1420" spans="1:3" x14ac:dyDescent="0.2">
      <c r="A1420" s="37" t="s">
        <v>402</v>
      </c>
      <c r="B1420">
        <v>1</v>
      </c>
      <c r="C1420">
        <v>20.149999999999999</v>
      </c>
    </row>
    <row r="1421" spans="1:3" x14ac:dyDescent="0.2">
      <c r="A1421" s="37" t="s">
        <v>402</v>
      </c>
      <c r="B1421">
        <v>10</v>
      </c>
      <c r="C1421">
        <v>15.249999999999998</v>
      </c>
    </row>
    <row r="1422" spans="1:3" x14ac:dyDescent="0.2">
      <c r="A1422" s="37" t="s">
        <v>402</v>
      </c>
      <c r="B1422">
        <v>11</v>
      </c>
      <c r="C1422">
        <v>9.5500000000000007</v>
      </c>
    </row>
    <row r="1423" spans="1:3" x14ac:dyDescent="0.2">
      <c r="A1423" s="37" t="s">
        <v>402</v>
      </c>
      <c r="B1423">
        <v>2</v>
      </c>
      <c r="C1423">
        <v>10.93</v>
      </c>
    </row>
    <row r="1424" spans="1:3" x14ac:dyDescent="0.2">
      <c r="A1424" s="37" t="s">
        <v>402</v>
      </c>
      <c r="B1424">
        <v>3</v>
      </c>
      <c r="C1424">
        <v>19.82</v>
      </c>
    </row>
    <row r="1425" spans="1:3" x14ac:dyDescent="0.2">
      <c r="A1425" s="37" t="s">
        <v>402</v>
      </c>
      <c r="B1425">
        <v>4</v>
      </c>
      <c r="C1425">
        <v>21.64</v>
      </c>
    </row>
    <row r="1426" spans="1:3" x14ac:dyDescent="0.2">
      <c r="A1426" s="37" t="s">
        <v>402</v>
      </c>
      <c r="B1426">
        <v>5</v>
      </c>
      <c r="C1426">
        <v>13.13</v>
      </c>
    </row>
    <row r="1427" spans="1:3" x14ac:dyDescent="0.2">
      <c r="A1427" s="37" t="s">
        <v>402</v>
      </c>
      <c r="B1427">
        <v>6</v>
      </c>
      <c r="C1427">
        <v>12.909999999999998</v>
      </c>
    </row>
    <row r="1428" spans="1:3" x14ac:dyDescent="0.2">
      <c r="A1428" s="37" t="s">
        <v>402</v>
      </c>
      <c r="B1428">
        <v>7</v>
      </c>
      <c r="C1428">
        <v>15.700000000000001</v>
      </c>
    </row>
    <row r="1429" spans="1:3" x14ac:dyDescent="0.2">
      <c r="A1429" s="37" t="s">
        <v>402</v>
      </c>
      <c r="B1429">
        <v>8</v>
      </c>
      <c r="C1429">
        <v>19.97</v>
      </c>
    </row>
    <row r="1430" spans="1:3" x14ac:dyDescent="0.2">
      <c r="A1430" s="37" t="s">
        <v>402</v>
      </c>
      <c r="B1430">
        <v>9</v>
      </c>
      <c r="C1430">
        <v>12.47</v>
      </c>
    </row>
    <row r="1431" spans="1:3" x14ac:dyDescent="0.2">
      <c r="A1431" s="37" t="s">
        <v>2032</v>
      </c>
      <c r="B1431">
        <v>1</v>
      </c>
      <c r="C1431">
        <v>7.53</v>
      </c>
    </row>
    <row r="1432" spans="1:3" x14ac:dyDescent="0.2">
      <c r="A1432" s="37" t="s">
        <v>2032</v>
      </c>
      <c r="B1432">
        <v>10</v>
      </c>
      <c r="C1432">
        <v>9.879999999999999</v>
      </c>
    </row>
    <row r="1433" spans="1:3" x14ac:dyDescent="0.2">
      <c r="A1433" s="37" t="s">
        <v>2032</v>
      </c>
      <c r="B1433">
        <v>11</v>
      </c>
      <c r="C1433">
        <v>6.25</v>
      </c>
    </row>
    <row r="1434" spans="1:3" x14ac:dyDescent="0.2">
      <c r="A1434" s="37" t="s">
        <v>2032</v>
      </c>
      <c r="B1434">
        <v>2</v>
      </c>
      <c r="C1434">
        <v>7.25</v>
      </c>
    </row>
    <row r="1435" spans="1:3" x14ac:dyDescent="0.2">
      <c r="A1435" s="37" t="s">
        <v>2032</v>
      </c>
      <c r="B1435">
        <v>3</v>
      </c>
      <c r="C1435">
        <v>16.440000000000001</v>
      </c>
    </row>
    <row r="1436" spans="1:3" x14ac:dyDescent="0.2">
      <c r="A1436" s="37" t="s">
        <v>2032</v>
      </c>
      <c r="B1436">
        <v>4</v>
      </c>
      <c r="C1436">
        <v>10.36</v>
      </c>
    </row>
    <row r="1437" spans="1:3" x14ac:dyDescent="0.2">
      <c r="A1437" s="37" t="s">
        <v>2032</v>
      </c>
      <c r="B1437">
        <v>5</v>
      </c>
      <c r="C1437">
        <v>17.07</v>
      </c>
    </row>
    <row r="1438" spans="1:3" x14ac:dyDescent="0.2">
      <c r="A1438" s="37" t="s">
        <v>2032</v>
      </c>
      <c r="B1438">
        <v>6</v>
      </c>
      <c r="C1438">
        <v>11.030000000000001</v>
      </c>
    </row>
    <row r="1439" spans="1:3" x14ac:dyDescent="0.2">
      <c r="A1439" s="37" t="s">
        <v>2032</v>
      </c>
      <c r="B1439">
        <v>7</v>
      </c>
      <c r="C1439">
        <v>15.35</v>
      </c>
    </row>
    <row r="1440" spans="1:3" x14ac:dyDescent="0.2">
      <c r="A1440" s="37" t="s">
        <v>2032</v>
      </c>
      <c r="B1440">
        <v>8</v>
      </c>
      <c r="C1440">
        <v>15.469999999999999</v>
      </c>
    </row>
    <row r="1441" spans="1:3" x14ac:dyDescent="0.2">
      <c r="A1441" s="37" t="s">
        <v>2032</v>
      </c>
      <c r="B1441">
        <v>9</v>
      </c>
      <c r="C1441">
        <v>15.490000000000002</v>
      </c>
    </row>
    <row r="1442" spans="1:3" x14ac:dyDescent="0.2">
      <c r="A1442" s="37" t="s">
        <v>442</v>
      </c>
      <c r="B1442">
        <v>1</v>
      </c>
      <c r="C1442">
        <v>10.48</v>
      </c>
    </row>
    <row r="1443" spans="1:3" x14ac:dyDescent="0.2">
      <c r="A1443" s="37" t="s">
        <v>442</v>
      </c>
      <c r="B1443">
        <v>10</v>
      </c>
      <c r="C1443">
        <v>17.91</v>
      </c>
    </row>
    <row r="1444" spans="1:3" x14ac:dyDescent="0.2">
      <c r="A1444" s="37" t="s">
        <v>442</v>
      </c>
      <c r="B1444">
        <v>11</v>
      </c>
      <c r="C1444">
        <v>16.75</v>
      </c>
    </row>
    <row r="1445" spans="1:3" x14ac:dyDescent="0.2">
      <c r="A1445" s="37" t="s">
        <v>442</v>
      </c>
      <c r="B1445">
        <v>2</v>
      </c>
      <c r="C1445">
        <v>11.32</v>
      </c>
    </row>
    <row r="1446" spans="1:3" x14ac:dyDescent="0.2">
      <c r="A1446" s="37" t="s">
        <v>442</v>
      </c>
      <c r="B1446">
        <v>3</v>
      </c>
      <c r="C1446">
        <v>17.07</v>
      </c>
    </row>
    <row r="1447" spans="1:3" x14ac:dyDescent="0.2">
      <c r="A1447" s="37" t="s">
        <v>442</v>
      </c>
      <c r="B1447">
        <v>4</v>
      </c>
      <c r="C1447">
        <v>10.180000000000001</v>
      </c>
    </row>
    <row r="1448" spans="1:3" x14ac:dyDescent="0.2">
      <c r="A1448" s="37" t="s">
        <v>442</v>
      </c>
      <c r="B1448">
        <v>5</v>
      </c>
      <c r="C1448">
        <v>26.450000000000003</v>
      </c>
    </row>
    <row r="1449" spans="1:3" x14ac:dyDescent="0.2">
      <c r="A1449" s="37" t="s">
        <v>442</v>
      </c>
      <c r="B1449">
        <v>6</v>
      </c>
      <c r="C1449">
        <v>23.51</v>
      </c>
    </row>
    <row r="1450" spans="1:3" x14ac:dyDescent="0.2">
      <c r="A1450" s="37" t="s">
        <v>442</v>
      </c>
      <c r="B1450">
        <v>7</v>
      </c>
      <c r="C1450">
        <v>12.27</v>
      </c>
    </row>
    <row r="1451" spans="1:3" x14ac:dyDescent="0.2">
      <c r="A1451" s="37" t="s">
        <v>442</v>
      </c>
      <c r="B1451">
        <v>8</v>
      </c>
      <c r="C1451">
        <v>11.780000000000001</v>
      </c>
    </row>
    <row r="1452" spans="1:3" x14ac:dyDescent="0.2">
      <c r="A1452" s="37" t="s">
        <v>442</v>
      </c>
      <c r="B1452">
        <v>9</v>
      </c>
      <c r="C1452">
        <v>12.350000000000001</v>
      </c>
    </row>
    <row r="1453" spans="1:3" x14ac:dyDescent="0.2">
      <c r="A1453" s="37" t="s">
        <v>1933</v>
      </c>
      <c r="B1453">
        <v>1</v>
      </c>
      <c r="C1453">
        <v>14.12</v>
      </c>
    </row>
    <row r="1454" spans="1:3" x14ac:dyDescent="0.2">
      <c r="A1454" s="37" t="s">
        <v>1933</v>
      </c>
      <c r="B1454">
        <v>10</v>
      </c>
      <c r="C1454">
        <v>10.93</v>
      </c>
    </row>
    <row r="1455" spans="1:3" x14ac:dyDescent="0.2">
      <c r="A1455" s="37" t="s">
        <v>1933</v>
      </c>
      <c r="B1455">
        <v>11</v>
      </c>
      <c r="C1455">
        <v>12.860000000000001</v>
      </c>
    </row>
    <row r="1456" spans="1:3" x14ac:dyDescent="0.2">
      <c r="A1456" s="37" t="s">
        <v>1933</v>
      </c>
      <c r="B1456">
        <v>2</v>
      </c>
      <c r="C1456">
        <v>7.9799999999999995</v>
      </c>
    </row>
    <row r="1457" spans="1:3" x14ac:dyDescent="0.2">
      <c r="A1457" s="37" t="s">
        <v>1933</v>
      </c>
      <c r="B1457">
        <v>3</v>
      </c>
      <c r="C1457">
        <v>15.499999999999998</v>
      </c>
    </row>
    <row r="1458" spans="1:3" x14ac:dyDescent="0.2">
      <c r="A1458" s="37" t="s">
        <v>1933</v>
      </c>
      <c r="B1458">
        <v>4</v>
      </c>
      <c r="C1458">
        <v>14.200000000000001</v>
      </c>
    </row>
    <row r="1459" spans="1:3" x14ac:dyDescent="0.2">
      <c r="A1459" s="37" t="s">
        <v>1933</v>
      </c>
      <c r="B1459">
        <v>5</v>
      </c>
      <c r="C1459">
        <v>17.14</v>
      </c>
    </row>
    <row r="1460" spans="1:3" x14ac:dyDescent="0.2">
      <c r="A1460" s="37" t="s">
        <v>1933</v>
      </c>
      <c r="B1460">
        <v>6</v>
      </c>
      <c r="C1460">
        <v>14.920000000000002</v>
      </c>
    </row>
    <row r="1461" spans="1:3" x14ac:dyDescent="0.2">
      <c r="A1461" s="37" t="s">
        <v>1933</v>
      </c>
      <c r="B1461">
        <v>7</v>
      </c>
      <c r="C1461">
        <v>20.58</v>
      </c>
    </row>
    <row r="1462" spans="1:3" x14ac:dyDescent="0.2">
      <c r="A1462" s="37" t="s">
        <v>1933</v>
      </c>
      <c r="B1462">
        <v>8</v>
      </c>
      <c r="C1462">
        <v>11.969999999999999</v>
      </c>
    </row>
    <row r="1463" spans="1:3" x14ac:dyDescent="0.2">
      <c r="A1463" s="37" t="s">
        <v>1933</v>
      </c>
      <c r="B1463">
        <v>9</v>
      </c>
      <c r="C1463">
        <v>12.4</v>
      </c>
    </row>
    <row r="1464" spans="1:3" x14ac:dyDescent="0.2">
      <c r="A1464" s="37" t="s">
        <v>1940</v>
      </c>
      <c r="B1464">
        <v>1</v>
      </c>
      <c r="C1464">
        <v>16.829999999999998</v>
      </c>
    </row>
    <row r="1465" spans="1:3" x14ac:dyDescent="0.2">
      <c r="A1465" s="37" t="s">
        <v>1940</v>
      </c>
      <c r="B1465">
        <v>10</v>
      </c>
      <c r="C1465">
        <v>15.370000000000003</v>
      </c>
    </row>
    <row r="1466" spans="1:3" x14ac:dyDescent="0.2">
      <c r="A1466" s="37" t="s">
        <v>1940</v>
      </c>
      <c r="B1466">
        <v>11</v>
      </c>
      <c r="C1466">
        <v>9.49</v>
      </c>
    </row>
    <row r="1467" spans="1:3" x14ac:dyDescent="0.2">
      <c r="A1467" s="37" t="s">
        <v>1940</v>
      </c>
      <c r="B1467">
        <v>2</v>
      </c>
      <c r="C1467">
        <v>14.520000000000001</v>
      </c>
    </row>
    <row r="1468" spans="1:3" x14ac:dyDescent="0.2">
      <c r="A1468" s="37" t="s">
        <v>1940</v>
      </c>
      <c r="B1468">
        <v>3</v>
      </c>
      <c r="C1468">
        <v>14.67</v>
      </c>
    </row>
    <row r="1469" spans="1:3" x14ac:dyDescent="0.2">
      <c r="A1469" s="37" t="s">
        <v>1940</v>
      </c>
      <c r="B1469">
        <v>4</v>
      </c>
      <c r="C1469">
        <v>15.62</v>
      </c>
    </row>
    <row r="1470" spans="1:3" x14ac:dyDescent="0.2">
      <c r="A1470" s="37" t="s">
        <v>1940</v>
      </c>
      <c r="B1470">
        <v>5</v>
      </c>
      <c r="C1470">
        <v>10.66</v>
      </c>
    </row>
    <row r="1471" spans="1:3" x14ac:dyDescent="0.2">
      <c r="A1471" s="37" t="s">
        <v>1940</v>
      </c>
      <c r="B1471">
        <v>6</v>
      </c>
      <c r="C1471">
        <v>13.45</v>
      </c>
    </row>
    <row r="1472" spans="1:3" x14ac:dyDescent="0.2">
      <c r="A1472" s="37" t="s">
        <v>1940</v>
      </c>
      <c r="B1472">
        <v>7</v>
      </c>
      <c r="C1472">
        <v>13.420000000000002</v>
      </c>
    </row>
    <row r="1473" spans="1:3" x14ac:dyDescent="0.2">
      <c r="A1473" s="37" t="s">
        <v>1940</v>
      </c>
      <c r="B1473">
        <v>8</v>
      </c>
      <c r="C1473">
        <v>9.4400000000000013</v>
      </c>
    </row>
    <row r="1474" spans="1:3" x14ac:dyDescent="0.2">
      <c r="A1474" s="37" t="s">
        <v>1940</v>
      </c>
      <c r="B1474">
        <v>9</v>
      </c>
      <c r="C1474">
        <v>17.88</v>
      </c>
    </row>
    <row r="1475" spans="1:3" x14ac:dyDescent="0.2">
      <c r="A1475" s="37" t="s">
        <v>501</v>
      </c>
      <c r="B1475">
        <v>1</v>
      </c>
      <c r="C1475">
        <v>13.4</v>
      </c>
    </row>
    <row r="1476" spans="1:3" x14ac:dyDescent="0.2">
      <c r="A1476" s="37" t="s">
        <v>501</v>
      </c>
      <c r="B1476">
        <v>10</v>
      </c>
      <c r="C1476">
        <v>14.319999999999999</v>
      </c>
    </row>
    <row r="1477" spans="1:3" x14ac:dyDescent="0.2">
      <c r="A1477" s="37" t="s">
        <v>501</v>
      </c>
      <c r="B1477">
        <v>11</v>
      </c>
      <c r="C1477">
        <v>10.030000000000001</v>
      </c>
    </row>
    <row r="1478" spans="1:3" x14ac:dyDescent="0.2">
      <c r="A1478" s="37" t="s">
        <v>501</v>
      </c>
      <c r="B1478">
        <v>2</v>
      </c>
      <c r="C1478">
        <v>11.280000000000001</v>
      </c>
    </row>
    <row r="1479" spans="1:3" x14ac:dyDescent="0.2">
      <c r="A1479" s="37" t="s">
        <v>501</v>
      </c>
      <c r="B1479">
        <v>3</v>
      </c>
      <c r="C1479">
        <v>13.6</v>
      </c>
    </row>
    <row r="1480" spans="1:3" x14ac:dyDescent="0.2">
      <c r="A1480" s="37" t="s">
        <v>501</v>
      </c>
      <c r="B1480">
        <v>4</v>
      </c>
      <c r="C1480">
        <v>8.9699999999999989</v>
      </c>
    </row>
    <row r="1481" spans="1:3" x14ac:dyDescent="0.2">
      <c r="A1481" s="37" t="s">
        <v>501</v>
      </c>
      <c r="B1481">
        <v>5</v>
      </c>
      <c r="C1481">
        <v>11.48</v>
      </c>
    </row>
    <row r="1482" spans="1:3" x14ac:dyDescent="0.2">
      <c r="A1482" s="37" t="s">
        <v>501</v>
      </c>
      <c r="B1482">
        <v>6</v>
      </c>
      <c r="C1482">
        <v>13.67</v>
      </c>
    </row>
    <row r="1483" spans="1:3" x14ac:dyDescent="0.2">
      <c r="A1483" s="37" t="s">
        <v>501</v>
      </c>
      <c r="B1483">
        <v>7</v>
      </c>
      <c r="C1483">
        <v>6.0300000000000011</v>
      </c>
    </row>
    <row r="1484" spans="1:3" x14ac:dyDescent="0.2">
      <c r="A1484" s="37" t="s">
        <v>501</v>
      </c>
      <c r="B1484">
        <v>8</v>
      </c>
      <c r="C1484">
        <v>12.850000000000001</v>
      </c>
    </row>
    <row r="1485" spans="1:3" x14ac:dyDescent="0.2">
      <c r="A1485" s="37" t="s">
        <v>501</v>
      </c>
      <c r="B1485">
        <v>9</v>
      </c>
      <c r="C1485">
        <v>13.969999999999999</v>
      </c>
    </row>
    <row r="1486" spans="1:3" x14ac:dyDescent="0.2">
      <c r="A1486" s="37" t="s">
        <v>1949</v>
      </c>
      <c r="B1486">
        <v>1</v>
      </c>
      <c r="C1486">
        <v>2.2599999999999998</v>
      </c>
    </row>
    <row r="1487" spans="1:3" x14ac:dyDescent="0.2">
      <c r="A1487" s="37" t="s">
        <v>1949</v>
      </c>
      <c r="B1487">
        <v>3</v>
      </c>
      <c r="C1487">
        <v>3.45</v>
      </c>
    </row>
    <row r="1488" spans="1:3" x14ac:dyDescent="0.2">
      <c r="A1488" s="37" t="s">
        <v>1949</v>
      </c>
      <c r="B1488">
        <v>4</v>
      </c>
      <c r="C1488">
        <v>3.85</v>
      </c>
    </row>
    <row r="1489" spans="1:3" x14ac:dyDescent="0.2">
      <c r="A1489" s="37" t="s">
        <v>1949</v>
      </c>
      <c r="B1489">
        <v>5</v>
      </c>
      <c r="C1489">
        <v>1.69</v>
      </c>
    </row>
    <row r="1490" spans="1:3" x14ac:dyDescent="0.2">
      <c r="A1490" s="37" t="s">
        <v>1949</v>
      </c>
      <c r="B1490">
        <v>6</v>
      </c>
      <c r="C1490">
        <v>3.53</v>
      </c>
    </row>
    <row r="1491" spans="1:3" x14ac:dyDescent="0.2">
      <c r="A1491" s="37" t="s">
        <v>1949</v>
      </c>
      <c r="B1491">
        <v>7</v>
      </c>
      <c r="C1491">
        <v>3.38</v>
      </c>
    </row>
    <row r="1492" spans="1:3" x14ac:dyDescent="0.2">
      <c r="A1492" s="37" t="s">
        <v>2033</v>
      </c>
      <c r="B1492">
        <v>1</v>
      </c>
      <c r="C1492">
        <v>8.11</v>
      </c>
    </row>
    <row r="1493" spans="1:3" x14ac:dyDescent="0.2">
      <c r="A1493" s="37" t="s">
        <v>2033</v>
      </c>
      <c r="B1493">
        <v>10</v>
      </c>
      <c r="C1493">
        <v>6.59</v>
      </c>
    </row>
    <row r="1494" spans="1:3" x14ac:dyDescent="0.2">
      <c r="A1494" s="37" t="s">
        <v>2033</v>
      </c>
      <c r="B1494">
        <v>11</v>
      </c>
      <c r="C1494">
        <v>12.81</v>
      </c>
    </row>
    <row r="1495" spans="1:3" x14ac:dyDescent="0.2">
      <c r="A1495" s="37" t="s">
        <v>2033</v>
      </c>
      <c r="B1495">
        <v>2</v>
      </c>
      <c r="C1495">
        <v>4.6500000000000004</v>
      </c>
    </row>
    <row r="1496" spans="1:3" x14ac:dyDescent="0.2">
      <c r="A1496" s="37" t="s">
        <v>2033</v>
      </c>
      <c r="B1496">
        <v>3</v>
      </c>
      <c r="C1496">
        <v>7.6400000000000006</v>
      </c>
    </row>
    <row r="1497" spans="1:3" x14ac:dyDescent="0.2">
      <c r="A1497" s="37" t="s">
        <v>2033</v>
      </c>
      <c r="B1497">
        <v>4</v>
      </c>
      <c r="C1497">
        <v>7.5</v>
      </c>
    </row>
    <row r="1498" spans="1:3" x14ac:dyDescent="0.2">
      <c r="A1498" s="37" t="s">
        <v>2033</v>
      </c>
      <c r="B1498">
        <v>5</v>
      </c>
      <c r="C1498">
        <v>7.1999999999999993</v>
      </c>
    </row>
    <row r="1499" spans="1:3" x14ac:dyDescent="0.2">
      <c r="A1499" s="37" t="s">
        <v>2033</v>
      </c>
      <c r="B1499">
        <v>6</v>
      </c>
      <c r="C1499">
        <v>7.7799999999999994</v>
      </c>
    </row>
    <row r="1500" spans="1:3" x14ac:dyDescent="0.2">
      <c r="A1500" s="37" t="s">
        <v>2033</v>
      </c>
      <c r="B1500">
        <v>7</v>
      </c>
      <c r="C1500">
        <v>7.31</v>
      </c>
    </row>
    <row r="1501" spans="1:3" x14ac:dyDescent="0.2">
      <c r="A1501" s="37" t="s">
        <v>2033</v>
      </c>
      <c r="B1501">
        <v>8</v>
      </c>
      <c r="C1501">
        <v>5.8800000000000008</v>
      </c>
    </row>
    <row r="1502" spans="1:3" x14ac:dyDescent="0.2">
      <c r="A1502" s="37" t="s">
        <v>2033</v>
      </c>
      <c r="B1502">
        <v>9</v>
      </c>
      <c r="C1502">
        <v>6.84</v>
      </c>
    </row>
  </sheetData>
  <pageMargins left="0.7" right="0.7" top="0.75" bottom="0.75" header="0.3" footer="0.3"/>
  <pageSetup orientation="portrait" horizontalDpi="1200" verticalDpi="120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abSelected="1" topLeftCell="H6" zoomScale="97" workbookViewId="0">
      <selection activeCell="AC14" sqref="AC14"/>
    </sheetView>
  </sheetViews>
  <sheetFormatPr baseColWidth="10" defaultColWidth="8.83203125" defaultRowHeight="15" x14ac:dyDescent="0.2"/>
  <cols>
    <col min="1" max="1" width="47.33203125" customWidth="1"/>
    <col min="2" max="2" width="17" bestFit="1" customWidth="1"/>
    <col min="3" max="3" width="9" bestFit="1" customWidth="1"/>
    <col min="4" max="4" width="9.5" bestFit="1" customWidth="1"/>
    <col min="6" max="6" width="12.1640625" bestFit="1" customWidth="1"/>
    <col min="10" max="10" width="14.6640625" customWidth="1"/>
    <col min="12" max="12" width="9.6640625" bestFit="1" customWidth="1"/>
    <col min="18" max="18" width="11.5" customWidth="1"/>
    <col min="19" max="19" width="10.6640625" customWidth="1"/>
    <col min="20" max="21" width="8.83203125" customWidth="1"/>
    <col min="22" max="23" width="12.1640625" customWidth="1"/>
    <col min="24" max="24" width="15.5" customWidth="1"/>
    <col min="25" max="25" width="12" customWidth="1"/>
    <col min="26" max="26" width="10.6640625" customWidth="1"/>
    <col min="27" max="27" width="23.83203125" bestFit="1" customWidth="1"/>
    <col min="28" max="28" width="9.6640625" bestFit="1" customWidth="1"/>
    <col min="29" max="29" width="8.5" bestFit="1" customWidth="1"/>
    <col min="30" max="30" width="23.83203125" bestFit="1" customWidth="1"/>
    <col min="31" max="31" width="13.83203125" customWidth="1"/>
    <col min="32" max="32" width="12.6640625" customWidth="1"/>
  </cols>
  <sheetData>
    <row r="1" spans="1:29" ht="21" x14ac:dyDescent="0.25">
      <c r="A1" s="169" t="s">
        <v>2034</v>
      </c>
      <c r="B1" s="169"/>
      <c r="C1" s="169"/>
      <c r="D1" s="169"/>
      <c r="E1" s="169"/>
      <c r="F1" s="169"/>
      <c r="G1" s="169"/>
      <c r="H1" s="169"/>
      <c r="I1" s="87" t="s">
        <v>2035</v>
      </c>
      <c r="J1" s="113" t="s">
        <v>451</v>
      </c>
      <c r="K1" s="113"/>
      <c r="L1" s="113"/>
      <c r="M1" s="113"/>
      <c r="N1" s="113"/>
      <c r="X1" s="168" t="s">
        <v>2036</v>
      </c>
      <c r="Y1" s="168"/>
    </row>
    <row r="2" spans="1:29" ht="15" customHeight="1" x14ac:dyDescent="0.2">
      <c r="A2" s="135"/>
      <c r="B2" s="135"/>
      <c r="C2" s="135"/>
      <c r="D2" s="135"/>
      <c r="E2" s="135"/>
      <c r="F2" s="135"/>
      <c r="G2" s="135"/>
      <c r="H2" s="135"/>
      <c r="R2" s="12" t="s">
        <v>2038</v>
      </c>
      <c r="S2" s="12" t="s">
        <v>2039</v>
      </c>
    </row>
    <row r="3" spans="1:29" ht="15" customHeight="1" x14ac:dyDescent="0.2">
      <c r="A3" s="135"/>
      <c r="B3" s="135"/>
      <c r="C3" s="135"/>
      <c r="D3" s="135"/>
      <c r="E3" s="135"/>
      <c r="F3" s="135"/>
      <c r="G3" s="135"/>
      <c r="H3" s="135"/>
      <c r="R3" s="12"/>
      <c r="S3" s="12"/>
    </row>
    <row r="4" spans="1:29" ht="21" x14ac:dyDescent="0.25">
      <c r="A4" s="163" t="e">
        <f ca="1">IF(ISNUMBER(SEARCH(J1,"N/A")),"",_xlfn.CONCAT(I1," ",J1))</f>
        <v>#NAME?</v>
      </c>
      <c r="B4" s="163"/>
      <c r="C4" s="158"/>
      <c r="D4" s="158"/>
      <c r="E4" s="158"/>
      <c r="F4" s="158"/>
      <c r="G4" s="158"/>
      <c r="H4" s="158"/>
      <c r="I4" s="87"/>
      <c r="J4" s="114"/>
      <c r="K4" s="114"/>
      <c r="L4" s="114"/>
      <c r="M4" s="114"/>
      <c r="N4" s="114"/>
      <c r="X4" s="12"/>
      <c r="Y4" s="12"/>
    </row>
    <row r="5" spans="1:29" ht="32" x14ac:dyDescent="0.2">
      <c r="A5" s="44" t="s">
        <v>2041</v>
      </c>
      <c r="B5" s="44"/>
      <c r="X5" s="12"/>
      <c r="Y5" s="12"/>
    </row>
    <row r="6" spans="1:29" ht="16" x14ac:dyDescent="0.2">
      <c r="A6" s="29" t="s">
        <v>2042</v>
      </c>
      <c r="B6" s="39">
        <f>B8*5/2000*7</f>
        <v>19.215</v>
      </c>
      <c r="X6" s="12"/>
      <c r="Y6" s="12"/>
    </row>
    <row r="7" spans="1:29" x14ac:dyDescent="0.2">
      <c r="A7" s="22" t="s">
        <v>2043</v>
      </c>
      <c r="B7" s="40">
        <f>B6/7</f>
        <v>2.7450000000000001</v>
      </c>
      <c r="D7" t="s">
        <v>2178</v>
      </c>
      <c r="X7" s="12"/>
      <c r="Y7" s="12"/>
    </row>
    <row r="8" spans="1:29" x14ac:dyDescent="0.2">
      <c r="A8" s="22" t="s">
        <v>2044</v>
      </c>
      <c r="B8" s="41">
        <f>VLOOKUP($J$1,developmentdata2019[],13,FALSE)</f>
        <v>1098</v>
      </c>
      <c r="D8">
        <f>B8*5/2000</f>
        <v>2.7450000000000001</v>
      </c>
      <c r="X8" s="12"/>
      <c r="Y8" s="12"/>
    </row>
    <row r="9" spans="1:29" x14ac:dyDescent="0.2">
      <c r="A9" s="22" t="s">
        <v>2045</v>
      </c>
      <c r="B9" s="41">
        <f>VLOOKUP($J$1,developmentdata2019[],24,FALSE)</f>
        <v>24</v>
      </c>
      <c r="X9" s="12"/>
      <c r="Y9" s="12"/>
    </row>
    <row r="11" spans="1:29" x14ac:dyDescent="0.2">
      <c r="B11" t="s">
        <v>2177</v>
      </c>
    </row>
    <row r="12" spans="1:29" s="2" customFormat="1" x14ac:dyDescent="0.2">
      <c r="B12" s="170" t="s">
        <v>2049</v>
      </c>
      <c r="C12" s="171"/>
      <c r="D12" s="171"/>
      <c r="E12" s="171"/>
      <c r="F12" s="171"/>
      <c r="G12" s="172"/>
      <c r="H12" s="165" t="s">
        <v>2050</v>
      </c>
      <c r="I12" s="166"/>
      <c r="J12" s="166"/>
      <c r="K12" s="166"/>
      <c r="L12" s="167"/>
      <c r="M12" s="165" t="s">
        <v>2051</v>
      </c>
      <c r="N12" s="166"/>
      <c r="O12" s="166"/>
      <c r="P12" s="166"/>
      <c r="Q12" s="167"/>
      <c r="AA12" s="164" t="s">
        <v>2052</v>
      </c>
      <c r="AB12" s="164"/>
      <c r="AC12" s="164"/>
    </row>
    <row r="13" spans="1:29" s="106" customFormat="1" ht="48" x14ac:dyDescent="0.2">
      <c r="B13" s="161" t="s">
        <v>2054</v>
      </c>
      <c r="C13" s="161" t="s">
        <v>2055</v>
      </c>
      <c r="D13" s="161" t="s">
        <v>2056</v>
      </c>
      <c r="E13" s="161" t="s">
        <v>2057</v>
      </c>
      <c r="F13" s="161" t="s">
        <v>2058</v>
      </c>
      <c r="G13" s="161" t="s">
        <v>2059</v>
      </c>
      <c r="H13" s="161" t="s">
        <v>2060</v>
      </c>
      <c r="I13" s="161" t="s">
        <v>2061</v>
      </c>
      <c r="J13" s="161" t="s">
        <v>2062</v>
      </c>
      <c r="K13" s="161" t="s">
        <v>2063</v>
      </c>
      <c r="L13" s="161" t="s">
        <v>2064</v>
      </c>
      <c r="M13" s="148" t="s">
        <v>2065</v>
      </c>
      <c r="N13" s="148" t="s">
        <v>2055</v>
      </c>
      <c r="O13" s="148" t="s">
        <v>2066</v>
      </c>
      <c r="P13" s="149" t="s">
        <v>2067</v>
      </c>
      <c r="Q13" s="148" t="s">
        <v>2068</v>
      </c>
      <c r="R13" s="150" t="s">
        <v>2069</v>
      </c>
      <c r="S13" s="151" t="s">
        <v>2070</v>
      </c>
      <c r="T13" s="151" t="s">
        <v>2071</v>
      </c>
      <c r="U13" s="151" t="s">
        <v>2072</v>
      </c>
      <c r="V13" s="151" t="s">
        <v>2073</v>
      </c>
      <c r="W13" s="151" t="s">
        <v>2074</v>
      </c>
      <c r="X13" s="151" t="s">
        <v>2075</v>
      </c>
      <c r="Y13" s="151" t="s">
        <v>2076</v>
      </c>
      <c r="Z13" s="151" t="s">
        <v>2077</v>
      </c>
      <c r="AA13" s="162" t="s">
        <v>2078</v>
      </c>
      <c r="AB13" s="161" t="s">
        <v>2079</v>
      </c>
      <c r="AC13" s="161" t="s">
        <v>2080</v>
      </c>
    </row>
    <row r="14" spans="1:29" x14ac:dyDescent="0.2">
      <c r="A14" s="24" t="s">
        <v>2081</v>
      </c>
      <c r="B14" s="96">
        <f t="shared" ref="B14:B20" si="0">B51</f>
        <v>0.7219350000000001</v>
      </c>
      <c r="C14" s="89">
        <f t="shared" ref="C14:C20" si="1">B14*B40</f>
        <v>15.196731750000003</v>
      </c>
      <c r="D14" s="89">
        <f t="shared" ref="D14:D20" si="2">B14*$B$62</f>
        <v>1443.8700000000001</v>
      </c>
      <c r="E14" s="82">
        <v>1</v>
      </c>
      <c r="F14" s="93">
        <f>B21-SUM(F15:F20)</f>
        <v>2.4540299999999999</v>
      </c>
      <c r="G14" s="94">
        <f>C21-SUM(G15:G20)</f>
        <v>32.11993125</v>
      </c>
      <c r="H14" s="84">
        <v>0.75</v>
      </c>
      <c r="I14" s="88">
        <f>G14*H14</f>
        <v>24.089948437499999</v>
      </c>
      <c r="J14" s="27">
        <f>G14*H14*B61</f>
        <v>4865.5432457156248</v>
      </c>
      <c r="K14" s="32">
        <f>ROUNDUP(G14*H14/B40*2000/40,0)</f>
        <v>58</v>
      </c>
      <c r="L14" s="91">
        <f>K14/B9</f>
        <v>2.4166666666666665</v>
      </c>
      <c r="M14" s="101">
        <f>100%-H14</f>
        <v>0.25</v>
      </c>
      <c r="N14" s="102">
        <f>G14*M14</f>
        <v>8.0299828125000001</v>
      </c>
      <c r="O14" s="103">
        <f>G14*$B$61*M14</f>
        <v>1621.8477485718749</v>
      </c>
      <c r="P14" s="104">
        <f t="shared" ref="P14:P20" si="3">O14/$B$9</f>
        <v>67.576989523828118</v>
      </c>
      <c r="Q14" s="46">
        <f t="shared" ref="Q14:Q20" si="4">ROUNDUP(O14/$B$64,0)</f>
        <v>26</v>
      </c>
      <c r="AA14" s="80" t="s">
        <v>2082</v>
      </c>
      <c r="AB14" s="89">
        <f>ROUNDUP($O14/INDEX('container info'!$B$3:$G$21,MATCH('Overall Calculator'!AA14,Containers,0),1),0)</f>
        <v>1</v>
      </c>
      <c r="AC14" s="99">
        <f>INDEX('container info'!$B$3:$G$21,MATCH('Overall Calculator'!AA14,Containers,0),6)*AB14</f>
        <v>191.59</v>
      </c>
    </row>
    <row r="15" spans="1:29" x14ac:dyDescent="0.2">
      <c r="A15" s="160" t="s">
        <v>2038</v>
      </c>
      <c r="B15" s="96">
        <f t="shared" si="0"/>
        <v>0.52155000000000007</v>
      </c>
      <c r="C15" s="89">
        <f t="shared" si="1"/>
        <v>9.3983310000000007</v>
      </c>
      <c r="D15" s="89">
        <f t="shared" si="2"/>
        <v>1043.1000000000001</v>
      </c>
      <c r="E15" s="82">
        <v>0.3</v>
      </c>
      <c r="F15" s="93">
        <f>B15*E15</f>
        <v>0.15646500000000002</v>
      </c>
      <c r="G15" s="89">
        <f>C15*E15</f>
        <v>2.8194992999999999</v>
      </c>
      <c r="H15" s="16" t="s">
        <v>2083</v>
      </c>
      <c r="I15" s="13" t="s">
        <v>2083</v>
      </c>
      <c r="J15" s="13" t="s">
        <v>2083</v>
      </c>
      <c r="K15" s="13" t="s">
        <v>2083</v>
      </c>
      <c r="L15" s="13" t="s">
        <v>2083</v>
      </c>
      <c r="M15" s="20">
        <f>1</f>
        <v>1</v>
      </c>
      <c r="N15" s="89">
        <f>G15</f>
        <v>2.8194992999999999</v>
      </c>
      <c r="O15" s="14">
        <f t="shared" ref="O15:O20" si="5">G15*$B$61</f>
        <v>569.46555161819992</v>
      </c>
      <c r="P15" s="14">
        <f t="shared" si="3"/>
        <v>23.727731317424997</v>
      </c>
      <c r="Q15" s="19">
        <f t="shared" si="4"/>
        <v>9</v>
      </c>
      <c r="R15" s="5"/>
      <c r="S15" t="e">
        <f>#REF!*7</f>
        <v>#REF!</v>
      </c>
      <c r="T15" s="3">
        <f>G15*7</f>
        <v>19.736495099999999</v>
      </c>
      <c r="U15">
        <f>ROUND(T15/30,)</f>
        <v>1</v>
      </c>
      <c r="V15" s="3" t="e">
        <f>#REF!*#REF!</f>
        <v>#REF!</v>
      </c>
      <c r="W15" s="3" t="e">
        <f>V15*7</f>
        <v>#REF!</v>
      </c>
      <c r="X15" s="3" t="e">
        <f>W15/2</f>
        <v>#REF!</v>
      </c>
      <c r="Y15" s="6" t="e">
        <f>ROUND(X15/16,0)</f>
        <v>#REF!</v>
      </c>
      <c r="Z15" s="3" t="e">
        <f>S15*#REF!</f>
        <v>#REF!</v>
      </c>
      <c r="AA15" s="16" t="s">
        <v>2084</v>
      </c>
      <c r="AB15" s="89">
        <f>ROUNDUP($O15/INDEX('container info'!$B$3:$G$21,MATCH('Overall Calculator'!AA15,Containers,0),1),0)</f>
        <v>17</v>
      </c>
      <c r="AC15" s="99">
        <f>INDEX('container info'!$B$3:$G$21,MATCH('Overall Calculator'!AA15,Containers,0),6)*AB15</f>
        <v>34</v>
      </c>
    </row>
    <row r="16" spans="1:29" x14ac:dyDescent="0.2">
      <c r="A16" s="160" t="s">
        <v>2085</v>
      </c>
      <c r="B16" s="96">
        <f t="shared" si="0"/>
        <v>0.19215000000000002</v>
      </c>
      <c r="C16" s="89">
        <f t="shared" si="1"/>
        <v>5.1246405000000008</v>
      </c>
      <c r="D16" s="89">
        <f t="shared" si="2"/>
        <v>384.3</v>
      </c>
      <c r="E16" s="83">
        <v>0.5</v>
      </c>
      <c r="F16" s="93">
        <f>B16*E16</f>
        <v>9.6075000000000008E-2</v>
      </c>
      <c r="G16" s="89">
        <f>C16*E16</f>
        <v>2.5623202500000004</v>
      </c>
      <c r="H16" s="16" t="s">
        <v>2083</v>
      </c>
      <c r="I16" s="13" t="s">
        <v>2083</v>
      </c>
      <c r="J16" s="13" t="s">
        <v>2083</v>
      </c>
      <c r="K16" s="13" t="s">
        <v>2083</v>
      </c>
      <c r="L16" s="13" t="s">
        <v>2083</v>
      </c>
      <c r="M16" s="20">
        <f>1</f>
        <v>1</v>
      </c>
      <c r="N16" s="89">
        <f t="shared" ref="N16:N20" si="6">G16</f>
        <v>2.5623202500000004</v>
      </c>
      <c r="O16" s="14">
        <f t="shared" si="5"/>
        <v>517.52207017350008</v>
      </c>
      <c r="P16" s="14">
        <f t="shared" si="3"/>
        <v>21.563419590562503</v>
      </c>
      <c r="Q16" s="19">
        <f t="shared" si="4"/>
        <v>9</v>
      </c>
      <c r="R16" s="5">
        <f>D16*E16*7/45*1.25</f>
        <v>37.362499999999997</v>
      </c>
      <c r="S16" t="e">
        <f>#REF!*7</f>
        <v>#REF!</v>
      </c>
      <c r="T16" s="3">
        <f t="shared" ref="T16:T17" si="7">G16*7</f>
        <v>17.936241750000004</v>
      </c>
      <c r="U16">
        <f>ROUND((T16+T17)/30,)</f>
        <v>1</v>
      </c>
      <c r="V16" s="3" t="e">
        <f>(#REF!+#REF!)*#REF!</f>
        <v>#REF!</v>
      </c>
      <c r="W16" s="3" t="e">
        <f>V16*7</f>
        <v>#REF!</v>
      </c>
      <c r="X16" s="3" t="e">
        <f>W16/2</f>
        <v>#REF!</v>
      </c>
      <c r="Y16" s="6" t="e">
        <f>ROUND(X16/16,0)</f>
        <v>#REF!</v>
      </c>
      <c r="Z16" s="3" t="e">
        <f>(S16+S17)*#REF!</f>
        <v>#REF!</v>
      </c>
      <c r="AA16" s="16" t="s">
        <v>2086</v>
      </c>
      <c r="AB16" s="89">
        <f>ROUNDUP($O16/INDEX('container info'!$B$3:$G$21,MATCH('Overall Calculator'!AA16,Containers,0),1),0)</f>
        <v>14</v>
      </c>
      <c r="AC16" s="99">
        <f>INDEX('container info'!$B$3:$G$21,MATCH('Overall Calculator'!AA16,Containers,0),6)*AB16</f>
        <v>58.333333333333336</v>
      </c>
    </row>
    <row r="17" spans="1:29" x14ac:dyDescent="0.2">
      <c r="A17" s="160" t="s">
        <v>2039</v>
      </c>
      <c r="B17" s="96">
        <f t="shared" si="0"/>
        <v>0.19215000000000002</v>
      </c>
      <c r="C17" s="89">
        <f t="shared" si="1"/>
        <v>1.1894085000000001</v>
      </c>
      <c r="D17" s="89">
        <f t="shared" si="2"/>
        <v>384.3</v>
      </c>
      <c r="E17" s="83">
        <v>0.2</v>
      </c>
      <c r="F17" s="93">
        <f t="shared" ref="F17:F20" si="8">B17*E17</f>
        <v>3.8430000000000006E-2</v>
      </c>
      <c r="G17" s="89">
        <f t="shared" ref="G17:G20" si="9">C17*E17</f>
        <v>0.23788170000000003</v>
      </c>
      <c r="H17" s="16" t="s">
        <v>2083</v>
      </c>
      <c r="I17" s="13" t="s">
        <v>2083</v>
      </c>
      <c r="J17" s="13" t="s">
        <v>2083</v>
      </c>
      <c r="K17" s="13" t="s">
        <v>2083</v>
      </c>
      <c r="L17" s="13" t="s">
        <v>2083</v>
      </c>
      <c r="M17" s="20">
        <f>1</f>
        <v>1</v>
      </c>
      <c r="N17" s="89">
        <f t="shared" si="6"/>
        <v>0.23788170000000003</v>
      </c>
      <c r="O17" s="14">
        <f t="shared" si="5"/>
        <v>48.045918475800001</v>
      </c>
      <c r="P17" s="14">
        <f t="shared" si="3"/>
        <v>2.0019132698250002</v>
      </c>
      <c r="Q17" s="19">
        <f t="shared" si="4"/>
        <v>1</v>
      </c>
      <c r="R17" s="5"/>
      <c r="S17" t="e">
        <f>#REF!*7</f>
        <v>#REF!</v>
      </c>
      <c r="T17" s="3">
        <f t="shared" si="7"/>
        <v>1.6651719000000003</v>
      </c>
      <c r="AA17" s="16" t="s">
        <v>2084</v>
      </c>
      <c r="AB17" s="89">
        <f>ROUNDUP($O17/INDEX('container info'!$B$3:$G$21,MATCH('Overall Calculator'!AA17,Containers,0),1),0)</f>
        <v>2</v>
      </c>
      <c r="AC17" s="99">
        <f>INDEX('container info'!$B$3:$G$21,MATCH('Overall Calculator'!AA17,Containers,0),6)*AB17</f>
        <v>4</v>
      </c>
    </row>
    <row r="18" spans="1:29" x14ac:dyDescent="0.2">
      <c r="A18" s="24" t="s">
        <v>2087</v>
      </c>
      <c r="B18" s="96">
        <f t="shared" si="0"/>
        <v>0.87840000000000007</v>
      </c>
      <c r="C18" s="89">
        <f t="shared" si="1"/>
        <v>3.7946880000000007</v>
      </c>
      <c r="D18" s="89">
        <f t="shared" si="2"/>
        <v>1756.8000000000002</v>
      </c>
      <c r="E18" s="85">
        <f>0%</f>
        <v>0</v>
      </c>
      <c r="F18" s="93">
        <f t="shared" si="8"/>
        <v>0</v>
      </c>
      <c r="G18" s="89">
        <f t="shared" si="9"/>
        <v>0</v>
      </c>
      <c r="H18" s="16" t="s">
        <v>2083</v>
      </c>
      <c r="I18" s="13" t="s">
        <v>2083</v>
      </c>
      <c r="J18" s="13" t="s">
        <v>2083</v>
      </c>
      <c r="K18" s="13" t="s">
        <v>2083</v>
      </c>
      <c r="L18" s="13" t="s">
        <v>2083</v>
      </c>
      <c r="M18" s="20">
        <f>E18</f>
        <v>0</v>
      </c>
      <c r="N18" s="89">
        <f t="shared" si="6"/>
        <v>0</v>
      </c>
      <c r="O18" s="14">
        <f t="shared" si="5"/>
        <v>0</v>
      </c>
      <c r="P18" s="14">
        <f t="shared" si="3"/>
        <v>0</v>
      </c>
      <c r="Q18" s="19">
        <f t="shared" si="4"/>
        <v>0</v>
      </c>
      <c r="AA18" s="16"/>
      <c r="AB18" s="89" t="e">
        <f>ROUNDUP($O18/INDEX('container info'!$B$3:$G$21,MATCH('Overall Calculator'!AA18,Containers,0),1),0)</f>
        <v>#N/A</v>
      </c>
      <c r="AC18" s="99" t="e">
        <f>INDEX('container info'!$B$3:$G$21,MATCH('Overall Calculator'!AA18,Containers,0),6)*AB18</f>
        <v>#N/A</v>
      </c>
    </row>
    <row r="19" spans="1:29" x14ac:dyDescent="0.2">
      <c r="A19" s="24" t="s">
        <v>2088</v>
      </c>
      <c r="B19" s="96">
        <f t="shared" si="0"/>
        <v>1.9214999999999999E-2</v>
      </c>
      <c r="C19" s="89">
        <f t="shared" si="1"/>
        <v>0.10856475</v>
      </c>
      <c r="D19" s="89">
        <f t="shared" si="2"/>
        <v>38.43</v>
      </c>
      <c r="E19" s="85">
        <v>0</v>
      </c>
      <c r="F19" s="93">
        <f t="shared" si="8"/>
        <v>0</v>
      </c>
      <c r="G19" s="89">
        <f t="shared" si="9"/>
        <v>0</v>
      </c>
      <c r="H19" s="16" t="s">
        <v>2083</v>
      </c>
      <c r="I19" s="13" t="s">
        <v>2083</v>
      </c>
      <c r="J19" s="13" t="s">
        <v>2083</v>
      </c>
      <c r="K19" s="13" t="s">
        <v>2083</v>
      </c>
      <c r="L19" s="13" t="s">
        <v>2083</v>
      </c>
      <c r="M19" s="20">
        <f>E19</f>
        <v>0</v>
      </c>
      <c r="N19" s="89">
        <f t="shared" si="6"/>
        <v>0</v>
      </c>
      <c r="O19" s="14">
        <f t="shared" si="5"/>
        <v>0</v>
      </c>
      <c r="P19" s="14">
        <f t="shared" si="3"/>
        <v>0</v>
      </c>
      <c r="Q19" s="19">
        <f t="shared" si="4"/>
        <v>0</v>
      </c>
      <c r="AA19" s="16"/>
      <c r="AB19" s="89" t="e">
        <f>ROUNDUP($O19/INDEX('container info'!$B$3:$G$21,MATCH('Overall Calculator'!AA19,Containers,0),1),0)</f>
        <v>#N/A</v>
      </c>
      <c r="AC19" s="99" t="e">
        <f>INDEX('container info'!$B$3:$G$21,MATCH('Overall Calculator'!AA19,Containers,0),6)*AB19</f>
        <v>#N/A</v>
      </c>
    </row>
    <row r="20" spans="1:29" x14ac:dyDescent="0.2">
      <c r="A20" s="24" t="s">
        <v>2089</v>
      </c>
      <c r="B20" s="97">
        <f t="shared" si="0"/>
        <v>0.21960000000000002</v>
      </c>
      <c r="C20" s="90">
        <f t="shared" si="1"/>
        <v>2.9272680000000002</v>
      </c>
      <c r="D20" s="90">
        <f t="shared" si="2"/>
        <v>439.20000000000005</v>
      </c>
      <c r="E20" s="86">
        <v>0</v>
      </c>
      <c r="F20" s="95">
        <f t="shared" si="8"/>
        <v>0</v>
      </c>
      <c r="G20" s="90">
        <f t="shared" si="9"/>
        <v>0</v>
      </c>
      <c r="H20" s="17" t="s">
        <v>2083</v>
      </c>
      <c r="I20" s="18" t="s">
        <v>2083</v>
      </c>
      <c r="J20" s="18" t="s">
        <v>2083</v>
      </c>
      <c r="K20" s="18" t="s">
        <v>2083</v>
      </c>
      <c r="L20" s="18" t="s">
        <v>2083</v>
      </c>
      <c r="M20" s="47">
        <f>E20</f>
        <v>0</v>
      </c>
      <c r="N20" s="90">
        <f t="shared" si="6"/>
        <v>0</v>
      </c>
      <c r="O20" s="15">
        <f t="shared" si="5"/>
        <v>0</v>
      </c>
      <c r="P20" s="15">
        <f t="shared" si="3"/>
        <v>0</v>
      </c>
      <c r="Q20" s="21">
        <f t="shared" si="4"/>
        <v>0</v>
      </c>
      <c r="AA20" s="17"/>
      <c r="AB20" s="90" t="e">
        <f>ROUNDUP($O20/INDEX('container info'!$B$3:$G$21,MATCH('Overall Calculator'!AA20,Containers,0),1),0)</f>
        <v>#N/A</v>
      </c>
      <c r="AC20" s="100" t="e">
        <f>INDEX('container info'!$B$3:$G$21,MATCH('Overall Calculator'!AA20,Containers,0),6)*AB20</f>
        <v>#N/A</v>
      </c>
    </row>
    <row r="21" spans="1:29" x14ac:dyDescent="0.2">
      <c r="A21" s="24" t="s">
        <v>2090</v>
      </c>
      <c r="B21" s="98">
        <f>SUM(B14:B20)</f>
        <v>2.7450000000000001</v>
      </c>
      <c r="C21" s="98">
        <f>SUM(C14:C20)</f>
        <v>37.739632499999999</v>
      </c>
      <c r="D21" s="98">
        <f>SUM(D14:D20)</f>
        <v>5490.0000000000009</v>
      </c>
      <c r="E21" s="30"/>
      <c r="F21" s="30"/>
      <c r="K21" s="33">
        <f>SUM(K14:K20)</f>
        <v>58</v>
      </c>
      <c r="Q21" s="33">
        <f>SUM(Q14:Q20)</f>
        <v>45</v>
      </c>
    </row>
    <row r="22" spans="1:29" x14ac:dyDescent="0.2">
      <c r="A22" s="24"/>
      <c r="B22" s="98"/>
      <c r="C22" s="98"/>
      <c r="D22" s="98"/>
      <c r="E22" s="30"/>
      <c r="F22" s="30"/>
      <c r="K22" s="33"/>
      <c r="Q22" s="33"/>
    </row>
    <row r="23" spans="1:29" x14ac:dyDescent="0.2">
      <c r="A23" s="24"/>
      <c r="B23" s="165" t="s">
        <v>2053</v>
      </c>
      <c r="C23" s="166"/>
      <c r="D23" s="167"/>
      <c r="E23" s="30"/>
      <c r="F23" s="30"/>
      <c r="K23" s="33"/>
      <c r="Q23" s="33"/>
    </row>
    <row r="24" spans="1:29" ht="32" x14ac:dyDescent="0.2">
      <c r="A24" s="24"/>
      <c r="B24" s="162" t="s">
        <v>2078</v>
      </c>
      <c r="C24" s="161" t="s">
        <v>2079</v>
      </c>
      <c r="D24" s="161" t="s">
        <v>2080</v>
      </c>
      <c r="E24" s="30"/>
      <c r="F24" s="30"/>
      <c r="K24" s="33"/>
      <c r="Q24" s="33"/>
    </row>
    <row r="25" spans="1:29" x14ac:dyDescent="0.2">
      <c r="A25" s="24" t="s">
        <v>2081</v>
      </c>
      <c r="B25" s="80"/>
      <c r="C25" s="89"/>
      <c r="D25" s="99"/>
      <c r="E25" s="30"/>
      <c r="F25" s="30"/>
      <c r="K25" s="33"/>
      <c r="Q25" s="33"/>
    </row>
    <row r="26" spans="1:29" x14ac:dyDescent="0.2">
      <c r="A26" s="160" t="s">
        <v>2038</v>
      </c>
      <c r="B26" s="16" t="s">
        <v>2084</v>
      </c>
      <c r="C26" s="89">
        <f>ROUNDUP($O15*7/INDEX('container info'!$B$3:$G$21,MATCH('Overall Calculator'!B26,Containers,0),1),0)</f>
        <v>114</v>
      </c>
      <c r="D26" s="99">
        <f>INDEX('container info'!$B$3:$G$21,MATCH('Overall Calculator'!B26,Containers,0),6)*C26</f>
        <v>228</v>
      </c>
      <c r="E26" s="30"/>
      <c r="F26" s="30"/>
      <c r="K26" s="33"/>
      <c r="Q26" s="33"/>
    </row>
    <row r="27" spans="1:29" x14ac:dyDescent="0.2">
      <c r="A27" s="160" t="s">
        <v>2085</v>
      </c>
      <c r="B27" s="16" t="s">
        <v>2086</v>
      </c>
      <c r="C27" s="89">
        <f>ROUNDUP($O16*7/INDEX('container info'!$B$3:$G$21,MATCH('Overall Calculator'!B27,Containers,0),1),0)</f>
        <v>93</v>
      </c>
      <c r="D27" s="99">
        <f>INDEX('container info'!$B$3:$G$21,MATCH('Overall Calculator'!B27,Containers,0),6)*C27</f>
        <v>387.5</v>
      </c>
      <c r="E27" s="30"/>
      <c r="F27" s="30"/>
      <c r="K27" s="33"/>
      <c r="Q27" s="33"/>
    </row>
    <row r="28" spans="1:29" x14ac:dyDescent="0.2">
      <c r="A28" s="160" t="s">
        <v>2039</v>
      </c>
      <c r="B28" s="16" t="s">
        <v>2084</v>
      </c>
      <c r="C28" s="89">
        <f>ROUNDUP($O17*7/INDEX('container info'!$B$3:$G$21,MATCH('Overall Calculator'!B28,Containers,0),1),0)</f>
        <v>10</v>
      </c>
      <c r="D28" s="99">
        <f>INDEX('container info'!$B$3:$G$21,MATCH('Overall Calculator'!B28,Containers,0),6)*C28</f>
        <v>20</v>
      </c>
      <c r="E28" s="30"/>
      <c r="F28" s="30"/>
      <c r="K28" s="33"/>
      <c r="Q28" s="33"/>
    </row>
    <row r="29" spans="1:29" x14ac:dyDescent="0.2">
      <c r="A29" s="24" t="s">
        <v>2087</v>
      </c>
      <c r="B29" s="16"/>
      <c r="C29" s="89" t="e">
        <f>ROUNDUP($O18*7/INDEX('container info'!$B$3:$G$21,MATCH('Overall Calculator'!B29,Containers,0),1),0)</f>
        <v>#N/A</v>
      </c>
      <c r="D29" s="99" t="e">
        <f>INDEX('container info'!$B$3:$G$21,MATCH('Overall Calculator'!B29,Containers,0),6)*C29</f>
        <v>#N/A</v>
      </c>
      <c r="E29" s="30"/>
      <c r="F29" s="30"/>
      <c r="K29" s="33"/>
      <c r="Q29" s="33"/>
    </row>
    <row r="30" spans="1:29" x14ac:dyDescent="0.2">
      <c r="A30" s="24" t="s">
        <v>2088</v>
      </c>
      <c r="B30" s="16"/>
      <c r="C30" s="89" t="e">
        <f>ROUNDUP($O19*7/INDEX('container info'!$B$3:$G$21,MATCH('Overall Calculator'!B30,Containers,0),1),0)</f>
        <v>#N/A</v>
      </c>
      <c r="D30" s="99" t="e">
        <f>INDEX('container info'!$B$3:$G$21,MATCH('Overall Calculator'!B30,Containers,0),6)*C30</f>
        <v>#N/A</v>
      </c>
      <c r="E30" s="30"/>
      <c r="F30" s="30"/>
      <c r="K30" s="33"/>
      <c r="Q30" s="33"/>
    </row>
    <row r="31" spans="1:29" x14ac:dyDescent="0.2">
      <c r="A31" s="24" t="s">
        <v>2089</v>
      </c>
      <c r="B31" s="17"/>
      <c r="C31" s="90" t="e">
        <f>ROUNDUP($O20*7/INDEX('container info'!$B$3:$G$21,MATCH('Overall Calculator'!B31,Containers,0),1),0)</f>
        <v>#N/A</v>
      </c>
      <c r="D31" s="100" t="e">
        <f>INDEX('container info'!$B$3:$G$21,MATCH('Overall Calculator'!B31,Containers,0),6)*C31</f>
        <v>#N/A</v>
      </c>
      <c r="E31" s="30"/>
      <c r="F31" s="30"/>
      <c r="K31" s="33"/>
      <c r="Q31" s="33"/>
    </row>
    <row r="32" spans="1:29" x14ac:dyDescent="0.2">
      <c r="A32" s="24"/>
      <c r="B32" s="98"/>
      <c r="C32" s="98"/>
      <c r="D32" s="98"/>
      <c r="E32" s="30"/>
      <c r="F32" s="30"/>
      <c r="K32" s="33"/>
      <c r="Q32" s="33"/>
    </row>
    <row r="33" spans="1:28" x14ac:dyDescent="0.2">
      <c r="A33" s="24"/>
      <c r="B33" s="98"/>
      <c r="C33" s="98"/>
      <c r="D33" s="98"/>
      <c r="E33" s="30"/>
      <c r="F33" s="30"/>
      <c r="K33" s="33"/>
      <c r="Q33" s="33"/>
    </row>
    <row r="34" spans="1:28" x14ac:dyDescent="0.2">
      <c r="A34" s="24"/>
      <c r="B34" s="98"/>
      <c r="C34" s="98"/>
      <c r="D34" s="98"/>
      <c r="E34" s="30"/>
      <c r="F34" s="30"/>
      <c r="K34" s="33"/>
      <c r="Q34" s="33"/>
    </row>
    <row r="35" spans="1:28" x14ac:dyDescent="0.2">
      <c r="A35" s="24"/>
      <c r="B35" s="98"/>
      <c r="C35" s="98"/>
      <c r="D35" s="98"/>
      <c r="E35" s="30"/>
      <c r="F35" s="30"/>
      <c r="K35" s="33"/>
      <c r="Q35" s="33"/>
    </row>
    <row r="36" spans="1:28" x14ac:dyDescent="0.2">
      <c r="A36" s="24"/>
      <c r="B36" s="98"/>
      <c r="C36" s="98"/>
      <c r="D36" s="98"/>
      <c r="E36" s="30"/>
      <c r="F36" s="30"/>
      <c r="K36" s="33"/>
      <c r="Q36" s="33"/>
    </row>
    <row r="38" spans="1:28" x14ac:dyDescent="0.2">
      <c r="E38" t="s">
        <v>2093</v>
      </c>
    </row>
    <row r="39" spans="1:28" x14ac:dyDescent="0.2">
      <c r="A39" s="78" t="s">
        <v>2094</v>
      </c>
      <c r="B39" s="157"/>
      <c r="E39">
        <f t="shared" ref="E39:E45" si="10">C14*$B$61</f>
        <v>3069.3446984745005</v>
      </c>
      <c r="AB39" s="105"/>
    </row>
    <row r="40" spans="1:28" x14ac:dyDescent="0.2">
      <c r="A40" s="22" t="s">
        <v>2081</v>
      </c>
      <c r="B40" s="23">
        <v>21.05</v>
      </c>
      <c r="E40">
        <f t="shared" si="10"/>
        <v>1898.218505394</v>
      </c>
    </row>
    <row r="41" spans="1:28" x14ac:dyDescent="0.2">
      <c r="A41" s="22" t="s">
        <v>2038</v>
      </c>
      <c r="B41" s="23">
        <v>18.02</v>
      </c>
      <c r="E41">
        <f t="shared" si="10"/>
        <v>1035.0441403470002</v>
      </c>
    </row>
    <row r="42" spans="1:28" x14ac:dyDescent="0.2">
      <c r="A42" s="22" t="s">
        <v>2085</v>
      </c>
      <c r="B42" s="23">
        <v>26.67</v>
      </c>
      <c r="E42">
        <f t="shared" si="10"/>
        <v>240.229592379</v>
      </c>
    </row>
    <row r="43" spans="1:28" x14ac:dyDescent="0.2">
      <c r="A43" s="22" t="s">
        <v>2039</v>
      </c>
      <c r="B43" s="23">
        <v>6.19</v>
      </c>
      <c r="E43">
        <f t="shared" si="10"/>
        <v>766.42831411200007</v>
      </c>
    </row>
    <row r="44" spans="1:28" x14ac:dyDescent="0.2">
      <c r="A44" s="22" t="s">
        <v>2087</v>
      </c>
      <c r="B44" s="23">
        <v>4.32</v>
      </c>
      <c r="E44">
        <f t="shared" si="10"/>
        <v>21.927256816499998</v>
      </c>
    </row>
    <row r="45" spans="1:28" x14ac:dyDescent="0.2">
      <c r="A45" s="22" t="s">
        <v>2088</v>
      </c>
      <c r="B45" s="23">
        <v>5.65</v>
      </c>
      <c r="E45">
        <f t="shared" si="10"/>
        <v>591.23202703200002</v>
      </c>
    </row>
    <row r="46" spans="1:28" x14ac:dyDescent="0.2">
      <c r="A46" s="22" t="s">
        <v>2089</v>
      </c>
      <c r="B46" s="23">
        <v>13.33</v>
      </c>
    </row>
    <row r="47" spans="1:28" x14ac:dyDescent="0.2">
      <c r="A47" s="77"/>
      <c r="B47" s="79" t="s">
        <v>2095</v>
      </c>
    </row>
    <row r="48" spans="1:28" x14ac:dyDescent="0.2">
      <c r="A48" s="23" t="s">
        <v>2096</v>
      </c>
      <c r="B48" s="23">
        <f>30/2.5</f>
        <v>12</v>
      </c>
    </row>
    <row r="50" spans="1:6" ht="48" x14ac:dyDescent="0.2">
      <c r="A50" s="34" t="s">
        <v>2097</v>
      </c>
      <c r="B50" s="35" t="s">
        <v>2043</v>
      </c>
      <c r="C50" s="157" t="s">
        <v>2098</v>
      </c>
      <c r="E50" s="34" t="s">
        <v>2099</v>
      </c>
      <c r="F50" s="34" t="s">
        <v>2100</v>
      </c>
    </row>
    <row r="51" spans="1:6" x14ac:dyDescent="0.2">
      <c r="A51" s="22" t="s">
        <v>2101</v>
      </c>
      <c r="B51" s="25">
        <f>C51*$B$7</f>
        <v>0.7219350000000001</v>
      </c>
      <c r="C51" s="26">
        <v>0.26300000000000001</v>
      </c>
      <c r="E51" s="26">
        <v>1</v>
      </c>
      <c r="F51" s="26">
        <v>1</v>
      </c>
    </row>
    <row r="52" spans="1:6" x14ac:dyDescent="0.2">
      <c r="A52" s="22" t="s">
        <v>2038</v>
      </c>
      <c r="B52" s="25">
        <f>C52*$B$7</f>
        <v>0.52155000000000007</v>
      </c>
      <c r="C52" s="26">
        <v>0.19</v>
      </c>
      <c r="E52" s="26">
        <v>0.54</v>
      </c>
      <c r="F52" s="26">
        <v>0.05</v>
      </c>
    </row>
    <row r="53" spans="1:6" x14ac:dyDescent="0.2">
      <c r="A53" s="22" t="s">
        <v>2085</v>
      </c>
      <c r="B53" s="25">
        <f t="shared" ref="B53:B57" si="11">C53*$B$7</f>
        <v>0.19215000000000002</v>
      </c>
      <c r="C53" s="26">
        <v>7.0000000000000007E-2</v>
      </c>
      <c r="E53" s="26">
        <v>0.5</v>
      </c>
      <c r="F53" s="26">
        <v>0.25</v>
      </c>
    </row>
    <row r="54" spans="1:6" x14ac:dyDescent="0.2">
      <c r="A54" s="22" t="s">
        <v>2039</v>
      </c>
      <c r="B54" s="25">
        <f t="shared" si="11"/>
        <v>0.19215000000000002</v>
      </c>
      <c r="C54" s="26">
        <v>7.0000000000000007E-2</v>
      </c>
      <c r="E54" s="26">
        <v>0.5</v>
      </c>
      <c r="F54" s="26">
        <v>0.1</v>
      </c>
    </row>
    <row r="55" spans="1:6" x14ac:dyDescent="0.2">
      <c r="A55" s="22" t="s">
        <v>2087</v>
      </c>
      <c r="B55" s="25">
        <f t="shared" si="11"/>
        <v>0.87840000000000007</v>
      </c>
      <c r="C55" s="26">
        <v>0.32</v>
      </c>
      <c r="E55" s="26">
        <v>0</v>
      </c>
      <c r="F55" s="26">
        <v>0</v>
      </c>
    </row>
    <row r="56" spans="1:6" x14ac:dyDescent="0.2">
      <c r="A56" s="22" t="s">
        <v>2088</v>
      </c>
      <c r="B56" s="25">
        <f t="shared" si="11"/>
        <v>1.9214999999999999E-2</v>
      </c>
      <c r="C56" s="26">
        <v>7.0000000000000001E-3</v>
      </c>
      <c r="E56" s="26">
        <v>0</v>
      </c>
      <c r="F56" s="26">
        <v>0</v>
      </c>
    </row>
    <row r="57" spans="1:6" x14ac:dyDescent="0.2">
      <c r="A57" s="22" t="s">
        <v>2089</v>
      </c>
      <c r="B57" s="25">
        <f t="shared" si="11"/>
        <v>0.21960000000000002</v>
      </c>
      <c r="C57" s="26">
        <v>0.08</v>
      </c>
      <c r="E57" s="26">
        <v>0</v>
      </c>
      <c r="F57" s="26">
        <v>0</v>
      </c>
    </row>
    <row r="58" spans="1:6" x14ac:dyDescent="0.2">
      <c r="B58" s="30">
        <f>SUM(B51:B57)</f>
        <v>2.7450000000000001</v>
      </c>
      <c r="C58" s="31">
        <f>SUM(C51:C57)</f>
        <v>1</v>
      </c>
    </row>
    <row r="60" spans="1:6" x14ac:dyDescent="0.2">
      <c r="A60" s="165" t="s">
        <v>2102</v>
      </c>
      <c r="B60" s="167"/>
    </row>
    <row r="61" spans="1:6" x14ac:dyDescent="0.2">
      <c r="A61" s="22" t="s">
        <v>2103</v>
      </c>
      <c r="B61" s="23">
        <v>201.97399999999999</v>
      </c>
    </row>
    <row r="62" spans="1:6" x14ac:dyDescent="0.2">
      <c r="A62" s="22" t="s">
        <v>2104</v>
      </c>
      <c r="B62" s="23">
        <v>2000</v>
      </c>
    </row>
    <row r="63" spans="1:6" x14ac:dyDescent="0.2">
      <c r="A63" s="22" t="s">
        <v>2105</v>
      </c>
      <c r="B63" s="23">
        <v>40</v>
      </c>
    </row>
    <row r="64" spans="1:6" x14ac:dyDescent="0.2">
      <c r="A64" s="22" t="s">
        <v>2106</v>
      </c>
      <c r="B64" s="23">
        <v>64</v>
      </c>
    </row>
    <row r="65" spans="1:2" x14ac:dyDescent="0.2">
      <c r="A65" s="28" t="s">
        <v>2107</v>
      </c>
      <c r="B65" s="29">
        <v>44</v>
      </c>
    </row>
    <row r="66" spans="1:2" x14ac:dyDescent="0.2">
      <c r="A66" s="28" t="s">
        <v>2108</v>
      </c>
      <c r="B66" s="25">
        <f>1/3</f>
        <v>0.33333333333333331</v>
      </c>
    </row>
    <row r="68" spans="1:2" x14ac:dyDescent="0.2">
      <c r="A68" s="23" t="s">
        <v>2109</v>
      </c>
      <c r="B68" s="25">
        <f>1/3</f>
        <v>0.33333333333333331</v>
      </c>
    </row>
    <row r="69" spans="1:2" x14ac:dyDescent="0.2">
      <c r="A69" s="23" t="s">
        <v>2110</v>
      </c>
      <c r="B69" s="25">
        <f>1/3</f>
        <v>0.33333333333333331</v>
      </c>
    </row>
  </sheetData>
  <mergeCells count="9">
    <mergeCell ref="A4:B4"/>
    <mergeCell ref="AA12:AC12"/>
    <mergeCell ref="B23:D23"/>
    <mergeCell ref="A60:B60"/>
    <mergeCell ref="X1:Y1"/>
    <mergeCell ref="A1:H1"/>
    <mergeCell ref="B12:G12"/>
    <mergeCell ref="H12:L12"/>
    <mergeCell ref="M12:Q12"/>
  </mergeCells>
  <dataValidations count="2">
    <dataValidation type="list" allowBlank="1" showInputMessage="1" showErrorMessage="1" sqref="AA14:AA20 B25:B31" xr:uid="{D6BF98FF-A309-4A9B-9392-C9316367A4A1}">
      <formula1>Containers</formula1>
    </dataValidation>
    <dataValidation type="list" allowBlank="1" showInputMessage="1" showErrorMessage="1" sqref="J1:J4" xr:uid="{19194CDE-B6A8-4D81-AD2C-8A82BBBD4509}">
      <formula1>Developments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7571-7D40-0240-89B6-ADB58844A80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ED4D-4C74-2542-9559-577A31913C72}">
  <dimension ref="A1:AG102"/>
  <sheetViews>
    <sheetView zoomScale="97" workbookViewId="0">
      <selection activeCell="A25" sqref="A25:A32"/>
    </sheetView>
  </sheetViews>
  <sheetFormatPr baseColWidth="10" defaultColWidth="8.83203125" defaultRowHeight="15" x14ac:dyDescent="0.2"/>
  <cols>
    <col min="1" max="1" width="47.33203125" customWidth="1"/>
    <col min="2" max="2" width="33.5" customWidth="1"/>
    <col min="3" max="3" width="14.6640625" bestFit="1" customWidth="1"/>
    <col min="4" max="4" width="9.5" bestFit="1" customWidth="1"/>
    <col min="5" max="5" width="11.5" customWidth="1"/>
    <col min="6" max="6" width="12.1640625" bestFit="1" customWidth="1"/>
    <col min="7" max="7" width="10.33203125" bestFit="1" customWidth="1"/>
    <col min="10" max="10" width="9" bestFit="1" customWidth="1"/>
    <col min="11" max="11" width="9.5" bestFit="1" customWidth="1"/>
    <col min="12" max="12" width="11.5" bestFit="1" customWidth="1"/>
    <col min="13" max="13" width="10.5" bestFit="1" customWidth="1"/>
    <col min="14" max="15" width="9" bestFit="1" customWidth="1"/>
    <col min="16" max="17" width="10.1640625" bestFit="1" customWidth="1"/>
    <col min="18" max="18" width="11.5" customWidth="1"/>
    <col min="19" max="19" width="10.6640625" hidden="1" customWidth="1"/>
    <col min="20" max="21" width="8.83203125" hidden="1" customWidth="1"/>
    <col min="22" max="23" width="12.1640625" hidden="1" customWidth="1"/>
    <col min="24" max="24" width="15.5" hidden="1" customWidth="1"/>
    <col min="25" max="25" width="12" hidden="1" customWidth="1"/>
    <col min="26" max="26" width="10.6640625" hidden="1" customWidth="1"/>
    <col min="27" max="27" width="23.83203125" hidden="1" customWidth="1"/>
    <col min="28" max="28" width="24.5" bestFit="1" customWidth="1"/>
    <col min="29" max="29" width="8.5" bestFit="1" customWidth="1"/>
    <col min="30" max="30" width="23.83203125" bestFit="1" customWidth="1"/>
    <col min="31" max="31" width="24.5" bestFit="1" customWidth="1"/>
    <col min="32" max="32" width="12.6640625" customWidth="1"/>
    <col min="33" max="33" width="9.5" bestFit="1" customWidth="1"/>
  </cols>
  <sheetData>
    <row r="1" spans="1:25" ht="21" x14ac:dyDescent="0.25">
      <c r="A1" s="169" t="s">
        <v>2034</v>
      </c>
      <c r="B1" s="169"/>
      <c r="C1" s="169"/>
      <c r="D1" s="169"/>
      <c r="E1" s="169"/>
      <c r="F1" s="169"/>
      <c r="G1" s="169"/>
      <c r="H1" s="169"/>
      <c r="I1" s="87" t="s">
        <v>2035</v>
      </c>
      <c r="J1" s="113" t="s">
        <v>367</v>
      </c>
      <c r="K1" s="113"/>
      <c r="L1" s="113"/>
      <c r="M1" s="113"/>
      <c r="N1" s="113"/>
      <c r="X1" s="168" t="s">
        <v>2036</v>
      </c>
      <c r="Y1" s="168"/>
    </row>
    <row r="2" spans="1:25" ht="21" x14ac:dyDescent="0.25">
      <c r="A2" s="169"/>
      <c r="B2" s="169"/>
      <c r="C2" s="169"/>
      <c r="D2" s="169"/>
      <c r="E2" s="169"/>
      <c r="F2" s="169"/>
      <c r="G2" s="169"/>
      <c r="H2" s="169"/>
      <c r="I2" s="87" t="s">
        <v>2037</v>
      </c>
      <c r="J2" s="113" t="s">
        <v>1967</v>
      </c>
      <c r="K2" s="113"/>
      <c r="L2" s="113"/>
      <c r="M2" s="113"/>
      <c r="N2" s="113"/>
      <c r="X2" s="12" t="s">
        <v>2038</v>
      </c>
      <c r="Y2" s="12" t="s">
        <v>2039</v>
      </c>
    </row>
    <row r="3" spans="1:25" ht="21" x14ac:dyDescent="0.25">
      <c r="A3" s="169"/>
      <c r="B3" s="169"/>
      <c r="C3" s="169"/>
      <c r="D3" s="169"/>
      <c r="E3" s="169"/>
      <c r="F3" s="169"/>
      <c r="G3" s="169"/>
      <c r="H3" s="169"/>
      <c r="I3" s="87" t="s">
        <v>2040</v>
      </c>
      <c r="J3" s="113" t="s">
        <v>1967</v>
      </c>
      <c r="K3" s="113"/>
      <c r="L3" s="113"/>
      <c r="M3" s="113"/>
      <c r="N3" s="113"/>
      <c r="X3" s="12"/>
      <c r="Y3" s="12"/>
    </row>
    <row r="4" spans="1:25" ht="21" x14ac:dyDescent="0.25">
      <c r="A4" s="163" t="str">
        <f>I1</f>
        <v>Dev. 1</v>
      </c>
      <c r="B4" s="163"/>
      <c r="C4" s="158"/>
      <c r="D4" s="158"/>
      <c r="E4" s="158"/>
      <c r="F4" s="158"/>
      <c r="G4" s="158"/>
      <c r="H4" s="158"/>
      <c r="I4" s="87"/>
      <c r="J4" s="114"/>
      <c r="K4" s="114"/>
      <c r="L4" s="114"/>
      <c r="M4" s="114"/>
      <c r="N4" s="114"/>
      <c r="X4" s="12"/>
      <c r="Y4" s="12"/>
    </row>
    <row r="5" spans="1:25" ht="32" x14ac:dyDescent="0.2">
      <c r="A5" s="44" t="s">
        <v>2041</v>
      </c>
      <c r="B5" s="44"/>
      <c r="X5" s="12"/>
      <c r="Y5" s="12"/>
    </row>
    <row r="6" spans="1:25" ht="16" x14ac:dyDescent="0.2">
      <c r="A6" s="29" t="s">
        <v>2042</v>
      </c>
      <c r="B6" s="39">
        <f>B8*5/2000*7</f>
        <v>22.68</v>
      </c>
      <c r="X6" s="12"/>
      <c r="Y6" s="12"/>
    </row>
    <row r="7" spans="1:25" x14ac:dyDescent="0.2">
      <c r="A7" s="22" t="s">
        <v>2043</v>
      </c>
      <c r="B7" s="40">
        <f>B6/7</f>
        <v>3.2399999999999998</v>
      </c>
      <c r="X7" s="12"/>
      <c r="Y7" s="12"/>
    </row>
    <row r="8" spans="1:25" x14ac:dyDescent="0.2">
      <c r="A8" s="22" t="s">
        <v>2044</v>
      </c>
      <c r="B8" s="41">
        <f>VLOOKUP($J$1,developmentdata2019[],13,FALSE)</f>
        <v>1296</v>
      </c>
      <c r="X8" s="12"/>
      <c r="Y8" s="12"/>
    </row>
    <row r="9" spans="1:25" x14ac:dyDescent="0.2">
      <c r="A9" s="22" t="s">
        <v>2045</v>
      </c>
      <c r="B9" s="41">
        <f>VLOOKUP($J$1,developmentdata2019[],24,FALSE)</f>
        <v>17</v>
      </c>
      <c r="X9" s="12"/>
      <c r="Y9" s="12"/>
    </row>
    <row r="10" spans="1:25" ht="21" x14ac:dyDescent="0.2">
      <c r="A10" s="163" t="str">
        <f>I2</f>
        <v>Dev. 2</v>
      </c>
      <c r="B10" s="163"/>
      <c r="X10" s="12"/>
      <c r="Y10" s="12"/>
    </row>
    <row r="11" spans="1:25" ht="32" x14ac:dyDescent="0.2">
      <c r="A11" s="44" t="s">
        <v>2041</v>
      </c>
      <c r="B11" s="44"/>
      <c r="X11" s="12"/>
      <c r="Y11" s="12"/>
    </row>
    <row r="12" spans="1:25" ht="16" x14ac:dyDescent="0.2">
      <c r="A12" s="29" t="s">
        <v>2042</v>
      </c>
      <c r="B12" s="39">
        <f>B14*5/2000*7</f>
        <v>0</v>
      </c>
      <c r="X12" s="12"/>
      <c r="Y12" s="12"/>
    </row>
    <row r="13" spans="1:25" x14ac:dyDescent="0.2">
      <c r="A13" s="22" t="s">
        <v>2043</v>
      </c>
      <c r="B13" s="40">
        <f>B12/7</f>
        <v>0</v>
      </c>
      <c r="X13" s="12"/>
      <c r="Y13" s="12"/>
    </row>
    <row r="14" spans="1:25" x14ac:dyDescent="0.2">
      <c r="A14" s="22" t="s">
        <v>2044</v>
      </c>
      <c r="B14" s="41">
        <f>VLOOKUP($J$2,developmentdata2019[],13,FALSE)</f>
        <v>0</v>
      </c>
      <c r="X14" s="12"/>
      <c r="Y14" s="12"/>
    </row>
    <row r="15" spans="1:25" x14ac:dyDescent="0.2">
      <c r="A15" s="22" t="s">
        <v>2045</v>
      </c>
      <c r="B15" s="41">
        <f>(VLOOKUP($J$3,developmentdata2019[],24,FALSE))</f>
        <v>0</v>
      </c>
      <c r="W15" s="23" t="s">
        <v>2046</v>
      </c>
      <c r="X15" s="36">
        <f>327/116</f>
        <v>2.8189655172413794</v>
      </c>
      <c r="Y15" s="36">
        <f>536/189</f>
        <v>2.8359788359788358</v>
      </c>
    </row>
    <row r="16" spans="1:25" ht="21" x14ac:dyDescent="0.2">
      <c r="A16" s="163" t="str">
        <f>I3</f>
        <v>Dev. 3</v>
      </c>
      <c r="B16" s="163"/>
      <c r="E16" s="9"/>
      <c r="W16" s="23" t="s">
        <v>2047</v>
      </c>
      <c r="X16" s="36">
        <f>164/116</f>
        <v>1.4137931034482758</v>
      </c>
      <c r="Y16" s="36">
        <f>268/189</f>
        <v>1.4179894179894179</v>
      </c>
    </row>
    <row r="17" spans="1:33" ht="32" x14ac:dyDescent="0.2">
      <c r="A17" s="44" t="s">
        <v>2041</v>
      </c>
      <c r="B17" s="44"/>
      <c r="E17" s="9"/>
      <c r="W17" s="23"/>
      <c r="X17" s="36"/>
      <c r="Y17" s="36"/>
    </row>
    <row r="18" spans="1:33" ht="16" x14ac:dyDescent="0.2">
      <c r="A18" s="29" t="s">
        <v>2042</v>
      </c>
      <c r="B18" s="39">
        <f>B20*5/2000*7</f>
        <v>0</v>
      </c>
      <c r="E18" s="9"/>
      <c r="W18" s="23"/>
      <c r="X18" s="36"/>
      <c r="Y18" s="36"/>
    </row>
    <row r="19" spans="1:33" x14ac:dyDescent="0.2">
      <c r="A19" s="22" t="s">
        <v>2043</v>
      </c>
      <c r="B19" s="40">
        <f>B18/7</f>
        <v>0</v>
      </c>
      <c r="W19" s="23" t="s">
        <v>2048</v>
      </c>
      <c r="X19" s="36">
        <f>109/116</f>
        <v>0.93965517241379315</v>
      </c>
      <c r="Y19" s="36">
        <f>179/189</f>
        <v>0.94708994708994709</v>
      </c>
    </row>
    <row r="20" spans="1:33" x14ac:dyDescent="0.2">
      <c r="A20" s="22" t="s">
        <v>2044</v>
      </c>
      <c r="B20" s="41">
        <f>VLOOKUP($J$3,developmentdata2019[],13,FALSE)</f>
        <v>0</v>
      </c>
      <c r="W20" s="13"/>
      <c r="X20" s="27"/>
      <c r="Y20" s="27"/>
    </row>
    <row r="21" spans="1:33" x14ac:dyDescent="0.2">
      <c r="A21" s="22" t="s">
        <v>2045</v>
      </c>
      <c r="B21" s="41">
        <f>VLOOKUP($J$3,developmentdata2019[],24,FALSE)</f>
        <v>0</v>
      </c>
    </row>
    <row r="23" spans="1:33" s="2" customFormat="1" x14ac:dyDescent="0.2">
      <c r="C23" s="170" t="s">
        <v>2049</v>
      </c>
      <c r="D23" s="171"/>
      <c r="E23" s="171"/>
      <c r="F23" s="171"/>
      <c r="G23" s="171"/>
      <c r="H23" s="172"/>
      <c r="I23" s="165" t="s">
        <v>2050</v>
      </c>
      <c r="J23" s="166"/>
      <c r="K23" s="166"/>
      <c r="L23" s="166"/>
      <c r="M23" s="167"/>
      <c r="N23" s="165" t="s">
        <v>2051</v>
      </c>
      <c r="O23" s="166"/>
      <c r="P23" s="166"/>
      <c r="Q23" s="166"/>
      <c r="R23" s="167"/>
      <c r="AB23" s="164" t="s">
        <v>2052</v>
      </c>
      <c r="AC23" s="164"/>
      <c r="AD23" s="164"/>
      <c r="AE23" s="165" t="s">
        <v>2053</v>
      </c>
      <c r="AF23" s="166"/>
      <c r="AG23" s="167"/>
    </row>
    <row r="24" spans="1:33" s="106" customFormat="1" ht="48" x14ac:dyDescent="0.2">
      <c r="C24" s="148" t="s">
        <v>2054</v>
      </c>
      <c r="D24" s="148" t="s">
        <v>2055</v>
      </c>
      <c r="E24" s="148" t="s">
        <v>2056</v>
      </c>
      <c r="F24" s="148" t="s">
        <v>2057</v>
      </c>
      <c r="G24" s="148" t="s">
        <v>2058</v>
      </c>
      <c r="H24" s="148" t="s">
        <v>2059</v>
      </c>
      <c r="I24" s="148" t="s">
        <v>2060</v>
      </c>
      <c r="J24" s="148" t="s">
        <v>2061</v>
      </c>
      <c r="K24" s="148" t="s">
        <v>2062</v>
      </c>
      <c r="L24" s="148" t="s">
        <v>2063</v>
      </c>
      <c r="M24" s="148" t="s">
        <v>2064</v>
      </c>
      <c r="N24" s="148" t="s">
        <v>2065</v>
      </c>
      <c r="O24" s="148" t="s">
        <v>2055</v>
      </c>
      <c r="P24" s="148" t="s">
        <v>2066</v>
      </c>
      <c r="Q24" s="149" t="s">
        <v>2067</v>
      </c>
      <c r="R24" s="148" t="s">
        <v>2068</v>
      </c>
      <c r="S24" s="150" t="s">
        <v>2069</v>
      </c>
      <c r="T24" s="151" t="s">
        <v>2070</v>
      </c>
      <c r="U24" s="151" t="s">
        <v>2071</v>
      </c>
      <c r="V24" s="151" t="s">
        <v>2072</v>
      </c>
      <c r="W24" s="151" t="s">
        <v>2073</v>
      </c>
      <c r="X24" s="151" t="s">
        <v>2074</v>
      </c>
      <c r="Y24" s="151" t="s">
        <v>2075</v>
      </c>
      <c r="Z24" s="151" t="s">
        <v>2076</v>
      </c>
      <c r="AA24" s="151" t="s">
        <v>2077</v>
      </c>
      <c r="AB24" s="152" t="s">
        <v>2078</v>
      </c>
      <c r="AC24" s="148" t="s">
        <v>2079</v>
      </c>
      <c r="AD24" s="148" t="s">
        <v>2080</v>
      </c>
      <c r="AE24" s="152" t="s">
        <v>2078</v>
      </c>
      <c r="AF24" s="148" t="s">
        <v>2079</v>
      </c>
      <c r="AG24" s="148" t="s">
        <v>2080</v>
      </c>
    </row>
    <row r="25" spans="1:33" x14ac:dyDescent="0.2">
      <c r="A25" s="173" t="str">
        <f>IF(ISNUMBER(SEARCH(J1,"N/A")),"",_xlfn.CONCAT(I1," ",J1))</f>
        <v>Dev. 1 JOHNSON</v>
      </c>
      <c r="B25" s="116" t="s">
        <v>2081</v>
      </c>
      <c r="C25" s="117">
        <f t="shared" ref="C25:C30" si="0">C64</f>
        <v>0.85211999999999999</v>
      </c>
      <c r="D25" s="102">
        <f>C25*$B$53</f>
        <v>17.937125999999999</v>
      </c>
      <c r="E25" s="102">
        <f t="shared" ref="E25:E31" si="1">C25*$B$95</f>
        <v>1704.24</v>
      </c>
      <c r="F25" s="118">
        <v>1</v>
      </c>
      <c r="G25" s="119">
        <f>C32-SUM(G26:G31)</f>
        <v>2.8965599999999991</v>
      </c>
      <c r="H25" s="119">
        <f>D32-SUM(H26:H31)</f>
        <v>37.912049999999994</v>
      </c>
      <c r="I25" s="120">
        <v>0.75</v>
      </c>
      <c r="J25" s="121">
        <f>H25*I25</f>
        <v>28.434037499999995</v>
      </c>
      <c r="K25" s="102">
        <f>H25*I25*B94</f>
        <v>5742.9362900249989</v>
      </c>
      <c r="L25" s="102">
        <f>ROUNDUP(H25*I25/B53*2000/40,0)</f>
        <v>68</v>
      </c>
      <c r="M25" s="102">
        <f>L25/B9</f>
        <v>4</v>
      </c>
      <c r="N25" s="117">
        <f>100%-I25</f>
        <v>0.25</v>
      </c>
      <c r="O25" s="102">
        <f>H25*N25</f>
        <v>9.4780124999999984</v>
      </c>
      <c r="P25" s="102">
        <f>H25*$B$94*N25</f>
        <v>1914.3120966749996</v>
      </c>
      <c r="Q25" s="119">
        <f t="shared" ref="Q25:Q31" si="2">P25/$B$9</f>
        <v>112.60659392205879</v>
      </c>
      <c r="R25" s="46">
        <f t="shared" ref="R25:R31" si="3">ROUNDUP(P25/$B$97,0)</f>
        <v>30</v>
      </c>
      <c r="S25" s="122"/>
      <c r="T25" s="122"/>
      <c r="U25" s="122"/>
      <c r="V25" s="122"/>
      <c r="W25" s="122"/>
      <c r="X25" s="122"/>
      <c r="Y25" s="122"/>
      <c r="Z25" s="122"/>
      <c r="AA25" s="122"/>
      <c r="AB25" s="123" t="s">
        <v>2082</v>
      </c>
      <c r="AC25" s="102">
        <f>ROUNDUP($P25/INDEX('container info'!$B$3:$G$21,MATCH(Consolidation!AB25,Containers,0),1),0)</f>
        <v>1</v>
      </c>
      <c r="AD25" s="124">
        <f>INDEX('container info'!$B$3:$G$21,MATCH(Consolidation!AB25,Containers,0),6)*AC25</f>
        <v>191.59</v>
      </c>
      <c r="AE25" s="123"/>
      <c r="AF25" s="102"/>
      <c r="AG25" s="124"/>
    </row>
    <row r="26" spans="1:33" x14ac:dyDescent="0.2">
      <c r="A26" s="174"/>
      <c r="B26" s="45" t="s">
        <v>2038</v>
      </c>
      <c r="C26" s="96">
        <f t="shared" si="0"/>
        <v>0.61559999999999993</v>
      </c>
      <c r="D26" s="89">
        <f>C26*$B$54</f>
        <v>11.093111999999998</v>
      </c>
      <c r="E26" s="89">
        <f t="shared" si="1"/>
        <v>1231.1999999999998</v>
      </c>
      <c r="F26" s="82">
        <v>0.3</v>
      </c>
      <c r="G26" s="93">
        <f>C26*F26</f>
        <v>0.18467999999999998</v>
      </c>
      <c r="H26" s="89">
        <f>D26*F26</f>
        <v>3.3279335999999993</v>
      </c>
      <c r="I26" s="16" t="s">
        <v>2083</v>
      </c>
      <c r="J26" s="89" t="s">
        <v>2083</v>
      </c>
      <c r="K26" s="89" t="s">
        <v>2083</v>
      </c>
      <c r="L26" s="89" t="s">
        <v>2083</v>
      </c>
      <c r="M26" s="89" t="s">
        <v>2083</v>
      </c>
      <c r="N26" s="96">
        <f>1</f>
        <v>1</v>
      </c>
      <c r="O26" s="89">
        <f>H26</f>
        <v>3.3279335999999993</v>
      </c>
      <c r="P26" s="89">
        <f t="shared" ref="P26:P31" si="4">H26*$B$94</f>
        <v>672.15606092639985</v>
      </c>
      <c r="Q26" s="89">
        <f t="shared" si="2"/>
        <v>39.538591819199993</v>
      </c>
      <c r="R26" s="19">
        <f t="shared" si="3"/>
        <v>11</v>
      </c>
      <c r="S26" s="91"/>
      <c r="T26" s="13" t="e">
        <f>#REF!*7</f>
        <v>#REF!</v>
      </c>
      <c r="U26" s="14">
        <f>H26*7</f>
        <v>23.295535199999996</v>
      </c>
      <c r="V26" s="13">
        <f>ROUND(U26/30,)</f>
        <v>1</v>
      </c>
      <c r="W26" s="14" t="e">
        <f>#REF!*X16</f>
        <v>#REF!</v>
      </c>
      <c r="X26" s="14" t="e">
        <f>W26*7</f>
        <v>#REF!</v>
      </c>
      <c r="Y26" s="14" t="e">
        <f>X26/2</f>
        <v>#REF!</v>
      </c>
      <c r="Z26" s="32" t="e">
        <f>ROUND(Y26/16,0)</f>
        <v>#REF!</v>
      </c>
      <c r="AA26" s="14" t="e">
        <f>T26*X19</f>
        <v>#REF!</v>
      </c>
      <c r="AB26" s="16" t="s">
        <v>2084</v>
      </c>
      <c r="AC26" s="89">
        <f>ROUNDUP($P26/INDEX('container info'!$B$3:$G$21,MATCH(Consolidation!AB26,Containers,0),1),0)</f>
        <v>20</v>
      </c>
      <c r="AD26" s="99">
        <f>INDEX('container info'!$B$3:$G$21,MATCH(Consolidation!AB26,Containers,0),6)*AC26</f>
        <v>40</v>
      </c>
      <c r="AE26" s="16" t="s">
        <v>2084</v>
      </c>
      <c r="AF26" s="89">
        <f>ROUNDUP($P26*7/INDEX('container info'!$B$3:$G$21,MATCH(Consolidation!AE26,Containers,0),1),0)</f>
        <v>134</v>
      </c>
      <c r="AG26" s="99">
        <f>INDEX('container info'!$B$3:$G$21,MATCH(Consolidation!AE26,Containers,0),6)*AF26</f>
        <v>268</v>
      </c>
    </row>
    <row r="27" spans="1:33" x14ac:dyDescent="0.2">
      <c r="A27" s="174"/>
      <c r="B27" s="45" t="s">
        <v>2085</v>
      </c>
      <c r="C27" s="96">
        <f t="shared" si="0"/>
        <v>0.2268</v>
      </c>
      <c r="D27" s="89">
        <f>C27*$B$55</f>
        <v>6.048756</v>
      </c>
      <c r="E27" s="89">
        <f t="shared" si="1"/>
        <v>453.6</v>
      </c>
      <c r="F27" s="83">
        <v>0.5</v>
      </c>
      <c r="G27" s="93">
        <f>C27*F27</f>
        <v>0.1134</v>
      </c>
      <c r="H27" s="89">
        <f>D27*F27</f>
        <v>3.024378</v>
      </c>
      <c r="I27" s="16" t="s">
        <v>2083</v>
      </c>
      <c r="J27" s="89" t="s">
        <v>2083</v>
      </c>
      <c r="K27" s="89" t="s">
        <v>2083</v>
      </c>
      <c r="L27" s="89" t="s">
        <v>2083</v>
      </c>
      <c r="M27" s="89" t="s">
        <v>2083</v>
      </c>
      <c r="N27" s="96">
        <f>1</f>
        <v>1</v>
      </c>
      <c r="O27" s="89">
        <f t="shared" ref="O27:O31" si="5">H27</f>
        <v>3.024378</v>
      </c>
      <c r="P27" s="89">
        <f t="shared" si="4"/>
        <v>610.84572217200002</v>
      </c>
      <c r="Q27" s="89">
        <f t="shared" si="2"/>
        <v>35.932101304235296</v>
      </c>
      <c r="R27" s="19">
        <f t="shared" si="3"/>
        <v>10</v>
      </c>
      <c r="S27" s="91">
        <f>E27*F27*7/45*1.25</f>
        <v>44.1</v>
      </c>
      <c r="T27" s="13" t="e">
        <f>#REF!*7</f>
        <v>#REF!</v>
      </c>
      <c r="U27" s="14">
        <f t="shared" ref="U27:U28" si="6">H27*7</f>
        <v>21.170646000000001</v>
      </c>
      <c r="V27" s="13">
        <f>ROUND((U27+U28)/30,)</f>
        <v>1</v>
      </c>
      <c r="W27" s="14" t="e">
        <f>(#REF!+#REF!)*Y16</f>
        <v>#REF!</v>
      </c>
      <c r="X27" s="14" t="e">
        <f>W27*7</f>
        <v>#REF!</v>
      </c>
      <c r="Y27" s="14" t="e">
        <f>X27/2</f>
        <v>#REF!</v>
      </c>
      <c r="Z27" s="32" t="e">
        <f>ROUND(Y27/16,0)</f>
        <v>#REF!</v>
      </c>
      <c r="AA27" s="14" t="e">
        <f>(T27+T28)*Y19</f>
        <v>#REF!</v>
      </c>
      <c r="AB27" s="16" t="s">
        <v>2086</v>
      </c>
      <c r="AC27" s="89">
        <f>ROUNDUP($P27/INDEX('container info'!$B$3:$G$21,MATCH(Consolidation!AB27,Containers,0),1),0)</f>
        <v>16</v>
      </c>
      <c r="AD27" s="99">
        <f>INDEX('container info'!$B$3:$G$21,MATCH(Consolidation!AB27,Containers,0),6)*AC27</f>
        <v>66.666666666666671</v>
      </c>
      <c r="AE27" s="16" t="s">
        <v>2086</v>
      </c>
      <c r="AF27" s="89">
        <f>ROUNDUP($P27*7/INDEX('container info'!$B$3:$G$21,MATCH(Consolidation!AE27,Containers,0),1),0)</f>
        <v>110</v>
      </c>
      <c r="AG27" s="99">
        <f>INDEX('container info'!$B$3:$G$21,MATCH(Consolidation!AE27,Containers,0),6)*AF27</f>
        <v>458.33333333333337</v>
      </c>
    </row>
    <row r="28" spans="1:33" x14ac:dyDescent="0.2">
      <c r="A28" s="174"/>
      <c r="B28" s="45" t="s">
        <v>2039</v>
      </c>
      <c r="C28" s="96">
        <f t="shared" si="0"/>
        <v>0.2268</v>
      </c>
      <c r="D28" s="89">
        <f>C28*$B$56</f>
        <v>1.4038920000000001</v>
      </c>
      <c r="E28" s="89">
        <f t="shared" si="1"/>
        <v>453.6</v>
      </c>
      <c r="F28" s="83">
        <v>0.2</v>
      </c>
      <c r="G28" s="93">
        <f t="shared" ref="G28:G31" si="7">C28*F28</f>
        <v>4.5360000000000004E-2</v>
      </c>
      <c r="H28" s="89">
        <f t="shared" ref="H28:H31" si="8">D28*F28</f>
        <v>0.28077840000000004</v>
      </c>
      <c r="I28" s="16" t="s">
        <v>2083</v>
      </c>
      <c r="J28" s="89" t="s">
        <v>2083</v>
      </c>
      <c r="K28" s="89" t="s">
        <v>2083</v>
      </c>
      <c r="L28" s="89" t="s">
        <v>2083</v>
      </c>
      <c r="M28" s="89" t="s">
        <v>2083</v>
      </c>
      <c r="N28" s="96">
        <f>1</f>
        <v>1</v>
      </c>
      <c r="O28" s="89">
        <f t="shared" si="5"/>
        <v>0.28077840000000004</v>
      </c>
      <c r="P28" s="89">
        <f t="shared" si="4"/>
        <v>56.709936561600003</v>
      </c>
      <c r="Q28" s="89">
        <f t="shared" si="2"/>
        <v>3.3358786212705884</v>
      </c>
      <c r="R28" s="19">
        <f t="shared" si="3"/>
        <v>1</v>
      </c>
      <c r="S28" s="91"/>
      <c r="T28" s="13" t="e">
        <f>#REF!*7</f>
        <v>#REF!</v>
      </c>
      <c r="U28" s="14">
        <f t="shared" si="6"/>
        <v>1.9654488000000003</v>
      </c>
      <c r="V28" s="13"/>
      <c r="W28" s="13"/>
      <c r="X28" s="13"/>
      <c r="Y28" s="13"/>
      <c r="Z28" s="13"/>
      <c r="AA28" s="13"/>
      <c r="AB28" s="16" t="s">
        <v>2084</v>
      </c>
      <c r="AC28" s="89">
        <f>ROUNDUP($P28/INDEX('container info'!$B$3:$G$21,MATCH(Consolidation!AB28,Containers,0),1),0)</f>
        <v>2</v>
      </c>
      <c r="AD28" s="99">
        <f>INDEX('container info'!$B$3:$G$21,MATCH(Consolidation!AB28,Containers,0),6)*AC28</f>
        <v>4</v>
      </c>
      <c r="AE28" s="16" t="s">
        <v>2084</v>
      </c>
      <c r="AF28" s="89">
        <f>ROUNDUP($P28*7/INDEX('container info'!$B$3:$G$21,MATCH(Consolidation!AE28,Containers,0),1),0)</f>
        <v>12</v>
      </c>
      <c r="AG28" s="99">
        <f>INDEX('container info'!$B$3:$G$21,MATCH(Consolidation!AE28,Containers,0),6)*AF28</f>
        <v>24</v>
      </c>
    </row>
    <row r="29" spans="1:33" x14ac:dyDescent="0.2">
      <c r="A29" s="174"/>
      <c r="B29" s="45" t="s">
        <v>2087</v>
      </c>
      <c r="C29" s="96">
        <f t="shared" si="0"/>
        <v>1.0367999999999999</v>
      </c>
      <c r="D29" s="89">
        <f>C29*$B$57</f>
        <v>4.4789760000000003</v>
      </c>
      <c r="E29" s="89">
        <f t="shared" si="1"/>
        <v>2073.6</v>
      </c>
      <c r="F29" s="85">
        <f>0%</f>
        <v>0</v>
      </c>
      <c r="G29" s="93">
        <f t="shared" si="7"/>
        <v>0</v>
      </c>
      <c r="H29" s="89">
        <f t="shared" si="8"/>
        <v>0</v>
      </c>
      <c r="I29" s="16" t="s">
        <v>2083</v>
      </c>
      <c r="J29" s="89" t="s">
        <v>2083</v>
      </c>
      <c r="K29" s="89" t="s">
        <v>2083</v>
      </c>
      <c r="L29" s="89" t="s">
        <v>2083</v>
      </c>
      <c r="M29" s="89" t="s">
        <v>2083</v>
      </c>
      <c r="N29" s="96">
        <f>F29</f>
        <v>0</v>
      </c>
      <c r="O29" s="89">
        <f t="shared" si="5"/>
        <v>0</v>
      </c>
      <c r="P29" s="89">
        <f t="shared" si="4"/>
        <v>0</v>
      </c>
      <c r="Q29" s="89">
        <f t="shared" si="2"/>
        <v>0</v>
      </c>
      <c r="R29" s="19">
        <f t="shared" si="3"/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89" t="e">
        <f>ROUNDUP($P29/INDEX('container info'!$B$3:$G$21,MATCH(Consolidation!AB29,Containers,0),1),0)</f>
        <v>#N/A</v>
      </c>
      <c r="AD29" s="99" t="e">
        <f>INDEX('container info'!$B$3:$G$21,MATCH(Consolidation!AB29,Containers,0),6)*AC29</f>
        <v>#N/A</v>
      </c>
      <c r="AE29" s="16"/>
      <c r="AF29" s="89" t="e">
        <f>ROUNDUP($P29*7/INDEX('container info'!$B$3:$G$21,MATCH(Consolidation!AE29,Containers,0),1),0)</f>
        <v>#N/A</v>
      </c>
      <c r="AG29" s="99" t="e">
        <f>INDEX('container info'!$B$3:$G$21,MATCH(Consolidation!AE29,Containers,0),6)*AF29</f>
        <v>#N/A</v>
      </c>
    </row>
    <row r="30" spans="1:33" x14ac:dyDescent="0.2">
      <c r="A30" s="174"/>
      <c r="B30" s="137" t="s">
        <v>2088</v>
      </c>
      <c r="C30" s="89">
        <f t="shared" si="0"/>
        <v>2.2679999999999999E-2</v>
      </c>
      <c r="D30" s="89">
        <f>C30*$B$58</f>
        <v>0.12814200000000001</v>
      </c>
      <c r="E30" s="89">
        <f t="shared" si="1"/>
        <v>45.36</v>
      </c>
      <c r="F30" s="85">
        <v>0</v>
      </c>
      <c r="G30" s="93">
        <f t="shared" si="7"/>
        <v>0</v>
      </c>
      <c r="H30" s="89">
        <f t="shared" si="8"/>
        <v>0</v>
      </c>
      <c r="I30" s="16" t="s">
        <v>2083</v>
      </c>
      <c r="J30" s="89" t="s">
        <v>2083</v>
      </c>
      <c r="K30" s="89" t="s">
        <v>2083</v>
      </c>
      <c r="L30" s="89" t="s">
        <v>2083</v>
      </c>
      <c r="M30" s="89" t="s">
        <v>2083</v>
      </c>
      <c r="N30" s="96">
        <f>F30</f>
        <v>0</v>
      </c>
      <c r="O30" s="89">
        <f t="shared" si="5"/>
        <v>0</v>
      </c>
      <c r="P30" s="89">
        <f t="shared" si="4"/>
        <v>0</v>
      </c>
      <c r="Q30" s="89">
        <f t="shared" si="2"/>
        <v>0</v>
      </c>
      <c r="R30" s="19">
        <f t="shared" si="3"/>
        <v>0</v>
      </c>
      <c r="S30" s="13"/>
      <c r="T30" s="13"/>
      <c r="U30" s="13"/>
      <c r="V30" s="13"/>
      <c r="W30" s="13"/>
      <c r="X30" s="13"/>
      <c r="Y30" s="13"/>
      <c r="Z30" s="13"/>
      <c r="AA30" s="13"/>
      <c r="AB30" s="16"/>
      <c r="AC30" s="89" t="e">
        <f>ROUNDUP($P30/INDEX('container info'!$B$3:$G$21,MATCH(Consolidation!AB30,Containers,0),1),0)</f>
        <v>#N/A</v>
      </c>
      <c r="AD30" s="99" t="e">
        <f>INDEX('container info'!$B$3:$G$21,MATCH(Consolidation!AB30,Containers,0),6)*AC30</f>
        <v>#N/A</v>
      </c>
      <c r="AE30" s="16"/>
      <c r="AF30" s="89" t="e">
        <f>ROUNDUP($P30*7/INDEX('container info'!$B$3:$G$21,MATCH(Consolidation!AE30,Containers,0),1),0)</f>
        <v>#N/A</v>
      </c>
      <c r="AG30" s="99" t="e">
        <f>INDEX('container info'!$B$3:$G$21,MATCH(Consolidation!AE30,Containers,0),6)*AF30</f>
        <v>#N/A</v>
      </c>
    </row>
    <row r="31" spans="1:33" x14ac:dyDescent="0.2">
      <c r="A31" s="174"/>
      <c r="B31" s="137" t="s">
        <v>2089</v>
      </c>
      <c r="C31" s="92">
        <f t="shared" ref="C31" si="9">C70</f>
        <v>0.25919999999999999</v>
      </c>
      <c r="D31" s="92">
        <f>C31*$B$59</f>
        <v>3.455136</v>
      </c>
      <c r="E31" s="92">
        <f t="shared" si="1"/>
        <v>518.4</v>
      </c>
      <c r="F31" s="129">
        <v>0</v>
      </c>
      <c r="G31" s="130">
        <f t="shared" si="7"/>
        <v>0</v>
      </c>
      <c r="H31" s="92">
        <f t="shared" si="8"/>
        <v>0</v>
      </c>
      <c r="I31" s="131" t="s">
        <v>2083</v>
      </c>
      <c r="J31" s="92" t="s">
        <v>2083</v>
      </c>
      <c r="K31" s="92" t="s">
        <v>2083</v>
      </c>
      <c r="L31" s="92" t="s">
        <v>2083</v>
      </c>
      <c r="M31" s="92" t="s">
        <v>2083</v>
      </c>
      <c r="N31" s="128">
        <f>F31</f>
        <v>0</v>
      </c>
      <c r="O31" s="92">
        <f t="shared" si="5"/>
        <v>0</v>
      </c>
      <c r="P31" s="92">
        <f t="shared" si="4"/>
        <v>0</v>
      </c>
      <c r="Q31" s="92">
        <f t="shared" si="2"/>
        <v>0</v>
      </c>
      <c r="R31" s="133">
        <f t="shared" si="3"/>
        <v>0</v>
      </c>
      <c r="S31" s="132"/>
      <c r="T31" s="132"/>
      <c r="U31" s="132"/>
      <c r="V31" s="132"/>
      <c r="W31" s="132"/>
      <c r="X31" s="132"/>
      <c r="Y31" s="132"/>
      <c r="Z31" s="132"/>
      <c r="AA31" s="132"/>
      <c r="AB31" s="131"/>
      <c r="AC31" s="92" t="e">
        <f>ROUNDUP($P31/INDEX('container info'!$B$3:$G$21,MATCH(Consolidation!AB31,Containers,0),1),0)</f>
        <v>#N/A</v>
      </c>
      <c r="AD31" s="134" t="e">
        <f>INDEX('container info'!$B$3:$G$21,MATCH(Consolidation!AB31,Containers,0),6)*AC31</f>
        <v>#N/A</v>
      </c>
      <c r="AE31" s="131"/>
      <c r="AF31" s="92" t="e">
        <f>ROUNDUP($P31*7/INDEX('container info'!$B$3:$G$21,MATCH(Consolidation!AE31,Containers,0),1),0)</f>
        <v>#N/A</v>
      </c>
      <c r="AG31" s="134" t="e">
        <f>INDEX('container info'!$B$3:$G$21,MATCH(Consolidation!AE31,Containers,0),6)*AF31</f>
        <v>#N/A</v>
      </c>
    </row>
    <row r="32" spans="1:33" x14ac:dyDescent="0.2">
      <c r="A32" s="175"/>
      <c r="B32" s="138" t="s">
        <v>2090</v>
      </c>
      <c r="C32" s="136">
        <f>SUM(C25:C31)</f>
        <v>3.2399999999999993</v>
      </c>
      <c r="D32" s="126">
        <f>SUM(D25:D31)</f>
        <v>44.545139999999996</v>
      </c>
      <c r="E32" s="126">
        <f>SUM(E25:E31)</f>
        <v>6479.9999999999991</v>
      </c>
      <c r="F32" s="127"/>
      <c r="G32" s="126"/>
      <c r="H32" s="90"/>
      <c r="I32" s="18"/>
      <c r="J32" s="90"/>
      <c r="K32" s="90"/>
      <c r="L32" s="126">
        <f>SUM(L25:L31)</f>
        <v>68</v>
      </c>
      <c r="M32" s="90"/>
      <c r="N32" s="90"/>
      <c r="O32" s="90"/>
      <c r="P32" s="90"/>
      <c r="Q32" s="90"/>
      <c r="R32" s="81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90"/>
      <c r="AD32" s="90"/>
      <c r="AE32" s="18"/>
      <c r="AF32" s="90"/>
      <c r="AG32" s="100"/>
    </row>
    <row r="33" spans="1:33" x14ac:dyDescent="0.2">
      <c r="A33" s="173" t="str">
        <f>IF(ISNUMBER(SEARCH(J2,"N/A")),"N/A",_xlfn.CONCAT(I2," ",J2))</f>
        <v>N/A</v>
      </c>
      <c r="B33" s="139" t="s">
        <v>2081</v>
      </c>
      <c r="C33" s="117">
        <f>C74</f>
        <v>0</v>
      </c>
      <c r="D33" s="102">
        <f>C33*$B$53</f>
        <v>0</v>
      </c>
      <c r="E33" s="102">
        <f t="shared" ref="E33:E39" si="10">C33*$B$95</f>
        <v>0</v>
      </c>
      <c r="F33" s="118">
        <v>1</v>
      </c>
      <c r="G33" s="119">
        <f>C40-SUM(G34:G39)</f>
        <v>0</v>
      </c>
      <c r="H33" s="119">
        <f>D40-SUM(H34:H39)</f>
        <v>0</v>
      </c>
      <c r="I33" s="120">
        <v>0.75</v>
      </c>
      <c r="J33" s="121">
        <f>H33*I33</f>
        <v>0</v>
      </c>
      <c r="K33" s="102">
        <f>H33*I33*B94</f>
        <v>0</v>
      </c>
      <c r="L33" s="102">
        <f>ROUNDUP(H33*I33/B53*2000/40,0)</f>
        <v>0</v>
      </c>
      <c r="M33" s="102" t="e">
        <f>L33/B15</f>
        <v>#DIV/0!</v>
      </c>
      <c r="N33" s="117">
        <f>100%-I33</f>
        <v>0.25</v>
      </c>
      <c r="O33" s="102">
        <f>H33*N33</f>
        <v>0</v>
      </c>
      <c r="P33" s="102">
        <f>H33*$B$94*N33</f>
        <v>0</v>
      </c>
      <c r="Q33" s="119">
        <f t="shared" ref="Q33:Q39" si="11">P33/$B$9</f>
        <v>0</v>
      </c>
      <c r="R33" s="46">
        <f t="shared" ref="R33:R39" si="12">ROUNDUP(P33/$B$97,0)</f>
        <v>0</v>
      </c>
      <c r="S33" s="122"/>
      <c r="T33" s="122"/>
      <c r="U33" s="122"/>
      <c r="V33" s="122"/>
      <c r="W33" s="122"/>
      <c r="X33" s="122"/>
      <c r="Y33" s="122"/>
      <c r="Z33" s="122"/>
      <c r="AA33" s="122"/>
      <c r="AB33" s="123" t="s">
        <v>2091</v>
      </c>
      <c r="AC33" s="102">
        <f>ROUNDUP($P33/INDEX('container info'!$B$3:$G$21,MATCH(Consolidation!AB33,Containers,0),1),0)</f>
        <v>0</v>
      </c>
      <c r="AD33" s="124">
        <f>INDEX('container info'!$B$3:$G$21,MATCH(Consolidation!AB33,Containers,0),6)*AC33</f>
        <v>0</v>
      </c>
      <c r="AE33" s="123"/>
      <c r="AF33" s="102"/>
      <c r="AG33" s="124"/>
    </row>
    <row r="34" spans="1:33" x14ac:dyDescent="0.2">
      <c r="A34" s="174"/>
      <c r="B34" s="137" t="s">
        <v>2038</v>
      </c>
      <c r="C34" s="89">
        <f t="shared" ref="C34:C39" si="13">C75</f>
        <v>0</v>
      </c>
      <c r="D34" s="89">
        <f>C34*$B$54</f>
        <v>0</v>
      </c>
      <c r="E34" s="89">
        <f t="shared" si="10"/>
        <v>0</v>
      </c>
      <c r="F34" s="82">
        <v>0.3</v>
      </c>
      <c r="G34" s="93">
        <f>C34*F34</f>
        <v>0</v>
      </c>
      <c r="H34" s="89">
        <f>D34*F34</f>
        <v>0</v>
      </c>
      <c r="I34" s="16" t="s">
        <v>2083</v>
      </c>
      <c r="J34" s="89" t="s">
        <v>2083</v>
      </c>
      <c r="K34" s="89" t="s">
        <v>2083</v>
      </c>
      <c r="L34" s="89" t="s">
        <v>2083</v>
      </c>
      <c r="M34" s="89" t="s">
        <v>2083</v>
      </c>
      <c r="N34" s="96">
        <f>1</f>
        <v>1</v>
      </c>
      <c r="O34" s="89">
        <f>H34</f>
        <v>0</v>
      </c>
      <c r="P34" s="89">
        <f t="shared" ref="P34:P39" si="14">H34*$B$94</f>
        <v>0</v>
      </c>
      <c r="Q34" s="89">
        <f t="shared" si="11"/>
        <v>0</v>
      </c>
      <c r="R34" s="19">
        <f t="shared" si="12"/>
        <v>0</v>
      </c>
      <c r="S34" s="91"/>
      <c r="T34" s="13" t="e">
        <f>#REF!*7</f>
        <v>#REF!</v>
      </c>
      <c r="U34" s="14">
        <f>H34*7</f>
        <v>0</v>
      </c>
      <c r="V34" s="13">
        <f>ROUND(U34/30,)</f>
        <v>0</v>
      </c>
      <c r="W34" s="14" t="e">
        <f>#REF!*X24</f>
        <v>#REF!</v>
      </c>
      <c r="X34" s="14" t="e">
        <f>W34*7</f>
        <v>#REF!</v>
      </c>
      <c r="Y34" s="14" t="e">
        <f>X34/2</f>
        <v>#REF!</v>
      </c>
      <c r="Z34" s="32" t="e">
        <f>ROUND(Y34/16,0)</f>
        <v>#REF!</v>
      </c>
      <c r="AA34" s="14" t="e">
        <f>T34*X27</f>
        <v>#REF!</v>
      </c>
      <c r="AB34" s="16" t="s">
        <v>2084</v>
      </c>
      <c r="AC34" s="89">
        <f>ROUNDUP($P34/INDEX('container info'!$B$3:$G$21,MATCH(Consolidation!AB34,Containers,0),1),0)</f>
        <v>0</v>
      </c>
      <c r="AD34" s="99">
        <f>INDEX('container info'!$B$3:$G$21,MATCH(Consolidation!AB34,Containers,0),6)*AC34</f>
        <v>0</v>
      </c>
      <c r="AE34" s="16" t="s">
        <v>2084</v>
      </c>
      <c r="AF34" s="89">
        <f>ROUNDUP($P34*7/INDEX('container info'!$B$3:$G$21,MATCH(Consolidation!AE34,Containers,0),1),0)</f>
        <v>0</v>
      </c>
      <c r="AG34" s="99">
        <f>INDEX('container info'!$B$3:$G$21,MATCH(Consolidation!AE34,Containers,0),6)*AF34</f>
        <v>0</v>
      </c>
    </row>
    <row r="35" spans="1:33" x14ac:dyDescent="0.2">
      <c r="A35" s="174"/>
      <c r="B35" s="137" t="s">
        <v>2085</v>
      </c>
      <c r="C35" s="89">
        <f t="shared" si="13"/>
        <v>0</v>
      </c>
      <c r="D35" s="89">
        <f>C35*$B$55</f>
        <v>0</v>
      </c>
      <c r="E35" s="89">
        <f t="shared" si="10"/>
        <v>0</v>
      </c>
      <c r="F35" s="83">
        <v>0.5</v>
      </c>
      <c r="G35" s="93">
        <f>C35*F35</f>
        <v>0</v>
      </c>
      <c r="H35" s="89">
        <f>D35*F35</f>
        <v>0</v>
      </c>
      <c r="I35" s="16" t="s">
        <v>2083</v>
      </c>
      <c r="J35" s="89" t="s">
        <v>2083</v>
      </c>
      <c r="K35" s="89" t="s">
        <v>2083</v>
      </c>
      <c r="L35" s="89" t="s">
        <v>2083</v>
      </c>
      <c r="M35" s="89" t="s">
        <v>2083</v>
      </c>
      <c r="N35" s="96">
        <f>1</f>
        <v>1</v>
      </c>
      <c r="O35" s="89">
        <f t="shared" ref="O35:O39" si="15">H35</f>
        <v>0</v>
      </c>
      <c r="P35" s="89">
        <f t="shared" si="14"/>
        <v>0</v>
      </c>
      <c r="Q35" s="89">
        <f t="shared" si="11"/>
        <v>0</v>
      </c>
      <c r="R35" s="19">
        <f t="shared" si="12"/>
        <v>0</v>
      </c>
      <c r="S35" s="91">
        <f>E35*F35*7/45*1.25</f>
        <v>0</v>
      </c>
      <c r="T35" s="13" t="e">
        <f>#REF!*7</f>
        <v>#REF!</v>
      </c>
      <c r="U35" s="14">
        <f t="shared" ref="U35:U36" si="16">H35*7</f>
        <v>0</v>
      </c>
      <c r="V35" s="13">
        <f>ROUND((U35+U36)/30,)</f>
        <v>0</v>
      </c>
      <c r="W35" s="14" t="e">
        <f>(#REF!+#REF!)*Y24</f>
        <v>#REF!</v>
      </c>
      <c r="X35" s="14" t="e">
        <f>W35*7</f>
        <v>#REF!</v>
      </c>
      <c r="Y35" s="14" t="e">
        <f>X35/2</f>
        <v>#REF!</v>
      </c>
      <c r="Z35" s="32" t="e">
        <f>ROUND(Y35/16,0)</f>
        <v>#REF!</v>
      </c>
      <c r="AA35" s="14" t="e">
        <f>(T35+T36)*Y27</f>
        <v>#REF!</v>
      </c>
      <c r="AB35" s="16" t="s">
        <v>2086</v>
      </c>
      <c r="AC35" s="89">
        <f>ROUNDUP($P35/INDEX('container info'!$B$3:$G$21,MATCH(Consolidation!AB35,Containers,0),1),0)</f>
        <v>0</v>
      </c>
      <c r="AD35" s="99">
        <f>INDEX('container info'!$B$3:$G$21,MATCH(Consolidation!AB35,Containers,0),6)*AC35</f>
        <v>0</v>
      </c>
      <c r="AE35" s="16" t="s">
        <v>2086</v>
      </c>
      <c r="AF35" s="89">
        <f>ROUNDUP($P35*7/INDEX('container info'!$B$3:$G$21,MATCH(Consolidation!AE35,Containers,0),1),0)</f>
        <v>0</v>
      </c>
      <c r="AG35" s="99">
        <f>INDEX('container info'!$B$3:$G$21,MATCH(Consolidation!AE35,Containers,0),6)*AF35</f>
        <v>0</v>
      </c>
    </row>
    <row r="36" spans="1:33" x14ac:dyDescent="0.2">
      <c r="A36" s="174"/>
      <c r="B36" s="137" t="s">
        <v>2039</v>
      </c>
      <c r="C36" s="89">
        <f>C77</f>
        <v>0</v>
      </c>
      <c r="D36" s="89">
        <f>C36*$B$56</f>
        <v>0</v>
      </c>
      <c r="E36" s="89">
        <f t="shared" si="10"/>
        <v>0</v>
      </c>
      <c r="F36" s="83">
        <v>0.2</v>
      </c>
      <c r="G36" s="93">
        <f t="shared" ref="G36:G39" si="17">C36*F36</f>
        <v>0</v>
      </c>
      <c r="H36" s="89">
        <f t="shared" ref="H36:H39" si="18">D36*F36</f>
        <v>0</v>
      </c>
      <c r="I36" s="16" t="s">
        <v>2083</v>
      </c>
      <c r="J36" s="89" t="s">
        <v>2083</v>
      </c>
      <c r="K36" s="89" t="s">
        <v>2083</v>
      </c>
      <c r="L36" s="89" t="s">
        <v>2083</v>
      </c>
      <c r="M36" s="89" t="s">
        <v>2083</v>
      </c>
      <c r="N36" s="96">
        <f>1</f>
        <v>1</v>
      </c>
      <c r="O36" s="89">
        <f t="shared" si="15"/>
        <v>0</v>
      </c>
      <c r="P36" s="89">
        <f t="shared" si="14"/>
        <v>0</v>
      </c>
      <c r="Q36" s="89">
        <f t="shared" si="11"/>
        <v>0</v>
      </c>
      <c r="R36" s="19">
        <f t="shared" si="12"/>
        <v>0</v>
      </c>
      <c r="S36" s="91"/>
      <c r="T36" s="13" t="e">
        <f>#REF!*7</f>
        <v>#REF!</v>
      </c>
      <c r="U36" s="14">
        <f t="shared" si="16"/>
        <v>0</v>
      </c>
      <c r="V36" s="13"/>
      <c r="W36" s="13"/>
      <c r="X36" s="13"/>
      <c r="Y36" s="13"/>
      <c r="Z36" s="13"/>
      <c r="AA36" s="13"/>
      <c r="AB36" s="16" t="s">
        <v>2084</v>
      </c>
      <c r="AC36" s="89">
        <f>ROUNDUP($P36/INDEX('container info'!$B$3:$G$21,MATCH(Consolidation!AB36,Containers,0),1),0)</f>
        <v>0</v>
      </c>
      <c r="AD36" s="99">
        <f>INDEX('container info'!$B$3:$G$21,MATCH(Consolidation!AB36,Containers,0),6)*AC36</f>
        <v>0</v>
      </c>
      <c r="AE36" s="16" t="s">
        <v>2084</v>
      </c>
      <c r="AF36" s="89">
        <f>ROUNDUP($P36*7/INDEX('container info'!$B$3:$G$21,MATCH(Consolidation!AE36,Containers,0),1),0)</f>
        <v>0</v>
      </c>
      <c r="AG36" s="99">
        <f>INDEX('container info'!$B$3:$G$21,MATCH(Consolidation!AE36,Containers,0),6)*AF36</f>
        <v>0</v>
      </c>
    </row>
    <row r="37" spans="1:33" x14ac:dyDescent="0.2">
      <c r="A37" s="174"/>
      <c r="B37" s="137" t="s">
        <v>2087</v>
      </c>
      <c r="C37" s="89">
        <f t="shared" si="13"/>
        <v>0</v>
      </c>
      <c r="D37" s="89">
        <f>C37*$B$57</f>
        <v>0</v>
      </c>
      <c r="E37" s="89">
        <f t="shared" si="10"/>
        <v>0</v>
      </c>
      <c r="F37" s="85">
        <f>0%</f>
        <v>0</v>
      </c>
      <c r="G37" s="93">
        <f t="shared" si="17"/>
        <v>0</v>
      </c>
      <c r="H37" s="89">
        <f t="shared" si="18"/>
        <v>0</v>
      </c>
      <c r="I37" s="16" t="s">
        <v>2083</v>
      </c>
      <c r="J37" s="89" t="s">
        <v>2083</v>
      </c>
      <c r="K37" s="89" t="s">
        <v>2083</v>
      </c>
      <c r="L37" s="89" t="s">
        <v>2083</v>
      </c>
      <c r="M37" s="89" t="s">
        <v>2083</v>
      </c>
      <c r="N37" s="96">
        <f>F37</f>
        <v>0</v>
      </c>
      <c r="O37" s="89">
        <f t="shared" si="15"/>
        <v>0</v>
      </c>
      <c r="P37" s="89">
        <f t="shared" si="14"/>
        <v>0</v>
      </c>
      <c r="Q37" s="89">
        <f t="shared" si="11"/>
        <v>0</v>
      </c>
      <c r="R37" s="19">
        <f t="shared" si="12"/>
        <v>0</v>
      </c>
      <c r="S37" s="13"/>
      <c r="T37" s="13"/>
      <c r="U37" s="13"/>
      <c r="V37" s="13"/>
      <c r="W37" s="13"/>
      <c r="X37" s="13"/>
      <c r="Y37" s="13"/>
      <c r="Z37" s="13"/>
      <c r="AA37" s="13"/>
      <c r="AB37" s="16"/>
      <c r="AC37" s="89" t="e">
        <f>ROUNDUP($P37/INDEX('container info'!$B$3:$G$21,MATCH(Consolidation!AB37,Containers,0),1),0)</f>
        <v>#N/A</v>
      </c>
      <c r="AD37" s="99" t="e">
        <f>INDEX('container info'!$B$3:$G$21,MATCH(Consolidation!AB37,Containers,0),6)*AC37</f>
        <v>#N/A</v>
      </c>
      <c r="AE37" s="16"/>
      <c r="AF37" s="89" t="e">
        <f>ROUNDUP($P37*7/INDEX('container info'!$B$3:$G$21,MATCH(Consolidation!AE37,Containers,0),1),0)</f>
        <v>#N/A</v>
      </c>
      <c r="AG37" s="99" t="e">
        <f>INDEX('container info'!$B$3:$G$21,MATCH(Consolidation!AE37,Containers,0),6)*AF37</f>
        <v>#N/A</v>
      </c>
    </row>
    <row r="38" spans="1:33" x14ac:dyDescent="0.2">
      <c r="A38" s="174"/>
      <c r="B38" s="137" t="s">
        <v>2088</v>
      </c>
      <c r="C38" s="89">
        <f t="shared" si="13"/>
        <v>0</v>
      </c>
      <c r="D38" s="89">
        <f>C38*$B$58</f>
        <v>0</v>
      </c>
      <c r="E38" s="89">
        <f t="shared" si="10"/>
        <v>0</v>
      </c>
      <c r="F38" s="85">
        <v>0</v>
      </c>
      <c r="G38" s="93">
        <f t="shared" si="17"/>
        <v>0</v>
      </c>
      <c r="H38" s="89">
        <f t="shared" si="18"/>
        <v>0</v>
      </c>
      <c r="I38" s="16" t="s">
        <v>2083</v>
      </c>
      <c r="J38" s="89" t="s">
        <v>2083</v>
      </c>
      <c r="K38" s="89" t="s">
        <v>2083</v>
      </c>
      <c r="L38" s="89" t="s">
        <v>2083</v>
      </c>
      <c r="M38" s="89" t="s">
        <v>2083</v>
      </c>
      <c r="N38" s="96">
        <f>F38</f>
        <v>0</v>
      </c>
      <c r="O38" s="89">
        <f t="shared" si="15"/>
        <v>0</v>
      </c>
      <c r="P38" s="89">
        <f t="shared" si="14"/>
        <v>0</v>
      </c>
      <c r="Q38" s="89">
        <f t="shared" si="11"/>
        <v>0</v>
      </c>
      <c r="R38" s="19">
        <f t="shared" si="12"/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6"/>
      <c r="AC38" s="89" t="e">
        <f>ROUNDUP($P38/INDEX('container info'!$B$3:$G$21,MATCH(Consolidation!AB38,Containers,0),1),0)</f>
        <v>#N/A</v>
      </c>
      <c r="AD38" s="99" t="e">
        <f>INDEX('container info'!$B$3:$G$21,MATCH(Consolidation!AB38,Containers,0),6)*AC38</f>
        <v>#N/A</v>
      </c>
      <c r="AE38" s="16"/>
      <c r="AF38" s="89" t="e">
        <f>ROUNDUP($P38*7/INDEX('container info'!$B$3:$G$21,MATCH(Consolidation!AE38,Containers,0),1),0)</f>
        <v>#N/A</v>
      </c>
      <c r="AG38" s="99" t="e">
        <f>INDEX('container info'!$B$3:$G$21,MATCH(Consolidation!AE38,Containers,0),6)*AF38</f>
        <v>#N/A</v>
      </c>
    </row>
    <row r="39" spans="1:33" x14ac:dyDescent="0.2">
      <c r="A39" s="174"/>
      <c r="B39" s="137" t="s">
        <v>2089</v>
      </c>
      <c r="C39" s="89">
        <f t="shared" si="13"/>
        <v>0</v>
      </c>
      <c r="D39" s="92">
        <f>C39*$B$59</f>
        <v>0</v>
      </c>
      <c r="E39" s="92">
        <f t="shared" si="10"/>
        <v>0</v>
      </c>
      <c r="F39" s="129">
        <v>0</v>
      </c>
      <c r="G39" s="130">
        <f t="shared" si="17"/>
        <v>0</v>
      </c>
      <c r="H39" s="92">
        <f t="shared" si="18"/>
        <v>0</v>
      </c>
      <c r="I39" s="131" t="s">
        <v>2083</v>
      </c>
      <c r="J39" s="92" t="s">
        <v>2083</v>
      </c>
      <c r="K39" s="92" t="s">
        <v>2083</v>
      </c>
      <c r="L39" s="92" t="s">
        <v>2083</v>
      </c>
      <c r="M39" s="92" t="s">
        <v>2083</v>
      </c>
      <c r="N39" s="128">
        <f>F39</f>
        <v>0</v>
      </c>
      <c r="O39" s="92">
        <f t="shared" si="15"/>
        <v>0</v>
      </c>
      <c r="P39" s="92">
        <f t="shared" si="14"/>
        <v>0</v>
      </c>
      <c r="Q39" s="92">
        <f t="shared" si="11"/>
        <v>0</v>
      </c>
      <c r="R39" s="133">
        <f t="shared" si="12"/>
        <v>0</v>
      </c>
      <c r="S39" s="132"/>
      <c r="T39" s="132"/>
      <c r="U39" s="132"/>
      <c r="V39" s="132"/>
      <c r="W39" s="132"/>
      <c r="X39" s="132"/>
      <c r="Y39" s="132"/>
      <c r="Z39" s="132"/>
      <c r="AA39" s="132"/>
      <c r="AB39" s="131"/>
      <c r="AC39" s="92" t="e">
        <f>ROUNDUP($P39/INDEX('container info'!$B$3:$G$21,MATCH(Consolidation!AB39,Containers,0),1),0)</f>
        <v>#N/A</v>
      </c>
      <c r="AD39" s="134" t="e">
        <f>INDEX('container info'!$B$3:$G$21,MATCH(Consolidation!AB39,Containers,0),6)*AC39</f>
        <v>#N/A</v>
      </c>
      <c r="AE39" s="131"/>
      <c r="AF39" s="92" t="e">
        <f>ROUNDUP($P39*7/INDEX('container info'!$B$3:$G$21,MATCH(Consolidation!AE39,Containers,0),1),0)</f>
        <v>#N/A</v>
      </c>
      <c r="AG39" s="134" t="e">
        <f>INDEX('container info'!$B$3:$G$21,MATCH(Consolidation!AE39,Containers,0),6)*AF39</f>
        <v>#N/A</v>
      </c>
    </row>
    <row r="40" spans="1:33" x14ac:dyDescent="0.2">
      <c r="A40" s="175"/>
      <c r="B40" s="125" t="s">
        <v>2090</v>
      </c>
      <c r="C40" s="140">
        <f>SUM(C33:C39)</f>
        <v>0</v>
      </c>
      <c r="D40" s="126">
        <f>SUM(D33:D39)</f>
        <v>0</v>
      </c>
      <c r="E40" s="126">
        <f>SUM(E33:E39)</f>
        <v>0</v>
      </c>
      <c r="F40" s="127"/>
      <c r="G40" s="126"/>
      <c r="H40" s="90"/>
      <c r="I40" s="18"/>
      <c r="J40" s="90"/>
      <c r="K40" s="90"/>
      <c r="L40" s="126">
        <f>SUM(L33:L39)</f>
        <v>0</v>
      </c>
      <c r="M40" s="90"/>
      <c r="N40" s="90"/>
      <c r="O40" s="90"/>
      <c r="P40" s="90"/>
      <c r="Q40" s="90"/>
      <c r="R40" s="81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90"/>
      <c r="AD40" s="90"/>
      <c r="AE40" s="18"/>
      <c r="AF40" s="90"/>
      <c r="AG40" s="100"/>
    </row>
    <row r="41" spans="1:33" x14ac:dyDescent="0.2">
      <c r="A41" s="173" t="str">
        <f>IF(ISNUMBER(SEARCH(J3,"N/A")),"N/A",_xlfn.CONCAT(I3," ",J3))</f>
        <v>N/A</v>
      </c>
      <c r="B41" s="116" t="s">
        <v>2081</v>
      </c>
      <c r="C41" s="117">
        <f>C84</f>
        <v>0</v>
      </c>
      <c r="D41" s="102">
        <f>C41*$B$53</f>
        <v>0</v>
      </c>
      <c r="E41" s="102">
        <f t="shared" ref="E41:E47" si="19">C41*$B$95</f>
        <v>0</v>
      </c>
      <c r="F41" s="118">
        <v>1</v>
      </c>
      <c r="G41" s="119">
        <f>C48-SUM(G42:G47)</f>
        <v>0</v>
      </c>
      <c r="H41" s="119">
        <f>D48-SUM(H42:H47)</f>
        <v>0</v>
      </c>
      <c r="I41" s="120">
        <v>0.75</v>
      </c>
      <c r="J41" s="121">
        <f>H41*I41</f>
        <v>0</v>
      </c>
      <c r="K41" s="102">
        <f>H41*I41*B94</f>
        <v>0</v>
      </c>
      <c r="L41" s="102">
        <f>ROUNDUP(H41*I41/B53*2000/40,0)</f>
        <v>0</v>
      </c>
      <c r="M41" s="102" t="e">
        <f>L41/B21</f>
        <v>#DIV/0!</v>
      </c>
      <c r="N41" s="117">
        <f>100%-I41</f>
        <v>0.25</v>
      </c>
      <c r="O41" s="102">
        <f>H41*N41</f>
        <v>0</v>
      </c>
      <c r="P41" s="102">
        <f>H41*$B$94*N41</f>
        <v>0</v>
      </c>
      <c r="Q41" s="119">
        <f t="shared" ref="Q41:Q47" si="20">P41/$B$9</f>
        <v>0</v>
      </c>
      <c r="R41" s="46">
        <f t="shared" ref="R41:R47" si="21">ROUNDUP(P41/$B$97,0)</f>
        <v>0</v>
      </c>
      <c r="S41" s="122"/>
      <c r="T41" s="122"/>
      <c r="U41" s="122"/>
      <c r="V41" s="122"/>
      <c r="W41" s="122"/>
      <c r="X41" s="122"/>
      <c r="Y41" s="122"/>
      <c r="Z41" s="122"/>
      <c r="AA41" s="122"/>
      <c r="AB41" s="123" t="s">
        <v>2082</v>
      </c>
      <c r="AC41" s="102">
        <f>ROUNDUP($P41/INDEX('container info'!$B$3:$G$21,MATCH(Consolidation!AB41,Containers,0),1),0)</f>
        <v>0</v>
      </c>
      <c r="AD41" s="124">
        <f>INDEX('container info'!$B$3:$G$21,MATCH(Consolidation!AB41,Containers,0),6)*AC41</f>
        <v>0</v>
      </c>
      <c r="AE41" s="123"/>
      <c r="AF41" s="102"/>
      <c r="AG41" s="124"/>
    </row>
    <row r="42" spans="1:33" x14ac:dyDescent="0.2">
      <c r="A42" s="174"/>
      <c r="B42" s="45" t="s">
        <v>2038</v>
      </c>
      <c r="C42" s="96">
        <f>C85</f>
        <v>0</v>
      </c>
      <c r="D42" s="89">
        <f>C42*$B$54</f>
        <v>0</v>
      </c>
      <c r="E42" s="89">
        <f t="shared" si="19"/>
        <v>0</v>
      </c>
      <c r="F42" s="82">
        <v>0.3</v>
      </c>
      <c r="G42" s="93">
        <f>C42*F42</f>
        <v>0</v>
      </c>
      <c r="H42" s="89">
        <f>D42*F42</f>
        <v>0</v>
      </c>
      <c r="I42" s="16" t="s">
        <v>2083</v>
      </c>
      <c r="J42" s="89" t="s">
        <v>2083</v>
      </c>
      <c r="K42" s="89" t="s">
        <v>2083</v>
      </c>
      <c r="L42" s="89" t="s">
        <v>2083</v>
      </c>
      <c r="M42" s="89" t="s">
        <v>2083</v>
      </c>
      <c r="N42" s="96">
        <f>1</f>
        <v>1</v>
      </c>
      <c r="O42" s="89">
        <f>H42</f>
        <v>0</v>
      </c>
      <c r="P42" s="89">
        <f t="shared" ref="P42:P47" si="22">H42*$B$94</f>
        <v>0</v>
      </c>
      <c r="Q42" s="89">
        <f t="shared" si="20"/>
        <v>0</v>
      </c>
      <c r="R42" s="19">
        <f t="shared" si="21"/>
        <v>0</v>
      </c>
      <c r="S42" s="91"/>
      <c r="T42" s="13" t="e">
        <f>#REF!*7</f>
        <v>#REF!</v>
      </c>
      <c r="U42" s="14">
        <f>H42*7</f>
        <v>0</v>
      </c>
      <c r="V42" s="13">
        <f>ROUND(U42/30,)</f>
        <v>0</v>
      </c>
      <c r="W42" s="14" t="e">
        <f>#REF!*X32</f>
        <v>#REF!</v>
      </c>
      <c r="X42" s="14" t="e">
        <f>W42*7</f>
        <v>#REF!</v>
      </c>
      <c r="Y42" s="14" t="e">
        <f>X42/2</f>
        <v>#REF!</v>
      </c>
      <c r="Z42" s="32" t="e">
        <f>ROUND(Y42/16,0)</f>
        <v>#REF!</v>
      </c>
      <c r="AA42" s="14" t="e">
        <f>T42*X35</f>
        <v>#REF!</v>
      </c>
      <c r="AB42" s="16" t="s">
        <v>2084</v>
      </c>
      <c r="AC42" s="89">
        <f>ROUNDUP($P42/INDEX('container info'!$B$3:$G$21,MATCH(Consolidation!AB42,Containers,0),1),0)</f>
        <v>0</v>
      </c>
      <c r="AD42" s="99">
        <f>INDEX('container info'!$B$3:$G$21,MATCH(Consolidation!AB42,Containers,0),6)*AC42</f>
        <v>0</v>
      </c>
      <c r="AE42" s="16" t="s">
        <v>2084</v>
      </c>
      <c r="AF42" s="89">
        <f>ROUNDUP($P42*7/INDEX('container info'!$B$3:$G$21,MATCH(Consolidation!AE42,Containers,0),1),0)</f>
        <v>0</v>
      </c>
      <c r="AG42" s="99">
        <f>INDEX('container info'!$B$3:$G$21,MATCH(Consolidation!AE42,Containers,0),6)*AF42</f>
        <v>0</v>
      </c>
    </row>
    <row r="43" spans="1:33" x14ac:dyDescent="0.2">
      <c r="A43" s="174"/>
      <c r="B43" s="45" t="s">
        <v>2085</v>
      </c>
      <c r="C43" s="96">
        <f t="shared" ref="C43:C46" si="23">C86</f>
        <v>0</v>
      </c>
      <c r="D43" s="89">
        <f>C43*$B$55</f>
        <v>0</v>
      </c>
      <c r="E43" s="89">
        <f t="shared" si="19"/>
        <v>0</v>
      </c>
      <c r="F43" s="83">
        <v>0.5</v>
      </c>
      <c r="G43" s="93">
        <f>C43*F43</f>
        <v>0</v>
      </c>
      <c r="H43" s="89">
        <f>D43*F43</f>
        <v>0</v>
      </c>
      <c r="I43" s="16" t="s">
        <v>2083</v>
      </c>
      <c r="J43" s="89" t="s">
        <v>2083</v>
      </c>
      <c r="K43" s="89" t="s">
        <v>2083</v>
      </c>
      <c r="L43" s="89" t="s">
        <v>2083</v>
      </c>
      <c r="M43" s="89" t="s">
        <v>2083</v>
      </c>
      <c r="N43" s="96">
        <f>1</f>
        <v>1</v>
      </c>
      <c r="O43" s="89">
        <f t="shared" ref="O43:O47" si="24">H43</f>
        <v>0</v>
      </c>
      <c r="P43" s="89">
        <f t="shared" si="22"/>
        <v>0</v>
      </c>
      <c r="Q43" s="89">
        <f t="shared" si="20"/>
        <v>0</v>
      </c>
      <c r="R43" s="19">
        <f t="shared" si="21"/>
        <v>0</v>
      </c>
      <c r="S43" s="91">
        <f>E43*F43*7/45*1.25</f>
        <v>0</v>
      </c>
      <c r="T43" s="13" t="e">
        <f>#REF!*7</f>
        <v>#REF!</v>
      </c>
      <c r="U43" s="14">
        <f t="shared" ref="U43:U44" si="25">H43*7</f>
        <v>0</v>
      </c>
      <c r="V43" s="13">
        <f>ROUND((U43+U44)/30,)</f>
        <v>0</v>
      </c>
      <c r="W43" s="14" t="e">
        <f>(#REF!+#REF!)*Y32</f>
        <v>#REF!</v>
      </c>
      <c r="X43" s="14" t="e">
        <f>W43*7</f>
        <v>#REF!</v>
      </c>
      <c r="Y43" s="14" t="e">
        <f>X43/2</f>
        <v>#REF!</v>
      </c>
      <c r="Z43" s="32" t="e">
        <f>ROUND(Y43/16,0)</f>
        <v>#REF!</v>
      </c>
      <c r="AA43" s="14" t="e">
        <f>(T43+T44)*Y35</f>
        <v>#REF!</v>
      </c>
      <c r="AB43" s="16" t="s">
        <v>2086</v>
      </c>
      <c r="AC43" s="89">
        <f>ROUNDUP($P43/INDEX('container info'!$B$3:$G$21,MATCH(Consolidation!AB43,Containers,0),1),0)</f>
        <v>0</v>
      </c>
      <c r="AD43" s="99">
        <f>INDEX('container info'!$B$3:$G$21,MATCH(Consolidation!AB43,Containers,0),6)*AC43</f>
        <v>0</v>
      </c>
      <c r="AE43" s="16" t="s">
        <v>2086</v>
      </c>
      <c r="AF43" s="89">
        <f>ROUNDUP($P43*7/INDEX('container info'!$B$3:$G$21,MATCH(Consolidation!AE43,Containers,0),1),0)</f>
        <v>0</v>
      </c>
      <c r="AG43" s="99">
        <f>INDEX('container info'!$B$3:$G$21,MATCH(Consolidation!AE43,Containers,0),6)*AF43</f>
        <v>0</v>
      </c>
    </row>
    <row r="44" spans="1:33" x14ac:dyDescent="0.2">
      <c r="A44" s="174"/>
      <c r="B44" s="45" t="s">
        <v>2039</v>
      </c>
      <c r="C44" s="96">
        <f t="shared" si="23"/>
        <v>0</v>
      </c>
      <c r="D44" s="89">
        <f>C44*$B$56</f>
        <v>0</v>
      </c>
      <c r="E44" s="89">
        <f t="shared" si="19"/>
        <v>0</v>
      </c>
      <c r="F44" s="83">
        <v>0.2</v>
      </c>
      <c r="G44" s="93">
        <f t="shared" ref="G44:G47" si="26">C44*F44</f>
        <v>0</v>
      </c>
      <c r="H44" s="89">
        <f t="shared" ref="H44:H47" si="27">D44*F44</f>
        <v>0</v>
      </c>
      <c r="I44" s="16" t="s">
        <v>2083</v>
      </c>
      <c r="J44" s="89" t="s">
        <v>2083</v>
      </c>
      <c r="K44" s="89" t="s">
        <v>2083</v>
      </c>
      <c r="L44" s="89" t="s">
        <v>2083</v>
      </c>
      <c r="M44" s="89" t="s">
        <v>2083</v>
      </c>
      <c r="N44" s="96">
        <f>1</f>
        <v>1</v>
      </c>
      <c r="O44" s="89">
        <f t="shared" si="24"/>
        <v>0</v>
      </c>
      <c r="P44" s="89">
        <f t="shared" si="22"/>
        <v>0</v>
      </c>
      <c r="Q44" s="89">
        <f t="shared" si="20"/>
        <v>0</v>
      </c>
      <c r="R44" s="19">
        <f t="shared" si="21"/>
        <v>0</v>
      </c>
      <c r="S44" s="91"/>
      <c r="T44" s="13" t="e">
        <f>#REF!*7</f>
        <v>#REF!</v>
      </c>
      <c r="U44" s="14">
        <f t="shared" si="25"/>
        <v>0</v>
      </c>
      <c r="V44" s="13"/>
      <c r="W44" s="13"/>
      <c r="X44" s="13"/>
      <c r="Y44" s="13"/>
      <c r="Z44" s="13"/>
      <c r="AA44" s="13"/>
      <c r="AB44" s="16" t="s">
        <v>2084</v>
      </c>
      <c r="AC44" s="89">
        <f>ROUNDUP($P44/INDEX('container info'!$B$3:$G$21,MATCH(Consolidation!AB44,Containers,0),1),0)</f>
        <v>0</v>
      </c>
      <c r="AD44" s="99">
        <f>INDEX('container info'!$B$3:$G$21,MATCH(Consolidation!AB44,Containers,0),6)*AC44</f>
        <v>0</v>
      </c>
      <c r="AE44" s="16" t="s">
        <v>2084</v>
      </c>
      <c r="AF44" s="89">
        <f>ROUNDUP($P44*7/INDEX('container info'!$B$3:$G$21,MATCH(Consolidation!AE44,Containers,0),1),0)</f>
        <v>0</v>
      </c>
      <c r="AG44" s="99">
        <f>INDEX('container info'!$B$3:$G$21,MATCH(Consolidation!AE44,Containers,0),6)*AF44</f>
        <v>0</v>
      </c>
    </row>
    <row r="45" spans="1:33" x14ac:dyDescent="0.2">
      <c r="A45" s="174"/>
      <c r="B45" s="45" t="s">
        <v>2087</v>
      </c>
      <c r="C45" s="96">
        <f t="shared" si="23"/>
        <v>0</v>
      </c>
      <c r="D45" s="89">
        <f>C45*$B$57</f>
        <v>0</v>
      </c>
      <c r="E45" s="89">
        <f t="shared" si="19"/>
        <v>0</v>
      </c>
      <c r="F45" s="85">
        <f>0%</f>
        <v>0</v>
      </c>
      <c r="G45" s="93">
        <f t="shared" si="26"/>
        <v>0</v>
      </c>
      <c r="H45" s="89">
        <f t="shared" si="27"/>
        <v>0</v>
      </c>
      <c r="I45" s="16" t="s">
        <v>2083</v>
      </c>
      <c r="J45" s="89" t="s">
        <v>2083</v>
      </c>
      <c r="K45" s="89" t="s">
        <v>2083</v>
      </c>
      <c r="L45" s="89" t="s">
        <v>2083</v>
      </c>
      <c r="M45" s="89" t="s">
        <v>2083</v>
      </c>
      <c r="N45" s="96">
        <f>F45</f>
        <v>0</v>
      </c>
      <c r="O45" s="89">
        <f t="shared" si="24"/>
        <v>0</v>
      </c>
      <c r="P45" s="89">
        <f t="shared" si="22"/>
        <v>0</v>
      </c>
      <c r="Q45" s="89">
        <f t="shared" si="20"/>
        <v>0</v>
      </c>
      <c r="R45" s="19">
        <f t="shared" si="21"/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6"/>
      <c r="AC45" s="89" t="e">
        <f>ROUNDUP($P45/INDEX('container info'!$B$3:$G$21,MATCH(Consolidation!AB45,Containers,0),1),0)</f>
        <v>#N/A</v>
      </c>
      <c r="AD45" s="99" t="e">
        <f>INDEX('container info'!$B$3:$G$21,MATCH(Consolidation!AB45,Containers,0),6)*AC45</f>
        <v>#N/A</v>
      </c>
      <c r="AE45" s="16"/>
      <c r="AF45" s="89" t="e">
        <f>ROUNDUP($P45*7/INDEX('container info'!$B$3:$G$21,MATCH(Consolidation!AE45,Containers,0),1),0)</f>
        <v>#N/A</v>
      </c>
      <c r="AG45" s="99" t="e">
        <f>INDEX('container info'!$B$3:$G$21,MATCH(Consolidation!AE45,Containers,0),6)*AF45</f>
        <v>#N/A</v>
      </c>
    </row>
    <row r="46" spans="1:33" x14ac:dyDescent="0.2">
      <c r="A46" s="174"/>
      <c r="B46" s="45" t="s">
        <v>2088</v>
      </c>
      <c r="C46" s="96">
        <f t="shared" si="23"/>
        <v>0</v>
      </c>
      <c r="D46" s="89">
        <f>C46*$B$58</f>
        <v>0</v>
      </c>
      <c r="E46" s="89">
        <f t="shared" si="19"/>
        <v>0</v>
      </c>
      <c r="F46" s="85">
        <v>0</v>
      </c>
      <c r="G46" s="93">
        <f t="shared" si="26"/>
        <v>0</v>
      </c>
      <c r="H46" s="89">
        <f t="shared" si="27"/>
        <v>0</v>
      </c>
      <c r="I46" s="16" t="s">
        <v>2083</v>
      </c>
      <c r="J46" s="89" t="s">
        <v>2083</v>
      </c>
      <c r="K46" s="89" t="s">
        <v>2083</v>
      </c>
      <c r="L46" s="89" t="s">
        <v>2083</v>
      </c>
      <c r="M46" s="89" t="s">
        <v>2083</v>
      </c>
      <c r="N46" s="96">
        <f>F46</f>
        <v>0</v>
      </c>
      <c r="O46" s="89">
        <f t="shared" si="24"/>
        <v>0</v>
      </c>
      <c r="P46" s="89">
        <f t="shared" si="22"/>
        <v>0</v>
      </c>
      <c r="Q46" s="89">
        <f t="shared" si="20"/>
        <v>0</v>
      </c>
      <c r="R46" s="19">
        <f t="shared" si="21"/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6"/>
      <c r="AC46" s="89" t="e">
        <f>ROUNDUP($P46/INDEX('container info'!$B$3:$G$21,MATCH(Consolidation!AB46,Containers,0),1),0)</f>
        <v>#N/A</v>
      </c>
      <c r="AD46" s="99" t="e">
        <f>INDEX('container info'!$B$3:$G$21,MATCH(Consolidation!AB46,Containers,0),6)*AC46</f>
        <v>#N/A</v>
      </c>
      <c r="AE46" s="16"/>
      <c r="AF46" s="89" t="e">
        <f>ROUNDUP($P46*7/INDEX('container info'!$B$3:$G$21,MATCH(Consolidation!AE46,Containers,0),1),0)</f>
        <v>#N/A</v>
      </c>
      <c r="AG46" s="99" t="e">
        <f>INDEX('container info'!$B$3:$G$21,MATCH(Consolidation!AE46,Containers,0),6)*AF46</f>
        <v>#N/A</v>
      </c>
    </row>
    <row r="47" spans="1:33" x14ac:dyDescent="0.2">
      <c r="A47" s="174"/>
      <c r="B47" s="45" t="s">
        <v>2089</v>
      </c>
      <c r="C47" s="128">
        <f>C90</f>
        <v>0</v>
      </c>
      <c r="D47" s="92">
        <f>C47*$B$59</f>
        <v>0</v>
      </c>
      <c r="E47" s="92">
        <f t="shared" si="19"/>
        <v>0</v>
      </c>
      <c r="F47" s="129">
        <v>0</v>
      </c>
      <c r="G47" s="130">
        <f t="shared" si="26"/>
        <v>0</v>
      </c>
      <c r="H47" s="92">
        <f t="shared" si="27"/>
        <v>0</v>
      </c>
      <c r="I47" s="131" t="s">
        <v>2083</v>
      </c>
      <c r="J47" s="92" t="s">
        <v>2083</v>
      </c>
      <c r="K47" s="92" t="s">
        <v>2083</v>
      </c>
      <c r="L47" s="92" t="s">
        <v>2083</v>
      </c>
      <c r="M47" s="92" t="s">
        <v>2083</v>
      </c>
      <c r="N47" s="128">
        <f>F47</f>
        <v>0</v>
      </c>
      <c r="O47" s="92">
        <f t="shared" si="24"/>
        <v>0</v>
      </c>
      <c r="P47" s="92">
        <f t="shared" si="22"/>
        <v>0</v>
      </c>
      <c r="Q47" s="92">
        <f t="shared" si="20"/>
        <v>0</v>
      </c>
      <c r="R47" s="133">
        <f t="shared" si="21"/>
        <v>0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1"/>
      <c r="AC47" s="92" t="e">
        <f>ROUNDUP($P47/INDEX('container info'!$B$3:$G$21,MATCH(Consolidation!AB47,Containers,0),1),0)</f>
        <v>#N/A</v>
      </c>
      <c r="AD47" s="134" t="e">
        <f>INDEX('container info'!$B$3:$G$21,MATCH(Consolidation!AB47,Containers,0),6)*AC47</f>
        <v>#N/A</v>
      </c>
      <c r="AE47" s="131"/>
      <c r="AF47" s="92" t="e">
        <f>ROUNDUP($P47*7/INDEX('container info'!$B$3:$G$21,MATCH(Consolidation!AE47,Containers,0),1),0)</f>
        <v>#N/A</v>
      </c>
      <c r="AG47" s="134" t="e">
        <f>INDEX('container info'!$B$3:$G$21,MATCH(Consolidation!AE47,Containers,0),6)*AF47</f>
        <v>#N/A</v>
      </c>
    </row>
    <row r="48" spans="1:33" x14ac:dyDescent="0.2">
      <c r="A48" s="175"/>
      <c r="B48" s="125" t="s">
        <v>2090</v>
      </c>
      <c r="C48" s="140">
        <f>SUM(C41:C47)</f>
        <v>0</v>
      </c>
      <c r="D48" s="126">
        <f>SUM(D41:D47)</f>
        <v>0</v>
      </c>
      <c r="E48" s="126">
        <f>SUM(E41:E47)</f>
        <v>0</v>
      </c>
      <c r="F48" s="127"/>
      <c r="G48" s="127"/>
      <c r="H48" s="18"/>
      <c r="I48" s="18"/>
      <c r="J48" s="18"/>
      <c r="K48" s="18"/>
      <c r="L48" s="126">
        <f>SUM(L41:L47)</f>
        <v>0</v>
      </c>
      <c r="M48" s="18"/>
      <c r="N48" s="18"/>
      <c r="O48" s="18"/>
      <c r="P48" s="15"/>
      <c r="Q48" s="15"/>
      <c r="R48" s="81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90"/>
      <c r="AD48" s="90"/>
      <c r="AE48" s="18"/>
      <c r="AF48" s="90"/>
      <c r="AG48" s="100"/>
    </row>
    <row r="49" spans="1:33" x14ac:dyDescent="0.2">
      <c r="B49" s="147" t="s">
        <v>2092</v>
      </c>
      <c r="C49" s="105">
        <f>SUM(C32,C40,C48)</f>
        <v>3.2399999999999993</v>
      </c>
      <c r="D49" s="105">
        <f t="shared" ref="D49:E49" si="28">SUM(D32,D40,D48)</f>
        <v>44.545139999999996</v>
      </c>
      <c r="E49" s="105">
        <f t="shared" si="28"/>
        <v>6479.9999999999991</v>
      </c>
      <c r="H49" s="105">
        <f>SUM(H26:H28,H34:H36,H42:H44)</f>
        <v>6.6330899999999993</v>
      </c>
      <c r="AD49" s="105">
        <f>SUM(AD25:AD28,AD33:AD36,AD41:AD44)</f>
        <v>302.25666666666666</v>
      </c>
      <c r="AG49" s="105">
        <f>SUM(AG42:AG44,AG34:AG36,AG26:AG28)</f>
        <v>750.33333333333337</v>
      </c>
    </row>
    <row r="51" spans="1:33" x14ac:dyDescent="0.2">
      <c r="E51" t="s">
        <v>2093</v>
      </c>
    </row>
    <row r="52" spans="1:33" x14ac:dyDescent="0.2">
      <c r="A52" s="78" t="s">
        <v>2094</v>
      </c>
      <c r="B52" s="157"/>
      <c r="E52">
        <f t="shared" ref="E52:E58" si="29">D25*$B$94</f>
        <v>3622.8330867239997</v>
      </c>
      <c r="AB52" s="105"/>
    </row>
    <row r="53" spans="1:33" x14ac:dyDescent="0.2">
      <c r="A53" s="22" t="s">
        <v>2081</v>
      </c>
      <c r="B53" s="23">
        <v>21.05</v>
      </c>
      <c r="E53">
        <f t="shared" si="29"/>
        <v>2240.5202030879996</v>
      </c>
    </row>
    <row r="54" spans="1:33" x14ac:dyDescent="0.2">
      <c r="A54" s="22" t="s">
        <v>2038</v>
      </c>
      <c r="B54" s="23">
        <v>18.02</v>
      </c>
      <c r="E54">
        <f t="shared" si="29"/>
        <v>1221.691444344</v>
      </c>
    </row>
    <row r="55" spans="1:33" x14ac:dyDescent="0.2">
      <c r="A55" s="22" t="s">
        <v>2085</v>
      </c>
      <c r="B55" s="23">
        <v>26.67</v>
      </c>
      <c r="E55">
        <f t="shared" si="29"/>
        <v>283.549682808</v>
      </c>
    </row>
    <row r="56" spans="1:33" x14ac:dyDescent="0.2">
      <c r="A56" s="22" t="s">
        <v>2039</v>
      </c>
      <c r="B56" s="23">
        <v>6.19</v>
      </c>
      <c r="E56">
        <f t="shared" si="29"/>
        <v>904.63669862400002</v>
      </c>
    </row>
    <row r="57" spans="1:33" x14ac:dyDescent="0.2">
      <c r="A57" s="22" t="s">
        <v>2087</v>
      </c>
      <c r="B57" s="23">
        <v>4.32</v>
      </c>
      <c r="E57">
        <f t="shared" si="29"/>
        <v>25.881352308</v>
      </c>
    </row>
    <row r="58" spans="1:33" x14ac:dyDescent="0.2">
      <c r="A58" s="22" t="s">
        <v>2088</v>
      </c>
      <c r="B58" s="23">
        <v>5.65</v>
      </c>
      <c r="E58">
        <f t="shared" si="29"/>
        <v>697.84763846399994</v>
      </c>
    </row>
    <row r="59" spans="1:33" x14ac:dyDescent="0.2">
      <c r="A59" s="22" t="s">
        <v>2089</v>
      </c>
      <c r="B59" s="23">
        <v>13.33</v>
      </c>
    </row>
    <row r="60" spans="1:33" x14ac:dyDescent="0.2">
      <c r="A60" s="77"/>
      <c r="B60" s="79" t="s">
        <v>2095</v>
      </c>
    </row>
    <row r="61" spans="1:33" x14ac:dyDescent="0.2">
      <c r="A61" s="23" t="s">
        <v>2096</v>
      </c>
      <c r="B61" s="23">
        <f>30/2.5</f>
        <v>12</v>
      </c>
    </row>
    <row r="63" spans="1:33" ht="52" customHeight="1" x14ac:dyDescent="0.2">
      <c r="A63" s="176" t="str">
        <f>A25</f>
        <v>Dev. 1 JOHNSON</v>
      </c>
      <c r="B63" s="141" t="s">
        <v>2097</v>
      </c>
      <c r="C63" s="142" t="s">
        <v>2043</v>
      </c>
      <c r="D63" s="143" t="s">
        <v>2098</v>
      </c>
      <c r="F63" s="34" t="s">
        <v>2099</v>
      </c>
      <c r="G63" s="34" t="s">
        <v>2100</v>
      </c>
    </row>
    <row r="64" spans="1:33" x14ac:dyDescent="0.2">
      <c r="A64" s="176"/>
      <c r="B64" s="144" t="s">
        <v>2101</v>
      </c>
      <c r="C64" s="145">
        <f t="shared" ref="C64:C70" si="30">D64*$B$7</f>
        <v>0.85211999999999999</v>
      </c>
      <c r="D64" s="146">
        <v>0.26300000000000001</v>
      </c>
      <c r="F64" s="26">
        <v>1</v>
      </c>
      <c r="G64" s="26">
        <v>1</v>
      </c>
    </row>
    <row r="65" spans="1:7" x14ac:dyDescent="0.2">
      <c r="A65" s="176"/>
      <c r="B65" s="144" t="s">
        <v>2038</v>
      </c>
      <c r="C65" s="145">
        <f t="shared" si="30"/>
        <v>0.61559999999999993</v>
      </c>
      <c r="D65" s="146">
        <v>0.19</v>
      </c>
      <c r="F65" s="26">
        <v>0.54</v>
      </c>
      <c r="G65" s="26">
        <v>0.05</v>
      </c>
    </row>
    <row r="66" spans="1:7" x14ac:dyDescent="0.2">
      <c r="A66" s="176"/>
      <c r="B66" s="144" t="s">
        <v>2085</v>
      </c>
      <c r="C66" s="145">
        <f t="shared" si="30"/>
        <v>0.2268</v>
      </c>
      <c r="D66" s="146">
        <v>7.0000000000000007E-2</v>
      </c>
      <c r="F66" s="26">
        <v>0.5</v>
      </c>
      <c r="G66" s="26">
        <v>0.25</v>
      </c>
    </row>
    <row r="67" spans="1:7" x14ac:dyDescent="0.2">
      <c r="A67" s="176"/>
      <c r="B67" s="144" t="s">
        <v>2039</v>
      </c>
      <c r="C67" s="145">
        <f t="shared" si="30"/>
        <v>0.2268</v>
      </c>
      <c r="D67" s="146">
        <v>7.0000000000000007E-2</v>
      </c>
      <c r="F67" s="26">
        <v>0.5</v>
      </c>
      <c r="G67" s="26">
        <v>0.1</v>
      </c>
    </row>
    <row r="68" spans="1:7" x14ac:dyDescent="0.2">
      <c r="A68" s="176"/>
      <c r="B68" s="144" t="s">
        <v>2087</v>
      </c>
      <c r="C68" s="145">
        <f t="shared" si="30"/>
        <v>1.0367999999999999</v>
      </c>
      <c r="D68" s="146">
        <v>0.32</v>
      </c>
      <c r="F68" s="26">
        <v>0</v>
      </c>
      <c r="G68" s="26">
        <v>0</v>
      </c>
    </row>
    <row r="69" spans="1:7" x14ac:dyDescent="0.2">
      <c r="A69" s="176"/>
      <c r="B69" s="144" t="s">
        <v>2088</v>
      </c>
      <c r="C69" s="145">
        <f t="shared" si="30"/>
        <v>2.2679999999999999E-2</v>
      </c>
      <c r="D69" s="146">
        <v>7.0000000000000001E-3</v>
      </c>
      <c r="F69" s="26">
        <v>0</v>
      </c>
      <c r="G69" s="26">
        <v>0</v>
      </c>
    </row>
    <row r="70" spans="1:7" x14ac:dyDescent="0.2">
      <c r="A70" s="176"/>
      <c r="B70" s="144" t="s">
        <v>2089</v>
      </c>
      <c r="C70" s="145">
        <f t="shared" si="30"/>
        <v>0.25919999999999999</v>
      </c>
      <c r="D70" s="146">
        <v>0.08</v>
      </c>
      <c r="F70" s="26">
        <v>0</v>
      </c>
      <c r="G70" s="26">
        <v>0</v>
      </c>
    </row>
    <row r="71" spans="1:7" x14ac:dyDescent="0.2">
      <c r="C71" s="30">
        <f>SUM(C64:C70)</f>
        <v>3.2399999999999993</v>
      </c>
      <c r="D71" s="31">
        <f>SUM(D64:D70)</f>
        <v>1</v>
      </c>
    </row>
    <row r="73" spans="1:7" ht="45" customHeight="1" x14ac:dyDescent="0.2">
      <c r="A73" s="177" t="str">
        <f>A33</f>
        <v>N/A</v>
      </c>
      <c r="B73" s="141" t="s">
        <v>2097</v>
      </c>
      <c r="C73" s="142" t="s">
        <v>2043</v>
      </c>
      <c r="D73" s="143" t="s">
        <v>2098</v>
      </c>
      <c r="E73" s="106"/>
    </row>
    <row r="74" spans="1:7" x14ac:dyDescent="0.2">
      <c r="A74" s="177"/>
      <c r="B74" s="144" t="s">
        <v>2101</v>
      </c>
      <c r="C74" s="145">
        <f>D74*$B$13</f>
        <v>0</v>
      </c>
      <c r="D74" s="146">
        <v>0.26300000000000001</v>
      </c>
      <c r="E74" s="106"/>
    </row>
    <row r="75" spans="1:7" x14ac:dyDescent="0.2">
      <c r="A75" s="177"/>
      <c r="B75" s="144" t="s">
        <v>2038</v>
      </c>
      <c r="C75" s="145">
        <f t="shared" ref="C75:C80" si="31">D75*$B$13</f>
        <v>0</v>
      </c>
      <c r="D75" s="146">
        <v>0.19</v>
      </c>
      <c r="E75" s="106"/>
    </row>
    <row r="76" spans="1:7" x14ac:dyDescent="0.2">
      <c r="A76" s="177"/>
      <c r="B76" s="144" t="s">
        <v>2085</v>
      </c>
      <c r="C76" s="145">
        <f t="shared" si="31"/>
        <v>0</v>
      </c>
      <c r="D76" s="146">
        <v>7.0000000000000007E-2</v>
      </c>
      <c r="E76" s="106"/>
    </row>
    <row r="77" spans="1:7" x14ac:dyDescent="0.2">
      <c r="A77" s="177"/>
      <c r="B77" s="144" t="s">
        <v>2039</v>
      </c>
      <c r="C77" s="145">
        <f t="shared" si="31"/>
        <v>0</v>
      </c>
      <c r="D77" s="146">
        <v>7.0000000000000007E-2</v>
      </c>
      <c r="E77" s="106"/>
    </row>
    <row r="78" spans="1:7" x14ac:dyDescent="0.2">
      <c r="A78" s="177"/>
      <c r="B78" s="144" t="s">
        <v>2087</v>
      </c>
      <c r="C78" s="145">
        <f t="shared" si="31"/>
        <v>0</v>
      </c>
      <c r="D78" s="146">
        <v>0.32</v>
      </c>
      <c r="E78" s="106"/>
    </row>
    <row r="79" spans="1:7" x14ac:dyDescent="0.2">
      <c r="A79" s="177"/>
      <c r="B79" s="144" t="s">
        <v>2088</v>
      </c>
      <c r="C79" s="145">
        <f t="shared" si="31"/>
        <v>0</v>
      </c>
      <c r="D79" s="146">
        <v>7.0000000000000001E-3</v>
      </c>
      <c r="E79" s="106"/>
    </row>
    <row r="80" spans="1:7" x14ac:dyDescent="0.2">
      <c r="A80" s="177"/>
      <c r="B80" s="144" t="s">
        <v>2089</v>
      </c>
      <c r="C80" s="145">
        <f t="shared" si="31"/>
        <v>0</v>
      </c>
      <c r="D80" s="146">
        <v>0.08</v>
      </c>
      <c r="E80" s="106"/>
    </row>
    <row r="81" spans="1:4" x14ac:dyDescent="0.2">
      <c r="C81" s="30">
        <f>SUM(C74:C80)</f>
        <v>0</v>
      </c>
      <c r="D81" s="31">
        <f>SUM(D74:D80)</f>
        <v>1</v>
      </c>
    </row>
    <row r="83" spans="1:4" ht="51" customHeight="1" x14ac:dyDescent="0.2">
      <c r="A83" s="177" t="str">
        <f>A41</f>
        <v>N/A</v>
      </c>
      <c r="B83" s="141" t="s">
        <v>2097</v>
      </c>
      <c r="C83" s="142" t="s">
        <v>2043</v>
      </c>
      <c r="D83" s="143" t="s">
        <v>2098</v>
      </c>
    </row>
    <row r="84" spans="1:4" x14ac:dyDescent="0.2">
      <c r="A84" s="177"/>
      <c r="B84" s="22" t="s">
        <v>2101</v>
      </c>
      <c r="C84" s="25">
        <f>D84*$B$19</f>
        <v>0</v>
      </c>
      <c r="D84" s="26">
        <v>0.26300000000000001</v>
      </c>
    </row>
    <row r="85" spans="1:4" x14ac:dyDescent="0.2">
      <c r="A85" s="177"/>
      <c r="B85" s="22" t="s">
        <v>2038</v>
      </c>
      <c r="C85" s="25">
        <f t="shared" ref="C85:C89" si="32">D85*$B$19</f>
        <v>0</v>
      </c>
      <c r="D85" s="26">
        <v>0.19</v>
      </c>
    </row>
    <row r="86" spans="1:4" x14ac:dyDescent="0.2">
      <c r="A86" s="177"/>
      <c r="B86" s="22" t="s">
        <v>2085</v>
      </c>
      <c r="C86" s="25">
        <f t="shared" si="32"/>
        <v>0</v>
      </c>
      <c r="D86" s="26">
        <v>7.0000000000000007E-2</v>
      </c>
    </row>
    <row r="87" spans="1:4" x14ac:dyDescent="0.2">
      <c r="A87" s="177"/>
      <c r="B87" s="22" t="s">
        <v>2039</v>
      </c>
      <c r="C87" s="25">
        <f t="shared" si="32"/>
        <v>0</v>
      </c>
      <c r="D87" s="26">
        <v>7.0000000000000007E-2</v>
      </c>
    </row>
    <row r="88" spans="1:4" x14ac:dyDescent="0.2">
      <c r="A88" s="177"/>
      <c r="B88" s="22" t="s">
        <v>2087</v>
      </c>
      <c r="C88" s="25">
        <f t="shared" si="32"/>
        <v>0</v>
      </c>
      <c r="D88" s="26">
        <v>0.32</v>
      </c>
    </row>
    <row r="89" spans="1:4" x14ac:dyDescent="0.2">
      <c r="A89" s="177"/>
      <c r="B89" s="22" t="s">
        <v>2088</v>
      </c>
      <c r="C89" s="25">
        <f t="shared" si="32"/>
        <v>0</v>
      </c>
      <c r="D89" s="26">
        <v>7.0000000000000001E-3</v>
      </c>
    </row>
    <row r="90" spans="1:4" x14ac:dyDescent="0.2">
      <c r="A90" s="177"/>
      <c r="B90" s="22" t="s">
        <v>2089</v>
      </c>
      <c r="C90" s="25">
        <f>D90*$B$19</f>
        <v>0</v>
      </c>
      <c r="D90" s="26">
        <v>0.08</v>
      </c>
    </row>
    <row r="91" spans="1:4" x14ac:dyDescent="0.2">
      <c r="C91" s="30">
        <f>SUM(C84:C90)</f>
        <v>0</v>
      </c>
      <c r="D91" s="31">
        <f>SUM(D84:D90)</f>
        <v>1</v>
      </c>
    </row>
    <row r="93" spans="1:4" x14ac:dyDescent="0.2">
      <c r="A93" s="165" t="s">
        <v>2102</v>
      </c>
      <c r="B93" s="167"/>
    </row>
    <row r="94" spans="1:4" x14ac:dyDescent="0.2">
      <c r="A94" s="22" t="s">
        <v>2103</v>
      </c>
      <c r="B94" s="23">
        <v>201.97399999999999</v>
      </c>
    </row>
    <row r="95" spans="1:4" x14ac:dyDescent="0.2">
      <c r="A95" s="22" t="s">
        <v>2104</v>
      </c>
      <c r="B95" s="23">
        <v>2000</v>
      </c>
    </row>
    <row r="96" spans="1:4" x14ac:dyDescent="0.2">
      <c r="A96" s="22" t="s">
        <v>2105</v>
      </c>
      <c r="B96" s="23">
        <v>40</v>
      </c>
    </row>
    <row r="97" spans="1:2" x14ac:dyDescent="0.2">
      <c r="A97" s="22" t="s">
        <v>2106</v>
      </c>
      <c r="B97" s="23">
        <v>64</v>
      </c>
    </row>
    <row r="98" spans="1:2" x14ac:dyDescent="0.2">
      <c r="A98" s="28" t="s">
        <v>2107</v>
      </c>
      <c r="B98" s="29">
        <v>44</v>
      </c>
    </row>
    <row r="99" spans="1:2" x14ac:dyDescent="0.2">
      <c r="A99" s="28" t="s">
        <v>2108</v>
      </c>
      <c r="B99" s="25">
        <f>1/3</f>
        <v>0.33333333333333331</v>
      </c>
    </row>
    <row r="101" spans="1:2" x14ac:dyDescent="0.2">
      <c r="A101" s="23" t="s">
        <v>2109</v>
      </c>
      <c r="B101" s="25">
        <f>1/3</f>
        <v>0.33333333333333331</v>
      </c>
    </row>
    <row r="102" spans="1:2" x14ac:dyDescent="0.2">
      <c r="A102" s="23" t="s">
        <v>2110</v>
      </c>
      <c r="B102" s="25">
        <f>1/3</f>
        <v>0.33333333333333331</v>
      </c>
    </row>
  </sheetData>
  <mergeCells count="17">
    <mergeCell ref="C23:H23"/>
    <mergeCell ref="I23:M23"/>
    <mergeCell ref="N23:R23"/>
    <mergeCell ref="AE23:AG23"/>
    <mergeCell ref="A93:B93"/>
    <mergeCell ref="A33:A40"/>
    <mergeCell ref="A41:A48"/>
    <mergeCell ref="A25:A32"/>
    <mergeCell ref="A63:A70"/>
    <mergeCell ref="A73:A80"/>
    <mergeCell ref="A83:A90"/>
    <mergeCell ref="AB23:AD23"/>
    <mergeCell ref="A1:H3"/>
    <mergeCell ref="X1:Y1"/>
    <mergeCell ref="A4:B4"/>
    <mergeCell ref="A10:B10"/>
    <mergeCell ref="A16:B16"/>
  </mergeCells>
  <dataValidations count="2">
    <dataValidation type="list" allowBlank="1" showInputMessage="1" showErrorMessage="1" sqref="J1:J4" xr:uid="{8BB263E1-A39C-1F43-BE7F-991E3909367B}">
      <formula1>Developments</formula1>
    </dataValidation>
    <dataValidation type="list" allowBlank="1" showInputMessage="1" showErrorMessage="1" sqref="AB25:AB48 AE25:AE48" xr:uid="{2D028180-AFD9-BC47-A20C-195D4E52B514}">
      <formula1>Containers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4A1D-788B-E346-94AD-A548C498DAA6}">
  <dimension ref="A1:F10"/>
  <sheetViews>
    <sheetView workbookViewId="0">
      <selection activeCell="B1" sqref="B1:F1"/>
    </sheetView>
  </sheetViews>
  <sheetFormatPr baseColWidth="10" defaultColWidth="11.5" defaultRowHeight="15" x14ac:dyDescent="0.2"/>
  <cols>
    <col min="1" max="1" width="12.33203125" bestFit="1" customWidth="1"/>
    <col min="2" max="2" width="17.33203125" bestFit="1" customWidth="1"/>
  </cols>
  <sheetData>
    <row r="1" spans="1:6" x14ac:dyDescent="0.2">
      <c r="A1" s="12" t="s">
        <v>2111</v>
      </c>
      <c r="B1" s="178" t="str">
        <f>'Overall Calculator'!J1</f>
        <v>SUMNER</v>
      </c>
      <c r="C1" s="178"/>
      <c r="D1" s="178"/>
      <c r="E1" s="178"/>
      <c r="F1" s="178"/>
    </row>
    <row r="3" spans="1:6" ht="16" thickBot="1" x14ac:dyDescent="0.25"/>
    <row r="4" spans="1:6" x14ac:dyDescent="0.2">
      <c r="B4" s="153"/>
      <c r="C4" s="154" t="s">
        <v>2038</v>
      </c>
      <c r="D4" s="154" t="s">
        <v>2085</v>
      </c>
      <c r="E4" s="155" t="s">
        <v>2039</v>
      </c>
      <c r="F4" s="156"/>
    </row>
    <row r="5" spans="1:6" ht="16" x14ac:dyDescent="0.2">
      <c r="B5" s="107" t="s">
        <v>2112</v>
      </c>
      <c r="C5" s="108">
        <v>0.11115</v>
      </c>
      <c r="D5" s="108">
        <v>3.9899999999999998E-2</v>
      </c>
      <c r="E5" s="108">
        <v>0.52155000000000007</v>
      </c>
      <c r="F5" s="109">
        <f t="shared" ref="F5:F10" si="0">SUM(C5:E5)</f>
        <v>0.67260000000000009</v>
      </c>
    </row>
    <row r="6" spans="1:6" ht="16" x14ac:dyDescent="0.2">
      <c r="B6" s="107" t="s">
        <v>2113</v>
      </c>
      <c r="C6" s="108">
        <v>2.002923</v>
      </c>
      <c r="D6" s="108">
        <v>0.71899799999999991</v>
      </c>
      <c r="E6" s="108">
        <v>9.3983310000000007</v>
      </c>
      <c r="F6" s="109">
        <f t="shared" si="0"/>
        <v>12.120252000000001</v>
      </c>
    </row>
    <row r="7" spans="1:6" ht="16" x14ac:dyDescent="0.2">
      <c r="B7" s="107" t="s">
        <v>2114</v>
      </c>
      <c r="C7" s="108">
        <v>3.3345E-2</v>
      </c>
      <c r="D7" s="108">
        <v>1.197E-2</v>
      </c>
      <c r="E7" s="108">
        <v>0.15646500000000002</v>
      </c>
      <c r="F7" s="109">
        <f t="shared" si="0"/>
        <v>0.20178000000000001</v>
      </c>
    </row>
    <row r="8" spans="1:6" ht="16" x14ac:dyDescent="0.2">
      <c r="B8" s="107" t="s">
        <v>2115</v>
      </c>
      <c r="C8" s="108">
        <v>0.60087689999999994</v>
      </c>
      <c r="D8" s="108">
        <v>0.21569939999999996</v>
      </c>
      <c r="E8" s="108">
        <v>2.8194992999999999</v>
      </c>
      <c r="F8" s="109">
        <f t="shared" si="0"/>
        <v>3.6360755999999999</v>
      </c>
    </row>
    <row r="9" spans="1:6" ht="32" x14ac:dyDescent="0.2">
      <c r="B9" s="107" t="s">
        <v>2116</v>
      </c>
      <c r="C9" s="108">
        <v>25</v>
      </c>
      <c r="D9" s="108">
        <v>9</v>
      </c>
      <c r="E9" s="108">
        <v>114</v>
      </c>
      <c r="F9" s="109">
        <f t="shared" si="0"/>
        <v>148</v>
      </c>
    </row>
    <row r="10" spans="1:6" ht="32" x14ac:dyDescent="0.2">
      <c r="B10" s="110" t="s">
        <v>2117</v>
      </c>
      <c r="C10" s="111">
        <v>50</v>
      </c>
      <c r="D10" s="111">
        <v>18</v>
      </c>
      <c r="E10" s="111">
        <v>228</v>
      </c>
      <c r="F10" s="112">
        <f t="shared" si="0"/>
        <v>296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workbookViewId="0">
      <selection activeCell="I1" sqref="I1:L1"/>
    </sheetView>
  </sheetViews>
  <sheetFormatPr baseColWidth="10" defaultColWidth="8.83203125" defaultRowHeight="15" x14ac:dyDescent="0.2"/>
  <sheetData>
    <row r="1" spans="1:7" x14ac:dyDescent="0.2">
      <c r="A1" s="2" t="s">
        <v>2164</v>
      </c>
    </row>
    <row r="2" spans="1:7" ht="64" x14ac:dyDescent="0.2">
      <c r="B2" s="1" t="s">
        <v>2165</v>
      </c>
      <c r="C2" t="s">
        <v>2166</v>
      </c>
      <c r="D2" t="s">
        <v>2057</v>
      </c>
      <c r="E2" t="s">
        <v>2167</v>
      </c>
      <c r="F2" t="s">
        <v>2168</v>
      </c>
      <c r="G2" s="1" t="s">
        <v>2169</v>
      </c>
    </row>
    <row r="3" spans="1:7" x14ac:dyDescent="0.2">
      <c r="A3" s="2" t="s">
        <v>2081</v>
      </c>
      <c r="B3" s="3">
        <f t="shared" ref="B3:B9" si="0">B29</f>
        <v>0.12109271428571429</v>
      </c>
      <c r="C3" s="3">
        <f t="shared" ref="C3:C9" si="1">B3*B19</f>
        <v>2.5490016357142857</v>
      </c>
      <c r="D3" s="8">
        <v>1</v>
      </c>
      <c r="E3" s="10">
        <f>C10-SUM(E4:E9)</f>
        <v>5.2136122814285724</v>
      </c>
      <c r="F3" s="5">
        <f t="shared" ref="F3:F9" si="2">E3*$B$38</f>
        <v>1053.0141269292544</v>
      </c>
      <c r="G3" s="6">
        <f>ROUNDUP(F3/40,0)</f>
        <v>27</v>
      </c>
    </row>
    <row r="4" spans="1:7" x14ac:dyDescent="0.2">
      <c r="A4" s="2" t="s">
        <v>2038</v>
      </c>
      <c r="B4" s="3">
        <f t="shared" si="0"/>
        <v>8.7481428571428571E-2</v>
      </c>
      <c r="C4" s="3">
        <f t="shared" si="1"/>
        <v>1.5764153428571428</v>
      </c>
      <c r="D4" s="8">
        <v>0.1</v>
      </c>
      <c r="E4">
        <f>C4*D4</f>
        <v>0.15764153428571429</v>
      </c>
      <c r="F4" s="5">
        <f t="shared" si="2"/>
        <v>31.839491245822856</v>
      </c>
      <c r="G4" s="6">
        <f t="shared" ref="G4:G7" si="3">ROUNDUP(F4/40,0)</f>
        <v>1</v>
      </c>
    </row>
    <row r="5" spans="1:7" x14ac:dyDescent="0.2">
      <c r="A5" s="2" t="s">
        <v>2085</v>
      </c>
      <c r="B5" s="3">
        <f t="shared" si="0"/>
        <v>3.2230000000000002E-2</v>
      </c>
      <c r="C5" s="3">
        <f t="shared" si="1"/>
        <v>0.85957410000000012</v>
      </c>
      <c r="D5" s="9">
        <v>0.5</v>
      </c>
      <c r="E5">
        <f t="shared" ref="E5:E7" si="4">C5*D5</f>
        <v>0.42978705000000006</v>
      </c>
      <c r="F5" s="5">
        <f t="shared" si="2"/>
        <v>86.805809636700005</v>
      </c>
      <c r="G5" s="6">
        <f t="shared" si="3"/>
        <v>3</v>
      </c>
    </row>
    <row r="6" spans="1:7" x14ac:dyDescent="0.2">
      <c r="A6" s="2" t="s">
        <v>2039</v>
      </c>
      <c r="B6" s="3">
        <f t="shared" si="0"/>
        <v>3.2230000000000002E-2</v>
      </c>
      <c r="C6" s="3">
        <f t="shared" si="1"/>
        <v>0.19950370000000003</v>
      </c>
      <c r="D6" s="9">
        <v>0.1</v>
      </c>
      <c r="E6">
        <f t="shared" si="4"/>
        <v>1.9950370000000005E-2</v>
      </c>
      <c r="F6" s="5">
        <f t="shared" si="2"/>
        <v>4.0294560303800013</v>
      </c>
      <c r="G6" s="6">
        <f t="shared" si="3"/>
        <v>1</v>
      </c>
    </row>
    <row r="7" spans="1:7" x14ac:dyDescent="0.2">
      <c r="A7" s="2" t="s">
        <v>2087</v>
      </c>
      <c r="B7" s="3">
        <f t="shared" si="0"/>
        <v>0.14733714285714286</v>
      </c>
      <c r="C7" s="3">
        <f t="shared" si="1"/>
        <v>0.63649645714285719</v>
      </c>
      <c r="D7" s="9">
        <f>0%</f>
        <v>0</v>
      </c>
      <c r="E7">
        <f t="shared" si="4"/>
        <v>0</v>
      </c>
      <c r="F7" s="5">
        <f t="shared" si="2"/>
        <v>0</v>
      </c>
      <c r="G7" s="6">
        <f t="shared" si="3"/>
        <v>0</v>
      </c>
    </row>
    <row r="8" spans="1:7" x14ac:dyDescent="0.2">
      <c r="A8" s="2" t="s">
        <v>2088</v>
      </c>
      <c r="B8" s="3">
        <f t="shared" si="0"/>
        <v>3.2229999999999997E-3</v>
      </c>
      <c r="C8" s="3">
        <f t="shared" si="1"/>
        <v>1.8209949999999999E-2</v>
      </c>
      <c r="D8" s="9">
        <v>0</v>
      </c>
      <c r="E8">
        <f>C8*D8</f>
        <v>0</v>
      </c>
      <c r="F8" s="5">
        <f t="shared" si="2"/>
        <v>0</v>
      </c>
      <c r="G8" s="6">
        <f>ROUNDUP(F8/40,0)</f>
        <v>0</v>
      </c>
    </row>
    <row r="9" spans="1:7" x14ac:dyDescent="0.2">
      <c r="A9" s="2" t="s">
        <v>2089</v>
      </c>
      <c r="B9" s="3">
        <f t="shared" si="0"/>
        <v>3.6834285714285715E-2</v>
      </c>
      <c r="C9" s="3">
        <f t="shared" si="1"/>
        <v>0.49100102857142858</v>
      </c>
      <c r="D9" s="9">
        <v>0</v>
      </c>
      <c r="E9">
        <f>C9*D9</f>
        <v>0</v>
      </c>
      <c r="F9" s="5">
        <f t="shared" si="2"/>
        <v>0</v>
      </c>
      <c r="G9" s="6">
        <f>ROUNDUP(F9/40,0)</f>
        <v>0</v>
      </c>
    </row>
    <row r="10" spans="1:7" x14ac:dyDescent="0.2">
      <c r="A10" s="2" t="s">
        <v>2090</v>
      </c>
      <c r="C10" s="3">
        <f>SUM(C3:C7)</f>
        <v>5.8209912357142866</v>
      </c>
    </row>
    <row r="12" spans="1:7" ht="112" x14ac:dyDescent="0.2">
      <c r="A12" s="1" t="s">
        <v>2170</v>
      </c>
    </row>
    <row r="13" spans="1:7" x14ac:dyDescent="0.2">
      <c r="A13" s="2" t="s">
        <v>2171</v>
      </c>
      <c r="B13">
        <f>32.23/7</f>
        <v>4.6042857142857141</v>
      </c>
    </row>
    <row r="14" spans="1:7" x14ac:dyDescent="0.2">
      <c r="A14" s="2" t="s">
        <v>2172</v>
      </c>
      <c r="B14">
        <f>B13/2</f>
        <v>2.302142857142857</v>
      </c>
    </row>
    <row r="15" spans="1:7" x14ac:dyDescent="0.2">
      <c r="A15" s="2" t="s">
        <v>2173</v>
      </c>
      <c r="B15" s="4">
        <f>B14/5</f>
        <v>0.46042857142857141</v>
      </c>
    </row>
    <row r="16" spans="1:7" x14ac:dyDescent="0.2">
      <c r="A16" s="2" t="s">
        <v>2174</v>
      </c>
      <c r="B16" s="6">
        <f>B15*2000</f>
        <v>920.85714285714278</v>
      </c>
    </row>
    <row r="18" spans="1:3" x14ac:dyDescent="0.2">
      <c r="A18" s="2" t="s">
        <v>2094</v>
      </c>
    </row>
    <row r="19" spans="1:3" x14ac:dyDescent="0.2">
      <c r="A19" s="2" t="s">
        <v>2081</v>
      </c>
      <c r="B19">
        <v>21.05</v>
      </c>
    </row>
    <row r="20" spans="1:3" x14ac:dyDescent="0.2">
      <c r="A20" s="2" t="s">
        <v>2038</v>
      </c>
      <c r="B20">
        <v>18.02</v>
      </c>
    </row>
    <row r="21" spans="1:3" x14ac:dyDescent="0.2">
      <c r="A21" s="2" t="s">
        <v>2085</v>
      </c>
      <c r="B21">
        <v>26.67</v>
      </c>
    </row>
    <row r="22" spans="1:3" x14ac:dyDescent="0.2">
      <c r="A22" s="2" t="s">
        <v>2039</v>
      </c>
      <c r="B22">
        <v>6.19</v>
      </c>
    </row>
    <row r="23" spans="1:3" x14ac:dyDescent="0.2">
      <c r="A23" s="2" t="s">
        <v>2087</v>
      </c>
      <c r="B23">
        <v>4.32</v>
      </c>
    </row>
    <row r="24" spans="1:3" x14ac:dyDescent="0.2">
      <c r="A24" s="2" t="s">
        <v>2088</v>
      </c>
      <c r="B24">
        <v>5.65</v>
      </c>
    </row>
    <row r="25" spans="1:3" x14ac:dyDescent="0.2">
      <c r="A25" s="2" t="s">
        <v>2089</v>
      </c>
      <c r="B25">
        <v>13.33</v>
      </c>
    </row>
    <row r="28" spans="1:3" x14ac:dyDescent="0.2">
      <c r="A28" s="2" t="s">
        <v>2097</v>
      </c>
      <c r="B28" t="s">
        <v>2175</v>
      </c>
      <c r="C28" t="s">
        <v>2098</v>
      </c>
    </row>
    <row r="29" spans="1:3" x14ac:dyDescent="0.2">
      <c r="A29" s="2" t="s">
        <v>2101</v>
      </c>
      <c r="B29" s="11">
        <f>C29*$B$15</f>
        <v>0.12109271428571429</v>
      </c>
      <c r="C29" s="8">
        <v>0.26300000000000001</v>
      </c>
    </row>
    <row r="30" spans="1:3" x14ac:dyDescent="0.2">
      <c r="A30" s="2" t="s">
        <v>2038</v>
      </c>
      <c r="B30" s="11">
        <f>C30*$B$15</f>
        <v>8.7481428571428571E-2</v>
      </c>
      <c r="C30" s="8">
        <v>0.19</v>
      </c>
    </row>
    <row r="31" spans="1:3" x14ac:dyDescent="0.2">
      <c r="A31" s="2" t="s">
        <v>2085</v>
      </c>
      <c r="B31" s="11">
        <f t="shared" ref="B31:B33" si="5">C31*$B$15</f>
        <v>3.2230000000000002E-2</v>
      </c>
      <c r="C31" s="8">
        <v>7.0000000000000007E-2</v>
      </c>
    </row>
    <row r="32" spans="1:3" x14ac:dyDescent="0.2">
      <c r="A32" s="2" t="s">
        <v>2039</v>
      </c>
      <c r="B32" s="11">
        <f t="shared" si="5"/>
        <v>3.2230000000000002E-2</v>
      </c>
      <c r="C32" s="8">
        <v>7.0000000000000007E-2</v>
      </c>
    </row>
    <row r="33" spans="1:3" x14ac:dyDescent="0.2">
      <c r="A33" s="2" t="s">
        <v>2087</v>
      </c>
      <c r="B33" s="11">
        <f t="shared" si="5"/>
        <v>0.14733714285714286</v>
      </c>
      <c r="C33" s="7">
        <v>0.32</v>
      </c>
    </row>
    <row r="34" spans="1:3" x14ac:dyDescent="0.2">
      <c r="A34" s="2" t="s">
        <v>2088</v>
      </c>
      <c r="B34" s="11">
        <f>C34*$B$15</f>
        <v>3.2229999999999997E-3</v>
      </c>
      <c r="C34" s="8">
        <v>7.0000000000000001E-3</v>
      </c>
    </row>
    <row r="35" spans="1:3" x14ac:dyDescent="0.2">
      <c r="A35" s="2" t="s">
        <v>2089</v>
      </c>
      <c r="B35" s="11">
        <f>C35*$B$15</f>
        <v>3.6834285714285715E-2</v>
      </c>
      <c r="C35" s="8">
        <v>0.08</v>
      </c>
    </row>
    <row r="36" spans="1:3" x14ac:dyDescent="0.2">
      <c r="B36" s="4">
        <f>SUM(B29:B35)</f>
        <v>0.46042857142857141</v>
      </c>
      <c r="C36" s="7">
        <f>SUM(C29:C35)</f>
        <v>1</v>
      </c>
    </row>
    <row r="38" spans="1:3" x14ac:dyDescent="0.2">
      <c r="A38" s="2" t="s">
        <v>2103</v>
      </c>
      <c r="B38">
        <v>201.97399999999999</v>
      </c>
    </row>
    <row r="40" spans="1:3" x14ac:dyDescent="0.2">
      <c r="A40" s="2" t="s">
        <v>2176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3.5" customWidth="1"/>
    <col min="9" max="9" width="15.83203125" customWidth="1"/>
    <col min="11" max="11" width="19.5" bestFit="1" customWidth="1"/>
    <col min="12" max="12" width="19" customWidth="1"/>
    <col min="13" max="13" width="17.5" customWidth="1"/>
  </cols>
  <sheetData>
    <row r="1" spans="1:16" x14ac:dyDescent="0.2">
      <c r="D1" s="58">
        <v>0.8</v>
      </c>
      <c r="I1" s="59">
        <v>6</v>
      </c>
    </row>
    <row r="2" spans="1:16" ht="48" x14ac:dyDescent="0.2">
      <c r="A2" s="58" t="s">
        <v>2118</v>
      </c>
      <c r="B2" s="58" t="s">
        <v>2119</v>
      </c>
      <c r="C2" s="58" t="s">
        <v>2120</v>
      </c>
      <c r="D2" s="58" t="s">
        <v>2121</v>
      </c>
      <c r="E2" s="58" t="s">
        <v>2122</v>
      </c>
      <c r="F2" s="58" t="s">
        <v>2123</v>
      </c>
      <c r="G2" s="58" t="s">
        <v>2124</v>
      </c>
      <c r="H2" s="76" t="s">
        <v>2125</v>
      </c>
      <c r="I2" s="76" t="s">
        <v>2126</v>
      </c>
      <c r="J2" s="76" t="s">
        <v>2127</v>
      </c>
      <c r="K2" s="58" t="s">
        <v>2128</v>
      </c>
      <c r="L2" s="58" t="s">
        <v>2129</v>
      </c>
      <c r="M2" s="58" t="s">
        <v>2130</v>
      </c>
      <c r="N2" s="60"/>
      <c r="O2" s="60"/>
      <c r="P2" s="60"/>
    </row>
    <row r="3" spans="1:16" ht="32" x14ac:dyDescent="0.2">
      <c r="A3" s="60" t="s">
        <v>2131</v>
      </c>
      <c r="B3" s="60">
        <v>21</v>
      </c>
      <c r="C3" s="61">
        <f>B3/B$32</f>
        <v>0.10396039603960396</v>
      </c>
      <c r="D3" s="62">
        <f>C3*D$1</f>
        <v>8.3168316831683173E-2</v>
      </c>
      <c r="E3" s="63">
        <f>22/12</f>
        <v>1.8333333333333333</v>
      </c>
      <c r="F3" s="63">
        <f>18/12</f>
        <v>1.5</v>
      </c>
      <c r="G3" s="64">
        <f>F3*E3</f>
        <v>2.75</v>
      </c>
      <c r="H3" s="65"/>
      <c r="I3" s="65"/>
      <c r="J3" s="65"/>
      <c r="K3" s="65">
        <f>D3/G3*100</f>
        <v>3.0243024302430244</v>
      </c>
      <c r="L3" s="65">
        <f>K3/100*27</f>
        <v>0.8165616561656166</v>
      </c>
      <c r="M3" s="65"/>
      <c r="N3" s="60"/>
      <c r="O3" s="60"/>
      <c r="P3" s="60"/>
    </row>
    <row r="4" spans="1:16" ht="16" x14ac:dyDescent="0.2">
      <c r="A4" s="60" t="s">
        <v>2132</v>
      </c>
      <c r="B4" s="60">
        <v>32</v>
      </c>
      <c r="C4" s="61">
        <f>B4/B$32</f>
        <v>0.15841584158415842</v>
      </c>
      <c r="D4" s="62">
        <f>C4*D$1</f>
        <v>0.12673267326732673</v>
      </c>
      <c r="E4" s="63">
        <f>26/12</f>
        <v>2.1666666666666665</v>
      </c>
      <c r="F4" s="63">
        <f>19/12</f>
        <v>1.5833333333333333</v>
      </c>
      <c r="G4" s="64">
        <f t="shared" ref="G4:G10" si="0">F4*E4</f>
        <v>3.4305555555555554</v>
      </c>
      <c r="H4" s="65"/>
      <c r="I4" s="65"/>
      <c r="J4" s="65"/>
      <c r="K4" s="65">
        <f t="shared" ref="K4:K21" si="1">D4/G4*100</f>
        <v>3.6942317713552733</v>
      </c>
      <c r="L4" s="65">
        <f t="shared" ref="L4:L21" si="2">K4/100*27</f>
        <v>0.99744257826592375</v>
      </c>
      <c r="M4" s="65"/>
      <c r="N4" s="60"/>
      <c r="O4" s="60"/>
      <c r="P4" s="60"/>
    </row>
    <row r="5" spans="1:16" ht="16" x14ac:dyDescent="0.2">
      <c r="A5" s="60" t="s">
        <v>2133</v>
      </c>
      <c r="B5" s="60">
        <v>50</v>
      </c>
      <c r="C5" s="61">
        <f>B5/B$32</f>
        <v>0.24752475247524752</v>
      </c>
      <c r="D5" s="62">
        <f>C5*D$1</f>
        <v>0.19801980198019803</v>
      </c>
      <c r="E5" s="63">
        <f>32/12</f>
        <v>2.6666666666666665</v>
      </c>
      <c r="F5" s="63">
        <f>24/12</f>
        <v>2</v>
      </c>
      <c r="G5" s="64">
        <f t="shared" si="0"/>
        <v>5.333333333333333</v>
      </c>
      <c r="H5" s="65"/>
      <c r="I5" s="65"/>
      <c r="J5" s="65"/>
      <c r="K5" s="65"/>
      <c r="L5" s="65"/>
      <c r="M5" s="65"/>
      <c r="N5" s="60"/>
      <c r="O5" s="60"/>
      <c r="P5" s="60"/>
    </row>
    <row r="6" spans="1:16" ht="16" x14ac:dyDescent="0.2">
      <c r="A6" s="60" t="s">
        <v>2134</v>
      </c>
      <c r="B6" s="60">
        <v>64</v>
      </c>
      <c r="C6" s="61">
        <f>B6/B$32</f>
        <v>0.31683168316831684</v>
      </c>
      <c r="D6" s="66">
        <f>C6*D$1</f>
        <v>0.25346534653465347</v>
      </c>
      <c r="E6" s="63">
        <f>32/12</f>
        <v>2.6666666666666665</v>
      </c>
      <c r="F6" s="63">
        <f>24/12</f>
        <v>2</v>
      </c>
      <c r="G6" s="64">
        <f t="shared" si="0"/>
        <v>5.333333333333333</v>
      </c>
      <c r="H6" s="65"/>
      <c r="I6" s="65"/>
      <c r="J6" s="65"/>
      <c r="K6" s="65">
        <f>D6/G6*100</f>
        <v>4.7524752475247523</v>
      </c>
      <c r="L6" s="65">
        <f>K6/100*27</f>
        <v>1.2831683168316832</v>
      </c>
      <c r="M6" s="65"/>
      <c r="N6" s="60"/>
      <c r="O6" s="60"/>
      <c r="P6" s="67"/>
    </row>
    <row r="7" spans="1:16" ht="32" x14ac:dyDescent="0.2">
      <c r="A7" s="60" t="s">
        <v>2135</v>
      </c>
      <c r="B7" s="60">
        <v>96</v>
      </c>
      <c r="C7" s="61">
        <f>B7/B$32</f>
        <v>0.47524752475247523</v>
      </c>
      <c r="D7" s="62">
        <f>C7*D$1</f>
        <v>0.3801980198019802</v>
      </c>
      <c r="E7" s="63">
        <f>36/12</f>
        <v>3</v>
      </c>
      <c r="F7" s="63">
        <f>30/12</f>
        <v>2.5</v>
      </c>
      <c r="G7" s="64">
        <f t="shared" si="0"/>
        <v>7.5</v>
      </c>
      <c r="H7" s="65"/>
      <c r="I7" s="65"/>
      <c r="J7" s="65"/>
      <c r="K7" s="65">
        <f>D7/G7*100</f>
        <v>5.0693069306930694</v>
      </c>
      <c r="L7" s="65">
        <f t="shared" si="2"/>
        <v>1.3687128712871288</v>
      </c>
      <c r="M7" s="65"/>
      <c r="N7" s="60" t="s">
        <v>2136</v>
      </c>
      <c r="O7" s="60" t="s">
        <v>2137</v>
      </c>
      <c r="P7" s="60" t="s">
        <v>2138</v>
      </c>
    </row>
    <row r="8" spans="1:16" ht="32" x14ac:dyDescent="0.2">
      <c r="A8" s="60" t="s">
        <v>2139</v>
      </c>
      <c r="B8" s="61">
        <f t="shared" ref="B8:B10" si="3">C8*$B$32</f>
        <v>62.344310399999998</v>
      </c>
      <c r="C8" s="66">
        <f>P8</f>
        <v>0.3086352</v>
      </c>
      <c r="E8" s="63">
        <f>30/12</f>
        <v>2.5</v>
      </c>
      <c r="F8" s="63">
        <f>20/12</f>
        <v>1.6666666666666667</v>
      </c>
      <c r="G8" s="64">
        <f t="shared" si="0"/>
        <v>4.166666666666667</v>
      </c>
      <c r="H8" s="59">
        <v>2</v>
      </c>
      <c r="I8" s="65">
        <f>I$1/H8</f>
        <v>3</v>
      </c>
      <c r="J8" s="65">
        <f>G8/I8</f>
        <v>1.3888888888888891</v>
      </c>
      <c r="K8" s="65">
        <f>C8/J8*100</f>
        <v>22.221734399999999</v>
      </c>
      <c r="L8" s="65">
        <f t="shared" si="2"/>
        <v>5.9998682879999992</v>
      </c>
      <c r="M8" s="65">
        <f>L8*3</f>
        <v>17.999604863999998</v>
      </c>
      <c r="N8" s="60">
        <v>24</v>
      </c>
      <c r="O8" s="60">
        <f>E8*F8*N8*144</f>
        <v>14400</v>
      </c>
      <c r="P8" s="63">
        <f>O8*B$30</f>
        <v>0.3086352</v>
      </c>
    </row>
    <row r="9" spans="1:16" ht="32" x14ac:dyDescent="0.2">
      <c r="A9" s="60" t="s">
        <v>2086</v>
      </c>
      <c r="B9" s="61">
        <f>C9*$B$32</f>
        <v>38.965194000000011</v>
      </c>
      <c r="C9" s="66">
        <f>P9</f>
        <v>0.19289700000000004</v>
      </c>
      <c r="E9" s="63">
        <f>30/12</f>
        <v>2.5</v>
      </c>
      <c r="F9" s="63">
        <f>20/12</f>
        <v>1.6666666666666667</v>
      </c>
      <c r="G9" s="64">
        <f t="shared" si="0"/>
        <v>4.166666666666667</v>
      </c>
      <c r="H9" s="59">
        <v>1.25</v>
      </c>
      <c r="I9" s="65">
        <f>I$1/H9</f>
        <v>4.8</v>
      </c>
      <c r="J9" s="68">
        <f t="shared" ref="J9:J10" si="4">G9/I9</f>
        <v>0.86805555555555569</v>
      </c>
      <c r="K9" s="65">
        <f t="shared" ref="K9:K10" si="5">C9/J9*100</f>
        <v>22.221734400000003</v>
      </c>
      <c r="L9" s="65">
        <f>K9/100*27</f>
        <v>5.9998682880000009</v>
      </c>
      <c r="M9" s="65">
        <f>L9*5</f>
        <v>29.999341440000006</v>
      </c>
      <c r="N9" s="59">
        <v>15</v>
      </c>
      <c r="O9" s="60">
        <f>E9*F9*N9*144</f>
        <v>9000.0000000000018</v>
      </c>
      <c r="P9" s="63">
        <f>O9*B$30</f>
        <v>0.19289700000000004</v>
      </c>
    </row>
    <row r="10" spans="1:16" ht="32" x14ac:dyDescent="0.2">
      <c r="A10" s="60" t="s">
        <v>2091</v>
      </c>
      <c r="B10" s="61">
        <f t="shared" si="3"/>
        <v>62.344310399999998</v>
      </c>
      <c r="C10" s="66">
        <f>P10</f>
        <v>0.3086352</v>
      </c>
      <c r="E10" s="63">
        <f>30/12</f>
        <v>2.5</v>
      </c>
      <c r="F10" s="63">
        <f>20/12</f>
        <v>1.6666666666666667</v>
      </c>
      <c r="G10" s="64">
        <f t="shared" si="0"/>
        <v>4.166666666666667</v>
      </c>
      <c r="H10" s="59">
        <v>2</v>
      </c>
      <c r="I10" s="65">
        <f>I$1/H10</f>
        <v>3</v>
      </c>
      <c r="J10" s="68">
        <f t="shared" si="4"/>
        <v>1.3888888888888891</v>
      </c>
      <c r="K10" s="65">
        <f t="shared" si="5"/>
        <v>22.221734399999999</v>
      </c>
      <c r="L10" s="65">
        <f t="shared" si="2"/>
        <v>5.9998682879999992</v>
      </c>
      <c r="M10" s="65">
        <f>L10*3</f>
        <v>17.999604863999998</v>
      </c>
      <c r="N10" s="60">
        <v>24</v>
      </c>
      <c r="O10" s="60">
        <f t="shared" ref="O10" si="6">E10*F10*N10*144</f>
        <v>14400</v>
      </c>
      <c r="P10" s="63">
        <f>O10*B$30</f>
        <v>0.3086352</v>
      </c>
    </row>
    <row r="11" spans="1:16" ht="16" x14ac:dyDescent="0.2">
      <c r="A11" s="60" t="s">
        <v>2084</v>
      </c>
      <c r="B11" s="60">
        <f>44*$D$1</f>
        <v>35.200000000000003</v>
      </c>
      <c r="C11" s="61">
        <f>B11/B$32</f>
        <v>0.17425742574257427</v>
      </c>
      <c r="D11" s="62">
        <f>C11*D$1</f>
        <v>0.13940594059405942</v>
      </c>
      <c r="E11" s="63"/>
      <c r="F11" s="63"/>
      <c r="G11" s="65">
        <v>2</v>
      </c>
      <c r="H11" s="65"/>
      <c r="I11" s="65"/>
      <c r="J11" s="65"/>
      <c r="K11" s="65">
        <f t="shared" si="1"/>
        <v>6.9702970297029712</v>
      </c>
      <c r="L11" s="65">
        <f t="shared" si="2"/>
        <v>1.8819801980198021</v>
      </c>
      <c r="M11" s="69" t="s">
        <v>2140</v>
      </c>
      <c r="N11" s="70"/>
      <c r="O11" s="60"/>
      <c r="P11" s="63"/>
    </row>
    <row r="12" spans="1:16" ht="16" x14ac:dyDescent="0.2">
      <c r="A12" s="60" t="s">
        <v>2141</v>
      </c>
      <c r="B12" s="60">
        <f>55*$D$1</f>
        <v>44</v>
      </c>
      <c r="C12" s="61">
        <f>B12/B$32</f>
        <v>0.21782178217821782</v>
      </c>
      <c r="D12" s="62">
        <f>C12*D$1</f>
        <v>0.17425742574257427</v>
      </c>
      <c r="E12" s="63"/>
      <c r="F12" s="63"/>
      <c r="G12" s="65">
        <v>2.5</v>
      </c>
      <c r="H12" s="65"/>
      <c r="I12" s="65"/>
      <c r="J12" s="65"/>
      <c r="K12" s="65">
        <f t="shared" si="1"/>
        <v>6.9702970297029712</v>
      </c>
      <c r="L12" s="65">
        <f t="shared" si="2"/>
        <v>1.8819801980198021</v>
      </c>
      <c r="M12" s="65"/>
      <c r="N12" s="60"/>
      <c r="O12" s="60"/>
      <c r="P12" s="63"/>
    </row>
    <row r="13" spans="1:16" ht="16" x14ac:dyDescent="0.2">
      <c r="A13" s="60" t="s">
        <v>2142</v>
      </c>
      <c r="B13" s="60">
        <f>C13*$B$32</f>
        <v>202</v>
      </c>
      <c r="C13" s="61">
        <v>1</v>
      </c>
      <c r="D13" s="71">
        <f>C13*D1</f>
        <v>0.8</v>
      </c>
      <c r="E13" s="63"/>
      <c r="F13" s="63"/>
      <c r="G13" s="71">
        <v>17</v>
      </c>
      <c r="H13" s="59"/>
      <c r="I13" s="59"/>
      <c r="J13" s="59"/>
      <c r="K13" s="65">
        <f>D13/G13*100</f>
        <v>4.7058823529411766</v>
      </c>
      <c r="L13" s="65">
        <f>K13/100*27</f>
        <v>1.2705882352941176</v>
      </c>
      <c r="M13" s="65"/>
      <c r="N13" s="60"/>
      <c r="O13" s="60"/>
      <c r="P13" s="60"/>
    </row>
    <row r="14" spans="1:16" ht="48" x14ac:dyDescent="0.2">
      <c r="A14" s="60" t="s">
        <v>2143</v>
      </c>
      <c r="B14" s="60">
        <f>C14*$B$32</f>
        <v>202</v>
      </c>
      <c r="C14" s="61">
        <v>1</v>
      </c>
      <c r="D14" s="62">
        <f>C14*D$1</f>
        <v>0.8</v>
      </c>
      <c r="E14" s="63">
        <v>6</v>
      </c>
      <c r="F14" s="63">
        <v>2.5</v>
      </c>
      <c r="G14" s="71">
        <f>E14*F14</f>
        <v>15</v>
      </c>
      <c r="H14" s="59"/>
      <c r="I14" s="59"/>
      <c r="J14" s="59"/>
      <c r="K14" s="65">
        <f t="shared" si="1"/>
        <v>5.3333333333333339</v>
      </c>
      <c r="L14" s="65">
        <f t="shared" si="2"/>
        <v>1.4400000000000002</v>
      </c>
      <c r="M14" s="65"/>
      <c r="N14" s="60"/>
      <c r="O14" s="60"/>
      <c r="P14" s="60"/>
    </row>
    <row r="15" spans="1:16" ht="16" x14ac:dyDescent="0.2">
      <c r="A15" s="60" t="s">
        <v>2144</v>
      </c>
      <c r="B15" s="60">
        <f t="shared" ref="B15:B21" si="7">C15*$B$32</f>
        <v>404</v>
      </c>
      <c r="C15" s="61">
        <v>2</v>
      </c>
      <c r="D15" s="62">
        <f>C15*D$1</f>
        <v>1.6</v>
      </c>
      <c r="E15" s="63">
        <v>6</v>
      </c>
      <c r="F15" s="63">
        <v>3</v>
      </c>
      <c r="G15" s="71">
        <f>E15*F15</f>
        <v>18</v>
      </c>
      <c r="H15" s="59"/>
      <c r="I15" s="59"/>
      <c r="J15" s="59"/>
      <c r="K15" s="65">
        <f t="shared" si="1"/>
        <v>8.8888888888888893</v>
      </c>
      <c r="L15" s="65">
        <f t="shared" si="2"/>
        <v>2.4</v>
      </c>
      <c r="M15" s="65"/>
      <c r="N15" s="60"/>
      <c r="O15" s="60"/>
      <c r="P15" s="60"/>
    </row>
    <row r="16" spans="1:16" ht="32" x14ac:dyDescent="0.2">
      <c r="A16" s="60" t="s">
        <v>2145</v>
      </c>
      <c r="B16" s="60">
        <f>C16*$B$32</f>
        <v>6060</v>
      </c>
      <c r="C16" s="61">
        <v>30</v>
      </c>
      <c r="D16" s="72">
        <f>C16*D$1</f>
        <v>24</v>
      </c>
      <c r="E16" s="63">
        <v>23</v>
      </c>
      <c r="F16" s="63">
        <v>8.33</v>
      </c>
      <c r="G16" s="73">
        <f>E16*F16</f>
        <v>191.59</v>
      </c>
      <c r="H16" s="74"/>
      <c r="I16" s="74"/>
      <c r="J16" s="74"/>
      <c r="K16" s="65">
        <f>D16/G16*100</f>
        <v>12.52674983036693</v>
      </c>
      <c r="L16" s="65">
        <f t="shared" si="2"/>
        <v>3.3822224541990709</v>
      </c>
      <c r="M16" s="65"/>
      <c r="N16" s="60"/>
      <c r="O16" s="60"/>
      <c r="P16" s="60"/>
    </row>
    <row r="17" spans="1:16" ht="32" x14ac:dyDescent="0.2">
      <c r="A17" s="60" t="s">
        <v>2082</v>
      </c>
      <c r="B17" s="60">
        <f t="shared" si="7"/>
        <v>6060</v>
      </c>
      <c r="C17" s="49">
        <v>30</v>
      </c>
      <c r="D17" s="62">
        <f>C17*D$1</f>
        <v>24</v>
      </c>
      <c r="E17" s="50"/>
      <c r="F17" s="50"/>
      <c r="G17" s="51">
        <f>G16</f>
        <v>191.59</v>
      </c>
      <c r="H17" s="52"/>
      <c r="I17" s="52"/>
      <c r="J17" s="52"/>
      <c r="K17" s="65">
        <f>D17/G17*100</f>
        <v>12.52674983036693</v>
      </c>
      <c r="L17" s="65">
        <f>K17/100*27</f>
        <v>3.3822224541990709</v>
      </c>
      <c r="M17" s="65"/>
      <c r="N17" s="48"/>
      <c r="O17" s="48" t="s">
        <v>2146</v>
      </c>
      <c r="P17" s="60" t="s">
        <v>2138</v>
      </c>
    </row>
    <row r="18" spans="1:16" ht="16" x14ac:dyDescent="0.2">
      <c r="A18" s="60" t="s">
        <v>2147</v>
      </c>
      <c r="B18" s="61">
        <f t="shared" si="7"/>
        <v>359.11111111111109</v>
      </c>
      <c r="C18" s="49">
        <f>P18</f>
        <v>1.7777777777777777</v>
      </c>
      <c r="D18" s="53">
        <f>D$1*P18</f>
        <v>1.4222222222222223</v>
      </c>
      <c r="E18" s="63">
        <v>2</v>
      </c>
      <c r="F18" s="63">
        <v>4</v>
      </c>
      <c r="G18" s="51">
        <f>F18*E18</f>
        <v>8</v>
      </c>
      <c r="H18" s="52"/>
      <c r="I18" s="52"/>
      <c r="J18" s="52"/>
      <c r="K18" s="65">
        <f>D18/G18*100</f>
        <v>17.777777777777779</v>
      </c>
      <c r="L18" s="65">
        <f t="shared" si="2"/>
        <v>4.8</v>
      </c>
      <c r="M18" s="65"/>
      <c r="N18" s="48">
        <v>6</v>
      </c>
      <c r="O18" s="48">
        <f>N18*F18*E18</f>
        <v>48</v>
      </c>
      <c r="P18" s="50">
        <f>O18/B$33</f>
        <v>1.7777777777777777</v>
      </c>
    </row>
    <row r="19" spans="1:16" ht="16" x14ac:dyDescent="0.2">
      <c r="A19" s="60" t="s">
        <v>2148</v>
      </c>
      <c r="B19" s="61">
        <f t="shared" si="7"/>
        <v>628.44444444444446</v>
      </c>
      <c r="C19" s="49">
        <f t="shared" ref="C19:C21" si="8">P19</f>
        <v>3.1111111111111112</v>
      </c>
      <c r="D19" s="54">
        <f>D$1*P19</f>
        <v>2.4888888888888889</v>
      </c>
      <c r="E19" s="63">
        <v>3.5</v>
      </c>
      <c r="F19" s="63">
        <v>4</v>
      </c>
      <c r="G19" s="51">
        <f>F19*E19</f>
        <v>14</v>
      </c>
      <c r="H19" s="52"/>
      <c r="I19" s="52"/>
      <c r="J19" s="52"/>
      <c r="K19" s="65">
        <f t="shared" si="1"/>
        <v>17.777777777777779</v>
      </c>
      <c r="L19" s="65">
        <f t="shared" si="2"/>
        <v>4.8</v>
      </c>
      <c r="M19" s="65"/>
      <c r="N19" s="48">
        <v>6</v>
      </c>
      <c r="O19" s="48">
        <f t="shared" ref="O19:O21" si="9">N19*F19*E19</f>
        <v>84</v>
      </c>
      <c r="P19" s="50">
        <f>O19/B$33</f>
        <v>3.1111111111111112</v>
      </c>
    </row>
    <row r="20" spans="1:16" ht="16" x14ac:dyDescent="0.2">
      <c r="A20" s="60" t="s">
        <v>2149</v>
      </c>
      <c r="B20" s="61">
        <f t="shared" si="7"/>
        <v>299.25925925925924</v>
      </c>
      <c r="C20" s="49">
        <f t="shared" si="8"/>
        <v>1.4814814814814814</v>
      </c>
      <c r="D20" s="53">
        <f>D$1*P20</f>
        <v>1.1851851851851851</v>
      </c>
      <c r="E20" s="63">
        <v>2</v>
      </c>
      <c r="F20" s="63">
        <v>4</v>
      </c>
      <c r="G20" s="51">
        <f t="shared" ref="G20" si="10">F20*E20</f>
        <v>8</v>
      </c>
      <c r="H20" s="52"/>
      <c r="I20" s="52"/>
      <c r="J20" s="52"/>
      <c r="K20" s="65">
        <f t="shared" si="1"/>
        <v>14.814814814814813</v>
      </c>
      <c r="L20" s="65">
        <f t="shared" si="2"/>
        <v>4</v>
      </c>
      <c r="M20" s="65"/>
      <c r="N20" s="48">
        <v>5</v>
      </c>
      <c r="O20" s="48">
        <f t="shared" si="9"/>
        <v>40</v>
      </c>
      <c r="P20" s="50">
        <f>O20/B$33</f>
        <v>1.4814814814814814</v>
      </c>
    </row>
    <row r="21" spans="1:16" ht="16" x14ac:dyDescent="0.2">
      <c r="A21" s="60" t="s">
        <v>2150</v>
      </c>
      <c r="B21" s="61">
        <f t="shared" si="7"/>
        <v>493.77777777777783</v>
      </c>
      <c r="C21" s="49">
        <f t="shared" si="8"/>
        <v>2.4444444444444446</v>
      </c>
      <c r="D21" s="54">
        <f>D$1*P21</f>
        <v>1.9555555555555557</v>
      </c>
      <c r="E21" s="63">
        <v>2</v>
      </c>
      <c r="F21" s="63">
        <v>5.5</v>
      </c>
      <c r="G21" s="51">
        <f>F21*E21</f>
        <v>11</v>
      </c>
      <c r="H21" s="52"/>
      <c r="I21" s="52"/>
      <c r="J21" s="52"/>
      <c r="K21" s="65">
        <f t="shared" si="1"/>
        <v>17.777777777777779</v>
      </c>
      <c r="L21" s="65">
        <f t="shared" si="2"/>
        <v>4.8</v>
      </c>
      <c r="M21" s="65"/>
      <c r="N21" s="48">
        <v>6</v>
      </c>
      <c r="O21" s="48">
        <f t="shared" si="9"/>
        <v>66</v>
      </c>
      <c r="P21" s="50">
        <f>O21/B$33</f>
        <v>2.4444444444444446</v>
      </c>
    </row>
    <row r="22" spans="1:16" x14ac:dyDescent="0.2">
      <c r="A22" s="48"/>
      <c r="B22" s="48"/>
      <c r="C22" s="48"/>
      <c r="D22" s="48"/>
      <c r="E22" s="48"/>
      <c r="F22" s="48"/>
      <c r="G22" s="48"/>
      <c r="H22" s="55"/>
      <c r="I22" s="55"/>
      <c r="J22" s="55"/>
      <c r="K22" s="48"/>
      <c r="L22" s="48"/>
      <c r="M22" s="48"/>
      <c r="N22" s="48"/>
      <c r="O22" s="48"/>
      <c r="P22" s="48"/>
    </row>
    <row r="23" spans="1:16" x14ac:dyDescent="0.2">
      <c r="A23" s="48" t="s">
        <v>2151</v>
      </c>
      <c r="B23" s="70" t="s">
        <v>2152</v>
      </c>
      <c r="C23" s="48"/>
      <c r="D23" s="48"/>
      <c r="E23" s="48"/>
      <c r="F23" s="48"/>
      <c r="G23" s="48"/>
      <c r="H23" s="55"/>
      <c r="I23" s="55"/>
      <c r="J23" s="55"/>
      <c r="K23" s="48"/>
      <c r="L23" s="48"/>
      <c r="M23" s="48"/>
      <c r="N23" s="48"/>
      <c r="O23" s="48"/>
      <c r="P23" s="48"/>
    </row>
    <row r="24" spans="1:16" x14ac:dyDescent="0.2">
      <c r="A24" s="48" t="s">
        <v>2153</v>
      </c>
      <c r="B24" s="48" t="s">
        <v>2154</v>
      </c>
      <c r="C24" s="48"/>
      <c r="D24" s="48"/>
      <c r="E24" s="48"/>
      <c r="F24" s="48"/>
      <c r="G24" s="48"/>
      <c r="H24" s="55"/>
      <c r="I24" s="55"/>
      <c r="J24" s="55"/>
      <c r="K24" s="48"/>
      <c r="L24" s="48"/>
      <c r="M24" s="48"/>
      <c r="N24" s="48"/>
      <c r="O24" s="48"/>
      <c r="P24" s="48"/>
    </row>
    <row r="25" spans="1:16" x14ac:dyDescent="0.2">
      <c r="A25" s="48" t="s">
        <v>2155</v>
      </c>
      <c r="B25" s="48" t="s">
        <v>2156</v>
      </c>
      <c r="C25" s="48"/>
      <c r="D25" s="48"/>
      <c r="E25" s="48"/>
      <c r="F25" s="48"/>
      <c r="G25" s="48"/>
      <c r="H25" s="55"/>
      <c r="I25" s="55"/>
      <c r="J25" s="48"/>
      <c r="K25" s="48"/>
      <c r="L25" s="48"/>
      <c r="M25" s="48"/>
      <c r="N25" s="48"/>
      <c r="O25" s="48"/>
      <c r="P25" s="48"/>
    </row>
    <row r="26" spans="1:16" x14ac:dyDescent="0.2">
      <c r="A26" s="48"/>
      <c r="B26" s="48"/>
      <c r="C26" s="48"/>
      <c r="D26" s="48"/>
      <c r="E26" s="48"/>
      <c r="F26" s="48"/>
      <c r="G26" s="48"/>
      <c r="H26" s="55"/>
      <c r="I26" s="55"/>
      <c r="J26" s="48"/>
      <c r="K26" s="48"/>
      <c r="L26" s="48"/>
      <c r="M26" s="48"/>
      <c r="N26" s="48"/>
      <c r="O26" s="48"/>
      <c r="P26" s="48"/>
    </row>
    <row r="27" spans="1:16" ht="16" x14ac:dyDescent="0.2">
      <c r="A27" s="58" t="s">
        <v>2157</v>
      </c>
      <c r="B27" s="60"/>
      <c r="C27" s="60"/>
      <c r="D27" s="48"/>
      <c r="E27" s="48"/>
      <c r="F27" s="48"/>
      <c r="G27" s="48"/>
      <c r="H27" s="55"/>
      <c r="I27" s="55"/>
      <c r="J27" s="48"/>
      <c r="K27" s="48"/>
      <c r="L27" s="48"/>
      <c r="M27" s="48"/>
      <c r="N27" s="48"/>
      <c r="O27" s="48"/>
      <c r="P27" s="48"/>
    </row>
    <row r="28" spans="1:16" x14ac:dyDescent="0.2">
      <c r="A28" s="48" t="s">
        <v>2158</v>
      </c>
      <c r="B28" s="48">
        <v>2000</v>
      </c>
      <c r="C28" s="60"/>
      <c r="D28" s="48"/>
      <c r="E28" s="48"/>
      <c r="F28" s="48"/>
      <c r="G28" s="48"/>
      <c r="H28" s="55"/>
      <c r="I28" s="55"/>
      <c r="J28" s="48"/>
      <c r="K28" s="48"/>
      <c r="L28" s="48"/>
      <c r="M28" s="48"/>
      <c r="N28" s="48"/>
      <c r="O28" s="48"/>
      <c r="P28" s="48"/>
    </row>
    <row r="29" spans="1:16" ht="16" x14ac:dyDescent="0.2">
      <c r="A29" s="60" t="s">
        <v>2159</v>
      </c>
      <c r="B29" s="60">
        <v>365</v>
      </c>
      <c r="C29" s="60"/>
      <c r="D29" s="48"/>
      <c r="E29" s="48"/>
      <c r="F29" s="48"/>
      <c r="G29" s="56"/>
      <c r="H29" s="57"/>
      <c r="I29" s="57"/>
      <c r="J29" s="56"/>
      <c r="K29" s="48"/>
      <c r="L29" s="48"/>
      <c r="M29" s="48"/>
      <c r="N29" s="48"/>
      <c r="O29" s="48"/>
      <c r="P29" s="48"/>
    </row>
    <row r="30" spans="1:16" ht="32" x14ac:dyDescent="0.2">
      <c r="A30" s="60" t="s">
        <v>2160</v>
      </c>
      <c r="B30" s="75">
        <v>2.1433E-5</v>
      </c>
      <c r="C30" s="60"/>
      <c r="D30" s="48"/>
      <c r="E30" s="48"/>
      <c r="F30" s="48"/>
      <c r="G30" s="48"/>
      <c r="H30" s="55"/>
      <c r="I30" s="55"/>
      <c r="J30" s="48"/>
      <c r="K30" s="48"/>
      <c r="L30" s="48"/>
      <c r="M30" s="48"/>
      <c r="N30" s="48"/>
      <c r="O30" s="48"/>
      <c r="P30" s="48"/>
    </row>
    <row r="31" spans="1:16" ht="16" x14ac:dyDescent="0.2">
      <c r="A31" s="60" t="s">
        <v>2161</v>
      </c>
      <c r="B31" s="60">
        <v>144</v>
      </c>
      <c r="C31" s="60"/>
      <c r="D31" s="60"/>
      <c r="E31" s="48"/>
      <c r="F31" s="48"/>
      <c r="G31" s="48"/>
      <c r="H31" s="55"/>
      <c r="I31" s="55"/>
      <c r="J31" s="48"/>
      <c r="K31" s="48"/>
      <c r="L31" s="48"/>
      <c r="M31" s="48"/>
      <c r="N31" s="48"/>
      <c r="O31" s="48"/>
      <c r="P31" s="48"/>
    </row>
    <row r="32" spans="1:16" ht="32" x14ac:dyDescent="0.2">
      <c r="A32" s="60" t="s">
        <v>2162</v>
      </c>
      <c r="B32" s="48">
        <v>202</v>
      </c>
      <c r="C32" s="60"/>
      <c r="D32" s="60"/>
      <c r="E32" s="48"/>
      <c r="F32" s="48"/>
      <c r="G32" s="48"/>
      <c r="H32" s="55"/>
      <c r="I32" s="55"/>
      <c r="J32" s="48"/>
      <c r="K32" s="48"/>
      <c r="L32" s="48"/>
      <c r="M32" s="48"/>
      <c r="N32" s="48"/>
      <c r="O32" s="48"/>
      <c r="P32" s="48"/>
    </row>
    <row r="33" spans="1:16" ht="16" x14ac:dyDescent="0.2">
      <c r="A33" s="60" t="s">
        <v>2163</v>
      </c>
      <c r="B33" s="48">
        <v>27</v>
      </c>
      <c r="C33" s="60"/>
      <c r="D33" s="60"/>
      <c r="E33" s="60"/>
      <c r="F33" s="60"/>
      <c r="G33" s="60"/>
      <c r="H33" s="59"/>
      <c r="I33" s="59"/>
      <c r="J33" s="60"/>
      <c r="K33" s="60"/>
      <c r="L33" s="60"/>
      <c r="M33" s="60"/>
      <c r="N33" s="60"/>
      <c r="O33" s="60"/>
      <c r="P33" s="60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8 6 0 b 6 d 5 6 - 2 a d 5 - 4 8 f 7 - a 4 3 6 - 6 3 e 8 9 c 9 d 4 1 a 8 "   x m l n s = " h t t p : / / s c h e m a s . m i c r o s o f t . c o m / D a t a M a s h u p " > A A A A A B s U A A B Q S w M E F A A C A A g A K 1 V U U M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K 1 V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V V F B l x u s k E h E A A J S P A A A T A B w A R m 9 y b X V s Y X M v U 2 V j d G l v b j E u b S C i G A A o o B Q A A A A A A A A A A A A A A A A A A A A A A A A A A A D t X V 1 v 2 0 Y W f S / Q / 0 A o 2 I U D e K 3 R D M k Z b p E H W V J s b W X J K 8 l p 3 S A I V J u N h c i S I c n d B E H + + 5 K U b N 5 7 p L l x v / v A v m Q u h 7 w f 5 5 w Z s T c M u U q v 1 t P F P B h t / m x 8 8 / V X X 3 + 1 u p k s 0 + v g W U 2 r h l 0 v 5 v P J u 7 Q W v A h m 6 f r r r 4 L s v 9 H i f n m V Z k d G + Z n n i + l 8 f f R y O k t X B 7 W b 9 f p u 9 e 9 6 f f 7 x 6 m Z y V H i 6 K + a v F r f 1 1 X S d r u r f n Z 1 3 b + 9 m 6 W 0 6 X 0 / y q L X D 4 H X z b v o q X a 7 y X F 4 E j e j N 8 8 N N q G e 1 z P E 6 z f M Z L v 6 3 y t M Y T 3 6 c p U e j d J b l n B 8 7 2 K R z G K S T q 5 v g 4 H X n w z q d 5 5 7 e Z C f X j j 7 M s q s W y 2 D P 8 Q + 1 5 2 W c 0 W K 5 3 o 2 S H T z A H A 4 / f a r 1 J 7 d p l v d g e Z 0 u j 9 r p 6 i q d X 0 / n 7 z 5 / L h 3 e p c v g O v 0 5 n S 3 u 8 l K D 6 8 l 6 E u R R 3 z K Q g h K k Q A C p P t q w 0 l 5 c 3 e c H V / X 2 q H 9 Z z y k K x h u O 6 n n e v J B P r / N E X + z N Z Y P A Y V b d Y p Z V E Z x P 1 j e 1 F 7 + K w S c l 9 + b z 6 9 Z i n n G w f v O I U e Z m k 2 3 n w 1 U 6 y / M v B k f f L Z b v f 1 w s 3 h / 8 J T A + c N i c z b b H 3 h Z y K O C F l D + 9 7 q 7 T 2 x e 1 8 t z a 4 b f T + f W L W n F J X n U 7 y 7 g s e Z g u c t F k D l q L 2 f 3 t n K h t O 7 U 9 f o D h D z / V 2 i U Q m f p q x 4 v l 4 v 7 d T T 5 s T 1 f r 5 f S q O N y o J 0 V F m 3 F D U a N B D U 0 N Q 4 2 Q G j E 1 L D U c N W h Q T Y N q G l T T O J r G 0 R E 1 a F B N g 2 o a l F Z A H V O / 1 C 3 1 S p w q i p h i k C m G m W K g K Y a a Y r A p h p t i w C m G n G L Q K Y a d Y u A p h p 5 i 8 C m G n 2 I A K o a g Y h C q O i u I + W f u m X f m n P h m C D f 4 j K N G Q g 2 K N 9 c o 1 y U X Z m Z F z G K h G y x 2 g w X X L J 5 m 8 b R m F o u u W X S O t 2 G s G V 4 D u 4 w a z D 3 x r h k m m m G i m Q Y 1 Q 0 g z h D R D S A N C m i G k O U K M H 8 N z o Q b P x D E r Y S c y H 5 o 7 Y V 4 0 q 0 e z C q i q N a t A s w o 0 q 0 B D B Q w i 5 p + 5 Z 9 6 Z 8 9 I 3 v Y R e Q S / g 5 x N i G a + M V s Y q I 5 V x y i j V V P O M D I Y + A 5 9 h z 6 D X V O 2 c B o Y m l T r V B p W G r l O / p V t D w D M E P E P A M w Q 8 Q 8 E z F D x D 8 T I U L 0 P x M h Q v Q / E y F C 9 D 8 T I U L 0 P x M h Q v Q / E y F C + m U y Z T U 2 e e y Z j 6 Z W 5 p x s y T p j A Z m j 4 h K K y z s a I G m 9 H U M N Q I q R F R w 1 L D U S M h h q Z B N Q 2 q a V B N 4 2 g a h 2 w B I c U j p H i E F I + w T i u g j q l f 6 p Z 6 L Z 1 G b J y Q M U E y o k h G F M m I I h l R 8 C I q y 4 g i G V E k I 4 p k R J G M K H g R l W V E k Y w o k h F F M q J I R n V a A X V M / V K 3 1 G v p N C b H Y 3 b c k r E j 4 4 S M C a Y x h T G m M M Z U k D H F N K a Y x h T T m M I Y U x h j K s i Y Y h p T T G P A l J J i K C m G e m O e y Z j 5 p S l r m r K m M G m a P 4 l o S R B L A b R U l J a i a S m a l q J p K Z q W A m i p K C 1 F 0 1 I 0 L U X T U j Q t B d B S U V o K g a U Q W A q B p R D Y O q 2 A O q Z + q V v q t X T q y H H H j i d k T F B 1 F F V H U X U U S E e B d F S W j q L q K K q O o u o o k I 4 C 6 a g s H U X V U V Q d R 9 W w r O l Z Z E z 9 U r e l 1 4 S W n 9 D y E y q q h G K R U C w S j o W m 5 W t a v q G Y G x a U j F l 8 R 4 2 E n q W o w a 6 n D j Q t Q N O c C Z Q J F W h C C 0 h o A Q k t I K l T N K h j 6 p e 6 p V 6 3 T k m b q X U z m b 9 L r 4 P x x 7 u 0 b C W M l 5 P 5 6 q f F 8 n b T T M g n V w f 7 m g 9 5 M 4 v 8 3 9 g 6 O z G Y 3 9 / + m C 4 / H w a f W P t g z 1 x D m N P C n B H m Q m E u F u a s M O e E O a F 2 L d S u h d q 1 U J 8 W 6 i t 1 t m d O q F 0 L t W u h d o E i o Q K h A C F / I X 1 / 9 k p Q p p K k q S R t K k m c S l K n k u S p J H 0 q S a B K U q i S J K o k j S p J p E p S q Z J k q i S d K k m o S l K q k q S q B K 0 q Q a x K U K s S 5 K o E v S p B s J L O J a G T 7 t i e O T / / 4 v 4 s b t D i L i x u w 7 T v t m 9 S Q k B Y B O I 2 L e 7 F 4 m Z M O 3 r 7 J i U Q h E U g b t a 0 G 7 h v U m R F C i n M S X X 4 y 9 C S f r S k H y 1 t o l o S l 5 b E p S V x a V l c w u Y i / g 7 S d u c + Z E W E h D k R H 3 8 6 W t r w t b Q Q t L Q Q t L Q Q t L Q Q t K R 1 L W 3 4 W u J E S 5 x o i R M t c y K p S y p E q k M q Q 6 r C W 4 Q Q T o g m B B N j + V e 5 t M i l N S 4 t c W m F S w t c W t 9 a + O 2 Q l p O 0 Y K T 1 I i 0 X a b V o 4 V d D X E i S p o W f D G E L E n Y g 7 f + 9 E N a P 8 W v W + D V r / J o 1 f s 0 a Q b N G 0 K w R d G k E X R p B l 0 b Q p R F 0 a Q R d G k G X R t C l E X R p B F 0 a Q Z d G 0 K W 0 h U s 7 u P H r 0 v h 1 a f y 6 N J I u / T k a M U f / j 4 w R 1 q M R 1 m P o r z s U J B 0 K k g 6 F b T g U 5 B 4 K c g 8 F u Y e C p E N B 0 q F w 4 x I K c g 8 F u Y e C 3 E N B 0 q E g 6 V C 4 Z Q k F K Y W C l E J B S q F f 1 K F f 1 K H / X i X 0 7 8 O h f x 8 O / f t w J E 1 5 6 4 o E P U e C n i N B z 5 G g 5 0 j Q b C R s 0 Z G g 5 0 j Q c y T o O R L 0 H A m a j Y Q t O h L 0 H A l 6 j g Q 9 R 4 K e I / 9 W F f m 3 6 M i v 5 s i v 5 s i v 5 s i v 5 t h / V S x d 5 S 0 5 9 g s 9 9 g s 9 F o Q e C 2 K O B T H H w u Y c C 0 K P B a H H g t B j Q c y x I O Z Y 2 J x j Q e i x I P R Y F r q w 6 P y / y Z H w m x z 7 h R 7 7 h R 7 7 h R 4 L K y 4 W V l w s / I L E Q u G x U L j 1 F 2 c F 3 V p h g 7 a C p q 2 g a S t o 2 g q a t o J u r b B B W 0 H T V t C 0 F T R t B U 1 b Q b d W 2 K C t I B c r y M U K c r G C X K x f u d a / R V v / Z m v 9 m 6 3 1 b 7 b W v 9 k 6 / 1 V O u s p b s h O k 7 g S p O 0 H q T p C z E + T s h C 3 a C V J 3 g t S d I H U n y N k J c n b C F u 0 E q T t B 6 k 6 U u n + L d v 5 d z P m 3 a O c X u v M L 3 f m F n g h S S Q S p J M K u m A g y S g Q Z J a K M / D u D E 3 Y G J / y Q O I G e x E 9 P 4 q c n E Q S d C I K m T 2 n s m Z N S E X L x i z 0 R B J 0 I g k 6 E v T s R G E o E h h K B o c S v 6 U T S t F C A k L + Q / t 7 s y U M p 3 f k q L f 6 R z O j + t n w o p X l 9 v X n s 5 A A e W z k M a t n c d P u P w Y p / x 9 W b r t Z H 2 d U H n 1 4 / K x 9 Q e X M Y F O b D X v 9 o N 8 D W Y B u w Q 7 B j s C 3 Y D m z I R 0 M + G v L R E F 9 D / A f 5 P d q Q j 4 Z 8 N O Q D 5 U I 0 C A a x I B S P p A B 5 h d A r x F 4 h + A r R V w i / Q v w V E q C Q A Y U U K O R A I Q k K W V B I g 0 I e F B K h k A m F V K g 6 V o 9 B M S a G x I g 8 I P K F h D 0 + S P B o J 2 A D g T u L Z 2 e 1 7 C y X 8 g G A 8 g B m 1 c C 0 G p i X x j w 0 5 q E 1 H s D E N C a 2 Q 6 B B V Z i d a t E F 2 B i T h 9 S I p 0 Y 8 N S 4 I j Q B r B F g j w H o X Y I 0 A 6 x 2 A k X m z k y n Y O 3 k 6 P J D g F e h S 7 / h E p x q L 1 1 g r L D q N t W q s V W O t e r d W R B i D Y k w M i R F Z Q L g c r o a L d 6 7 l C k I B o X 5 Q P q g e F A 9 q R 8 P a R J q R V O Q U K U V G N a z K H Y K R G 1 i S I E t Q p a 5 D M B b L c B 4 M 5 8 F w H g z n w Q A P B n g w g L s B 3 A 3 g b g B 3 A 7 g b w N 0 A 7 g Z w N 4 C 7 A d w N 4 G 4 A d 1 x G u I p M H c N x E 4 J h L K g N f W v A 2 k C t X A N h H U 0 F N s 5 r s A 3 Y I d g R 2 B Z s B 3 b C b Q 3 5 a M h H Q z 4 a 4 m u I z 7 e 8 E O A M A c 4 Q 4 A z r U C 5 E g 2 A Q C 0 K x S B G a C T c 5 L x H w E g E v E f A S A Q 8 R L J k I e I m A l w h 4 i Y C X C H i I Y M l E w E s E v E T A S w S 8 R H U o F 6 J B M I g F o V i k m M / G O G u 5 6 b i Z c J O T F A M p M Z A S w 2 K J g a Q Y S I q B p B h I i Y G U G B Z L D C T F Q F K 8 S x K Q b o B 0 A / 4 x H D c x G B S n o T g N W G s o l i d j e X A L X F h Y M B a 4 s c C N B W 4 s c G O B C w s L x g I 3 F r i x w I 0 F b i x w Y W H B W I D P A n w W 4 L M A n 6 1 D u R A N g k E s C M U i O T 7 r c D b h J q f J A U 0 O a H J A i w N a H C w Z B z Q 5 o M k B T Q 5 o c U C L g y X j g C Y H N L k d m g z W B 6 d z E 4 J B L B Y q A e g S g C 4 B h S c A Z Q J Q J j t Q a o B O A 3 Q G q D S Y D z c x O w d 2 A q c r s N E d + N N Q r Y b q O D E J r J 8 E q k 2 g 2 g S q T e o A J k S D Y B A L Q j 1 E + v y c 9 f 2 e + 1 9 t 0 / C + 2 w Z a h E 9 + t Q 1 p E 1 a v u a l e c 1 O 9 5 q Z 6 z U 3 1 m p v S q l 5 z Q w 0 a t H r N z Y N R v e a m N D Q 1 q t f c b M b V a 2 6 q 1 9 x s j e o 1 N 8 S o X n N z W L 3 m p n r N z V / z m p t h O p / c 7 n 9 p b j 5 R 9 h X 2 N C H y d 9 z Q x s F l O l k W b Q f 6 y F J 2 Q n 7 N / W q 9 8 D y y h C l k n r a n b 5 9 Z e v 3 g + E 0 9 0 k J b R A t t E Z b G k 9 s i j x X R n K o G S d U g q R o k V Y O k a p C U V t U g o U b V I N k a V Y O k N K o G S T m u G i R k g o y r B s n W q B o k x K g a J I d V g 6 R q k P w t G i S N X 9 A h 0 U W H p O w b f J e m 7 2 c f g + b P 6 T L / n t F n z 9 u G G 0 9 4 3 T D k l M c B 7 9 5 / Q 7 a T p h H a J j y v 3 b 4 J b Z D s J F B 9 R 6 n q n 1 C r 6 p 9 Q q + q f V P 2 T R 6 v q n 1 C j 6 p 9 s j a p / U h p V / 6 Q c V / 0 T M k H G V f 9 k a 1 T 9 E 2 J U / Z P D q n 9 S 9 U / + 1 P 7 J 1 1 9 N 5 0 L H g X 4 Q n X y F O v 8 I d e Y g q b 6 K / k u / i t 6 / b J 0 2 3 5 L u z N v 8 8 9 h v j x e L 9 0 G O 6 H 8 m 8 9 / z 6 9 4 m C H L / w T + D 5 n w y + 7 i a r o S v p D 8 h t z / 0 o + n m a D f Z X / n V 9 L 8 B z E / m / O 3 o J k 3 X N e n r 6 l / w 8 P D J 9 Y 2 j n U + u n y 8 X t 4 v c 6 W k 6 y U g j S t 7 O b I 9 / G b d t q t n S 3 F 7 Z n M 1 G V 5 P Z Z L l 6 s V 7 e p 2 + E 9 q X Q v d x J M G 9 g d l 5 1 e o P z s 0 5 / n G 9 Z 7 e a 4 G T R H w e B l b p 1 e t I P m 2 f m z f D x u j 4 o / W 4 P + a N D r Z i d 2 2 s H D Q e I l 6 L Q 3 F w z O O 8 P m u N s / e T y S u y s G 5 8 P B y b B 5 l g / P O u P T Q b s I c H n e y f / s X 5 w d d 4 Z Z B s G o 0 x p 3 B / 3 A B e N h s z / q F k b z v D k c 5 4 F G / O T W x X C Y h + f z 4 8 G 4 2 Q v K s 3 x X 5 5 d m J w 4 H g 7 N i p v n q J O g P g m F 9 G G R l l J c V 2 Q / O L 3 r N I p l 9 G c I p 5 x f H v W 4 r O B 1 c j D I s y p z K U 8 p j z / J U X n a / z 5 D t 9 l u D s 0 5 x W e d 0 0 C s Q y j J p 5 S X u P 2 O n o l G 3 n Z 3 d z f w e 9 9 o n M N 0 f 9 P / 1 h V N G 4 2 Z 3 e N r s 9 X a O D 4 b d D o G 3 O e w 0 g 9 F / g 5 c F P M 3 W c D P Z 7 4 y D T B g w 3 f m + 1 b t o 5 7 L I M P 0 2 e D w 7 T y B o D V 5 l o j n p l K e 3 L o 5 z u 3 W x t f l p / 9 i I L 0 f + E n X Y G o z G W 9 Q o v Q / s n g 3 6 4 9 P e Z X A y H I x G x Q n 5 T G / Q 2 j I 7 H n a y / J v 7 D h 7 v O 9 j a d 7 C g 7 X g w H F y c n G 4 W z 9 n Z R T 9 L N m h 3 R + P u s F U E v R h l y f Z P M i B G 2 b V Z n v n k s L u Z 7 F / m R I w z S D r 9 / I + 9 c 8 3 R q H N 2 3 L v E 2 V Y e q j W 4 6 L e 6 3 G u W y H m v U 6 S a r + T 8 0 M t O O w O 1 1 / 0 h 0 x b s C l n o 7 m C I R z u 9 T P 2 Z w z z G e b P b D o 4 v H 1 U 3 2 i z z 7 q s 8 u 7 N m P y O r u O z 3 / a I k 2 6 2 K v 9 / J 7 p j S z / n L A 3 c L L O f 5 7 R j L g 9 6 I P a v l P 2 E / 3 s / e 1 6 o b s F 9 1 A x a s F / P 5 5 F 2 6 K m 4 G g g / 5 v c D v d C v Q H v U v 6 + 3 7 2 7 t g P b 1 6 n 6 6 / e M P F c z n 6 U E D z B 9 1 h 7 U n u t 9 x g / b k w P n B Y 3 I M 0 9 t 8 u b X D d n P E b b o Q 2 D p 5 2 m 3 O 7 + H n / T U 4 + I d / j b G Y b r t j 4 N u O k H G t F x g 0 y 1 m R s y D g k 4 4 i M Y z K 2 Z E z i a h L X k L i G x D U k r j G / Y c f k i O X r d v T z 1 b O D 2 U / P M 7 p S 2 B F 3 3 6 l 6 l s n 1 5 m l v V d 2 c u t 2 D c u d H x Z G D 1 8 9 4 y I z Q o D t f x + F R f u W v u 4 m F / D J 6 8 + U S F E G K D S n o t m l O W H R t l K 2 N o H v 9 O N x u Z h s j q 3 K Z r l a P d m u 6 / v h o / D C 9 a 1 1 v X W 4 C N p f p 5 O F A a 3 G 9 + V v + 6 Z y G P Z s U f 8 n f v s s G B c v t V X F g v F h P Z u 3 p 6 q 4 4 a 7 z Y / E u P 0 8 n 9 L M j g X W 6 e G C h O I v a D 0 / H 0 N g 0 O T p e r 5 z 5 9 P O W p i X 0 / q X v T w j f z 8 i x x F p L G 6 T 0 1 e B / O O F k u 7 u 9 2 f p e K o 7 t P Y + S + K a E b B e Q x 8 5 z m q + A u E 8 c t l e r j 2 3 8 z o e 4 p / M 3 D G 0 j W 6 Y e 1 7 / E U / U W g W R G H + 5 L x P p q y W c L H i / V 6 c Q s g b C Z 7 k 9 W 6 f 4 A Z H T a g 4 b T r 5 5 v / A 1 B L A Q I t A B Q A A g A I A C t V V F D L v Y l f p w A A A P k A A A A S A A A A A A A A A A A A A A A A A A A A A A B D b 2 5 m a W c v U G F j a 2 F n Z S 5 4 b W x Q S w E C L Q A U A A I A C A A r V V R Q D 8 r p q 6 Q A A A D p A A A A E w A A A A A A A A A A A A A A A A D z A A A A W 0 N v b n R l b n R f V H l w Z X N d L n h t b F B L A Q I t A B Q A A g A I A C t V V F B l x u s k E h E A A J S P A A A T A A A A A A A A A A A A A A A A A O Q B A A B G b 3 J t d W x h c y 9 T Z W N 0 a W 9 u M S 5 t U E s F B g A A A A A D A A M A w g A A A E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N A Q A A A A A A p Q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d 0 b 2 5 u Y W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3 d G 9 u b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B U M T U 6 M j Q 6 M j U u M j I z M T A 3 N V o i I C 8 + P E V u d H J 5 I F R 5 c G U 9 I k Z p b G x D b 2 x 1 b W 5 U e X B l c y I g V m F s d W U 9 I n N C Z 1 V G Q m d Z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E Z X Z l b G 9 w b W V u d C Z x d W 9 0 O y w m c X V v d D t Z Z W F y I F N 1 b S Z x d W 9 0 O y w m c X V v d D t X Z W V r b H k g Q X Z l c m F n Z S Z x d W 9 0 O y w m c X V v d D t C b 3 J v d W d o J n F 1 b 3 Q 7 L C Z x d W 9 0 O 0 R p c 3 R y a W N 0 J n F 1 b 3 Q 7 L C Z x d W 9 0 O z E v O S 8 y M D E 3 J n F 1 b 3 Q 7 L C Z x d W 9 0 O z E v M T A v M j A x N y Z x d W 9 0 O y w m c X V v d D s x L z E x L z I w M T c m c X V v d D s s J n F 1 b 3 Q 7 M S 8 x M i 8 y M D E 3 J n F 1 b 3 Q 7 L C Z x d W 9 0 O z E v M T M v M j A x N y Z x d W 9 0 O y w m c X V v d D s x L z E 0 L z I w M T c m c X V v d D s s J n F 1 b 3 Q 7 M S 8 x N i 8 y M D E 3 J n F 1 b 3 Q 7 L C Z x d W 9 0 O z E v M T c v M j A x N y Z x d W 9 0 O y w m c X V v d D s x L z E 4 L z I w M T c m c X V v d D s s J n F 1 b 3 Q 7 M S 8 x O S 8 y M D E 3 J n F 1 b 3 Q 7 L C Z x d W 9 0 O z E v M j A v M j A x N y Z x d W 9 0 O y w m c X V v d D s x L z I x L z I w M T c m c X V v d D s s J n F 1 b 3 Q 7 M S 8 y M y 8 y M D E 3 J n F 1 b 3 Q 7 L C Z x d W 9 0 O z E v M j Q v M j A x N y Z x d W 9 0 O y w m c X V v d D s x L z I 1 L z I w M T c m c X V v d D s s J n F 1 b 3 Q 7 M S 8 y N i 8 y M D E 3 J n F 1 b 3 Q 7 L C Z x d W 9 0 O z E v M j c v M j A x N y Z x d W 9 0 O y w m c X V v d D s x L z I 4 L z I w M T c m c X V v d D s s J n F 1 b 3 Q 7 M S 8 y L z I w M T c m c X V v d D s s J n F 1 b 3 Q 7 M S 8 z L z I w M T c m c X V v d D s s J n F 1 b 3 Q 7 M S 8 0 L z I w M T c m c X V v d D s s J n F 1 b 3 Q 7 M S 8 1 L z I w M T c m c X V v d D s s J n F 1 b 3 Q 7 M S 8 2 L z I w M T c m c X V v d D s s J n F 1 b 3 Q 7 M S 8 3 L z I w M T c m c X V v d D s s J n F 1 b 3 Q 7 M T A v O S 8 y M D E 3 J n F 1 b 3 Q 7 L C Z x d W 9 0 O z E w L z E w L z I w M T c m c X V v d D s s J n F 1 b 3 Q 7 M T A v M T E v M j A x N y Z x d W 9 0 O y w m c X V v d D s x M C 8 x M i 8 y M D E 3 J n F 1 b 3 Q 7 L C Z x d W 9 0 O z E w L z E z L z I w M T c m c X V v d D s s J n F 1 b 3 Q 7 M T A v M T Q v M j A x N y Z x d W 9 0 O y w m c X V v d D s x M C 8 x N i 8 y M D E 3 J n F 1 b 3 Q 7 L C Z x d W 9 0 O z E w L z E 3 L z I w M T c m c X V v d D s s J n F 1 b 3 Q 7 M T A v M T g v M j A x N y Z x d W 9 0 O y w m c X V v d D s x M C 8 x O S 8 y M D E 3 J n F 1 b 3 Q 7 L C Z x d W 9 0 O z E w L z I w L z I w M T c m c X V v d D s s J n F 1 b 3 Q 7 M T A v M j E v M j A x N y Z x d W 9 0 O y w m c X V v d D s x M C 8 y M y 8 y M D E 3 J n F 1 b 3 Q 7 L C Z x d W 9 0 O z E w L z I 0 L z I w M T c m c X V v d D s s J n F 1 b 3 Q 7 M T A v M j U v M j A x N y Z x d W 9 0 O y w m c X V v d D s x M C 8 y N i 8 y M D E 3 J n F 1 b 3 Q 7 L C Z x d W 9 0 O z E w L z I 3 L z I w M T c m c X V v d D s s J n F 1 b 3 Q 7 M T A v M j g v M j A x N y Z x d W 9 0 O y w m c X V v d D s x M C 8 y L z I w M T c m c X V v d D s s J n F 1 b 3 Q 7 M T A v M y 8 y M D E 3 J n F 1 b 3 Q 7 L C Z x d W 9 0 O z E w L z Q v M j A x N y Z x d W 9 0 O y w m c X V v d D s x M C 8 1 L z I w M T c m c X V v d D s s J n F 1 b 3 Q 7 M T A v N i 8 y M D E 3 J n F 1 b 3 Q 7 L C Z x d W 9 0 O z E w L z c v M j A x N y Z x d W 9 0 O y w m c X V v d D s x M S 8 2 L z I w M T c m c X V v d D s s J n F 1 b 3 Q 7 M T E v N y 8 y M D E 3 J n F 1 b 3 Q 7 L C Z x d W 9 0 O z E x L z g v M j A x N y Z x d W 9 0 O y w m c X V v d D s x M S 8 5 L z I w M T c m c X V v d D s s J n F 1 b 3 Q 7 M T E v M T A v M j A x N y Z x d W 9 0 O y w m c X V v d D s x M S 8 x M S 8 y M D E 3 J n F 1 b 3 Q 7 L C Z x d W 9 0 O z E x L z E z L z I w M T c m c X V v d D s s J n F 1 b 3 Q 7 M T E v M T Q v M j A x N y Z x d W 9 0 O y w m c X V v d D s x M S 8 x N S 8 y M D E 3 J n F 1 b 3 Q 7 L C Z x d W 9 0 O z E x L z E 2 L z I w M T c m c X V v d D s s J n F 1 b 3 Q 7 M T E v M T c v M j A x N y Z x d W 9 0 O y w m c X V v d D s x M S 8 x O C 8 y M D E 3 J n F 1 b 3 Q 7 L C Z x d W 9 0 O z E x L z I w L z I w M T c m c X V v d D s s J n F 1 b 3 Q 7 M T E v M j E v M j A x N y Z x d W 9 0 O y w m c X V v d D s x M S 8 y M i 8 y M D E 3 J n F 1 b 3 Q 7 L C Z x d W 9 0 O z E x L z I z L z I w M T c m c X V v d D s s J n F 1 b 3 Q 7 M T E v M j Q v M j A x N y Z x d W 9 0 O y w m c X V v d D s x M S 8 y N S 8 y M D E 3 J n F 1 b 3 Q 7 L C Z x d W 9 0 O z E w L z M w L z I w M T c m c X V v d D s s J n F 1 b 3 Q 7 M T A v M z E v M j A x N y Z x d W 9 0 O y w m c X V v d D s x M S 8 x L z I w M T c m c X V v d D s s J n F 1 b 3 Q 7 M T E v M i 8 y M D E 3 J n F 1 b 3 Q 7 L C Z x d W 9 0 O z E x L z M v M j A x N y Z x d W 9 0 O y w m c X V v d D s x M S 8 0 L z I w M T c m c X V v d D s s J n F 1 b 3 Q 7 M T I v M T A v M j A x N y Z x d W 9 0 O y w m c X V v d D s x M i 8 x M S 8 y M D E 3 J n F 1 b 3 Q 7 L C Z x d W 9 0 O z E y L z E y L z I w M T c m c X V v d D s s J n F 1 b 3 Q 7 M T I v M T M v M j A x N y Z x d W 9 0 O y w m c X V v d D s x M i 8 x N C 8 y M D E 3 J n F 1 b 3 Q 7 L C Z x d W 9 0 O z E y L z E 1 L z I w M T c m c X V v d D s s J n F 1 b 3 Q 7 M T I v M T Y v M j A x N y Z x d W 9 0 O y w m c X V v d D s x M S 8 y N y 8 y M D E 3 J n F 1 b 3 Q 7 L C Z x d W 9 0 O z E x L z I 4 L z I w M T c m c X V v d D s s J n F 1 b 3 Q 7 M T E v M j k v M j A x N y Z x d W 9 0 O y w m c X V v d D s x M S 8 z M C 8 y M D E 3 J n F 1 b 3 Q 7 L C Z x d W 9 0 O z E y L z E v M j A x N y Z x d W 9 0 O y w m c X V v d D s x M i 8 y L z I w M T c m c X V v d D s s J n F 1 b 3 Q 7 M T I v M T g v M j A x N y Z x d W 9 0 O y w m c X V v d D s x M i 8 x O S 8 y M D E 3 J n F 1 b 3 Q 7 L C Z x d W 9 0 O z E y L z I w L z I w M T c m c X V v d D s s J n F 1 b 3 Q 7 M T I v M j E v M j A x N y Z x d W 9 0 O y w m c X V v d D s x M i 8 y M i 8 y M D E 3 J n F 1 b 3 Q 7 L C Z x d W 9 0 O z E y L z I z L z I w M T c m c X V v d D s s J n F 1 b 3 Q 7 M T I v M j U v M j A x N y Z x d W 9 0 O y w m c X V v d D s x M i 8 y N i 8 y M D E 3 J n F 1 b 3 Q 7 L C Z x d W 9 0 O z E y L z I 3 L z I w M T c m c X V v d D s s J n F 1 b 3 Q 7 M T I v M j g v M j A x N y Z x d W 9 0 O y w m c X V v d D s x M i 8 y O S 8 y M D E 3 J n F 1 b 3 Q 7 L C Z x d W 9 0 O z E y L z M w L z I w M T c m c X V v d D s s J n F 1 b 3 Q 7 M T I v N C 8 y M D E 3 J n F 1 b 3 Q 7 L C Z x d W 9 0 O z E y L z U v M j A x N y Z x d W 9 0 O y w m c X V v d D s x M i 8 2 L z I w M T c m c X V v d D s s J n F 1 b 3 Q 7 M T I v N y 8 y M D E 3 J n F 1 b 3 Q 7 L C Z x d W 9 0 O z E y L z g v M j A x N y Z x d W 9 0 O y w m c X V v d D s x M i 8 5 L z I w M T c m c X V v d D s s J n F 1 b 3 Q 7 M i 8 2 L z I w M T c m c X V v d D s s J n F 1 b 3 Q 7 M i 8 3 L z I w M T c m c X V v d D s s J n F 1 b 3 Q 7 M i 8 4 L z I w M T c m c X V v d D s s J n F 1 b 3 Q 7 M i 8 5 L z I w M T c m c X V v d D s s J n F 1 b 3 Q 7 M i 8 x M C 8 y M D E 3 J n F 1 b 3 Q 7 L C Z x d W 9 0 O z I v M T E v M j A x N y Z x d W 9 0 O y w m c X V v d D s y L z E y L z I w M T c m c X V v d D s s J n F 1 b 3 Q 7 M i 8 x M y 8 y M D E 3 J n F 1 b 3 Q 7 L C Z x d W 9 0 O z I v M T Q v M j A x N y Z x d W 9 0 O y w m c X V v d D s y L z E 1 L z I w M T c m c X V v d D s s J n F 1 b 3 Q 7 M i 8 x N i 8 y M D E 3 J n F 1 b 3 Q 7 L C Z x d W 9 0 O z I v M T c v M j A x N y Z x d W 9 0 O y w m c X V v d D s y L z E 4 L z I w M T c m c X V v d D s s J n F 1 b 3 Q 7 M i 8 y M C 8 y M D E 3 J n F 1 b 3 Q 7 L C Z x d W 9 0 O z I v M j E v M j A x N y Z x d W 9 0 O y w m c X V v d D s y L z I y L z I w M T c m c X V v d D s s J n F 1 b 3 Q 7 M i 8 y M y 8 y M D E 3 J n F 1 b 3 Q 7 L C Z x d W 9 0 O z I v M j Q v M j A x N y Z x d W 9 0 O y w m c X V v d D s y L z I 1 L z I w M T c m c X V v d D s s J n F 1 b 3 Q 7 M S 8 z M C 8 y M D E 3 J n F 1 b 3 Q 7 L C Z x d W 9 0 O z E v M z E v M j A x N y Z x d W 9 0 O y w m c X V v d D s y L z E v M j A x N y Z x d W 9 0 O y w m c X V v d D s y L z I v M j A x N y Z x d W 9 0 O y w m c X V v d D s y L z M v M j A x N y Z x d W 9 0 O y w m c X V v d D s y L z Q v M j A x N y Z x d W 9 0 O y w m c X V v d D s z L z Y v M j A x N y Z x d W 9 0 O y w m c X V v d D s z L z c v M j A x N y Z x d W 9 0 O y w m c X V v d D s z L z g v M j A x N y Z x d W 9 0 O y w m c X V v d D s z L z k v M j A x N y Z x d W 9 0 O y w m c X V v d D s z L z E w L z I w M T c m c X V v d D s s J n F 1 b 3 Q 7 M y 8 x M S 8 y M D E 3 J n F 1 b 3 Q 7 L C Z x d W 9 0 O z M v M T M v M j A x N y Z x d W 9 0 O y w m c X V v d D s z L z E 0 L z I w M T c m c X V v d D s s J n F 1 b 3 Q 7 M y 8 x N S 8 y M D E 3 J n F 1 b 3 Q 7 L C Z x d W 9 0 O z M v M T Y v M j A x N y Z x d W 9 0 O y w m c X V v d D s z L z E 3 L z I w M T c m c X V v d D s s J n F 1 b 3 Q 7 M y 8 x O C 8 y M D E 3 J n F 1 b 3 Q 7 L C Z x d W 9 0 O z M v M j A v M j A x N y Z x d W 9 0 O y w m c X V v d D s z L z I x L z I w M T c m c X V v d D s s J n F 1 b 3 Q 7 M y 8 y M i 8 y M D E 3 J n F 1 b 3 Q 7 L C Z x d W 9 0 O z M v M j M v M j A x N y Z x d W 9 0 O y w m c X V v d D s z L z I 0 L z I w M T c m c X V v d D s s J n F 1 b 3 Q 7 M y 8 y N S 8 y M D E 3 J n F 1 b 3 Q 7 L C Z x d W 9 0 O z I v M j c v M j A x N y Z x d W 9 0 O y w m c X V v d D s y L z I 4 L z I w M T c m c X V v d D s s J n F 1 b 3 Q 7 M y 8 x L z I w M T c m c X V v d D s s J n F 1 b 3 Q 7 M y 8 y L z I w M T c m c X V v d D s s J n F 1 b 3 Q 7 M y 8 z L z I w M T c m c X V v d D s s J n F 1 b 3 Q 7 M y 8 0 L z I w M T c m c X V v d D s s J n F 1 b 3 Q 7 M y 8 y N y 8 y M D E 3 J n F 1 b 3 Q 7 L C Z x d W 9 0 O z M v M j g v M j A x N y Z x d W 9 0 O y w m c X V v d D s z L z I 5 L z I w M T c m c X V v d D s s J n F 1 b 3 Q 7 M y 8 z M C 8 y M D E 3 J n F 1 b 3 Q 7 L C Z x d W 9 0 O z M v M z E v M j A x N y Z x d W 9 0 O y w m c X V v d D s 0 L z E v M j A x N y Z x d W 9 0 O y w m c X V v d D s 0 L z E w L z I w M T c m c X V v d D s s J n F 1 b 3 Q 7 N C 8 x M S 8 y M D E 3 J n F 1 b 3 Q 7 L C Z x d W 9 0 O z Q v M T I v M j A x N y Z x d W 9 0 O y w m c X V v d D s 0 L z E z L z I w M T c m c X V v d D s s J n F 1 b 3 Q 7 N C 8 x N C 8 y M D E 3 J n F 1 b 3 Q 7 L C Z x d W 9 0 O z Q v M T U v M j A x N y Z x d W 9 0 O y w m c X V v d D s 0 L z E 3 L z I w M T c m c X V v d D s s J n F 1 b 3 Q 7 N C 8 x O C 8 y M D E 3 J n F 1 b 3 Q 7 L C Z x d W 9 0 O z Q v M T k v M j A x N y Z x d W 9 0 O y w m c X V v d D s 0 L z I w L z I w M T c m c X V v d D s s J n F 1 b 3 Q 7 N C 8 y M S 8 y M D E 3 J n F 1 b 3 Q 7 L C Z x d W 9 0 O z Q v M j I v M j A x N y Z x d W 9 0 O y w m c X V v d D s 0 L z I 0 L z I w M T c m c X V v d D s s J n F 1 b 3 Q 7 N C 8 y N S 8 y M D E 3 J n F 1 b 3 Q 7 L C Z x d W 9 0 O z Q v M j Y v M j A x N y Z x d W 9 0 O y w m c X V v d D s 0 L z I 3 L z I w M T c m c X V v d D s s J n F 1 b 3 Q 7 N C 8 y O C 8 y M D E 3 J n F 1 b 3 Q 7 L C Z x d W 9 0 O z Q v M j k v M j A x N y Z x d W 9 0 O y w m c X V v d D s 0 L z M v M j A x N y Z x d W 9 0 O y w m c X V v d D s 0 L z Q v M j A x N y Z x d W 9 0 O y w m c X V v d D s 0 L z U v M j A x N y Z x d W 9 0 O y w m c X V v d D s 0 L z Y v M j A x N y Z x d W 9 0 O y w m c X V v d D s 0 L z c v M j A x N y Z x d W 9 0 O y w m c X V v d D s 0 L z g v M j A x N y Z x d W 9 0 O y w m c X V v d D s 1 L z g v M j A x N y Z x d W 9 0 O y w m c X V v d D s 1 L z k v M j A x N y Z x d W 9 0 O y w m c X V v d D s 1 L z E w L z I w M T c m c X V v d D s s J n F 1 b 3 Q 7 N S 8 x M S 8 y M D E 3 J n F 1 b 3 Q 7 L C Z x d W 9 0 O z U v M T I v M j A x N y Z x d W 9 0 O y w m c X V v d D s 1 L z E z L z I w M T c m c X V v d D s s J n F 1 b 3 Q 7 N S 8 x N S 8 y M D E 3 J n F 1 b 3 Q 7 L C Z x d W 9 0 O z U v M T Y v M j A x N y Z x d W 9 0 O y w m c X V v d D s 1 L z E 3 L z I w M T c m c X V v d D s s J n F 1 b 3 Q 7 N S 8 x O C 8 y M D E 3 J n F 1 b 3 Q 7 L C Z x d W 9 0 O z U v M T k v M j A x N y Z x d W 9 0 O y w m c X V v d D s 1 L z I w L z I w M T c m c X V v d D s s J n F 1 b 3 Q 7 N S 8 y M i 8 y M D E 3 J n F 1 b 3 Q 7 L C Z x d W 9 0 O z U v M j M v M j A x N y Z x d W 9 0 O y w m c X V v d D s 1 L z I 0 L z I w M T c m c X V v d D s s J n F 1 b 3 Q 7 N S 8 y N S 8 y M D E 3 J n F 1 b 3 Q 7 L C Z x d W 9 0 O z U v M j Y v M j A x N y Z x d W 9 0 O y w m c X V v d D s 1 L z I 3 L z I w M T c m c X V v d D s s J n F 1 b 3 Q 7 N S 8 x L z I w M T c m c X V v d D s s J n F 1 b 3 Q 7 N S 8 y L z I w M T c m c X V v d D s s J n F 1 b 3 Q 7 N S 8 z L z I w M T c m c X V v d D s s J n F 1 b 3 Q 7 N S 8 0 L z I w M T c m c X V v d D s s J n F 1 b 3 Q 7 N S 8 1 L z I w M T c m c X V v d D s s J n F 1 b 3 Q 7 N S 8 2 L z I w M T c m c X V v d D s s J n F 1 b 3 Q 7 N i 8 1 L z I w M T c m c X V v d D s s J n F 1 b 3 Q 7 N i 8 2 L z I w M T c m c X V v d D s s J n F 1 b 3 Q 7 N i 8 3 L z I w M T c m c X V v d D s s J n F 1 b 3 Q 7 N i 8 4 L z I w M T c m c X V v d D s s J n F 1 b 3 Q 7 N i 8 5 L z I w M T c m c X V v d D s s J n F 1 b 3 Q 7 N i 8 x M C 8 y M D E 3 J n F 1 b 3 Q 7 L C Z x d W 9 0 O z Y v M T I v M j A x N y Z x d W 9 0 O y w m c X V v d D s 2 L z E z L z I w M T c m c X V v d D s s J n F 1 b 3 Q 7 N i 8 x N C 8 y M D E 3 J n F 1 b 3 Q 7 L C Z x d W 9 0 O z Y v M T U v M j A x N y Z x d W 9 0 O y w m c X V v d D s 2 L z E 2 L z I w M T c m c X V v d D s s J n F 1 b 3 Q 7 N i 8 x N y 8 y M D E 3 J n F 1 b 3 Q 7 L C Z x d W 9 0 O z Y v M T k v M j A x N y Z x d W 9 0 O y w m c X V v d D s 2 L z I w L z I w M T c m c X V v d D s s J n F 1 b 3 Q 7 N i 8 y M S 8 y M D E 3 J n F 1 b 3 Q 7 L C Z x d W 9 0 O z Y v M j I v M j A x N y Z x d W 9 0 O y w m c X V v d D s 2 L z I z L z I w M T c m c X V v d D s s J n F 1 b 3 Q 7 N i 8 y N C 8 y M D E 3 J n F 1 b 3 Q 7 L C Z x d W 9 0 O z U v M j k v M j A x N y Z x d W 9 0 O y w m c X V v d D s 1 L z M w L z I w M T c m c X V v d D s s J n F 1 b 3 Q 7 N S 8 z M S 8 y M D E 3 J n F 1 b 3 Q 7 L C Z x d W 9 0 O z Y v M S 8 y M D E 3 J n F 1 b 3 Q 7 L C Z x d W 9 0 O z Y v M i 8 y M D E 3 J n F 1 b 3 Q 7 L C Z x d W 9 0 O z Y v M y 8 y M D E 3 J n F 1 b 3 Q 7 L C Z x d W 9 0 O z Y v M j Y v M j A x N y Z x d W 9 0 O y w m c X V v d D s 2 L z I 3 L z I w M T c m c X V v d D s s J n F 1 b 3 Q 7 N i 8 y O C 8 y M D E 3 J n F 1 b 3 Q 7 L C Z x d W 9 0 O z Y v M j k v M j A x N y Z x d W 9 0 O y w m c X V v d D s 2 L z M w L z I w M T c m c X V v d D s s J n F 1 b 3 Q 7 N y 8 x L z I w M T c m c X V v d D s s J n F 1 b 3 Q 7 N y 8 x M C 8 y M D E 3 J n F 1 b 3 Q 7 L C Z x d W 9 0 O z c v M T E v M j A x N y Z x d W 9 0 O y w m c X V v d D s 3 L z E y L z I w M T c m c X V v d D s s J n F 1 b 3 Q 7 N y 8 x M y 8 y M D E 3 J n F 1 b 3 Q 7 L C Z x d W 9 0 O z c v M T Q v M j A x N y Z x d W 9 0 O y w m c X V v d D s 3 L z E 1 L z I w M T c m c X V v d D s s J n F 1 b 3 Q 7 N y 8 x N y 8 y M D E 3 J n F 1 b 3 Q 7 L C Z x d W 9 0 O z c v M T g v M j A x N y Z x d W 9 0 O y w m c X V v d D s 3 L z E 5 L z I w M T c m c X V v d D s s J n F 1 b 3 Q 7 N y 8 y M C 8 y M D E 3 J n F 1 b 3 Q 7 L C Z x d W 9 0 O z c v M j E v M j A x N y Z x d W 9 0 O y w m c X V v d D s 3 L z I y L z I w M T c m c X V v d D s s J n F 1 b 3 Q 7 N y 8 y N C 8 y M D E 3 J n F 1 b 3 Q 7 L C Z x d W 9 0 O z c v M j U v M j A x N y Z x d W 9 0 O y w m c X V v d D s 3 L z I 2 L z I w M T c m c X V v d D s s J n F 1 b 3 Q 7 N y 8 y N y 8 y M D E 3 J n F 1 b 3 Q 7 L C Z x d W 9 0 O z c v M j g v M j A x N y Z x d W 9 0 O y w m c X V v d D s 3 L z I 5 L z I w M T c m c X V v d D s s J n F 1 b 3 Q 7 N y 8 z L z I w M T c m c X V v d D s s J n F 1 b 3 Q 7 N y 8 0 L z I w M T c m c X V v d D s s J n F 1 b 3 Q 7 N y 8 1 L z I w M T c m c X V v d D s s J n F 1 b 3 Q 7 N y 8 2 L z I w M T c m c X V v d D s s J n F 1 b 3 Q 7 N y 8 3 L z I w M T c m c X V v d D s s J n F 1 b 3 Q 7 N y 8 4 L z I w M T c m c X V v d D s s J n F 1 b 3 Q 7 O C 8 3 L z I w M T c m c X V v d D s s J n F 1 b 3 Q 7 O C 8 4 L z I w M T c m c X V v d D s s J n F 1 b 3 Q 7 O C 8 5 L z I w M T c m c X V v d D s s J n F 1 b 3 Q 7 O C 8 x M C 8 y M D E 3 J n F 1 b 3 Q 7 L C Z x d W 9 0 O z g v M T E v M j A x N y Z x d W 9 0 O y w m c X V v d D s 4 L z E y L z I w M T c m c X V v d D s s J n F 1 b 3 Q 7 O C 8 x N C 8 y M D E 3 J n F 1 b 3 Q 7 L C Z x d W 9 0 O z g v M T U v M j A x N y Z x d W 9 0 O y w m c X V v d D s 4 L z E 2 L z I w M T c m c X V v d D s s J n F 1 b 3 Q 7 O C 8 x N y 8 y M D E 3 J n F 1 b 3 Q 7 L C Z x d W 9 0 O z g v M T g v M j A x N y Z x d W 9 0 O y w m c X V v d D s 4 L z E 5 L z I w M T c m c X V v d D s s J n F 1 b 3 Q 7 O C 8 y M S 8 y M D E 3 J n F 1 b 3 Q 7 L C Z x d W 9 0 O z g v M j I v M j A x N y Z x d W 9 0 O y w m c X V v d D s 4 L z I z L z I w M T c m c X V v d D s s J n F 1 b 3 Q 7 O C 8 y N C 8 y M D E 3 J n F 1 b 3 Q 7 L C Z x d W 9 0 O z g v M j U v M j A x N y Z x d W 9 0 O y w m c X V v d D s 4 L z I 2 L z I w M T c m c X V v d D s s J n F 1 b 3 Q 7 N y 8 z M S 8 y M D E 3 J n F 1 b 3 Q 7 L C Z x d W 9 0 O z g v M S 8 y M D E 3 J n F 1 b 3 Q 7 L C Z x d W 9 0 O z g v M i 8 y M D E 3 J n F 1 b 3 Q 7 L C Z x d W 9 0 O z g v M y 8 y M D E 3 J n F 1 b 3 Q 7 L C Z x d W 9 0 O z g v N C 8 y M D E 3 J n F 1 b 3 Q 7 L C Z x d W 9 0 O z g v N S 8 y M D E 3 J n F 1 b 3 Q 7 L C Z x d W 9 0 O z k v M T E v M j A x N y Z x d W 9 0 O y w m c X V v d D s 5 L z E y L z I w M T c m c X V v d D s s J n F 1 b 3 Q 7 O S 8 x M y 8 y M D E 3 J n F 1 b 3 Q 7 L C Z x d W 9 0 O z k v M T Q v M j A x N y Z x d W 9 0 O y w m c X V v d D s 5 L z E 1 L z I w M T c m c X V v d D s s J n F 1 b 3 Q 7 O S 8 x N i 8 y M D E 3 J n F 1 b 3 Q 7 L C Z x d W 9 0 O z g v M j g v M j A x N y Z x d W 9 0 O y w m c X V v d D s 4 L z I 5 L z I w M T c m c X V v d D s s J n F 1 b 3 Q 7 O C 8 z M C 8 y M D E 3 J n F 1 b 3 Q 7 L C Z x d W 9 0 O z g v M z E v M j A x N y Z x d W 9 0 O y w m c X V v d D s 5 L z E v M j A x N y Z x d W 9 0 O y w m c X V v d D s 5 L z I v M j A x N y Z x d W 9 0 O y w m c X V v d D s 5 L z E 4 L z I w M T c m c X V v d D s s J n F 1 b 3 Q 7 O S 8 x O S 8 y M D E 3 J n F 1 b 3 Q 7 L C Z x d W 9 0 O z k v M j A v M j A x N y Z x d W 9 0 O y w m c X V v d D s 5 L z I x L z I w M T c m c X V v d D s s J n F 1 b 3 Q 7 O S 8 y M i 8 y M D E 3 J n F 1 b 3 Q 7 L C Z x d W 9 0 O z k v M j M v M j A x N y Z x d W 9 0 O y w m c X V v d D s 5 L z I 1 L z I w M T c m c X V v d D s s J n F 1 b 3 Q 7 O S 8 y N i 8 y M D E 3 J n F 1 b 3 Q 7 L C Z x d W 9 0 O z k v M j c v M j A x N y Z x d W 9 0 O y w m c X V v d D s 5 L z I 4 L z I w M T c m c X V v d D s s J n F 1 b 3 Q 7 O S 8 y O S 8 y M D E 3 J n F 1 b 3 Q 7 L C Z x d W 9 0 O z k v M z A v M j A x N y Z x d W 9 0 O y w m c X V v d D s 5 L z Q v M j A x N y Z x d W 9 0 O y w m c X V v d D s 5 L z U v M j A x N y Z x d W 9 0 O y w m c X V v d D s 5 L z Y v M j A x N y Z x d W 9 0 O y w m c X V v d D s 5 L z c v M j A x N y Z x d W 9 0 O y w m c X V v d D s 5 L z g v M j A x N y Z x d W 9 0 O y w m c X V v d D s 5 L z k v M j A x N y Z x d W 9 0 O 1 0 i I C 8 + P E V u d H J 5 I F R 5 c G U 9 I l F 1 Z X J 5 S U Q i I F Z h b H V l P S J z Y T A y N m Q 1 Z m U t Z G R k Z S 0 0 Y j g 1 L W I 2 M j g t N G Y z N z h l Z G E 3 N T c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d 0 b 2 5 u Y W d l L 0 F s b F R v b m 5 h Z 2 V f V G F i b G U u e 0 R l d m V s b 3 B t Z W 5 0 L D J 9 J n F 1 b 3 Q 7 L C Z x d W 9 0 O 1 N l Y 3 R p b 2 4 x L z I w M T d 0 b 2 5 u Y W d l L 0 l u c 2 V y d G V k I F N 1 b S 5 7 Q W R k a X R p b 2 4 s M z E 3 f S Z x d W 9 0 O y w m c X V v d D t T Z W N 0 a W 9 u M S 8 y M D E 3 d G 9 u b m F n Z S 9 D a G F u Z 2 V k I F R 5 c G U x L n t X Z W V r b H k g Q X Z l c m F n Z S w 0 f S Z x d W 9 0 O y w m c X V v d D t T Z W N 0 a W 9 u M S 8 y M D E 3 d G 9 u b m F n Z S 9 B b G x U b 2 5 u Y W d l X 1 R h Y m x l L n t C b 3 J v d W d o L D B 9 J n F 1 b 3 Q 7 L C Z x d W 9 0 O 1 N l Y 3 R p b 2 4 x L z I w M T d 0 b 2 5 u Y W d l L 0 F s b F R v b m 5 h Z 2 V f V G F i b G U u e 0 R p c 3 R y a W N 0 L D F 9 J n F 1 b 3 Q 7 L C Z x d W 9 0 O 1 N l Y 3 R p b 2 4 x L z I w M T d 0 b 2 5 u Y W d l L 0 N o Y W 5 n Z W Q g V H l w Z S 5 7 M S 8 5 L z I w M T c s M 3 0 m c X V v d D s s J n F 1 b 3 Q 7 U 2 V j d G l v b j E v M j A x N 3 R v b m 5 h Z 2 U v Q 2 h h b m d l Z C B U e X B l L n s x L z E w L z I w M T c s N H 0 m c X V v d D s s J n F 1 b 3 Q 7 U 2 V j d G l v b j E v M j A x N 3 R v b m 5 h Z 2 U v Q 2 h h b m d l Z C B U e X B l L n s x L z E x L z I w M T c s N X 0 m c X V v d D s s J n F 1 b 3 Q 7 U 2 V j d G l v b j E v M j A x N 3 R v b m 5 h Z 2 U v Q 2 h h b m d l Z C B U e X B l L n s x L z E y L z I w M T c s N n 0 m c X V v d D s s J n F 1 b 3 Q 7 U 2 V j d G l v b j E v M j A x N 3 R v b m 5 h Z 2 U v Q 2 h h b m d l Z C B U e X B l L n s x L z E z L z I w M T c s N 3 0 m c X V v d D s s J n F 1 b 3 Q 7 U 2 V j d G l v b j E v M j A x N 3 R v b m 5 h Z 2 U v Q 2 h h b m d l Z C B U e X B l L n s x L z E 0 L z I w M T c s O H 0 m c X V v d D s s J n F 1 b 3 Q 7 U 2 V j d G l v b j E v M j A x N 3 R v b m 5 h Z 2 U v Q 2 h h b m d l Z C B U e X B l L n s x L z E 2 L z I w M T c s O X 0 m c X V v d D s s J n F 1 b 3 Q 7 U 2 V j d G l v b j E v M j A x N 3 R v b m 5 h Z 2 U v Q 2 h h b m d l Z C B U e X B l L n s x L z E 3 L z I w M T c s M T B 9 J n F 1 b 3 Q 7 L C Z x d W 9 0 O 1 N l Y 3 R p b 2 4 x L z I w M T d 0 b 2 5 u Y W d l L 0 N o Y W 5 n Z W Q g V H l w Z S 5 7 M S 8 x O C 8 y M D E 3 L D E x f S Z x d W 9 0 O y w m c X V v d D t T Z W N 0 a W 9 u M S 8 y M D E 3 d G 9 u b m F n Z S 9 D a G F u Z 2 V k I F R 5 c G U u e z E v M T k v M j A x N y w x M n 0 m c X V v d D s s J n F 1 b 3 Q 7 U 2 V j d G l v b j E v M j A x N 3 R v b m 5 h Z 2 U v Q 2 h h b m d l Z C B U e X B l L n s x L z I w L z I w M T c s M T N 9 J n F 1 b 3 Q 7 L C Z x d W 9 0 O 1 N l Y 3 R p b 2 4 x L z I w M T d 0 b 2 5 u Y W d l L 0 N o Y W 5 n Z W Q g V H l w Z S 5 7 M S 8 y M S 8 y M D E 3 L D E 0 f S Z x d W 9 0 O y w m c X V v d D t T Z W N 0 a W 9 u M S 8 y M D E 3 d G 9 u b m F n Z S 9 D a G F u Z 2 V k I F R 5 c G U u e z E v M j M v M j A x N y w x N X 0 m c X V v d D s s J n F 1 b 3 Q 7 U 2 V j d G l v b j E v M j A x N 3 R v b m 5 h Z 2 U v Q 2 h h b m d l Z C B U e X B l L n s x L z I 0 L z I w M T c s M T Z 9 J n F 1 b 3 Q 7 L C Z x d W 9 0 O 1 N l Y 3 R p b 2 4 x L z I w M T d 0 b 2 5 u Y W d l L 0 N o Y W 5 n Z W Q g V H l w Z S 5 7 M S 8 y N S 8 y M D E 3 L D E 3 f S Z x d W 9 0 O y w m c X V v d D t T Z W N 0 a W 9 u M S 8 y M D E 3 d G 9 u b m F n Z S 9 D a G F u Z 2 V k I F R 5 c G U u e z E v M j Y v M j A x N y w x O H 0 m c X V v d D s s J n F 1 b 3 Q 7 U 2 V j d G l v b j E v M j A x N 3 R v b m 5 h Z 2 U v Q 2 h h b m d l Z C B U e X B l L n s x L z I 3 L z I w M T c s M T l 9 J n F 1 b 3 Q 7 L C Z x d W 9 0 O 1 N l Y 3 R p b 2 4 x L z I w M T d 0 b 2 5 u Y W d l L 0 N o Y W 5 n Z W Q g V H l w Z S 5 7 M S 8 y O C 8 y M D E 3 L D I w f S Z x d W 9 0 O y w m c X V v d D t T Z W N 0 a W 9 u M S 8 y M D E 3 d G 9 u b m F n Z S 9 D a G F u Z 2 V k I F R 5 c G U u e z E v M i 8 y M D E 3 L D I x f S Z x d W 9 0 O y w m c X V v d D t T Z W N 0 a W 9 u M S 8 y M D E 3 d G 9 u b m F n Z S 9 D a G F u Z 2 V k I F R 5 c G U u e z E v M y 8 y M D E 3 L D I y f S Z x d W 9 0 O y w m c X V v d D t T Z W N 0 a W 9 u M S 8 y M D E 3 d G 9 u b m F n Z S 9 D a G F u Z 2 V k I F R 5 c G U u e z E v N C 8 y M D E 3 L D I z f S Z x d W 9 0 O y w m c X V v d D t T Z W N 0 a W 9 u M S 8 y M D E 3 d G 9 u b m F n Z S 9 D a G F u Z 2 V k I F R 5 c G U u e z E v N S 8 y M D E 3 L D I 0 f S Z x d W 9 0 O y w m c X V v d D t T Z W N 0 a W 9 u M S 8 y M D E 3 d G 9 u b m F n Z S 9 D a G F u Z 2 V k I F R 5 c G U u e z E v N i 8 y M D E 3 L D I 1 f S Z x d W 9 0 O y w m c X V v d D t T Z W N 0 a W 9 u M S 8 y M D E 3 d G 9 u b m F n Z S 9 D a G F u Z 2 V k I F R 5 c G U u e z E v N y 8 y M D E 3 L D I 2 f S Z x d W 9 0 O y w m c X V v d D t T Z W N 0 a W 9 u M S 8 y M D E 3 d G 9 u b m F n Z S 9 D a G F u Z 2 V k I F R 5 c G U u e z E w L z k v M j A x N y w y N 3 0 m c X V v d D s s J n F 1 b 3 Q 7 U 2 V j d G l v b j E v M j A x N 3 R v b m 5 h Z 2 U v Q 2 h h b m d l Z C B U e X B l L n s x M C 8 x M C 8 y M D E 3 L D I 4 f S Z x d W 9 0 O y w m c X V v d D t T Z W N 0 a W 9 u M S 8 y M D E 3 d G 9 u b m F n Z S 9 D a G F u Z 2 V k I F R 5 c G U u e z E w L z E x L z I w M T c s M j l 9 J n F 1 b 3 Q 7 L C Z x d W 9 0 O 1 N l Y 3 R p b 2 4 x L z I w M T d 0 b 2 5 u Y W d l L 0 N o Y W 5 n Z W Q g V H l w Z S 5 7 M T A v M T I v M j A x N y w z M H 0 m c X V v d D s s J n F 1 b 3 Q 7 U 2 V j d G l v b j E v M j A x N 3 R v b m 5 h Z 2 U v Q 2 h h b m d l Z C B U e X B l L n s x M C 8 x M y 8 y M D E 3 L D M x f S Z x d W 9 0 O y w m c X V v d D t T Z W N 0 a W 9 u M S 8 y M D E 3 d G 9 u b m F n Z S 9 D a G F u Z 2 V k I F R 5 c G U u e z E w L z E 0 L z I w M T c s M z J 9 J n F 1 b 3 Q 7 L C Z x d W 9 0 O 1 N l Y 3 R p b 2 4 x L z I w M T d 0 b 2 5 u Y W d l L 0 N o Y W 5 n Z W Q g V H l w Z S 5 7 M T A v M T Y v M j A x N y w z M 3 0 m c X V v d D s s J n F 1 b 3 Q 7 U 2 V j d G l v b j E v M j A x N 3 R v b m 5 h Z 2 U v Q 2 h h b m d l Z C B U e X B l L n s x M C 8 x N y 8 y M D E 3 L D M 0 f S Z x d W 9 0 O y w m c X V v d D t T Z W N 0 a W 9 u M S 8 y M D E 3 d G 9 u b m F n Z S 9 D a G F u Z 2 V k I F R 5 c G U u e z E w L z E 4 L z I w M T c s M z V 9 J n F 1 b 3 Q 7 L C Z x d W 9 0 O 1 N l Y 3 R p b 2 4 x L z I w M T d 0 b 2 5 u Y W d l L 0 N o Y W 5 n Z W Q g V H l w Z S 5 7 M T A v M T k v M j A x N y w z N n 0 m c X V v d D s s J n F 1 b 3 Q 7 U 2 V j d G l v b j E v M j A x N 3 R v b m 5 h Z 2 U v Q 2 h h b m d l Z C B U e X B l L n s x M C 8 y M C 8 y M D E 3 L D M 3 f S Z x d W 9 0 O y w m c X V v d D t T Z W N 0 a W 9 u M S 8 y M D E 3 d G 9 u b m F n Z S 9 D a G F u Z 2 V k I F R 5 c G U u e z E w L z I x L z I w M T c s M z h 9 J n F 1 b 3 Q 7 L C Z x d W 9 0 O 1 N l Y 3 R p b 2 4 x L z I w M T d 0 b 2 5 u Y W d l L 0 N o Y W 5 n Z W Q g V H l w Z S 5 7 M T A v M j M v M j A x N y w z O X 0 m c X V v d D s s J n F 1 b 3 Q 7 U 2 V j d G l v b j E v M j A x N 3 R v b m 5 h Z 2 U v Q 2 h h b m d l Z C B U e X B l L n s x M C 8 y N C 8 y M D E 3 L D Q w f S Z x d W 9 0 O y w m c X V v d D t T Z W N 0 a W 9 u M S 8 y M D E 3 d G 9 u b m F n Z S 9 D a G F u Z 2 V k I F R 5 c G U u e z E w L z I 1 L z I w M T c s N D F 9 J n F 1 b 3 Q 7 L C Z x d W 9 0 O 1 N l Y 3 R p b 2 4 x L z I w M T d 0 b 2 5 u Y W d l L 0 N o Y W 5 n Z W Q g V H l w Z S 5 7 M T A v M j Y v M j A x N y w 0 M n 0 m c X V v d D s s J n F 1 b 3 Q 7 U 2 V j d G l v b j E v M j A x N 3 R v b m 5 h Z 2 U v Q 2 h h b m d l Z C B U e X B l L n s x M C 8 y N y 8 y M D E 3 L D Q z f S Z x d W 9 0 O y w m c X V v d D t T Z W N 0 a W 9 u M S 8 y M D E 3 d G 9 u b m F n Z S 9 D a G F u Z 2 V k I F R 5 c G U u e z E w L z I 4 L z I w M T c s N D R 9 J n F 1 b 3 Q 7 L C Z x d W 9 0 O 1 N l Y 3 R p b 2 4 x L z I w M T d 0 b 2 5 u Y W d l L 0 N o Y W 5 n Z W Q g V H l w Z S 5 7 M T A v M i 8 y M D E 3 L D Q 1 f S Z x d W 9 0 O y w m c X V v d D t T Z W N 0 a W 9 u M S 8 y M D E 3 d G 9 u b m F n Z S 9 D a G F u Z 2 V k I F R 5 c G U u e z E w L z M v M j A x N y w 0 N n 0 m c X V v d D s s J n F 1 b 3 Q 7 U 2 V j d G l v b j E v M j A x N 3 R v b m 5 h Z 2 U v Q 2 h h b m d l Z C B U e X B l L n s x M C 8 0 L z I w M T c s N D d 9 J n F 1 b 3 Q 7 L C Z x d W 9 0 O 1 N l Y 3 R p b 2 4 x L z I w M T d 0 b 2 5 u Y W d l L 0 N o Y W 5 n Z W Q g V H l w Z S 5 7 M T A v N S 8 y M D E 3 L D Q 4 f S Z x d W 9 0 O y w m c X V v d D t T Z W N 0 a W 9 u M S 8 y M D E 3 d G 9 u b m F n Z S 9 D a G F u Z 2 V k I F R 5 c G U u e z E w L z Y v M j A x N y w 0 O X 0 m c X V v d D s s J n F 1 b 3 Q 7 U 2 V j d G l v b j E v M j A x N 3 R v b m 5 h Z 2 U v Q 2 h h b m d l Z C B U e X B l L n s x M C 8 3 L z I w M T c s N T B 9 J n F 1 b 3 Q 7 L C Z x d W 9 0 O 1 N l Y 3 R p b 2 4 x L z I w M T d 0 b 2 5 u Y W d l L 0 N o Y W 5 n Z W Q g V H l w Z S 5 7 M T E v N i 8 y M D E 3 L D U x f S Z x d W 9 0 O y w m c X V v d D t T Z W N 0 a W 9 u M S 8 y M D E 3 d G 9 u b m F n Z S 9 D a G F u Z 2 V k I F R 5 c G U u e z E x L z c v M j A x N y w 1 M n 0 m c X V v d D s s J n F 1 b 3 Q 7 U 2 V j d G l v b j E v M j A x N 3 R v b m 5 h Z 2 U v Q 2 h h b m d l Z C B U e X B l L n s x M S 8 4 L z I w M T c s N T N 9 J n F 1 b 3 Q 7 L C Z x d W 9 0 O 1 N l Y 3 R p b 2 4 x L z I w M T d 0 b 2 5 u Y W d l L 0 N o Y W 5 n Z W Q g V H l w Z S 5 7 M T E v O S 8 y M D E 3 L D U 0 f S Z x d W 9 0 O y w m c X V v d D t T Z W N 0 a W 9 u M S 8 y M D E 3 d G 9 u b m F n Z S 9 D a G F u Z 2 V k I F R 5 c G U u e z E x L z E w L z I w M T c s N T V 9 J n F 1 b 3 Q 7 L C Z x d W 9 0 O 1 N l Y 3 R p b 2 4 x L z I w M T d 0 b 2 5 u Y W d l L 0 N o Y W 5 n Z W Q g V H l w Z S 5 7 M T E v M T E v M j A x N y w 1 N n 0 m c X V v d D s s J n F 1 b 3 Q 7 U 2 V j d G l v b j E v M j A x N 3 R v b m 5 h Z 2 U v Q 2 h h b m d l Z C B U e X B l L n s x M S 8 x M y 8 y M D E 3 L D U 3 f S Z x d W 9 0 O y w m c X V v d D t T Z W N 0 a W 9 u M S 8 y M D E 3 d G 9 u b m F n Z S 9 D a G F u Z 2 V k I F R 5 c G U u e z E x L z E 0 L z I w M T c s N T h 9 J n F 1 b 3 Q 7 L C Z x d W 9 0 O 1 N l Y 3 R p b 2 4 x L z I w M T d 0 b 2 5 u Y W d l L 0 N o Y W 5 n Z W Q g V H l w Z S 5 7 M T E v M T U v M j A x N y w 1 O X 0 m c X V v d D s s J n F 1 b 3 Q 7 U 2 V j d G l v b j E v M j A x N 3 R v b m 5 h Z 2 U v Q 2 h h b m d l Z C B U e X B l L n s x M S 8 x N i 8 y M D E 3 L D Y w f S Z x d W 9 0 O y w m c X V v d D t T Z W N 0 a W 9 u M S 8 y M D E 3 d G 9 u b m F n Z S 9 D a G F u Z 2 V k I F R 5 c G U u e z E x L z E 3 L z I w M T c s N j F 9 J n F 1 b 3 Q 7 L C Z x d W 9 0 O 1 N l Y 3 R p b 2 4 x L z I w M T d 0 b 2 5 u Y W d l L 0 N o Y W 5 n Z W Q g V H l w Z S 5 7 M T E v M T g v M j A x N y w 2 M n 0 m c X V v d D s s J n F 1 b 3 Q 7 U 2 V j d G l v b j E v M j A x N 3 R v b m 5 h Z 2 U v Q 2 h h b m d l Z C B U e X B l L n s x M S 8 y M C 8 y M D E 3 L D Y z f S Z x d W 9 0 O y w m c X V v d D t T Z W N 0 a W 9 u M S 8 y M D E 3 d G 9 u b m F n Z S 9 D a G F u Z 2 V k I F R 5 c G U u e z E x L z I x L z I w M T c s N j R 9 J n F 1 b 3 Q 7 L C Z x d W 9 0 O 1 N l Y 3 R p b 2 4 x L z I w M T d 0 b 2 5 u Y W d l L 0 N o Y W 5 n Z W Q g V H l w Z S 5 7 M T E v M j I v M j A x N y w 2 N X 0 m c X V v d D s s J n F 1 b 3 Q 7 U 2 V j d G l v b j E v M j A x N 3 R v b m 5 h Z 2 U v Q 2 h h b m d l Z C B U e X B l L n s x M S 8 y M y 8 y M D E 3 L D Y 2 f S Z x d W 9 0 O y w m c X V v d D t T Z W N 0 a W 9 u M S 8 y M D E 3 d G 9 u b m F n Z S 9 D a G F u Z 2 V k I F R 5 c G U u e z E x L z I 0 L z I w M T c s N j d 9 J n F 1 b 3 Q 7 L C Z x d W 9 0 O 1 N l Y 3 R p b 2 4 x L z I w M T d 0 b 2 5 u Y W d l L 0 N o Y W 5 n Z W Q g V H l w Z S 5 7 M T E v M j U v M j A x N y w 2 O H 0 m c X V v d D s s J n F 1 b 3 Q 7 U 2 V j d G l v b j E v M j A x N 3 R v b m 5 h Z 2 U v Q 2 h h b m d l Z C B U e X B l L n s x M C 8 z M C 8 y M D E 3 L D Y 5 f S Z x d W 9 0 O y w m c X V v d D t T Z W N 0 a W 9 u M S 8 y M D E 3 d G 9 u b m F n Z S 9 D a G F u Z 2 V k I F R 5 c G U u e z E w L z M x L z I w M T c s N z B 9 J n F 1 b 3 Q 7 L C Z x d W 9 0 O 1 N l Y 3 R p b 2 4 x L z I w M T d 0 b 2 5 u Y W d l L 0 N o Y W 5 n Z W Q g V H l w Z S 5 7 M T E v M S 8 y M D E 3 L D c x f S Z x d W 9 0 O y w m c X V v d D t T Z W N 0 a W 9 u M S 8 y M D E 3 d G 9 u b m F n Z S 9 D a G F u Z 2 V k I F R 5 c G U u e z E x L z I v M j A x N y w 3 M n 0 m c X V v d D s s J n F 1 b 3 Q 7 U 2 V j d G l v b j E v M j A x N 3 R v b m 5 h Z 2 U v Q 2 h h b m d l Z C B U e X B l L n s x M S 8 z L z I w M T c s N z N 9 J n F 1 b 3 Q 7 L C Z x d W 9 0 O 1 N l Y 3 R p b 2 4 x L z I w M T d 0 b 2 5 u Y W d l L 0 N o Y W 5 n Z W Q g V H l w Z S 5 7 M T E v N C 8 y M D E 3 L D c 0 f S Z x d W 9 0 O y w m c X V v d D t T Z W N 0 a W 9 u M S 8 y M D E 3 d G 9 u b m F n Z S 9 D a G F u Z 2 V k I F R 5 c G U u e z E y L z E w L z I w M T c s N z V 9 J n F 1 b 3 Q 7 L C Z x d W 9 0 O 1 N l Y 3 R p b 2 4 x L z I w M T d 0 b 2 5 u Y W d l L 0 N o Y W 5 n Z W Q g V H l w Z S 5 7 M T I v M T E v M j A x N y w 3 N n 0 m c X V v d D s s J n F 1 b 3 Q 7 U 2 V j d G l v b j E v M j A x N 3 R v b m 5 h Z 2 U v Q 2 h h b m d l Z C B U e X B l L n s x M i 8 x M i 8 y M D E 3 L D c 3 f S Z x d W 9 0 O y w m c X V v d D t T Z W N 0 a W 9 u M S 8 y M D E 3 d G 9 u b m F n Z S 9 D a G F u Z 2 V k I F R 5 c G U u e z E y L z E z L z I w M T c s N z h 9 J n F 1 b 3 Q 7 L C Z x d W 9 0 O 1 N l Y 3 R p b 2 4 x L z I w M T d 0 b 2 5 u Y W d l L 0 N o Y W 5 n Z W Q g V H l w Z S 5 7 M T I v M T Q v M j A x N y w 3 O X 0 m c X V v d D s s J n F 1 b 3 Q 7 U 2 V j d G l v b j E v M j A x N 3 R v b m 5 h Z 2 U v Q 2 h h b m d l Z C B U e X B l L n s x M i 8 x N S 8 y M D E 3 L D g w f S Z x d W 9 0 O y w m c X V v d D t T Z W N 0 a W 9 u M S 8 y M D E 3 d G 9 u b m F n Z S 9 D a G F u Z 2 V k I F R 5 c G U u e z E y L z E 2 L z I w M T c s O D F 9 J n F 1 b 3 Q 7 L C Z x d W 9 0 O 1 N l Y 3 R p b 2 4 x L z I w M T d 0 b 2 5 u Y W d l L 0 N o Y W 5 n Z W Q g V H l w Z S 5 7 M T E v M j c v M j A x N y w 4 M n 0 m c X V v d D s s J n F 1 b 3 Q 7 U 2 V j d G l v b j E v M j A x N 3 R v b m 5 h Z 2 U v Q 2 h h b m d l Z C B U e X B l L n s x M S 8 y O C 8 y M D E 3 L D g z f S Z x d W 9 0 O y w m c X V v d D t T Z W N 0 a W 9 u M S 8 y M D E 3 d G 9 u b m F n Z S 9 D a G F u Z 2 V k I F R 5 c G U u e z E x L z I 5 L z I w M T c s O D R 9 J n F 1 b 3 Q 7 L C Z x d W 9 0 O 1 N l Y 3 R p b 2 4 x L z I w M T d 0 b 2 5 u Y W d l L 0 N o Y W 5 n Z W Q g V H l w Z S 5 7 M T E v M z A v M j A x N y w 4 N X 0 m c X V v d D s s J n F 1 b 3 Q 7 U 2 V j d G l v b j E v M j A x N 3 R v b m 5 h Z 2 U v Q 2 h h b m d l Z C B U e X B l L n s x M i 8 x L z I w M T c s O D Z 9 J n F 1 b 3 Q 7 L C Z x d W 9 0 O 1 N l Y 3 R p b 2 4 x L z I w M T d 0 b 2 5 u Y W d l L 0 N o Y W 5 n Z W Q g V H l w Z S 5 7 M T I v M i 8 y M D E 3 L D g 3 f S Z x d W 9 0 O y w m c X V v d D t T Z W N 0 a W 9 u M S 8 y M D E 3 d G 9 u b m F n Z S 9 D a G F u Z 2 V k I F R 5 c G U u e z E y L z E 4 L z I w M T c s O D h 9 J n F 1 b 3 Q 7 L C Z x d W 9 0 O 1 N l Y 3 R p b 2 4 x L z I w M T d 0 b 2 5 u Y W d l L 0 N o Y W 5 n Z W Q g V H l w Z S 5 7 M T I v M T k v M j A x N y w 4 O X 0 m c X V v d D s s J n F 1 b 3 Q 7 U 2 V j d G l v b j E v M j A x N 3 R v b m 5 h Z 2 U v Q 2 h h b m d l Z C B U e X B l L n s x M i 8 y M C 8 y M D E 3 L D k w f S Z x d W 9 0 O y w m c X V v d D t T Z W N 0 a W 9 u M S 8 y M D E 3 d G 9 u b m F n Z S 9 D a G F u Z 2 V k I F R 5 c G U u e z E y L z I x L z I w M T c s O T F 9 J n F 1 b 3 Q 7 L C Z x d W 9 0 O 1 N l Y 3 R p b 2 4 x L z I w M T d 0 b 2 5 u Y W d l L 0 N o Y W 5 n Z W Q g V H l w Z S 5 7 M T I v M j I v M j A x N y w 5 M n 0 m c X V v d D s s J n F 1 b 3 Q 7 U 2 V j d G l v b j E v M j A x N 3 R v b m 5 h Z 2 U v Q 2 h h b m d l Z C B U e X B l L n s x M i 8 y M y 8 y M D E 3 L D k z f S Z x d W 9 0 O y w m c X V v d D t T Z W N 0 a W 9 u M S 8 y M D E 3 d G 9 u b m F n Z S 9 D a G F u Z 2 V k I F R 5 c G U u e z E y L z I 1 L z I w M T c s O T R 9 J n F 1 b 3 Q 7 L C Z x d W 9 0 O 1 N l Y 3 R p b 2 4 x L z I w M T d 0 b 2 5 u Y W d l L 0 N o Y W 5 n Z W Q g V H l w Z S 5 7 M T I v M j Y v M j A x N y w 5 N X 0 m c X V v d D s s J n F 1 b 3 Q 7 U 2 V j d G l v b j E v M j A x N 3 R v b m 5 h Z 2 U v Q 2 h h b m d l Z C B U e X B l L n s x M i 8 y N y 8 y M D E 3 L D k 2 f S Z x d W 9 0 O y w m c X V v d D t T Z W N 0 a W 9 u M S 8 y M D E 3 d G 9 u b m F n Z S 9 D a G F u Z 2 V k I F R 5 c G U u e z E y L z I 4 L z I w M T c s O T d 9 J n F 1 b 3 Q 7 L C Z x d W 9 0 O 1 N l Y 3 R p b 2 4 x L z I w M T d 0 b 2 5 u Y W d l L 0 N o Y W 5 n Z W Q g V H l w Z S 5 7 M T I v M j k v M j A x N y w 5 O H 0 m c X V v d D s s J n F 1 b 3 Q 7 U 2 V j d G l v b j E v M j A x N 3 R v b m 5 h Z 2 U v Q 2 h h b m d l Z C B U e X B l L n s x M i 8 z M C 8 y M D E 3 L D k 5 f S Z x d W 9 0 O y w m c X V v d D t T Z W N 0 a W 9 u M S 8 y M D E 3 d G 9 u b m F n Z S 9 D a G F u Z 2 V k I F R 5 c G U u e z E y L z Q v M j A x N y w x M D B 9 J n F 1 b 3 Q 7 L C Z x d W 9 0 O 1 N l Y 3 R p b 2 4 x L z I w M T d 0 b 2 5 u Y W d l L 0 N o Y W 5 n Z W Q g V H l w Z S 5 7 M T I v N S 8 y M D E 3 L D E w M X 0 m c X V v d D s s J n F 1 b 3 Q 7 U 2 V j d G l v b j E v M j A x N 3 R v b m 5 h Z 2 U v Q 2 h h b m d l Z C B U e X B l L n s x M i 8 2 L z I w M T c s M T A y f S Z x d W 9 0 O y w m c X V v d D t T Z W N 0 a W 9 u M S 8 y M D E 3 d G 9 u b m F n Z S 9 D a G F u Z 2 V k I F R 5 c G U u e z E y L z c v M j A x N y w x M D N 9 J n F 1 b 3 Q 7 L C Z x d W 9 0 O 1 N l Y 3 R p b 2 4 x L z I w M T d 0 b 2 5 u Y W d l L 0 N o Y W 5 n Z W Q g V H l w Z S 5 7 M T I v O C 8 y M D E 3 L D E w N H 0 m c X V v d D s s J n F 1 b 3 Q 7 U 2 V j d G l v b j E v M j A x N 3 R v b m 5 h Z 2 U v Q 2 h h b m d l Z C B U e X B l L n s x M i 8 5 L z I w M T c s M T A 1 f S Z x d W 9 0 O y w m c X V v d D t T Z W N 0 a W 9 u M S 8 y M D E 3 d G 9 u b m F n Z S 9 D a G F u Z 2 V k I F R 5 c G U u e z I v N i 8 y M D E 3 L D E w N n 0 m c X V v d D s s J n F 1 b 3 Q 7 U 2 V j d G l v b j E v M j A x N 3 R v b m 5 h Z 2 U v Q 2 h h b m d l Z C B U e X B l L n s y L z c v M j A x N y w x M D d 9 J n F 1 b 3 Q 7 L C Z x d W 9 0 O 1 N l Y 3 R p b 2 4 x L z I w M T d 0 b 2 5 u Y W d l L 0 N o Y W 5 n Z W Q g V H l w Z S 5 7 M i 8 4 L z I w M T c s M T A 4 f S Z x d W 9 0 O y w m c X V v d D t T Z W N 0 a W 9 u M S 8 y M D E 3 d G 9 u b m F n Z S 9 D a G F u Z 2 V k I F R 5 c G U u e z I v O S 8 y M D E 3 L D E w O X 0 m c X V v d D s s J n F 1 b 3 Q 7 U 2 V j d G l v b j E v M j A x N 3 R v b m 5 h Z 2 U v Q 2 h h b m d l Z C B U e X B l L n s y L z E w L z I w M T c s M T E w f S Z x d W 9 0 O y w m c X V v d D t T Z W N 0 a W 9 u M S 8 y M D E 3 d G 9 u b m F n Z S 9 D a G F u Z 2 V k I F R 5 c G U u e z I v M T E v M j A x N y w x M T F 9 J n F 1 b 3 Q 7 L C Z x d W 9 0 O 1 N l Y 3 R p b 2 4 x L z I w M T d 0 b 2 5 u Y W d l L 0 N o Y W 5 n Z W Q g V H l w Z S 5 7 M i 8 x M i 8 y M D E 3 L D E x M n 0 m c X V v d D s s J n F 1 b 3 Q 7 U 2 V j d G l v b j E v M j A x N 3 R v b m 5 h Z 2 U v Q 2 h h b m d l Z C B U e X B l L n s y L z E z L z I w M T c s M T E z f S Z x d W 9 0 O y w m c X V v d D t T Z W N 0 a W 9 u M S 8 y M D E 3 d G 9 u b m F n Z S 9 D a G F u Z 2 V k I F R 5 c G U u e z I v M T Q v M j A x N y w x M T R 9 J n F 1 b 3 Q 7 L C Z x d W 9 0 O 1 N l Y 3 R p b 2 4 x L z I w M T d 0 b 2 5 u Y W d l L 0 N o Y W 5 n Z W Q g V H l w Z S 5 7 M i 8 x N S 8 y M D E 3 L D E x N X 0 m c X V v d D s s J n F 1 b 3 Q 7 U 2 V j d G l v b j E v M j A x N 3 R v b m 5 h Z 2 U v Q 2 h h b m d l Z C B U e X B l L n s y L z E 2 L z I w M T c s M T E 2 f S Z x d W 9 0 O y w m c X V v d D t T Z W N 0 a W 9 u M S 8 y M D E 3 d G 9 u b m F n Z S 9 D a G F u Z 2 V k I F R 5 c G U u e z I v M T c v M j A x N y w x M T d 9 J n F 1 b 3 Q 7 L C Z x d W 9 0 O 1 N l Y 3 R p b 2 4 x L z I w M T d 0 b 2 5 u Y W d l L 0 N o Y W 5 n Z W Q g V H l w Z S 5 7 M i 8 x O C 8 y M D E 3 L D E x O H 0 m c X V v d D s s J n F 1 b 3 Q 7 U 2 V j d G l v b j E v M j A x N 3 R v b m 5 h Z 2 U v Q 2 h h b m d l Z C B U e X B l L n s y L z I w L z I w M T c s M T E 5 f S Z x d W 9 0 O y w m c X V v d D t T Z W N 0 a W 9 u M S 8 y M D E 3 d G 9 u b m F n Z S 9 D a G F u Z 2 V k I F R 5 c G U u e z I v M j E v M j A x N y w x M j B 9 J n F 1 b 3 Q 7 L C Z x d W 9 0 O 1 N l Y 3 R p b 2 4 x L z I w M T d 0 b 2 5 u Y W d l L 0 N o Y W 5 n Z W Q g V H l w Z S 5 7 M i 8 y M i 8 y M D E 3 L D E y M X 0 m c X V v d D s s J n F 1 b 3 Q 7 U 2 V j d G l v b j E v M j A x N 3 R v b m 5 h Z 2 U v Q 2 h h b m d l Z C B U e X B l L n s y L z I z L z I w M T c s M T I y f S Z x d W 9 0 O y w m c X V v d D t T Z W N 0 a W 9 u M S 8 y M D E 3 d G 9 u b m F n Z S 9 D a G F u Z 2 V k I F R 5 c G U u e z I v M j Q v M j A x N y w x M j N 9 J n F 1 b 3 Q 7 L C Z x d W 9 0 O 1 N l Y 3 R p b 2 4 x L z I w M T d 0 b 2 5 u Y W d l L 0 N o Y W 5 n Z W Q g V H l w Z S 5 7 M i 8 y N S 8 y M D E 3 L D E y N H 0 m c X V v d D s s J n F 1 b 3 Q 7 U 2 V j d G l v b j E v M j A x N 3 R v b m 5 h Z 2 U v Q 2 h h b m d l Z C B U e X B l L n s x L z M w L z I w M T c s M T I 1 f S Z x d W 9 0 O y w m c X V v d D t T Z W N 0 a W 9 u M S 8 y M D E 3 d G 9 u b m F n Z S 9 D a G F u Z 2 V k I F R 5 c G U u e z E v M z E v M j A x N y w x M j Z 9 J n F 1 b 3 Q 7 L C Z x d W 9 0 O 1 N l Y 3 R p b 2 4 x L z I w M T d 0 b 2 5 u Y W d l L 0 N o Y W 5 n Z W Q g V H l w Z S 5 7 M i 8 x L z I w M T c s M T I 3 f S Z x d W 9 0 O y w m c X V v d D t T Z W N 0 a W 9 u M S 8 y M D E 3 d G 9 u b m F n Z S 9 D a G F u Z 2 V k I F R 5 c G U u e z I v M i 8 y M D E 3 L D E y O H 0 m c X V v d D s s J n F 1 b 3 Q 7 U 2 V j d G l v b j E v M j A x N 3 R v b m 5 h Z 2 U v Q 2 h h b m d l Z C B U e X B l L n s y L z M v M j A x N y w x M j l 9 J n F 1 b 3 Q 7 L C Z x d W 9 0 O 1 N l Y 3 R p b 2 4 x L z I w M T d 0 b 2 5 u Y W d l L 0 N o Y W 5 n Z W Q g V H l w Z S 5 7 M i 8 0 L z I w M T c s M T M w f S Z x d W 9 0 O y w m c X V v d D t T Z W N 0 a W 9 u M S 8 y M D E 3 d G 9 u b m F n Z S 9 D a G F u Z 2 V k I F R 5 c G U u e z M v N i 8 y M D E 3 L D E z M X 0 m c X V v d D s s J n F 1 b 3 Q 7 U 2 V j d G l v b j E v M j A x N 3 R v b m 5 h Z 2 U v Q 2 h h b m d l Z C B U e X B l L n s z L z c v M j A x N y w x M z J 9 J n F 1 b 3 Q 7 L C Z x d W 9 0 O 1 N l Y 3 R p b 2 4 x L z I w M T d 0 b 2 5 u Y W d l L 0 N o Y W 5 n Z W Q g V H l w Z S 5 7 M y 8 4 L z I w M T c s M T M z f S Z x d W 9 0 O y w m c X V v d D t T Z W N 0 a W 9 u M S 8 y M D E 3 d G 9 u b m F n Z S 9 D a G F u Z 2 V k I F R 5 c G U u e z M v O S 8 y M D E 3 L D E z N H 0 m c X V v d D s s J n F 1 b 3 Q 7 U 2 V j d G l v b j E v M j A x N 3 R v b m 5 h Z 2 U v Q 2 h h b m d l Z C B U e X B l L n s z L z E w L z I w M T c s M T M 1 f S Z x d W 9 0 O y w m c X V v d D t T Z W N 0 a W 9 u M S 8 y M D E 3 d G 9 u b m F n Z S 9 D a G F u Z 2 V k I F R 5 c G U u e z M v M T E v M j A x N y w x M z Z 9 J n F 1 b 3 Q 7 L C Z x d W 9 0 O 1 N l Y 3 R p b 2 4 x L z I w M T d 0 b 2 5 u Y W d l L 0 N o Y W 5 n Z W Q g V H l w Z S 5 7 M y 8 x M y 8 y M D E 3 L D E z N 3 0 m c X V v d D s s J n F 1 b 3 Q 7 U 2 V j d G l v b j E v M j A x N 3 R v b m 5 h Z 2 U v Q 2 h h b m d l Z C B U e X B l L n s z L z E 0 L z I w M T c s M T M 4 f S Z x d W 9 0 O y w m c X V v d D t T Z W N 0 a W 9 u M S 8 y M D E 3 d G 9 u b m F n Z S 9 D a G F u Z 2 V k I F R 5 c G U u e z M v M T U v M j A x N y w x M z l 9 J n F 1 b 3 Q 7 L C Z x d W 9 0 O 1 N l Y 3 R p b 2 4 x L z I w M T d 0 b 2 5 u Y W d l L 0 N o Y W 5 n Z W Q g V H l w Z S 5 7 M y 8 x N i 8 y M D E 3 L D E 0 M H 0 m c X V v d D s s J n F 1 b 3 Q 7 U 2 V j d G l v b j E v M j A x N 3 R v b m 5 h Z 2 U v Q 2 h h b m d l Z C B U e X B l L n s z L z E 3 L z I w M T c s M T Q x f S Z x d W 9 0 O y w m c X V v d D t T Z W N 0 a W 9 u M S 8 y M D E 3 d G 9 u b m F n Z S 9 D a G F u Z 2 V k I F R 5 c G U u e z M v M T g v M j A x N y w x N D J 9 J n F 1 b 3 Q 7 L C Z x d W 9 0 O 1 N l Y 3 R p b 2 4 x L z I w M T d 0 b 2 5 u Y W d l L 0 N o Y W 5 n Z W Q g V H l w Z S 5 7 M y 8 y M C 8 y M D E 3 L D E 0 M 3 0 m c X V v d D s s J n F 1 b 3 Q 7 U 2 V j d G l v b j E v M j A x N 3 R v b m 5 h Z 2 U v Q 2 h h b m d l Z C B U e X B l L n s z L z I x L z I w M T c s M T Q 0 f S Z x d W 9 0 O y w m c X V v d D t T Z W N 0 a W 9 u M S 8 y M D E 3 d G 9 u b m F n Z S 9 D a G F u Z 2 V k I F R 5 c G U u e z M v M j I v M j A x N y w x N D V 9 J n F 1 b 3 Q 7 L C Z x d W 9 0 O 1 N l Y 3 R p b 2 4 x L z I w M T d 0 b 2 5 u Y W d l L 0 N o Y W 5 n Z W Q g V H l w Z S 5 7 M y 8 y M y 8 y M D E 3 L D E 0 N n 0 m c X V v d D s s J n F 1 b 3 Q 7 U 2 V j d G l v b j E v M j A x N 3 R v b m 5 h Z 2 U v Q 2 h h b m d l Z C B U e X B l L n s z L z I 0 L z I w M T c s M T Q 3 f S Z x d W 9 0 O y w m c X V v d D t T Z W N 0 a W 9 u M S 8 y M D E 3 d G 9 u b m F n Z S 9 D a G F u Z 2 V k I F R 5 c G U u e z M v M j U v M j A x N y w x N D h 9 J n F 1 b 3 Q 7 L C Z x d W 9 0 O 1 N l Y 3 R p b 2 4 x L z I w M T d 0 b 2 5 u Y W d l L 0 N o Y W 5 n Z W Q g V H l w Z S 5 7 M i 8 y N y 8 y M D E 3 L D E 0 O X 0 m c X V v d D s s J n F 1 b 3 Q 7 U 2 V j d G l v b j E v M j A x N 3 R v b m 5 h Z 2 U v Q 2 h h b m d l Z C B U e X B l L n s y L z I 4 L z I w M T c s M T U w f S Z x d W 9 0 O y w m c X V v d D t T Z W N 0 a W 9 u M S 8 y M D E 3 d G 9 u b m F n Z S 9 D a G F u Z 2 V k I F R 5 c G U u e z M v M S 8 y M D E 3 L D E 1 M X 0 m c X V v d D s s J n F 1 b 3 Q 7 U 2 V j d G l v b j E v M j A x N 3 R v b m 5 h Z 2 U v Q 2 h h b m d l Z C B U e X B l L n s z L z I v M j A x N y w x N T J 9 J n F 1 b 3 Q 7 L C Z x d W 9 0 O 1 N l Y 3 R p b 2 4 x L z I w M T d 0 b 2 5 u Y W d l L 0 N o Y W 5 n Z W Q g V H l w Z S 5 7 M y 8 z L z I w M T c s M T U z f S Z x d W 9 0 O y w m c X V v d D t T Z W N 0 a W 9 u M S 8 y M D E 3 d G 9 u b m F n Z S 9 D a G F u Z 2 V k I F R 5 c G U u e z M v N C 8 y M D E 3 L D E 1 N H 0 m c X V v d D s s J n F 1 b 3 Q 7 U 2 V j d G l v b j E v M j A x N 3 R v b m 5 h Z 2 U v Q 2 h h b m d l Z C B U e X B l L n s z L z I 3 L z I w M T c s M T U 1 f S Z x d W 9 0 O y w m c X V v d D t T Z W N 0 a W 9 u M S 8 y M D E 3 d G 9 u b m F n Z S 9 D a G F u Z 2 V k I F R 5 c G U u e z M v M j g v M j A x N y w x N T Z 9 J n F 1 b 3 Q 7 L C Z x d W 9 0 O 1 N l Y 3 R p b 2 4 x L z I w M T d 0 b 2 5 u Y W d l L 0 N o Y W 5 n Z W Q g V H l w Z S 5 7 M y 8 y O S 8 y M D E 3 L D E 1 N 3 0 m c X V v d D s s J n F 1 b 3 Q 7 U 2 V j d G l v b j E v M j A x N 3 R v b m 5 h Z 2 U v Q 2 h h b m d l Z C B U e X B l L n s z L z M w L z I w M T c s M T U 4 f S Z x d W 9 0 O y w m c X V v d D t T Z W N 0 a W 9 u M S 8 y M D E 3 d G 9 u b m F n Z S 9 D a G F u Z 2 V k I F R 5 c G U u e z M v M z E v M j A x N y w x N T l 9 J n F 1 b 3 Q 7 L C Z x d W 9 0 O 1 N l Y 3 R p b 2 4 x L z I w M T d 0 b 2 5 u Y W d l L 0 N o Y W 5 n Z W Q g V H l w Z S 5 7 N C 8 x L z I w M T c s M T Y w f S Z x d W 9 0 O y w m c X V v d D t T Z W N 0 a W 9 u M S 8 y M D E 3 d G 9 u b m F n Z S 9 D a G F u Z 2 V k I F R 5 c G U u e z Q v M T A v M j A x N y w x N j F 9 J n F 1 b 3 Q 7 L C Z x d W 9 0 O 1 N l Y 3 R p b 2 4 x L z I w M T d 0 b 2 5 u Y W d l L 0 N o Y W 5 n Z W Q g V H l w Z S 5 7 N C 8 x M S 8 y M D E 3 L D E 2 M n 0 m c X V v d D s s J n F 1 b 3 Q 7 U 2 V j d G l v b j E v M j A x N 3 R v b m 5 h Z 2 U v Q 2 h h b m d l Z C B U e X B l L n s 0 L z E y L z I w M T c s M T Y z f S Z x d W 9 0 O y w m c X V v d D t T Z W N 0 a W 9 u M S 8 y M D E 3 d G 9 u b m F n Z S 9 D a G F u Z 2 V k I F R 5 c G U u e z Q v M T M v M j A x N y w x N j R 9 J n F 1 b 3 Q 7 L C Z x d W 9 0 O 1 N l Y 3 R p b 2 4 x L z I w M T d 0 b 2 5 u Y W d l L 0 N o Y W 5 n Z W Q g V H l w Z S 5 7 N C 8 x N C 8 y M D E 3 L D E 2 N X 0 m c X V v d D s s J n F 1 b 3 Q 7 U 2 V j d G l v b j E v M j A x N 3 R v b m 5 h Z 2 U v Q 2 h h b m d l Z C B U e X B l L n s 0 L z E 1 L z I w M T c s M T Y 2 f S Z x d W 9 0 O y w m c X V v d D t T Z W N 0 a W 9 u M S 8 y M D E 3 d G 9 u b m F n Z S 9 D a G F u Z 2 V k I F R 5 c G U u e z Q v M T c v M j A x N y w x N j d 9 J n F 1 b 3 Q 7 L C Z x d W 9 0 O 1 N l Y 3 R p b 2 4 x L z I w M T d 0 b 2 5 u Y W d l L 0 N o Y W 5 n Z W Q g V H l w Z S 5 7 N C 8 x O C 8 y M D E 3 L D E 2 O H 0 m c X V v d D s s J n F 1 b 3 Q 7 U 2 V j d G l v b j E v M j A x N 3 R v b m 5 h Z 2 U v Q 2 h h b m d l Z C B U e X B l L n s 0 L z E 5 L z I w M T c s M T Y 5 f S Z x d W 9 0 O y w m c X V v d D t T Z W N 0 a W 9 u M S 8 y M D E 3 d G 9 u b m F n Z S 9 D a G F u Z 2 V k I F R 5 c G U u e z Q v M j A v M j A x N y w x N z B 9 J n F 1 b 3 Q 7 L C Z x d W 9 0 O 1 N l Y 3 R p b 2 4 x L z I w M T d 0 b 2 5 u Y W d l L 0 N o Y W 5 n Z W Q g V H l w Z S 5 7 N C 8 y M S 8 y M D E 3 L D E 3 M X 0 m c X V v d D s s J n F 1 b 3 Q 7 U 2 V j d G l v b j E v M j A x N 3 R v b m 5 h Z 2 U v Q 2 h h b m d l Z C B U e X B l L n s 0 L z I y L z I w M T c s M T c y f S Z x d W 9 0 O y w m c X V v d D t T Z W N 0 a W 9 u M S 8 y M D E 3 d G 9 u b m F n Z S 9 D a G F u Z 2 V k I F R 5 c G U u e z Q v M j Q v M j A x N y w x N z N 9 J n F 1 b 3 Q 7 L C Z x d W 9 0 O 1 N l Y 3 R p b 2 4 x L z I w M T d 0 b 2 5 u Y W d l L 0 N o Y W 5 n Z W Q g V H l w Z S 5 7 N C 8 y N S 8 y M D E 3 L D E 3 N H 0 m c X V v d D s s J n F 1 b 3 Q 7 U 2 V j d G l v b j E v M j A x N 3 R v b m 5 h Z 2 U v Q 2 h h b m d l Z C B U e X B l L n s 0 L z I 2 L z I w M T c s M T c 1 f S Z x d W 9 0 O y w m c X V v d D t T Z W N 0 a W 9 u M S 8 y M D E 3 d G 9 u b m F n Z S 9 D a G F u Z 2 V k I F R 5 c G U u e z Q v M j c v M j A x N y w x N z Z 9 J n F 1 b 3 Q 7 L C Z x d W 9 0 O 1 N l Y 3 R p b 2 4 x L z I w M T d 0 b 2 5 u Y W d l L 0 N o Y W 5 n Z W Q g V H l w Z S 5 7 N C 8 y O C 8 y M D E 3 L D E 3 N 3 0 m c X V v d D s s J n F 1 b 3 Q 7 U 2 V j d G l v b j E v M j A x N 3 R v b m 5 h Z 2 U v Q 2 h h b m d l Z C B U e X B l L n s 0 L z I 5 L z I w M T c s M T c 4 f S Z x d W 9 0 O y w m c X V v d D t T Z W N 0 a W 9 u M S 8 y M D E 3 d G 9 u b m F n Z S 9 D a G F u Z 2 V k I F R 5 c G U u e z Q v M y 8 y M D E 3 L D E 3 O X 0 m c X V v d D s s J n F 1 b 3 Q 7 U 2 V j d G l v b j E v M j A x N 3 R v b m 5 h Z 2 U v Q 2 h h b m d l Z C B U e X B l L n s 0 L z Q v M j A x N y w x O D B 9 J n F 1 b 3 Q 7 L C Z x d W 9 0 O 1 N l Y 3 R p b 2 4 x L z I w M T d 0 b 2 5 u Y W d l L 0 N o Y W 5 n Z W Q g V H l w Z S 5 7 N C 8 1 L z I w M T c s M T g x f S Z x d W 9 0 O y w m c X V v d D t T Z W N 0 a W 9 u M S 8 y M D E 3 d G 9 u b m F n Z S 9 D a G F u Z 2 V k I F R 5 c G U u e z Q v N i 8 y M D E 3 L D E 4 M n 0 m c X V v d D s s J n F 1 b 3 Q 7 U 2 V j d G l v b j E v M j A x N 3 R v b m 5 h Z 2 U v Q 2 h h b m d l Z C B U e X B l L n s 0 L z c v M j A x N y w x O D N 9 J n F 1 b 3 Q 7 L C Z x d W 9 0 O 1 N l Y 3 R p b 2 4 x L z I w M T d 0 b 2 5 u Y W d l L 0 N o Y W 5 n Z W Q g V H l w Z S 5 7 N C 8 4 L z I w M T c s M T g 0 f S Z x d W 9 0 O y w m c X V v d D t T Z W N 0 a W 9 u M S 8 y M D E 3 d G 9 u b m F n Z S 9 D a G F u Z 2 V k I F R 5 c G U u e z U v O C 8 y M D E 3 L D E 4 N X 0 m c X V v d D s s J n F 1 b 3 Q 7 U 2 V j d G l v b j E v M j A x N 3 R v b m 5 h Z 2 U v Q 2 h h b m d l Z C B U e X B l L n s 1 L z k v M j A x N y w x O D Z 9 J n F 1 b 3 Q 7 L C Z x d W 9 0 O 1 N l Y 3 R p b 2 4 x L z I w M T d 0 b 2 5 u Y W d l L 0 N o Y W 5 n Z W Q g V H l w Z S 5 7 N S 8 x M C 8 y M D E 3 L D E 4 N 3 0 m c X V v d D s s J n F 1 b 3 Q 7 U 2 V j d G l v b j E v M j A x N 3 R v b m 5 h Z 2 U v Q 2 h h b m d l Z C B U e X B l L n s 1 L z E x L z I w M T c s M T g 4 f S Z x d W 9 0 O y w m c X V v d D t T Z W N 0 a W 9 u M S 8 y M D E 3 d G 9 u b m F n Z S 9 D a G F u Z 2 V k I F R 5 c G U u e z U v M T I v M j A x N y w x O D l 9 J n F 1 b 3 Q 7 L C Z x d W 9 0 O 1 N l Y 3 R p b 2 4 x L z I w M T d 0 b 2 5 u Y W d l L 0 N o Y W 5 n Z W Q g V H l w Z S 5 7 N S 8 x M y 8 y M D E 3 L D E 5 M H 0 m c X V v d D s s J n F 1 b 3 Q 7 U 2 V j d G l v b j E v M j A x N 3 R v b m 5 h Z 2 U v Q 2 h h b m d l Z C B U e X B l L n s 1 L z E 1 L z I w M T c s M T k x f S Z x d W 9 0 O y w m c X V v d D t T Z W N 0 a W 9 u M S 8 y M D E 3 d G 9 u b m F n Z S 9 D a G F u Z 2 V k I F R 5 c G U u e z U v M T Y v M j A x N y w x O T J 9 J n F 1 b 3 Q 7 L C Z x d W 9 0 O 1 N l Y 3 R p b 2 4 x L z I w M T d 0 b 2 5 u Y W d l L 0 N o Y W 5 n Z W Q g V H l w Z S 5 7 N S 8 x N y 8 y M D E 3 L D E 5 M 3 0 m c X V v d D s s J n F 1 b 3 Q 7 U 2 V j d G l v b j E v M j A x N 3 R v b m 5 h Z 2 U v Q 2 h h b m d l Z C B U e X B l L n s 1 L z E 4 L z I w M T c s M T k 0 f S Z x d W 9 0 O y w m c X V v d D t T Z W N 0 a W 9 u M S 8 y M D E 3 d G 9 u b m F n Z S 9 D a G F u Z 2 V k I F R 5 c G U u e z U v M T k v M j A x N y w x O T V 9 J n F 1 b 3 Q 7 L C Z x d W 9 0 O 1 N l Y 3 R p b 2 4 x L z I w M T d 0 b 2 5 u Y W d l L 0 N o Y W 5 n Z W Q g V H l w Z S 5 7 N S 8 y M C 8 y M D E 3 L D E 5 N n 0 m c X V v d D s s J n F 1 b 3 Q 7 U 2 V j d G l v b j E v M j A x N 3 R v b m 5 h Z 2 U v Q 2 h h b m d l Z C B U e X B l L n s 1 L z I y L z I w M T c s M T k 3 f S Z x d W 9 0 O y w m c X V v d D t T Z W N 0 a W 9 u M S 8 y M D E 3 d G 9 u b m F n Z S 9 D a G F u Z 2 V k I F R 5 c G U u e z U v M j M v M j A x N y w x O T h 9 J n F 1 b 3 Q 7 L C Z x d W 9 0 O 1 N l Y 3 R p b 2 4 x L z I w M T d 0 b 2 5 u Y W d l L 0 N o Y W 5 n Z W Q g V H l w Z S 5 7 N S 8 y N C 8 y M D E 3 L D E 5 O X 0 m c X V v d D s s J n F 1 b 3 Q 7 U 2 V j d G l v b j E v M j A x N 3 R v b m 5 h Z 2 U v Q 2 h h b m d l Z C B U e X B l L n s 1 L z I 1 L z I w M T c s M j A w f S Z x d W 9 0 O y w m c X V v d D t T Z W N 0 a W 9 u M S 8 y M D E 3 d G 9 u b m F n Z S 9 D a G F u Z 2 V k I F R 5 c G U u e z U v M j Y v M j A x N y w y M D F 9 J n F 1 b 3 Q 7 L C Z x d W 9 0 O 1 N l Y 3 R p b 2 4 x L z I w M T d 0 b 2 5 u Y W d l L 0 N o Y W 5 n Z W Q g V H l w Z S 5 7 N S 8 y N y 8 y M D E 3 L D I w M n 0 m c X V v d D s s J n F 1 b 3 Q 7 U 2 V j d G l v b j E v M j A x N 3 R v b m 5 h Z 2 U v Q 2 h h b m d l Z C B U e X B l L n s 1 L z E v M j A x N y w y M D N 9 J n F 1 b 3 Q 7 L C Z x d W 9 0 O 1 N l Y 3 R p b 2 4 x L z I w M T d 0 b 2 5 u Y W d l L 0 N o Y W 5 n Z W Q g V H l w Z S 5 7 N S 8 y L z I w M T c s M j A 0 f S Z x d W 9 0 O y w m c X V v d D t T Z W N 0 a W 9 u M S 8 y M D E 3 d G 9 u b m F n Z S 9 D a G F u Z 2 V k I F R 5 c G U u e z U v M y 8 y M D E 3 L D I w N X 0 m c X V v d D s s J n F 1 b 3 Q 7 U 2 V j d G l v b j E v M j A x N 3 R v b m 5 h Z 2 U v Q 2 h h b m d l Z C B U e X B l L n s 1 L z Q v M j A x N y w y M D Z 9 J n F 1 b 3 Q 7 L C Z x d W 9 0 O 1 N l Y 3 R p b 2 4 x L z I w M T d 0 b 2 5 u Y W d l L 0 N o Y W 5 n Z W Q g V H l w Z S 5 7 N S 8 1 L z I w M T c s M j A 3 f S Z x d W 9 0 O y w m c X V v d D t T Z W N 0 a W 9 u M S 8 y M D E 3 d G 9 u b m F n Z S 9 D a G F u Z 2 V k I F R 5 c G U u e z U v N i 8 y M D E 3 L D I w O H 0 m c X V v d D s s J n F 1 b 3 Q 7 U 2 V j d G l v b j E v M j A x N 3 R v b m 5 h Z 2 U v Q 2 h h b m d l Z C B U e X B l L n s 2 L z U v M j A x N y w y M D l 9 J n F 1 b 3 Q 7 L C Z x d W 9 0 O 1 N l Y 3 R p b 2 4 x L z I w M T d 0 b 2 5 u Y W d l L 0 N o Y W 5 n Z W Q g V H l w Z S 5 7 N i 8 2 L z I w M T c s M j E w f S Z x d W 9 0 O y w m c X V v d D t T Z W N 0 a W 9 u M S 8 y M D E 3 d G 9 u b m F n Z S 9 D a G F u Z 2 V k I F R 5 c G U u e z Y v N y 8 y M D E 3 L D I x M X 0 m c X V v d D s s J n F 1 b 3 Q 7 U 2 V j d G l v b j E v M j A x N 3 R v b m 5 h Z 2 U v Q 2 h h b m d l Z C B U e X B l L n s 2 L z g v M j A x N y w y M T J 9 J n F 1 b 3 Q 7 L C Z x d W 9 0 O 1 N l Y 3 R p b 2 4 x L z I w M T d 0 b 2 5 u Y W d l L 0 N o Y W 5 n Z W Q g V H l w Z S 5 7 N i 8 5 L z I w M T c s M j E z f S Z x d W 9 0 O y w m c X V v d D t T Z W N 0 a W 9 u M S 8 y M D E 3 d G 9 u b m F n Z S 9 D a G F u Z 2 V k I F R 5 c G U u e z Y v M T A v M j A x N y w y M T R 9 J n F 1 b 3 Q 7 L C Z x d W 9 0 O 1 N l Y 3 R p b 2 4 x L z I w M T d 0 b 2 5 u Y W d l L 0 N o Y W 5 n Z W Q g V H l w Z S 5 7 N i 8 x M i 8 y M D E 3 L D I x N X 0 m c X V v d D s s J n F 1 b 3 Q 7 U 2 V j d G l v b j E v M j A x N 3 R v b m 5 h Z 2 U v Q 2 h h b m d l Z C B U e X B l L n s 2 L z E z L z I w M T c s M j E 2 f S Z x d W 9 0 O y w m c X V v d D t T Z W N 0 a W 9 u M S 8 y M D E 3 d G 9 u b m F n Z S 9 D a G F u Z 2 V k I F R 5 c G U u e z Y v M T Q v M j A x N y w y M T d 9 J n F 1 b 3 Q 7 L C Z x d W 9 0 O 1 N l Y 3 R p b 2 4 x L z I w M T d 0 b 2 5 u Y W d l L 0 N o Y W 5 n Z W Q g V H l w Z S 5 7 N i 8 x N S 8 y M D E 3 L D I x O H 0 m c X V v d D s s J n F 1 b 3 Q 7 U 2 V j d G l v b j E v M j A x N 3 R v b m 5 h Z 2 U v Q 2 h h b m d l Z C B U e X B l L n s 2 L z E 2 L z I w M T c s M j E 5 f S Z x d W 9 0 O y w m c X V v d D t T Z W N 0 a W 9 u M S 8 y M D E 3 d G 9 u b m F n Z S 9 D a G F u Z 2 V k I F R 5 c G U u e z Y v M T c v M j A x N y w y M j B 9 J n F 1 b 3 Q 7 L C Z x d W 9 0 O 1 N l Y 3 R p b 2 4 x L z I w M T d 0 b 2 5 u Y W d l L 0 N o Y W 5 n Z W Q g V H l w Z S 5 7 N i 8 x O S 8 y M D E 3 L D I y M X 0 m c X V v d D s s J n F 1 b 3 Q 7 U 2 V j d G l v b j E v M j A x N 3 R v b m 5 h Z 2 U v Q 2 h h b m d l Z C B U e X B l L n s 2 L z I w L z I w M T c s M j I y f S Z x d W 9 0 O y w m c X V v d D t T Z W N 0 a W 9 u M S 8 y M D E 3 d G 9 u b m F n Z S 9 D a G F u Z 2 V k I F R 5 c G U u e z Y v M j E v M j A x N y w y M j N 9 J n F 1 b 3 Q 7 L C Z x d W 9 0 O 1 N l Y 3 R p b 2 4 x L z I w M T d 0 b 2 5 u Y W d l L 0 N o Y W 5 n Z W Q g V H l w Z S 5 7 N i 8 y M i 8 y M D E 3 L D I y N H 0 m c X V v d D s s J n F 1 b 3 Q 7 U 2 V j d G l v b j E v M j A x N 3 R v b m 5 h Z 2 U v Q 2 h h b m d l Z C B U e X B l L n s 2 L z I z L z I w M T c s M j I 1 f S Z x d W 9 0 O y w m c X V v d D t T Z W N 0 a W 9 u M S 8 y M D E 3 d G 9 u b m F n Z S 9 D a G F u Z 2 V k I F R 5 c G U u e z Y v M j Q v M j A x N y w y M j Z 9 J n F 1 b 3 Q 7 L C Z x d W 9 0 O 1 N l Y 3 R p b 2 4 x L z I w M T d 0 b 2 5 u Y W d l L 0 N o Y W 5 n Z W Q g V H l w Z S 5 7 N S 8 y O S 8 y M D E 3 L D I y N 3 0 m c X V v d D s s J n F 1 b 3 Q 7 U 2 V j d G l v b j E v M j A x N 3 R v b m 5 h Z 2 U v Q 2 h h b m d l Z C B U e X B l L n s 1 L z M w L z I w M T c s M j I 4 f S Z x d W 9 0 O y w m c X V v d D t T Z W N 0 a W 9 u M S 8 y M D E 3 d G 9 u b m F n Z S 9 D a G F u Z 2 V k I F R 5 c G U u e z U v M z E v M j A x N y w y M j l 9 J n F 1 b 3 Q 7 L C Z x d W 9 0 O 1 N l Y 3 R p b 2 4 x L z I w M T d 0 b 2 5 u Y W d l L 0 N o Y W 5 n Z W Q g V H l w Z S 5 7 N i 8 x L z I w M T c s M j M w f S Z x d W 9 0 O y w m c X V v d D t T Z W N 0 a W 9 u M S 8 y M D E 3 d G 9 u b m F n Z S 9 D a G F u Z 2 V k I F R 5 c G U u e z Y v M i 8 y M D E 3 L D I z M X 0 m c X V v d D s s J n F 1 b 3 Q 7 U 2 V j d G l v b j E v M j A x N 3 R v b m 5 h Z 2 U v Q 2 h h b m d l Z C B U e X B l L n s 2 L z M v M j A x N y w y M z J 9 J n F 1 b 3 Q 7 L C Z x d W 9 0 O 1 N l Y 3 R p b 2 4 x L z I w M T d 0 b 2 5 u Y W d l L 0 N o Y W 5 n Z W Q g V H l w Z S 5 7 N i 8 y N i 8 y M D E 3 L D I z M 3 0 m c X V v d D s s J n F 1 b 3 Q 7 U 2 V j d G l v b j E v M j A x N 3 R v b m 5 h Z 2 U v Q 2 h h b m d l Z C B U e X B l L n s 2 L z I 3 L z I w M T c s M j M 0 f S Z x d W 9 0 O y w m c X V v d D t T Z W N 0 a W 9 u M S 8 y M D E 3 d G 9 u b m F n Z S 9 D a G F u Z 2 V k I F R 5 c G U u e z Y v M j g v M j A x N y w y M z V 9 J n F 1 b 3 Q 7 L C Z x d W 9 0 O 1 N l Y 3 R p b 2 4 x L z I w M T d 0 b 2 5 u Y W d l L 0 N o Y W 5 n Z W Q g V H l w Z S 5 7 N i 8 y O S 8 y M D E 3 L D I z N n 0 m c X V v d D s s J n F 1 b 3 Q 7 U 2 V j d G l v b j E v M j A x N 3 R v b m 5 h Z 2 U v Q 2 h h b m d l Z C B U e X B l L n s 2 L z M w L z I w M T c s M j M 3 f S Z x d W 9 0 O y w m c X V v d D t T Z W N 0 a W 9 u M S 8 y M D E 3 d G 9 u b m F n Z S 9 D a G F u Z 2 V k I F R 5 c G U u e z c v M S 8 y M D E 3 L D I z O H 0 m c X V v d D s s J n F 1 b 3 Q 7 U 2 V j d G l v b j E v M j A x N 3 R v b m 5 h Z 2 U v Q 2 h h b m d l Z C B U e X B l L n s 3 L z E w L z I w M T c s M j M 5 f S Z x d W 9 0 O y w m c X V v d D t T Z W N 0 a W 9 u M S 8 y M D E 3 d G 9 u b m F n Z S 9 D a G F u Z 2 V k I F R 5 c G U u e z c v M T E v M j A x N y w y N D B 9 J n F 1 b 3 Q 7 L C Z x d W 9 0 O 1 N l Y 3 R p b 2 4 x L z I w M T d 0 b 2 5 u Y W d l L 0 N o Y W 5 n Z W Q g V H l w Z S 5 7 N y 8 x M i 8 y M D E 3 L D I 0 M X 0 m c X V v d D s s J n F 1 b 3 Q 7 U 2 V j d G l v b j E v M j A x N 3 R v b m 5 h Z 2 U v Q 2 h h b m d l Z C B U e X B l L n s 3 L z E z L z I w M T c s M j Q y f S Z x d W 9 0 O y w m c X V v d D t T Z W N 0 a W 9 u M S 8 y M D E 3 d G 9 u b m F n Z S 9 D a G F u Z 2 V k I F R 5 c G U u e z c v M T Q v M j A x N y w y N D N 9 J n F 1 b 3 Q 7 L C Z x d W 9 0 O 1 N l Y 3 R p b 2 4 x L z I w M T d 0 b 2 5 u Y W d l L 0 N o Y W 5 n Z W Q g V H l w Z S 5 7 N y 8 x N S 8 y M D E 3 L D I 0 N H 0 m c X V v d D s s J n F 1 b 3 Q 7 U 2 V j d G l v b j E v M j A x N 3 R v b m 5 h Z 2 U v Q 2 h h b m d l Z C B U e X B l L n s 3 L z E 3 L z I w M T c s M j Q 1 f S Z x d W 9 0 O y w m c X V v d D t T Z W N 0 a W 9 u M S 8 y M D E 3 d G 9 u b m F n Z S 9 D a G F u Z 2 V k I F R 5 c G U u e z c v M T g v M j A x N y w y N D Z 9 J n F 1 b 3 Q 7 L C Z x d W 9 0 O 1 N l Y 3 R p b 2 4 x L z I w M T d 0 b 2 5 u Y W d l L 0 N o Y W 5 n Z W Q g V H l w Z S 5 7 N y 8 x O S 8 y M D E 3 L D I 0 N 3 0 m c X V v d D s s J n F 1 b 3 Q 7 U 2 V j d G l v b j E v M j A x N 3 R v b m 5 h Z 2 U v Q 2 h h b m d l Z C B U e X B l L n s 3 L z I w L z I w M T c s M j Q 4 f S Z x d W 9 0 O y w m c X V v d D t T Z W N 0 a W 9 u M S 8 y M D E 3 d G 9 u b m F n Z S 9 D a G F u Z 2 V k I F R 5 c G U u e z c v M j E v M j A x N y w y N D l 9 J n F 1 b 3 Q 7 L C Z x d W 9 0 O 1 N l Y 3 R p b 2 4 x L z I w M T d 0 b 2 5 u Y W d l L 0 N o Y W 5 n Z W Q g V H l w Z S 5 7 N y 8 y M i 8 y M D E 3 L D I 1 M H 0 m c X V v d D s s J n F 1 b 3 Q 7 U 2 V j d G l v b j E v M j A x N 3 R v b m 5 h Z 2 U v Q 2 h h b m d l Z C B U e X B l L n s 3 L z I 0 L z I w M T c s M j U x f S Z x d W 9 0 O y w m c X V v d D t T Z W N 0 a W 9 u M S 8 y M D E 3 d G 9 u b m F n Z S 9 D a G F u Z 2 V k I F R 5 c G U u e z c v M j U v M j A x N y w y N T J 9 J n F 1 b 3 Q 7 L C Z x d W 9 0 O 1 N l Y 3 R p b 2 4 x L z I w M T d 0 b 2 5 u Y W d l L 0 N o Y W 5 n Z W Q g V H l w Z S 5 7 N y 8 y N i 8 y M D E 3 L D I 1 M 3 0 m c X V v d D s s J n F 1 b 3 Q 7 U 2 V j d G l v b j E v M j A x N 3 R v b m 5 h Z 2 U v Q 2 h h b m d l Z C B U e X B l L n s 3 L z I 3 L z I w M T c s M j U 0 f S Z x d W 9 0 O y w m c X V v d D t T Z W N 0 a W 9 u M S 8 y M D E 3 d G 9 u b m F n Z S 9 D a G F u Z 2 V k I F R 5 c G U u e z c v M j g v M j A x N y w y N T V 9 J n F 1 b 3 Q 7 L C Z x d W 9 0 O 1 N l Y 3 R p b 2 4 x L z I w M T d 0 b 2 5 u Y W d l L 0 N o Y W 5 n Z W Q g V H l w Z S 5 7 N y 8 y O S 8 y M D E 3 L D I 1 N n 0 m c X V v d D s s J n F 1 b 3 Q 7 U 2 V j d G l v b j E v M j A x N 3 R v b m 5 h Z 2 U v Q 2 h h b m d l Z C B U e X B l L n s 3 L z M v M j A x N y w y N T d 9 J n F 1 b 3 Q 7 L C Z x d W 9 0 O 1 N l Y 3 R p b 2 4 x L z I w M T d 0 b 2 5 u Y W d l L 0 N o Y W 5 n Z W Q g V H l w Z S 5 7 N y 8 0 L z I w M T c s M j U 4 f S Z x d W 9 0 O y w m c X V v d D t T Z W N 0 a W 9 u M S 8 y M D E 3 d G 9 u b m F n Z S 9 D a G F u Z 2 V k I F R 5 c G U u e z c v N S 8 y M D E 3 L D I 1 O X 0 m c X V v d D s s J n F 1 b 3 Q 7 U 2 V j d G l v b j E v M j A x N 3 R v b m 5 h Z 2 U v Q 2 h h b m d l Z C B U e X B l L n s 3 L z Y v M j A x N y w y N j B 9 J n F 1 b 3 Q 7 L C Z x d W 9 0 O 1 N l Y 3 R p b 2 4 x L z I w M T d 0 b 2 5 u Y W d l L 0 N o Y W 5 n Z W Q g V H l w Z S 5 7 N y 8 3 L z I w M T c s M j Y x f S Z x d W 9 0 O y w m c X V v d D t T Z W N 0 a W 9 u M S 8 y M D E 3 d G 9 u b m F n Z S 9 D a G F u Z 2 V k I F R 5 c G U u e z c v O C 8 y M D E 3 L D I 2 M n 0 m c X V v d D s s J n F 1 b 3 Q 7 U 2 V j d G l v b j E v M j A x N 3 R v b m 5 h Z 2 U v Q 2 h h b m d l Z C B U e X B l L n s 4 L z c v M j A x N y w y N j N 9 J n F 1 b 3 Q 7 L C Z x d W 9 0 O 1 N l Y 3 R p b 2 4 x L z I w M T d 0 b 2 5 u Y W d l L 0 N o Y W 5 n Z W Q g V H l w Z S 5 7 O C 8 4 L z I w M T c s M j Y 0 f S Z x d W 9 0 O y w m c X V v d D t T Z W N 0 a W 9 u M S 8 y M D E 3 d G 9 u b m F n Z S 9 D a G F u Z 2 V k I F R 5 c G U u e z g v O S 8 y M D E 3 L D I 2 N X 0 m c X V v d D s s J n F 1 b 3 Q 7 U 2 V j d G l v b j E v M j A x N 3 R v b m 5 h Z 2 U v Q 2 h h b m d l Z C B U e X B l L n s 4 L z E w L z I w M T c s M j Y 2 f S Z x d W 9 0 O y w m c X V v d D t T Z W N 0 a W 9 u M S 8 y M D E 3 d G 9 u b m F n Z S 9 D a G F u Z 2 V k I F R 5 c G U u e z g v M T E v M j A x N y w y N j d 9 J n F 1 b 3 Q 7 L C Z x d W 9 0 O 1 N l Y 3 R p b 2 4 x L z I w M T d 0 b 2 5 u Y W d l L 0 N o Y W 5 n Z W Q g V H l w Z S 5 7 O C 8 x M i 8 y M D E 3 L D I 2 O H 0 m c X V v d D s s J n F 1 b 3 Q 7 U 2 V j d G l v b j E v M j A x N 3 R v b m 5 h Z 2 U v Q 2 h h b m d l Z C B U e X B l L n s 4 L z E 0 L z I w M T c s M j Y 5 f S Z x d W 9 0 O y w m c X V v d D t T Z W N 0 a W 9 u M S 8 y M D E 3 d G 9 u b m F n Z S 9 D a G F u Z 2 V k I F R 5 c G U u e z g v M T U v M j A x N y w y N z B 9 J n F 1 b 3 Q 7 L C Z x d W 9 0 O 1 N l Y 3 R p b 2 4 x L z I w M T d 0 b 2 5 u Y W d l L 0 N o Y W 5 n Z W Q g V H l w Z S 5 7 O C 8 x N i 8 y M D E 3 L D I 3 M X 0 m c X V v d D s s J n F 1 b 3 Q 7 U 2 V j d G l v b j E v M j A x N 3 R v b m 5 h Z 2 U v Q 2 h h b m d l Z C B U e X B l L n s 4 L z E 3 L z I w M T c s M j c y f S Z x d W 9 0 O y w m c X V v d D t T Z W N 0 a W 9 u M S 8 y M D E 3 d G 9 u b m F n Z S 9 D a G F u Z 2 V k I F R 5 c G U u e z g v M T g v M j A x N y w y N z N 9 J n F 1 b 3 Q 7 L C Z x d W 9 0 O 1 N l Y 3 R p b 2 4 x L z I w M T d 0 b 2 5 u Y W d l L 0 N o Y W 5 n Z W Q g V H l w Z S 5 7 O C 8 x O S 8 y M D E 3 L D I 3 N H 0 m c X V v d D s s J n F 1 b 3 Q 7 U 2 V j d G l v b j E v M j A x N 3 R v b m 5 h Z 2 U v Q 2 h h b m d l Z C B U e X B l L n s 4 L z I x L z I w M T c s M j c 1 f S Z x d W 9 0 O y w m c X V v d D t T Z W N 0 a W 9 u M S 8 y M D E 3 d G 9 u b m F n Z S 9 D a G F u Z 2 V k I F R 5 c G U u e z g v M j I v M j A x N y w y N z Z 9 J n F 1 b 3 Q 7 L C Z x d W 9 0 O 1 N l Y 3 R p b 2 4 x L z I w M T d 0 b 2 5 u Y W d l L 0 N o Y W 5 n Z W Q g V H l w Z S 5 7 O C 8 y M y 8 y M D E 3 L D I 3 N 3 0 m c X V v d D s s J n F 1 b 3 Q 7 U 2 V j d G l v b j E v M j A x N 3 R v b m 5 h Z 2 U v Q 2 h h b m d l Z C B U e X B l L n s 4 L z I 0 L z I w M T c s M j c 4 f S Z x d W 9 0 O y w m c X V v d D t T Z W N 0 a W 9 u M S 8 y M D E 3 d G 9 u b m F n Z S 9 D a G F u Z 2 V k I F R 5 c G U u e z g v M j U v M j A x N y w y N z l 9 J n F 1 b 3 Q 7 L C Z x d W 9 0 O 1 N l Y 3 R p b 2 4 x L z I w M T d 0 b 2 5 u Y W d l L 0 N o Y W 5 n Z W Q g V H l w Z S 5 7 O C 8 y N i 8 y M D E 3 L D I 4 M H 0 m c X V v d D s s J n F 1 b 3 Q 7 U 2 V j d G l v b j E v M j A x N 3 R v b m 5 h Z 2 U v Q 2 h h b m d l Z C B U e X B l L n s 3 L z M x L z I w M T c s M j g x f S Z x d W 9 0 O y w m c X V v d D t T Z W N 0 a W 9 u M S 8 y M D E 3 d G 9 u b m F n Z S 9 D a G F u Z 2 V k I F R 5 c G U u e z g v M S 8 y M D E 3 L D I 4 M n 0 m c X V v d D s s J n F 1 b 3 Q 7 U 2 V j d G l v b j E v M j A x N 3 R v b m 5 h Z 2 U v Q 2 h h b m d l Z C B U e X B l L n s 4 L z I v M j A x N y w y O D N 9 J n F 1 b 3 Q 7 L C Z x d W 9 0 O 1 N l Y 3 R p b 2 4 x L z I w M T d 0 b 2 5 u Y W d l L 0 N o Y W 5 n Z W Q g V H l w Z S 5 7 O C 8 z L z I w M T c s M j g 0 f S Z x d W 9 0 O y w m c X V v d D t T Z W N 0 a W 9 u M S 8 y M D E 3 d G 9 u b m F n Z S 9 D a G F u Z 2 V k I F R 5 c G U u e z g v N C 8 y M D E 3 L D I 4 N X 0 m c X V v d D s s J n F 1 b 3 Q 7 U 2 V j d G l v b j E v M j A x N 3 R v b m 5 h Z 2 U v Q 2 h h b m d l Z C B U e X B l L n s 4 L z U v M j A x N y w y O D Z 9 J n F 1 b 3 Q 7 L C Z x d W 9 0 O 1 N l Y 3 R p b 2 4 x L z I w M T d 0 b 2 5 u Y W d l L 0 N o Y W 5 n Z W Q g V H l w Z S 5 7 O S 8 x M S 8 y M D E 3 L D I 4 N 3 0 m c X V v d D s s J n F 1 b 3 Q 7 U 2 V j d G l v b j E v M j A x N 3 R v b m 5 h Z 2 U v Q 2 h h b m d l Z C B U e X B l L n s 5 L z E y L z I w M T c s M j g 4 f S Z x d W 9 0 O y w m c X V v d D t T Z W N 0 a W 9 u M S 8 y M D E 3 d G 9 u b m F n Z S 9 D a G F u Z 2 V k I F R 5 c G U u e z k v M T M v M j A x N y w y O D l 9 J n F 1 b 3 Q 7 L C Z x d W 9 0 O 1 N l Y 3 R p b 2 4 x L z I w M T d 0 b 2 5 u Y W d l L 0 N o Y W 5 n Z W Q g V H l w Z S 5 7 O S 8 x N C 8 y M D E 3 L D I 5 M H 0 m c X V v d D s s J n F 1 b 3 Q 7 U 2 V j d G l v b j E v M j A x N 3 R v b m 5 h Z 2 U v Q 2 h h b m d l Z C B U e X B l L n s 5 L z E 1 L z I w M T c s M j k x f S Z x d W 9 0 O y w m c X V v d D t T Z W N 0 a W 9 u M S 8 y M D E 3 d G 9 u b m F n Z S 9 D a G F u Z 2 V k I F R 5 c G U u e z k v M T Y v M j A x N y w y O T J 9 J n F 1 b 3 Q 7 L C Z x d W 9 0 O 1 N l Y 3 R p b 2 4 x L z I w M T d 0 b 2 5 u Y W d l L 0 N o Y W 5 n Z W Q g V H l w Z S 5 7 O C 8 y O C 8 y M D E 3 L D I 5 M 3 0 m c X V v d D s s J n F 1 b 3 Q 7 U 2 V j d G l v b j E v M j A x N 3 R v b m 5 h Z 2 U v Q 2 h h b m d l Z C B U e X B l L n s 4 L z I 5 L z I w M T c s M j k 0 f S Z x d W 9 0 O y w m c X V v d D t T Z W N 0 a W 9 u M S 8 y M D E 3 d G 9 u b m F n Z S 9 D a G F u Z 2 V k I F R 5 c G U u e z g v M z A v M j A x N y w y O T V 9 J n F 1 b 3 Q 7 L C Z x d W 9 0 O 1 N l Y 3 R p b 2 4 x L z I w M T d 0 b 2 5 u Y W d l L 0 N o Y W 5 n Z W Q g V H l w Z S 5 7 O C 8 z M S 8 y M D E 3 L D I 5 N n 0 m c X V v d D s s J n F 1 b 3 Q 7 U 2 V j d G l v b j E v M j A x N 3 R v b m 5 h Z 2 U v Q 2 h h b m d l Z C B U e X B l L n s 5 L z E v M j A x N y w y O T d 9 J n F 1 b 3 Q 7 L C Z x d W 9 0 O 1 N l Y 3 R p b 2 4 x L z I w M T d 0 b 2 5 u Y W d l L 0 N o Y W 5 n Z W Q g V H l w Z S 5 7 O S 8 y L z I w M T c s M j k 4 f S Z x d W 9 0 O y w m c X V v d D t T Z W N 0 a W 9 u M S 8 y M D E 3 d G 9 u b m F n Z S 9 D a G F u Z 2 V k I F R 5 c G U u e z k v M T g v M j A x N y w y O T l 9 J n F 1 b 3 Q 7 L C Z x d W 9 0 O 1 N l Y 3 R p b 2 4 x L z I w M T d 0 b 2 5 u Y W d l L 0 N o Y W 5 n Z W Q g V H l w Z S 5 7 O S 8 x O S 8 y M D E 3 L D M w M H 0 m c X V v d D s s J n F 1 b 3 Q 7 U 2 V j d G l v b j E v M j A x N 3 R v b m 5 h Z 2 U v Q 2 h h b m d l Z C B U e X B l L n s 5 L z I w L z I w M T c s M z A x f S Z x d W 9 0 O y w m c X V v d D t T Z W N 0 a W 9 u M S 8 y M D E 3 d G 9 u b m F n Z S 9 D a G F u Z 2 V k I F R 5 c G U u e z k v M j E v M j A x N y w z M D J 9 J n F 1 b 3 Q 7 L C Z x d W 9 0 O 1 N l Y 3 R p b 2 4 x L z I w M T d 0 b 2 5 u Y W d l L 0 N o Y W 5 n Z W Q g V H l w Z S 5 7 O S 8 y M i 8 y M D E 3 L D M w M 3 0 m c X V v d D s s J n F 1 b 3 Q 7 U 2 V j d G l v b j E v M j A x N 3 R v b m 5 h Z 2 U v Q 2 h h b m d l Z C B U e X B l L n s 5 L z I z L z I w M T c s M z A 0 f S Z x d W 9 0 O y w m c X V v d D t T Z W N 0 a W 9 u M S 8 y M D E 3 d G 9 u b m F n Z S 9 D a G F u Z 2 V k I F R 5 c G U u e z k v M j U v M j A x N y w z M D V 9 J n F 1 b 3 Q 7 L C Z x d W 9 0 O 1 N l Y 3 R p b 2 4 x L z I w M T d 0 b 2 5 u Y W d l L 0 N o Y W 5 n Z W Q g V H l w Z S 5 7 O S 8 y N i 8 y M D E 3 L D M w N n 0 m c X V v d D s s J n F 1 b 3 Q 7 U 2 V j d G l v b j E v M j A x N 3 R v b m 5 h Z 2 U v Q 2 h h b m d l Z C B U e X B l L n s 5 L z I 3 L z I w M T c s M z A 3 f S Z x d W 9 0 O y w m c X V v d D t T Z W N 0 a W 9 u M S 8 y M D E 3 d G 9 u b m F n Z S 9 D a G F u Z 2 V k I F R 5 c G U u e z k v M j g v M j A x N y w z M D h 9 J n F 1 b 3 Q 7 L C Z x d W 9 0 O 1 N l Y 3 R p b 2 4 x L z I w M T d 0 b 2 5 u Y W d l L 0 N o Y W 5 n Z W Q g V H l w Z S 5 7 O S 8 y O S 8 y M D E 3 L D M w O X 0 m c X V v d D s s J n F 1 b 3 Q 7 U 2 V j d G l v b j E v M j A x N 3 R v b m 5 h Z 2 U v Q 2 h h b m d l Z C B U e X B l L n s 5 L z M w L z I w M T c s M z E w f S Z x d W 9 0 O y w m c X V v d D t T Z W N 0 a W 9 u M S 8 y M D E 3 d G 9 u b m F n Z S 9 D a G F u Z 2 V k I F R 5 c G U u e z k v N C 8 y M D E 3 L D M x M X 0 m c X V v d D s s J n F 1 b 3 Q 7 U 2 V j d G l v b j E v M j A x N 3 R v b m 5 h Z 2 U v Q 2 h h b m d l Z C B U e X B l L n s 5 L z U v M j A x N y w z M T J 9 J n F 1 b 3 Q 7 L C Z x d W 9 0 O 1 N l Y 3 R p b 2 4 x L z I w M T d 0 b 2 5 u Y W d l L 0 N o Y W 5 n Z W Q g V H l w Z S 5 7 O S 8 2 L z I w M T c s M z E z f S Z x d W 9 0 O y w m c X V v d D t T Z W N 0 a W 9 u M S 8 y M D E 3 d G 9 u b m F n Z S 9 D a G F u Z 2 V k I F R 5 c G U u e z k v N y 8 y M D E 3 L D M x N H 0 m c X V v d D s s J n F 1 b 3 Q 7 U 2 V j d G l v b j E v M j A x N 3 R v b m 5 h Z 2 U v Q 2 h h b m d l Z C B U e X B l L n s 5 L z g v M j A x N y w z M T V 9 J n F 1 b 3 Q 7 L C Z x d W 9 0 O 1 N l Y 3 R p b 2 4 x L z I w M T d 0 b 2 5 u Y W d l L 0 N o Y W 5 n Z W Q g V H l w Z S 5 7 O S 8 5 L z I w M T c s M z E 2 f S Z x d W 9 0 O 1 0 s J n F 1 b 3 Q 7 Q 2 9 s d W 1 u Q 2 9 1 b n Q m c X V v d D s 6 M z E 5 L C Z x d W 9 0 O 0 t l e U N v b H V t b k 5 h b W V z J n F 1 b 3 Q 7 O l t d L C Z x d W 9 0 O 0 N v b H V t b k l k Z W 5 0 a X R p Z X M m c X V v d D s 6 W y Z x d W 9 0 O 1 N l Y 3 R p b 2 4 x L z I w M T d 0 b 2 5 u Y W d l L 0 F s b F R v b m 5 h Z 2 V f V G F i b G U u e 0 R l d m V s b 3 B t Z W 5 0 L D J 9 J n F 1 b 3 Q 7 L C Z x d W 9 0 O 1 N l Y 3 R p b 2 4 x L z I w M T d 0 b 2 5 u Y W d l L 0 l u c 2 V y d G V k I F N 1 b S 5 7 Q W R k a X R p b 2 4 s M z E 3 f S Z x d W 9 0 O y w m c X V v d D t T Z W N 0 a W 9 u M S 8 y M D E 3 d G 9 u b m F n Z S 9 D a G F u Z 2 V k I F R 5 c G U x L n t X Z W V r b H k g Q X Z l c m F n Z S w 0 f S Z x d W 9 0 O y w m c X V v d D t T Z W N 0 a W 9 u M S 8 y M D E 3 d G 9 u b m F n Z S 9 B b G x U b 2 5 u Y W d l X 1 R h Y m x l L n t C b 3 J v d W d o L D B 9 J n F 1 b 3 Q 7 L C Z x d W 9 0 O 1 N l Y 3 R p b 2 4 x L z I w M T d 0 b 2 5 u Y W d l L 0 F s b F R v b m 5 h Z 2 V f V G F i b G U u e 0 R p c 3 R y a W N 0 L D F 9 J n F 1 b 3 Q 7 L C Z x d W 9 0 O 1 N l Y 3 R p b 2 4 x L z I w M T d 0 b 2 5 u Y W d l L 0 N o Y W 5 n Z W Q g V H l w Z S 5 7 M S 8 5 L z I w M T c s M 3 0 m c X V v d D s s J n F 1 b 3 Q 7 U 2 V j d G l v b j E v M j A x N 3 R v b m 5 h Z 2 U v Q 2 h h b m d l Z C B U e X B l L n s x L z E w L z I w M T c s N H 0 m c X V v d D s s J n F 1 b 3 Q 7 U 2 V j d G l v b j E v M j A x N 3 R v b m 5 h Z 2 U v Q 2 h h b m d l Z C B U e X B l L n s x L z E x L z I w M T c s N X 0 m c X V v d D s s J n F 1 b 3 Q 7 U 2 V j d G l v b j E v M j A x N 3 R v b m 5 h Z 2 U v Q 2 h h b m d l Z C B U e X B l L n s x L z E y L z I w M T c s N n 0 m c X V v d D s s J n F 1 b 3 Q 7 U 2 V j d G l v b j E v M j A x N 3 R v b m 5 h Z 2 U v Q 2 h h b m d l Z C B U e X B l L n s x L z E z L z I w M T c s N 3 0 m c X V v d D s s J n F 1 b 3 Q 7 U 2 V j d G l v b j E v M j A x N 3 R v b m 5 h Z 2 U v Q 2 h h b m d l Z C B U e X B l L n s x L z E 0 L z I w M T c s O H 0 m c X V v d D s s J n F 1 b 3 Q 7 U 2 V j d G l v b j E v M j A x N 3 R v b m 5 h Z 2 U v Q 2 h h b m d l Z C B U e X B l L n s x L z E 2 L z I w M T c s O X 0 m c X V v d D s s J n F 1 b 3 Q 7 U 2 V j d G l v b j E v M j A x N 3 R v b m 5 h Z 2 U v Q 2 h h b m d l Z C B U e X B l L n s x L z E 3 L z I w M T c s M T B 9 J n F 1 b 3 Q 7 L C Z x d W 9 0 O 1 N l Y 3 R p b 2 4 x L z I w M T d 0 b 2 5 u Y W d l L 0 N o Y W 5 n Z W Q g V H l w Z S 5 7 M S 8 x O C 8 y M D E 3 L D E x f S Z x d W 9 0 O y w m c X V v d D t T Z W N 0 a W 9 u M S 8 y M D E 3 d G 9 u b m F n Z S 9 D a G F u Z 2 V k I F R 5 c G U u e z E v M T k v M j A x N y w x M n 0 m c X V v d D s s J n F 1 b 3 Q 7 U 2 V j d G l v b j E v M j A x N 3 R v b m 5 h Z 2 U v Q 2 h h b m d l Z C B U e X B l L n s x L z I w L z I w M T c s M T N 9 J n F 1 b 3 Q 7 L C Z x d W 9 0 O 1 N l Y 3 R p b 2 4 x L z I w M T d 0 b 2 5 u Y W d l L 0 N o Y W 5 n Z W Q g V H l w Z S 5 7 M S 8 y M S 8 y M D E 3 L D E 0 f S Z x d W 9 0 O y w m c X V v d D t T Z W N 0 a W 9 u M S 8 y M D E 3 d G 9 u b m F n Z S 9 D a G F u Z 2 V k I F R 5 c G U u e z E v M j M v M j A x N y w x N X 0 m c X V v d D s s J n F 1 b 3 Q 7 U 2 V j d G l v b j E v M j A x N 3 R v b m 5 h Z 2 U v Q 2 h h b m d l Z C B U e X B l L n s x L z I 0 L z I w M T c s M T Z 9 J n F 1 b 3 Q 7 L C Z x d W 9 0 O 1 N l Y 3 R p b 2 4 x L z I w M T d 0 b 2 5 u Y W d l L 0 N o Y W 5 n Z W Q g V H l w Z S 5 7 M S 8 y N S 8 y M D E 3 L D E 3 f S Z x d W 9 0 O y w m c X V v d D t T Z W N 0 a W 9 u M S 8 y M D E 3 d G 9 u b m F n Z S 9 D a G F u Z 2 V k I F R 5 c G U u e z E v M j Y v M j A x N y w x O H 0 m c X V v d D s s J n F 1 b 3 Q 7 U 2 V j d G l v b j E v M j A x N 3 R v b m 5 h Z 2 U v Q 2 h h b m d l Z C B U e X B l L n s x L z I 3 L z I w M T c s M T l 9 J n F 1 b 3 Q 7 L C Z x d W 9 0 O 1 N l Y 3 R p b 2 4 x L z I w M T d 0 b 2 5 u Y W d l L 0 N o Y W 5 n Z W Q g V H l w Z S 5 7 M S 8 y O C 8 y M D E 3 L D I w f S Z x d W 9 0 O y w m c X V v d D t T Z W N 0 a W 9 u M S 8 y M D E 3 d G 9 u b m F n Z S 9 D a G F u Z 2 V k I F R 5 c G U u e z E v M i 8 y M D E 3 L D I x f S Z x d W 9 0 O y w m c X V v d D t T Z W N 0 a W 9 u M S 8 y M D E 3 d G 9 u b m F n Z S 9 D a G F u Z 2 V k I F R 5 c G U u e z E v M y 8 y M D E 3 L D I y f S Z x d W 9 0 O y w m c X V v d D t T Z W N 0 a W 9 u M S 8 y M D E 3 d G 9 u b m F n Z S 9 D a G F u Z 2 V k I F R 5 c G U u e z E v N C 8 y M D E 3 L D I z f S Z x d W 9 0 O y w m c X V v d D t T Z W N 0 a W 9 u M S 8 y M D E 3 d G 9 u b m F n Z S 9 D a G F u Z 2 V k I F R 5 c G U u e z E v N S 8 y M D E 3 L D I 0 f S Z x d W 9 0 O y w m c X V v d D t T Z W N 0 a W 9 u M S 8 y M D E 3 d G 9 u b m F n Z S 9 D a G F u Z 2 V k I F R 5 c G U u e z E v N i 8 y M D E 3 L D I 1 f S Z x d W 9 0 O y w m c X V v d D t T Z W N 0 a W 9 u M S 8 y M D E 3 d G 9 u b m F n Z S 9 D a G F u Z 2 V k I F R 5 c G U u e z E v N y 8 y M D E 3 L D I 2 f S Z x d W 9 0 O y w m c X V v d D t T Z W N 0 a W 9 u M S 8 y M D E 3 d G 9 u b m F n Z S 9 D a G F u Z 2 V k I F R 5 c G U u e z E w L z k v M j A x N y w y N 3 0 m c X V v d D s s J n F 1 b 3 Q 7 U 2 V j d G l v b j E v M j A x N 3 R v b m 5 h Z 2 U v Q 2 h h b m d l Z C B U e X B l L n s x M C 8 x M C 8 y M D E 3 L D I 4 f S Z x d W 9 0 O y w m c X V v d D t T Z W N 0 a W 9 u M S 8 y M D E 3 d G 9 u b m F n Z S 9 D a G F u Z 2 V k I F R 5 c G U u e z E w L z E x L z I w M T c s M j l 9 J n F 1 b 3 Q 7 L C Z x d W 9 0 O 1 N l Y 3 R p b 2 4 x L z I w M T d 0 b 2 5 u Y W d l L 0 N o Y W 5 n Z W Q g V H l w Z S 5 7 M T A v M T I v M j A x N y w z M H 0 m c X V v d D s s J n F 1 b 3 Q 7 U 2 V j d G l v b j E v M j A x N 3 R v b m 5 h Z 2 U v Q 2 h h b m d l Z C B U e X B l L n s x M C 8 x M y 8 y M D E 3 L D M x f S Z x d W 9 0 O y w m c X V v d D t T Z W N 0 a W 9 u M S 8 y M D E 3 d G 9 u b m F n Z S 9 D a G F u Z 2 V k I F R 5 c G U u e z E w L z E 0 L z I w M T c s M z J 9 J n F 1 b 3 Q 7 L C Z x d W 9 0 O 1 N l Y 3 R p b 2 4 x L z I w M T d 0 b 2 5 u Y W d l L 0 N o Y W 5 n Z W Q g V H l w Z S 5 7 M T A v M T Y v M j A x N y w z M 3 0 m c X V v d D s s J n F 1 b 3 Q 7 U 2 V j d G l v b j E v M j A x N 3 R v b m 5 h Z 2 U v Q 2 h h b m d l Z C B U e X B l L n s x M C 8 x N y 8 y M D E 3 L D M 0 f S Z x d W 9 0 O y w m c X V v d D t T Z W N 0 a W 9 u M S 8 y M D E 3 d G 9 u b m F n Z S 9 D a G F u Z 2 V k I F R 5 c G U u e z E w L z E 4 L z I w M T c s M z V 9 J n F 1 b 3 Q 7 L C Z x d W 9 0 O 1 N l Y 3 R p b 2 4 x L z I w M T d 0 b 2 5 u Y W d l L 0 N o Y W 5 n Z W Q g V H l w Z S 5 7 M T A v M T k v M j A x N y w z N n 0 m c X V v d D s s J n F 1 b 3 Q 7 U 2 V j d G l v b j E v M j A x N 3 R v b m 5 h Z 2 U v Q 2 h h b m d l Z C B U e X B l L n s x M C 8 y M C 8 y M D E 3 L D M 3 f S Z x d W 9 0 O y w m c X V v d D t T Z W N 0 a W 9 u M S 8 y M D E 3 d G 9 u b m F n Z S 9 D a G F u Z 2 V k I F R 5 c G U u e z E w L z I x L z I w M T c s M z h 9 J n F 1 b 3 Q 7 L C Z x d W 9 0 O 1 N l Y 3 R p b 2 4 x L z I w M T d 0 b 2 5 u Y W d l L 0 N o Y W 5 n Z W Q g V H l w Z S 5 7 M T A v M j M v M j A x N y w z O X 0 m c X V v d D s s J n F 1 b 3 Q 7 U 2 V j d G l v b j E v M j A x N 3 R v b m 5 h Z 2 U v Q 2 h h b m d l Z C B U e X B l L n s x M C 8 y N C 8 y M D E 3 L D Q w f S Z x d W 9 0 O y w m c X V v d D t T Z W N 0 a W 9 u M S 8 y M D E 3 d G 9 u b m F n Z S 9 D a G F u Z 2 V k I F R 5 c G U u e z E w L z I 1 L z I w M T c s N D F 9 J n F 1 b 3 Q 7 L C Z x d W 9 0 O 1 N l Y 3 R p b 2 4 x L z I w M T d 0 b 2 5 u Y W d l L 0 N o Y W 5 n Z W Q g V H l w Z S 5 7 M T A v M j Y v M j A x N y w 0 M n 0 m c X V v d D s s J n F 1 b 3 Q 7 U 2 V j d G l v b j E v M j A x N 3 R v b m 5 h Z 2 U v Q 2 h h b m d l Z C B U e X B l L n s x M C 8 y N y 8 y M D E 3 L D Q z f S Z x d W 9 0 O y w m c X V v d D t T Z W N 0 a W 9 u M S 8 y M D E 3 d G 9 u b m F n Z S 9 D a G F u Z 2 V k I F R 5 c G U u e z E w L z I 4 L z I w M T c s N D R 9 J n F 1 b 3 Q 7 L C Z x d W 9 0 O 1 N l Y 3 R p b 2 4 x L z I w M T d 0 b 2 5 u Y W d l L 0 N o Y W 5 n Z W Q g V H l w Z S 5 7 M T A v M i 8 y M D E 3 L D Q 1 f S Z x d W 9 0 O y w m c X V v d D t T Z W N 0 a W 9 u M S 8 y M D E 3 d G 9 u b m F n Z S 9 D a G F u Z 2 V k I F R 5 c G U u e z E w L z M v M j A x N y w 0 N n 0 m c X V v d D s s J n F 1 b 3 Q 7 U 2 V j d G l v b j E v M j A x N 3 R v b m 5 h Z 2 U v Q 2 h h b m d l Z C B U e X B l L n s x M C 8 0 L z I w M T c s N D d 9 J n F 1 b 3 Q 7 L C Z x d W 9 0 O 1 N l Y 3 R p b 2 4 x L z I w M T d 0 b 2 5 u Y W d l L 0 N o Y W 5 n Z W Q g V H l w Z S 5 7 M T A v N S 8 y M D E 3 L D Q 4 f S Z x d W 9 0 O y w m c X V v d D t T Z W N 0 a W 9 u M S 8 y M D E 3 d G 9 u b m F n Z S 9 D a G F u Z 2 V k I F R 5 c G U u e z E w L z Y v M j A x N y w 0 O X 0 m c X V v d D s s J n F 1 b 3 Q 7 U 2 V j d G l v b j E v M j A x N 3 R v b m 5 h Z 2 U v Q 2 h h b m d l Z C B U e X B l L n s x M C 8 3 L z I w M T c s N T B 9 J n F 1 b 3 Q 7 L C Z x d W 9 0 O 1 N l Y 3 R p b 2 4 x L z I w M T d 0 b 2 5 u Y W d l L 0 N o Y W 5 n Z W Q g V H l w Z S 5 7 M T E v N i 8 y M D E 3 L D U x f S Z x d W 9 0 O y w m c X V v d D t T Z W N 0 a W 9 u M S 8 y M D E 3 d G 9 u b m F n Z S 9 D a G F u Z 2 V k I F R 5 c G U u e z E x L z c v M j A x N y w 1 M n 0 m c X V v d D s s J n F 1 b 3 Q 7 U 2 V j d G l v b j E v M j A x N 3 R v b m 5 h Z 2 U v Q 2 h h b m d l Z C B U e X B l L n s x M S 8 4 L z I w M T c s N T N 9 J n F 1 b 3 Q 7 L C Z x d W 9 0 O 1 N l Y 3 R p b 2 4 x L z I w M T d 0 b 2 5 u Y W d l L 0 N o Y W 5 n Z W Q g V H l w Z S 5 7 M T E v O S 8 y M D E 3 L D U 0 f S Z x d W 9 0 O y w m c X V v d D t T Z W N 0 a W 9 u M S 8 y M D E 3 d G 9 u b m F n Z S 9 D a G F u Z 2 V k I F R 5 c G U u e z E x L z E w L z I w M T c s N T V 9 J n F 1 b 3 Q 7 L C Z x d W 9 0 O 1 N l Y 3 R p b 2 4 x L z I w M T d 0 b 2 5 u Y W d l L 0 N o Y W 5 n Z W Q g V H l w Z S 5 7 M T E v M T E v M j A x N y w 1 N n 0 m c X V v d D s s J n F 1 b 3 Q 7 U 2 V j d G l v b j E v M j A x N 3 R v b m 5 h Z 2 U v Q 2 h h b m d l Z C B U e X B l L n s x M S 8 x M y 8 y M D E 3 L D U 3 f S Z x d W 9 0 O y w m c X V v d D t T Z W N 0 a W 9 u M S 8 y M D E 3 d G 9 u b m F n Z S 9 D a G F u Z 2 V k I F R 5 c G U u e z E x L z E 0 L z I w M T c s N T h 9 J n F 1 b 3 Q 7 L C Z x d W 9 0 O 1 N l Y 3 R p b 2 4 x L z I w M T d 0 b 2 5 u Y W d l L 0 N o Y W 5 n Z W Q g V H l w Z S 5 7 M T E v M T U v M j A x N y w 1 O X 0 m c X V v d D s s J n F 1 b 3 Q 7 U 2 V j d G l v b j E v M j A x N 3 R v b m 5 h Z 2 U v Q 2 h h b m d l Z C B U e X B l L n s x M S 8 x N i 8 y M D E 3 L D Y w f S Z x d W 9 0 O y w m c X V v d D t T Z W N 0 a W 9 u M S 8 y M D E 3 d G 9 u b m F n Z S 9 D a G F u Z 2 V k I F R 5 c G U u e z E x L z E 3 L z I w M T c s N j F 9 J n F 1 b 3 Q 7 L C Z x d W 9 0 O 1 N l Y 3 R p b 2 4 x L z I w M T d 0 b 2 5 u Y W d l L 0 N o Y W 5 n Z W Q g V H l w Z S 5 7 M T E v M T g v M j A x N y w 2 M n 0 m c X V v d D s s J n F 1 b 3 Q 7 U 2 V j d G l v b j E v M j A x N 3 R v b m 5 h Z 2 U v Q 2 h h b m d l Z C B U e X B l L n s x M S 8 y M C 8 y M D E 3 L D Y z f S Z x d W 9 0 O y w m c X V v d D t T Z W N 0 a W 9 u M S 8 y M D E 3 d G 9 u b m F n Z S 9 D a G F u Z 2 V k I F R 5 c G U u e z E x L z I x L z I w M T c s N j R 9 J n F 1 b 3 Q 7 L C Z x d W 9 0 O 1 N l Y 3 R p b 2 4 x L z I w M T d 0 b 2 5 u Y W d l L 0 N o Y W 5 n Z W Q g V H l w Z S 5 7 M T E v M j I v M j A x N y w 2 N X 0 m c X V v d D s s J n F 1 b 3 Q 7 U 2 V j d G l v b j E v M j A x N 3 R v b m 5 h Z 2 U v Q 2 h h b m d l Z C B U e X B l L n s x M S 8 y M y 8 y M D E 3 L D Y 2 f S Z x d W 9 0 O y w m c X V v d D t T Z W N 0 a W 9 u M S 8 y M D E 3 d G 9 u b m F n Z S 9 D a G F u Z 2 V k I F R 5 c G U u e z E x L z I 0 L z I w M T c s N j d 9 J n F 1 b 3 Q 7 L C Z x d W 9 0 O 1 N l Y 3 R p b 2 4 x L z I w M T d 0 b 2 5 u Y W d l L 0 N o Y W 5 n Z W Q g V H l w Z S 5 7 M T E v M j U v M j A x N y w 2 O H 0 m c X V v d D s s J n F 1 b 3 Q 7 U 2 V j d G l v b j E v M j A x N 3 R v b m 5 h Z 2 U v Q 2 h h b m d l Z C B U e X B l L n s x M C 8 z M C 8 y M D E 3 L D Y 5 f S Z x d W 9 0 O y w m c X V v d D t T Z W N 0 a W 9 u M S 8 y M D E 3 d G 9 u b m F n Z S 9 D a G F u Z 2 V k I F R 5 c G U u e z E w L z M x L z I w M T c s N z B 9 J n F 1 b 3 Q 7 L C Z x d W 9 0 O 1 N l Y 3 R p b 2 4 x L z I w M T d 0 b 2 5 u Y W d l L 0 N o Y W 5 n Z W Q g V H l w Z S 5 7 M T E v M S 8 y M D E 3 L D c x f S Z x d W 9 0 O y w m c X V v d D t T Z W N 0 a W 9 u M S 8 y M D E 3 d G 9 u b m F n Z S 9 D a G F u Z 2 V k I F R 5 c G U u e z E x L z I v M j A x N y w 3 M n 0 m c X V v d D s s J n F 1 b 3 Q 7 U 2 V j d G l v b j E v M j A x N 3 R v b m 5 h Z 2 U v Q 2 h h b m d l Z C B U e X B l L n s x M S 8 z L z I w M T c s N z N 9 J n F 1 b 3 Q 7 L C Z x d W 9 0 O 1 N l Y 3 R p b 2 4 x L z I w M T d 0 b 2 5 u Y W d l L 0 N o Y W 5 n Z W Q g V H l w Z S 5 7 M T E v N C 8 y M D E 3 L D c 0 f S Z x d W 9 0 O y w m c X V v d D t T Z W N 0 a W 9 u M S 8 y M D E 3 d G 9 u b m F n Z S 9 D a G F u Z 2 V k I F R 5 c G U u e z E y L z E w L z I w M T c s N z V 9 J n F 1 b 3 Q 7 L C Z x d W 9 0 O 1 N l Y 3 R p b 2 4 x L z I w M T d 0 b 2 5 u Y W d l L 0 N o Y W 5 n Z W Q g V H l w Z S 5 7 M T I v M T E v M j A x N y w 3 N n 0 m c X V v d D s s J n F 1 b 3 Q 7 U 2 V j d G l v b j E v M j A x N 3 R v b m 5 h Z 2 U v Q 2 h h b m d l Z C B U e X B l L n s x M i 8 x M i 8 y M D E 3 L D c 3 f S Z x d W 9 0 O y w m c X V v d D t T Z W N 0 a W 9 u M S 8 y M D E 3 d G 9 u b m F n Z S 9 D a G F u Z 2 V k I F R 5 c G U u e z E y L z E z L z I w M T c s N z h 9 J n F 1 b 3 Q 7 L C Z x d W 9 0 O 1 N l Y 3 R p b 2 4 x L z I w M T d 0 b 2 5 u Y W d l L 0 N o Y W 5 n Z W Q g V H l w Z S 5 7 M T I v M T Q v M j A x N y w 3 O X 0 m c X V v d D s s J n F 1 b 3 Q 7 U 2 V j d G l v b j E v M j A x N 3 R v b m 5 h Z 2 U v Q 2 h h b m d l Z C B U e X B l L n s x M i 8 x N S 8 y M D E 3 L D g w f S Z x d W 9 0 O y w m c X V v d D t T Z W N 0 a W 9 u M S 8 y M D E 3 d G 9 u b m F n Z S 9 D a G F u Z 2 V k I F R 5 c G U u e z E y L z E 2 L z I w M T c s O D F 9 J n F 1 b 3 Q 7 L C Z x d W 9 0 O 1 N l Y 3 R p b 2 4 x L z I w M T d 0 b 2 5 u Y W d l L 0 N o Y W 5 n Z W Q g V H l w Z S 5 7 M T E v M j c v M j A x N y w 4 M n 0 m c X V v d D s s J n F 1 b 3 Q 7 U 2 V j d G l v b j E v M j A x N 3 R v b m 5 h Z 2 U v Q 2 h h b m d l Z C B U e X B l L n s x M S 8 y O C 8 y M D E 3 L D g z f S Z x d W 9 0 O y w m c X V v d D t T Z W N 0 a W 9 u M S 8 y M D E 3 d G 9 u b m F n Z S 9 D a G F u Z 2 V k I F R 5 c G U u e z E x L z I 5 L z I w M T c s O D R 9 J n F 1 b 3 Q 7 L C Z x d W 9 0 O 1 N l Y 3 R p b 2 4 x L z I w M T d 0 b 2 5 u Y W d l L 0 N o Y W 5 n Z W Q g V H l w Z S 5 7 M T E v M z A v M j A x N y w 4 N X 0 m c X V v d D s s J n F 1 b 3 Q 7 U 2 V j d G l v b j E v M j A x N 3 R v b m 5 h Z 2 U v Q 2 h h b m d l Z C B U e X B l L n s x M i 8 x L z I w M T c s O D Z 9 J n F 1 b 3 Q 7 L C Z x d W 9 0 O 1 N l Y 3 R p b 2 4 x L z I w M T d 0 b 2 5 u Y W d l L 0 N o Y W 5 n Z W Q g V H l w Z S 5 7 M T I v M i 8 y M D E 3 L D g 3 f S Z x d W 9 0 O y w m c X V v d D t T Z W N 0 a W 9 u M S 8 y M D E 3 d G 9 u b m F n Z S 9 D a G F u Z 2 V k I F R 5 c G U u e z E y L z E 4 L z I w M T c s O D h 9 J n F 1 b 3 Q 7 L C Z x d W 9 0 O 1 N l Y 3 R p b 2 4 x L z I w M T d 0 b 2 5 u Y W d l L 0 N o Y W 5 n Z W Q g V H l w Z S 5 7 M T I v M T k v M j A x N y w 4 O X 0 m c X V v d D s s J n F 1 b 3 Q 7 U 2 V j d G l v b j E v M j A x N 3 R v b m 5 h Z 2 U v Q 2 h h b m d l Z C B U e X B l L n s x M i 8 y M C 8 y M D E 3 L D k w f S Z x d W 9 0 O y w m c X V v d D t T Z W N 0 a W 9 u M S 8 y M D E 3 d G 9 u b m F n Z S 9 D a G F u Z 2 V k I F R 5 c G U u e z E y L z I x L z I w M T c s O T F 9 J n F 1 b 3 Q 7 L C Z x d W 9 0 O 1 N l Y 3 R p b 2 4 x L z I w M T d 0 b 2 5 u Y W d l L 0 N o Y W 5 n Z W Q g V H l w Z S 5 7 M T I v M j I v M j A x N y w 5 M n 0 m c X V v d D s s J n F 1 b 3 Q 7 U 2 V j d G l v b j E v M j A x N 3 R v b m 5 h Z 2 U v Q 2 h h b m d l Z C B U e X B l L n s x M i 8 y M y 8 y M D E 3 L D k z f S Z x d W 9 0 O y w m c X V v d D t T Z W N 0 a W 9 u M S 8 y M D E 3 d G 9 u b m F n Z S 9 D a G F u Z 2 V k I F R 5 c G U u e z E y L z I 1 L z I w M T c s O T R 9 J n F 1 b 3 Q 7 L C Z x d W 9 0 O 1 N l Y 3 R p b 2 4 x L z I w M T d 0 b 2 5 u Y W d l L 0 N o Y W 5 n Z W Q g V H l w Z S 5 7 M T I v M j Y v M j A x N y w 5 N X 0 m c X V v d D s s J n F 1 b 3 Q 7 U 2 V j d G l v b j E v M j A x N 3 R v b m 5 h Z 2 U v Q 2 h h b m d l Z C B U e X B l L n s x M i 8 y N y 8 y M D E 3 L D k 2 f S Z x d W 9 0 O y w m c X V v d D t T Z W N 0 a W 9 u M S 8 y M D E 3 d G 9 u b m F n Z S 9 D a G F u Z 2 V k I F R 5 c G U u e z E y L z I 4 L z I w M T c s O T d 9 J n F 1 b 3 Q 7 L C Z x d W 9 0 O 1 N l Y 3 R p b 2 4 x L z I w M T d 0 b 2 5 u Y W d l L 0 N o Y W 5 n Z W Q g V H l w Z S 5 7 M T I v M j k v M j A x N y w 5 O H 0 m c X V v d D s s J n F 1 b 3 Q 7 U 2 V j d G l v b j E v M j A x N 3 R v b m 5 h Z 2 U v Q 2 h h b m d l Z C B U e X B l L n s x M i 8 z M C 8 y M D E 3 L D k 5 f S Z x d W 9 0 O y w m c X V v d D t T Z W N 0 a W 9 u M S 8 y M D E 3 d G 9 u b m F n Z S 9 D a G F u Z 2 V k I F R 5 c G U u e z E y L z Q v M j A x N y w x M D B 9 J n F 1 b 3 Q 7 L C Z x d W 9 0 O 1 N l Y 3 R p b 2 4 x L z I w M T d 0 b 2 5 u Y W d l L 0 N o Y W 5 n Z W Q g V H l w Z S 5 7 M T I v N S 8 y M D E 3 L D E w M X 0 m c X V v d D s s J n F 1 b 3 Q 7 U 2 V j d G l v b j E v M j A x N 3 R v b m 5 h Z 2 U v Q 2 h h b m d l Z C B U e X B l L n s x M i 8 2 L z I w M T c s M T A y f S Z x d W 9 0 O y w m c X V v d D t T Z W N 0 a W 9 u M S 8 y M D E 3 d G 9 u b m F n Z S 9 D a G F u Z 2 V k I F R 5 c G U u e z E y L z c v M j A x N y w x M D N 9 J n F 1 b 3 Q 7 L C Z x d W 9 0 O 1 N l Y 3 R p b 2 4 x L z I w M T d 0 b 2 5 u Y W d l L 0 N o Y W 5 n Z W Q g V H l w Z S 5 7 M T I v O C 8 y M D E 3 L D E w N H 0 m c X V v d D s s J n F 1 b 3 Q 7 U 2 V j d G l v b j E v M j A x N 3 R v b m 5 h Z 2 U v Q 2 h h b m d l Z C B U e X B l L n s x M i 8 5 L z I w M T c s M T A 1 f S Z x d W 9 0 O y w m c X V v d D t T Z W N 0 a W 9 u M S 8 y M D E 3 d G 9 u b m F n Z S 9 D a G F u Z 2 V k I F R 5 c G U u e z I v N i 8 y M D E 3 L D E w N n 0 m c X V v d D s s J n F 1 b 3 Q 7 U 2 V j d G l v b j E v M j A x N 3 R v b m 5 h Z 2 U v Q 2 h h b m d l Z C B U e X B l L n s y L z c v M j A x N y w x M D d 9 J n F 1 b 3 Q 7 L C Z x d W 9 0 O 1 N l Y 3 R p b 2 4 x L z I w M T d 0 b 2 5 u Y W d l L 0 N o Y W 5 n Z W Q g V H l w Z S 5 7 M i 8 4 L z I w M T c s M T A 4 f S Z x d W 9 0 O y w m c X V v d D t T Z W N 0 a W 9 u M S 8 y M D E 3 d G 9 u b m F n Z S 9 D a G F u Z 2 V k I F R 5 c G U u e z I v O S 8 y M D E 3 L D E w O X 0 m c X V v d D s s J n F 1 b 3 Q 7 U 2 V j d G l v b j E v M j A x N 3 R v b m 5 h Z 2 U v Q 2 h h b m d l Z C B U e X B l L n s y L z E w L z I w M T c s M T E w f S Z x d W 9 0 O y w m c X V v d D t T Z W N 0 a W 9 u M S 8 y M D E 3 d G 9 u b m F n Z S 9 D a G F u Z 2 V k I F R 5 c G U u e z I v M T E v M j A x N y w x M T F 9 J n F 1 b 3 Q 7 L C Z x d W 9 0 O 1 N l Y 3 R p b 2 4 x L z I w M T d 0 b 2 5 u Y W d l L 0 N o Y W 5 n Z W Q g V H l w Z S 5 7 M i 8 x M i 8 y M D E 3 L D E x M n 0 m c X V v d D s s J n F 1 b 3 Q 7 U 2 V j d G l v b j E v M j A x N 3 R v b m 5 h Z 2 U v Q 2 h h b m d l Z C B U e X B l L n s y L z E z L z I w M T c s M T E z f S Z x d W 9 0 O y w m c X V v d D t T Z W N 0 a W 9 u M S 8 y M D E 3 d G 9 u b m F n Z S 9 D a G F u Z 2 V k I F R 5 c G U u e z I v M T Q v M j A x N y w x M T R 9 J n F 1 b 3 Q 7 L C Z x d W 9 0 O 1 N l Y 3 R p b 2 4 x L z I w M T d 0 b 2 5 u Y W d l L 0 N o Y W 5 n Z W Q g V H l w Z S 5 7 M i 8 x N S 8 y M D E 3 L D E x N X 0 m c X V v d D s s J n F 1 b 3 Q 7 U 2 V j d G l v b j E v M j A x N 3 R v b m 5 h Z 2 U v Q 2 h h b m d l Z C B U e X B l L n s y L z E 2 L z I w M T c s M T E 2 f S Z x d W 9 0 O y w m c X V v d D t T Z W N 0 a W 9 u M S 8 y M D E 3 d G 9 u b m F n Z S 9 D a G F u Z 2 V k I F R 5 c G U u e z I v M T c v M j A x N y w x M T d 9 J n F 1 b 3 Q 7 L C Z x d W 9 0 O 1 N l Y 3 R p b 2 4 x L z I w M T d 0 b 2 5 u Y W d l L 0 N o Y W 5 n Z W Q g V H l w Z S 5 7 M i 8 x O C 8 y M D E 3 L D E x O H 0 m c X V v d D s s J n F 1 b 3 Q 7 U 2 V j d G l v b j E v M j A x N 3 R v b m 5 h Z 2 U v Q 2 h h b m d l Z C B U e X B l L n s y L z I w L z I w M T c s M T E 5 f S Z x d W 9 0 O y w m c X V v d D t T Z W N 0 a W 9 u M S 8 y M D E 3 d G 9 u b m F n Z S 9 D a G F u Z 2 V k I F R 5 c G U u e z I v M j E v M j A x N y w x M j B 9 J n F 1 b 3 Q 7 L C Z x d W 9 0 O 1 N l Y 3 R p b 2 4 x L z I w M T d 0 b 2 5 u Y W d l L 0 N o Y W 5 n Z W Q g V H l w Z S 5 7 M i 8 y M i 8 y M D E 3 L D E y M X 0 m c X V v d D s s J n F 1 b 3 Q 7 U 2 V j d G l v b j E v M j A x N 3 R v b m 5 h Z 2 U v Q 2 h h b m d l Z C B U e X B l L n s y L z I z L z I w M T c s M T I y f S Z x d W 9 0 O y w m c X V v d D t T Z W N 0 a W 9 u M S 8 y M D E 3 d G 9 u b m F n Z S 9 D a G F u Z 2 V k I F R 5 c G U u e z I v M j Q v M j A x N y w x M j N 9 J n F 1 b 3 Q 7 L C Z x d W 9 0 O 1 N l Y 3 R p b 2 4 x L z I w M T d 0 b 2 5 u Y W d l L 0 N o Y W 5 n Z W Q g V H l w Z S 5 7 M i 8 y N S 8 y M D E 3 L D E y N H 0 m c X V v d D s s J n F 1 b 3 Q 7 U 2 V j d G l v b j E v M j A x N 3 R v b m 5 h Z 2 U v Q 2 h h b m d l Z C B U e X B l L n s x L z M w L z I w M T c s M T I 1 f S Z x d W 9 0 O y w m c X V v d D t T Z W N 0 a W 9 u M S 8 y M D E 3 d G 9 u b m F n Z S 9 D a G F u Z 2 V k I F R 5 c G U u e z E v M z E v M j A x N y w x M j Z 9 J n F 1 b 3 Q 7 L C Z x d W 9 0 O 1 N l Y 3 R p b 2 4 x L z I w M T d 0 b 2 5 u Y W d l L 0 N o Y W 5 n Z W Q g V H l w Z S 5 7 M i 8 x L z I w M T c s M T I 3 f S Z x d W 9 0 O y w m c X V v d D t T Z W N 0 a W 9 u M S 8 y M D E 3 d G 9 u b m F n Z S 9 D a G F u Z 2 V k I F R 5 c G U u e z I v M i 8 y M D E 3 L D E y O H 0 m c X V v d D s s J n F 1 b 3 Q 7 U 2 V j d G l v b j E v M j A x N 3 R v b m 5 h Z 2 U v Q 2 h h b m d l Z C B U e X B l L n s y L z M v M j A x N y w x M j l 9 J n F 1 b 3 Q 7 L C Z x d W 9 0 O 1 N l Y 3 R p b 2 4 x L z I w M T d 0 b 2 5 u Y W d l L 0 N o Y W 5 n Z W Q g V H l w Z S 5 7 M i 8 0 L z I w M T c s M T M w f S Z x d W 9 0 O y w m c X V v d D t T Z W N 0 a W 9 u M S 8 y M D E 3 d G 9 u b m F n Z S 9 D a G F u Z 2 V k I F R 5 c G U u e z M v N i 8 y M D E 3 L D E z M X 0 m c X V v d D s s J n F 1 b 3 Q 7 U 2 V j d G l v b j E v M j A x N 3 R v b m 5 h Z 2 U v Q 2 h h b m d l Z C B U e X B l L n s z L z c v M j A x N y w x M z J 9 J n F 1 b 3 Q 7 L C Z x d W 9 0 O 1 N l Y 3 R p b 2 4 x L z I w M T d 0 b 2 5 u Y W d l L 0 N o Y W 5 n Z W Q g V H l w Z S 5 7 M y 8 4 L z I w M T c s M T M z f S Z x d W 9 0 O y w m c X V v d D t T Z W N 0 a W 9 u M S 8 y M D E 3 d G 9 u b m F n Z S 9 D a G F u Z 2 V k I F R 5 c G U u e z M v O S 8 y M D E 3 L D E z N H 0 m c X V v d D s s J n F 1 b 3 Q 7 U 2 V j d G l v b j E v M j A x N 3 R v b m 5 h Z 2 U v Q 2 h h b m d l Z C B U e X B l L n s z L z E w L z I w M T c s M T M 1 f S Z x d W 9 0 O y w m c X V v d D t T Z W N 0 a W 9 u M S 8 y M D E 3 d G 9 u b m F n Z S 9 D a G F u Z 2 V k I F R 5 c G U u e z M v M T E v M j A x N y w x M z Z 9 J n F 1 b 3 Q 7 L C Z x d W 9 0 O 1 N l Y 3 R p b 2 4 x L z I w M T d 0 b 2 5 u Y W d l L 0 N o Y W 5 n Z W Q g V H l w Z S 5 7 M y 8 x M y 8 y M D E 3 L D E z N 3 0 m c X V v d D s s J n F 1 b 3 Q 7 U 2 V j d G l v b j E v M j A x N 3 R v b m 5 h Z 2 U v Q 2 h h b m d l Z C B U e X B l L n s z L z E 0 L z I w M T c s M T M 4 f S Z x d W 9 0 O y w m c X V v d D t T Z W N 0 a W 9 u M S 8 y M D E 3 d G 9 u b m F n Z S 9 D a G F u Z 2 V k I F R 5 c G U u e z M v M T U v M j A x N y w x M z l 9 J n F 1 b 3 Q 7 L C Z x d W 9 0 O 1 N l Y 3 R p b 2 4 x L z I w M T d 0 b 2 5 u Y W d l L 0 N o Y W 5 n Z W Q g V H l w Z S 5 7 M y 8 x N i 8 y M D E 3 L D E 0 M H 0 m c X V v d D s s J n F 1 b 3 Q 7 U 2 V j d G l v b j E v M j A x N 3 R v b m 5 h Z 2 U v Q 2 h h b m d l Z C B U e X B l L n s z L z E 3 L z I w M T c s M T Q x f S Z x d W 9 0 O y w m c X V v d D t T Z W N 0 a W 9 u M S 8 y M D E 3 d G 9 u b m F n Z S 9 D a G F u Z 2 V k I F R 5 c G U u e z M v M T g v M j A x N y w x N D J 9 J n F 1 b 3 Q 7 L C Z x d W 9 0 O 1 N l Y 3 R p b 2 4 x L z I w M T d 0 b 2 5 u Y W d l L 0 N o Y W 5 n Z W Q g V H l w Z S 5 7 M y 8 y M C 8 y M D E 3 L D E 0 M 3 0 m c X V v d D s s J n F 1 b 3 Q 7 U 2 V j d G l v b j E v M j A x N 3 R v b m 5 h Z 2 U v Q 2 h h b m d l Z C B U e X B l L n s z L z I x L z I w M T c s M T Q 0 f S Z x d W 9 0 O y w m c X V v d D t T Z W N 0 a W 9 u M S 8 y M D E 3 d G 9 u b m F n Z S 9 D a G F u Z 2 V k I F R 5 c G U u e z M v M j I v M j A x N y w x N D V 9 J n F 1 b 3 Q 7 L C Z x d W 9 0 O 1 N l Y 3 R p b 2 4 x L z I w M T d 0 b 2 5 u Y W d l L 0 N o Y W 5 n Z W Q g V H l w Z S 5 7 M y 8 y M y 8 y M D E 3 L D E 0 N n 0 m c X V v d D s s J n F 1 b 3 Q 7 U 2 V j d G l v b j E v M j A x N 3 R v b m 5 h Z 2 U v Q 2 h h b m d l Z C B U e X B l L n s z L z I 0 L z I w M T c s M T Q 3 f S Z x d W 9 0 O y w m c X V v d D t T Z W N 0 a W 9 u M S 8 y M D E 3 d G 9 u b m F n Z S 9 D a G F u Z 2 V k I F R 5 c G U u e z M v M j U v M j A x N y w x N D h 9 J n F 1 b 3 Q 7 L C Z x d W 9 0 O 1 N l Y 3 R p b 2 4 x L z I w M T d 0 b 2 5 u Y W d l L 0 N o Y W 5 n Z W Q g V H l w Z S 5 7 M i 8 y N y 8 y M D E 3 L D E 0 O X 0 m c X V v d D s s J n F 1 b 3 Q 7 U 2 V j d G l v b j E v M j A x N 3 R v b m 5 h Z 2 U v Q 2 h h b m d l Z C B U e X B l L n s y L z I 4 L z I w M T c s M T U w f S Z x d W 9 0 O y w m c X V v d D t T Z W N 0 a W 9 u M S 8 y M D E 3 d G 9 u b m F n Z S 9 D a G F u Z 2 V k I F R 5 c G U u e z M v M S 8 y M D E 3 L D E 1 M X 0 m c X V v d D s s J n F 1 b 3 Q 7 U 2 V j d G l v b j E v M j A x N 3 R v b m 5 h Z 2 U v Q 2 h h b m d l Z C B U e X B l L n s z L z I v M j A x N y w x N T J 9 J n F 1 b 3 Q 7 L C Z x d W 9 0 O 1 N l Y 3 R p b 2 4 x L z I w M T d 0 b 2 5 u Y W d l L 0 N o Y W 5 n Z W Q g V H l w Z S 5 7 M y 8 z L z I w M T c s M T U z f S Z x d W 9 0 O y w m c X V v d D t T Z W N 0 a W 9 u M S 8 y M D E 3 d G 9 u b m F n Z S 9 D a G F u Z 2 V k I F R 5 c G U u e z M v N C 8 y M D E 3 L D E 1 N H 0 m c X V v d D s s J n F 1 b 3 Q 7 U 2 V j d G l v b j E v M j A x N 3 R v b m 5 h Z 2 U v Q 2 h h b m d l Z C B U e X B l L n s z L z I 3 L z I w M T c s M T U 1 f S Z x d W 9 0 O y w m c X V v d D t T Z W N 0 a W 9 u M S 8 y M D E 3 d G 9 u b m F n Z S 9 D a G F u Z 2 V k I F R 5 c G U u e z M v M j g v M j A x N y w x N T Z 9 J n F 1 b 3 Q 7 L C Z x d W 9 0 O 1 N l Y 3 R p b 2 4 x L z I w M T d 0 b 2 5 u Y W d l L 0 N o Y W 5 n Z W Q g V H l w Z S 5 7 M y 8 y O S 8 y M D E 3 L D E 1 N 3 0 m c X V v d D s s J n F 1 b 3 Q 7 U 2 V j d G l v b j E v M j A x N 3 R v b m 5 h Z 2 U v Q 2 h h b m d l Z C B U e X B l L n s z L z M w L z I w M T c s M T U 4 f S Z x d W 9 0 O y w m c X V v d D t T Z W N 0 a W 9 u M S 8 y M D E 3 d G 9 u b m F n Z S 9 D a G F u Z 2 V k I F R 5 c G U u e z M v M z E v M j A x N y w x N T l 9 J n F 1 b 3 Q 7 L C Z x d W 9 0 O 1 N l Y 3 R p b 2 4 x L z I w M T d 0 b 2 5 u Y W d l L 0 N o Y W 5 n Z W Q g V H l w Z S 5 7 N C 8 x L z I w M T c s M T Y w f S Z x d W 9 0 O y w m c X V v d D t T Z W N 0 a W 9 u M S 8 y M D E 3 d G 9 u b m F n Z S 9 D a G F u Z 2 V k I F R 5 c G U u e z Q v M T A v M j A x N y w x N j F 9 J n F 1 b 3 Q 7 L C Z x d W 9 0 O 1 N l Y 3 R p b 2 4 x L z I w M T d 0 b 2 5 u Y W d l L 0 N o Y W 5 n Z W Q g V H l w Z S 5 7 N C 8 x M S 8 y M D E 3 L D E 2 M n 0 m c X V v d D s s J n F 1 b 3 Q 7 U 2 V j d G l v b j E v M j A x N 3 R v b m 5 h Z 2 U v Q 2 h h b m d l Z C B U e X B l L n s 0 L z E y L z I w M T c s M T Y z f S Z x d W 9 0 O y w m c X V v d D t T Z W N 0 a W 9 u M S 8 y M D E 3 d G 9 u b m F n Z S 9 D a G F u Z 2 V k I F R 5 c G U u e z Q v M T M v M j A x N y w x N j R 9 J n F 1 b 3 Q 7 L C Z x d W 9 0 O 1 N l Y 3 R p b 2 4 x L z I w M T d 0 b 2 5 u Y W d l L 0 N o Y W 5 n Z W Q g V H l w Z S 5 7 N C 8 x N C 8 y M D E 3 L D E 2 N X 0 m c X V v d D s s J n F 1 b 3 Q 7 U 2 V j d G l v b j E v M j A x N 3 R v b m 5 h Z 2 U v Q 2 h h b m d l Z C B U e X B l L n s 0 L z E 1 L z I w M T c s M T Y 2 f S Z x d W 9 0 O y w m c X V v d D t T Z W N 0 a W 9 u M S 8 y M D E 3 d G 9 u b m F n Z S 9 D a G F u Z 2 V k I F R 5 c G U u e z Q v M T c v M j A x N y w x N j d 9 J n F 1 b 3 Q 7 L C Z x d W 9 0 O 1 N l Y 3 R p b 2 4 x L z I w M T d 0 b 2 5 u Y W d l L 0 N o Y W 5 n Z W Q g V H l w Z S 5 7 N C 8 x O C 8 y M D E 3 L D E 2 O H 0 m c X V v d D s s J n F 1 b 3 Q 7 U 2 V j d G l v b j E v M j A x N 3 R v b m 5 h Z 2 U v Q 2 h h b m d l Z C B U e X B l L n s 0 L z E 5 L z I w M T c s M T Y 5 f S Z x d W 9 0 O y w m c X V v d D t T Z W N 0 a W 9 u M S 8 y M D E 3 d G 9 u b m F n Z S 9 D a G F u Z 2 V k I F R 5 c G U u e z Q v M j A v M j A x N y w x N z B 9 J n F 1 b 3 Q 7 L C Z x d W 9 0 O 1 N l Y 3 R p b 2 4 x L z I w M T d 0 b 2 5 u Y W d l L 0 N o Y W 5 n Z W Q g V H l w Z S 5 7 N C 8 y M S 8 y M D E 3 L D E 3 M X 0 m c X V v d D s s J n F 1 b 3 Q 7 U 2 V j d G l v b j E v M j A x N 3 R v b m 5 h Z 2 U v Q 2 h h b m d l Z C B U e X B l L n s 0 L z I y L z I w M T c s M T c y f S Z x d W 9 0 O y w m c X V v d D t T Z W N 0 a W 9 u M S 8 y M D E 3 d G 9 u b m F n Z S 9 D a G F u Z 2 V k I F R 5 c G U u e z Q v M j Q v M j A x N y w x N z N 9 J n F 1 b 3 Q 7 L C Z x d W 9 0 O 1 N l Y 3 R p b 2 4 x L z I w M T d 0 b 2 5 u Y W d l L 0 N o Y W 5 n Z W Q g V H l w Z S 5 7 N C 8 y N S 8 y M D E 3 L D E 3 N H 0 m c X V v d D s s J n F 1 b 3 Q 7 U 2 V j d G l v b j E v M j A x N 3 R v b m 5 h Z 2 U v Q 2 h h b m d l Z C B U e X B l L n s 0 L z I 2 L z I w M T c s M T c 1 f S Z x d W 9 0 O y w m c X V v d D t T Z W N 0 a W 9 u M S 8 y M D E 3 d G 9 u b m F n Z S 9 D a G F u Z 2 V k I F R 5 c G U u e z Q v M j c v M j A x N y w x N z Z 9 J n F 1 b 3 Q 7 L C Z x d W 9 0 O 1 N l Y 3 R p b 2 4 x L z I w M T d 0 b 2 5 u Y W d l L 0 N o Y W 5 n Z W Q g V H l w Z S 5 7 N C 8 y O C 8 y M D E 3 L D E 3 N 3 0 m c X V v d D s s J n F 1 b 3 Q 7 U 2 V j d G l v b j E v M j A x N 3 R v b m 5 h Z 2 U v Q 2 h h b m d l Z C B U e X B l L n s 0 L z I 5 L z I w M T c s M T c 4 f S Z x d W 9 0 O y w m c X V v d D t T Z W N 0 a W 9 u M S 8 y M D E 3 d G 9 u b m F n Z S 9 D a G F u Z 2 V k I F R 5 c G U u e z Q v M y 8 y M D E 3 L D E 3 O X 0 m c X V v d D s s J n F 1 b 3 Q 7 U 2 V j d G l v b j E v M j A x N 3 R v b m 5 h Z 2 U v Q 2 h h b m d l Z C B U e X B l L n s 0 L z Q v M j A x N y w x O D B 9 J n F 1 b 3 Q 7 L C Z x d W 9 0 O 1 N l Y 3 R p b 2 4 x L z I w M T d 0 b 2 5 u Y W d l L 0 N o Y W 5 n Z W Q g V H l w Z S 5 7 N C 8 1 L z I w M T c s M T g x f S Z x d W 9 0 O y w m c X V v d D t T Z W N 0 a W 9 u M S 8 y M D E 3 d G 9 u b m F n Z S 9 D a G F u Z 2 V k I F R 5 c G U u e z Q v N i 8 y M D E 3 L D E 4 M n 0 m c X V v d D s s J n F 1 b 3 Q 7 U 2 V j d G l v b j E v M j A x N 3 R v b m 5 h Z 2 U v Q 2 h h b m d l Z C B U e X B l L n s 0 L z c v M j A x N y w x O D N 9 J n F 1 b 3 Q 7 L C Z x d W 9 0 O 1 N l Y 3 R p b 2 4 x L z I w M T d 0 b 2 5 u Y W d l L 0 N o Y W 5 n Z W Q g V H l w Z S 5 7 N C 8 4 L z I w M T c s M T g 0 f S Z x d W 9 0 O y w m c X V v d D t T Z W N 0 a W 9 u M S 8 y M D E 3 d G 9 u b m F n Z S 9 D a G F u Z 2 V k I F R 5 c G U u e z U v O C 8 y M D E 3 L D E 4 N X 0 m c X V v d D s s J n F 1 b 3 Q 7 U 2 V j d G l v b j E v M j A x N 3 R v b m 5 h Z 2 U v Q 2 h h b m d l Z C B U e X B l L n s 1 L z k v M j A x N y w x O D Z 9 J n F 1 b 3 Q 7 L C Z x d W 9 0 O 1 N l Y 3 R p b 2 4 x L z I w M T d 0 b 2 5 u Y W d l L 0 N o Y W 5 n Z W Q g V H l w Z S 5 7 N S 8 x M C 8 y M D E 3 L D E 4 N 3 0 m c X V v d D s s J n F 1 b 3 Q 7 U 2 V j d G l v b j E v M j A x N 3 R v b m 5 h Z 2 U v Q 2 h h b m d l Z C B U e X B l L n s 1 L z E x L z I w M T c s M T g 4 f S Z x d W 9 0 O y w m c X V v d D t T Z W N 0 a W 9 u M S 8 y M D E 3 d G 9 u b m F n Z S 9 D a G F u Z 2 V k I F R 5 c G U u e z U v M T I v M j A x N y w x O D l 9 J n F 1 b 3 Q 7 L C Z x d W 9 0 O 1 N l Y 3 R p b 2 4 x L z I w M T d 0 b 2 5 u Y W d l L 0 N o Y W 5 n Z W Q g V H l w Z S 5 7 N S 8 x M y 8 y M D E 3 L D E 5 M H 0 m c X V v d D s s J n F 1 b 3 Q 7 U 2 V j d G l v b j E v M j A x N 3 R v b m 5 h Z 2 U v Q 2 h h b m d l Z C B U e X B l L n s 1 L z E 1 L z I w M T c s M T k x f S Z x d W 9 0 O y w m c X V v d D t T Z W N 0 a W 9 u M S 8 y M D E 3 d G 9 u b m F n Z S 9 D a G F u Z 2 V k I F R 5 c G U u e z U v M T Y v M j A x N y w x O T J 9 J n F 1 b 3 Q 7 L C Z x d W 9 0 O 1 N l Y 3 R p b 2 4 x L z I w M T d 0 b 2 5 u Y W d l L 0 N o Y W 5 n Z W Q g V H l w Z S 5 7 N S 8 x N y 8 y M D E 3 L D E 5 M 3 0 m c X V v d D s s J n F 1 b 3 Q 7 U 2 V j d G l v b j E v M j A x N 3 R v b m 5 h Z 2 U v Q 2 h h b m d l Z C B U e X B l L n s 1 L z E 4 L z I w M T c s M T k 0 f S Z x d W 9 0 O y w m c X V v d D t T Z W N 0 a W 9 u M S 8 y M D E 3 d G 9 u b m F n Z S 9 D a G F u Z 2 V k I F R 5 c G U u e z U v M T k v M j A x N y w x O T V 9 J n F 1 b 3 Q 7 L C Z x d W 9 0 O 1 N l Y 3 R p b 2 4 x L z I w M T d 0 b 2 5 u Y W d l L 0 N o Y W 5 n Z W Q g V H l w Z S 5 7 N S 8 y M C 8 y M D E 3 L D E 5 N n 0 m c X V v d D s s J n F 1 b 3 Q 7 U 2 V j d G l v b j E v M j A x N 3 R v b m 5 h Z 2 U v Q 2 h h b m d l Z C B U e X B l L n s 1 L z I y L z I w M T c s M T k 3 f S Z x d W 9 0 O y w m c X V v d D t T Z W N 0 a W 9 u M S 8 y M D E 3 d G 9 u b m F n Z S 9 D a G F u Z 2 V k I F R 5 c G U u e z U v M j M v M j A x N y w x O T h 9 J n F 1 b 3 Q 7 L C Z x d W 9 0 O 1 N l Y 3 R p b 2 4 x L z I w M T d 0 b 2 5 u Y W d l L 0 N o Y W 5 n Z W Q g V H l w Z S 5 7 N S 8 y N C 8 y M D E 3 L D E 5 O X 0 m c X V v d D s s J n F 1 b 3 Q 7 U 2 V j d G l v b j E v M j A x N 3 R v b m 5 h Z 2 U v Q 2 h h b m d l Z C B U e X B l L n s 1 L z I 1 L z I w M T c s M j A w f S Z x d W 9 0 O y w m c X V v d D t T Z W N 0 a W 9 u M S 8 y M D E 3 d G 9 u b m F n Z S 9 D a G F u Z 2 V k I F R 5 c G U u e z U v M j Y v M j A x N y w y M D F 9 J n F 1 b 3 Q 7 L C Z x d W 9 0 O 1 N l Y 3 R p b 2 4 x L z I w M T d 0 b 2 5 u Y W d l L 0 N o Y W 5 n Z W Q g V H l w Z S 5 7 N S 8 y N y 8 y M D E 3 L D I w M n 0 m c X V v d D s s J n F 1 b 3 Q 7 U 2 V j d G l v b j E v M j A x N 3 R v b m 5 h Z 2 U v Q 2 h h b m d l Z C B U e X B l L n s 1 L z E v M j A x N y w y M D N 9 J n F 1 b 3 Q 7 L C Z x d W 9 0 O 1 N l Y 3 R p b 2 4 x L z I w M T d 0 b 2 5 u Y W d l L 0 N o Y W 5 n Z W Q g V H l w Z S 5 7 N S 8 y L z I w M T c s M j A 0 f S Z x d W 9 0 O y w m c X V v d D t T Z W N 0 a W 9 u M S 8 y M D E 3 d G 9 u b m F n Z S 9 D a G F u Z 2 V k I F R 5 c G U u e z U v M y 8 y M D E 3 L D I w N X 0 m c X V v d D s s J n F 1 b 3 Q 7 U 2 V j d G l v b j E v M j A x N 3 R v b m 5 h Z 2 U v Q 2 h h b m d l Z C B U e X B l L n s 1 L z Q v M j A x N y w y M D Z 9 J n F 1 b 3 Q 7 L C Z x d W 9 0 O 1 N l Y 3 R p b 2 4 x L z I w M T d 0 b 2 5 u Y W d l L 0 N o Y W 5 n Z W Q g V H l w Z S 5 7 N S 8 1 L z I w M T c s M j A 3 f S Z x d W 9 0 O y w m c X V v d D t T Z W N 0 a W 9 u M S 8 y M D E 3 d G 9 u b m F n Z S 9 D a G F u Z 2 V k I F R 5 c G U u e z U v N i 8 y M D E 3 L D I w O H 0 m c X V v d D s s J n F 1 b 3 Q 7 U 2 V j d G l v b j E v M j A x N 3 R v b m 5 h Z 2 U v Q 2 h h b m d l Z C B U e X B l L n s 2 L z U v M j A x N y w y M D l 9 J n F 1 b 3 Q 7 L C Z x d W 9 0 O 1 N l Y 3 R p b 2 4 x L z I w M T d 0 b 2 5 u Y W d l L 0 N o Y W 5 n Z W Q g V H l w Z S 5 7 N i 8 2 L z I w M T c s M j E w f S Z x d W 9 0 O y w m c X V v d D t T Z W N 0 a W 9 u M S 8 y M D E 3 d G 9 u b m F n Z S 9 D a G F u Z 2 V k I F R 5 c G U u e z Y v N y 8 y M D E 3 L D I x M X 0 m c X V v d D s s J n F 1 b 3 Q 7 U 2 V j d G l v b j E v M j A x N 3 R v b m 5 h Z 2 U v Q 2 h h b m d l Z C B U e X B l L n s 2 L z g v M j A x N y w y M T J 9 J n F 1 b 3 Q 7 L C Z x d W 9 0 O 1 N l Y 3 R p b 2 4 x L z I w M T d 0 b 2 5 u Y W d l L 0 N o Y W 5 n Z W Q g V H l w Z S 5 7 N i 8 5 L z I w M T c s M j E z f S Z x d W 9 0 O y w m c X V v d D t T Z W N 0 a W 9 u M S 8 y M D E 3 d G 9 u b m F n Z S 9 D a G F u Z 2 V k I F R 5 c G U u e z Y v M T A v M j A x N y w y M T R 9 J n F 1 b 3 Q 7 L C Z x d W 9 0 O 1 N l Y 3 R p b 2 4 x L z I w M T d 0 b 2 5 u Y W d l L 0 N o Y W 5 n Z W Q g V H l w Z S 5 7 N i 8 x M i 8 y M D E 3 L D I x N X 0 m c X V v d D s s J n F 1 b 3 Q 7 U 2 V j d G l v b j E v M j A x N 3 R v b m 5 h Z 2 U v Q 2 h h b m d l Z C B U e X B l L n s 2 L z E z L z I w M T c s M j E 2 f S Z x d W 9 0 O y w m c X V v d D t T Z W N 0 a W 9 u M S 8 y M D E 3 d G 9 u b m F n Z S 9 D a G F u Z 2 V k I F R 5 c G U u e z Y v M T Q v M j A x N y w y M T d 9 J n F 1 b 3 Q 7 L C Z x d W 9 0 O 1 N l Y 3 R p b 2 4 x L z I w M T d 0 b 2 5 u Y W d l L 0 N o Y W 5 n Z W Q g V H l w Z S 5 7 N i 8 x N S 8 y M D E 3 L D I x O H 0 m c X V v d D s s J n F 1 b 3 Q 7 U 2 V j d G l v b j E v M j A x N 3 R v b m 5 h Z 2 U v Q 2 h h b m d l Z C B U e X B l L n s 2 L z E 2 L z I w M T c s M j E 5 f S Z x d W 9 0 O y w m c X V v d D t T Z W N 0 a W 9 u M S 8 y M D E 3 d G 9 u b m F n Z S 9 D a G F u Z 2 V k I F R 5 c G U u e z Y v M T c v M j A x N y w y M j B 9 J n F 1 b 3 Q 7 L C Z x d W 9 0 O 1 N l Y 3 R p b 2 4 x L z I w M T d 0 b 2 5 u Y W d l L 0 N o Y W 5 n Z W Q g V H l w Z S 5 7 N i 8 x O S 8 y M D E 3 L D I y M X 0 m c X V v d D s s J n F 1 b 3 Q 7 U 2 V j d G l v b j E v M j A x N 3 R v b m 5 h Z 2 U v Q 2 h h b m d l Z C B U e X B l L n s 2 L z I w L z I w M T c s M j I y f S Z x d W 9 0 O y w m c X V v d D t T Z W N 0 a W 9 u M S 8 y M D E 3 d G 9 u b m F n Z S 9 D a G F u Z 2 V k I F R 5 c G U u e z Y v M j E v M j A x N y w y M j N 9 J n F 1 b 3 Q 7 L C Z x d W 9 0 O 1 N l Y 3 R p b 2 4 x L z I w M T d 0 b 2 5 u Y W d l L 0 N o Y W 5 n Z W Q g V H l w Z S 5 7 N i 8 y M i 8 y M D E 3 L D I y N H 0 m c X V v d D s s J n F 1 b 3 Q 7 U 2 V j d G l v b j E v M j A x N 3 R v b m 5 h Z 2 U v Q 2 h h b m d l Z C B U e X B l L n s 2 L z I z L z I w M T c s M j I 1 f S Z x d W 9 0 O y w m c X V v d D t T Z W N 0 a W 9 u M S 8 y M D E 3 d G 9 u b m F n Z S 9 D a G F u Z 2 V k I F R 5 c G U u e z Y v M j Q v M j A x N y w y M j Z 9 J n F 1 b 3 Q 7 L C Z x d W 9 0 O 1 N l Y 3 R p b 2 4 x L z I w M T d 0 b 2 5 u Y W d l L 0 N o Y W 5 n Z W Q g V H l w Z S 5 7 N S 8 y O S 8 y M D E 3 L D I y N 3 0 m c X V v d D s s J n F 1 b 3 Q 7 U 2 V j d G l v b j E v M j A x N 3 R v b m 5 h Z 2 U v Q 2 h h b m d l Z C B U e X B l L n s 1 L z M w L z I w M T c s M j I 4 f S Z x d W 9 0 O y w m c X V v d D t T Z W N 0 a W 9 u M S 8 y M D E 3 d G 9 u b m F n Z S 9 D a G F u Z 2 V k I F R 5 c G U u e z U v M z E v M j A x N y w y M j l 9 J n F 1 b 3 Q 7 L C Z x d W 9 0 O 1 N l Y 3 R p b 2 4 x L z I w M T d 0 b 2 5 u Y W d l L 0 N o Y W 5 n Z W Q g V H l w Z S 5 7 N i 8 x L z I w M T c s M j M w f S Z x d W 9 0 O y w m c X V v d D t T Z W N 0 a W 9 u M S 8 y M D E 3 d G 9 u b m F n Z S 9 D a G F u Z 2 V k I F R 5 c G U u e z Y v M i 8 y M D E 3 L D I z M X 0 m c X V v d D s s J n F 1 b 3 Q 7 U 2 V j d G l v b j E v M j A x N 3 R v b m 5 h Z 2 U v Q 2 h h b m d l Z C B U e X B l L n s 2 L z M v M j A x N y w y M z J 9 J n F 1 b 3 Q 7 L C Z x d W 9 0 O 1 N l Y 3 R p b 2 4 x L z I w M T d 0 b 2 5 u Y W d l L 0 N o Y W 5 n Z W Q g V H l w Z S 5 7 N i 8 y N i 8 y M D E 3 L D I z M 3 0 m c X V v d D s s J n F 1 b 3 Q 7 U 2 V j d G l v b j E v M j A x N 3 R v b m 5 h Z 2 U v Q 2 h h b m d l Z C B U e X B l L n s 2 L z I 3 L z I w M T c s M j M 0 f S Z x d W 9 0 O y w m c X V v d D t T Z W N 0 a W 9 u M S 8 y M D E 3 d G 9 u b m F n Z S 9 D a G F u Z 2 V k I F R 5 c G U u e z Y v M j g v M j A x N y w y M z V 9 J n F 1 b 3 Q 7 L C Z x d W 9 0 O 1 N l Y 3 R p b 2 4 x L z I w M T d 0 b 2 5 u Y W d l L 0 N o Y W 5 n Z W Q g V H l w Z S 5 7 N i 8 y O S 8 y M D E 3 L D I z N n 0 m c X V v d D s s J n F 1 b 3 Q 7 U 2 V j d G l v b j E v M j A x N 3 R v b m 5 h Z 2 U v Q 2 h h b m d l Z C B U e X B l L n s 2 L z M w L z I w M T c s M j M 3 f S Z x d W 9 0 O y w m c X V v d D t T Z W N 0 a W 9 u M S 8 y M D E 3 d G 9 u b m F n Z S 9 D a G F u Z 2 V k I F R 5 c G U u e z c v M S 8 y M D E 3 L D I z O H 0 m c X V v d D s s J n F 1 b 3 Q 7 U 2 V j d G l v b j E v M j A x N 3 R v b m 5 h Z 2 U v Q 2 h h b m d l Z C B U e X B l L n s 3 L z E w L z I w M T c s M j M 5 f S Z x d W 9 0 O y w m c X V v d D t T Z W N 0 a W 9 u M S 8 y M D E 3 d G 9 u b m F n Z S 9 D a G F u Z 2 V k I F R 5 c G U u e z c v M T E v M j A x N y w y N D B 9 J n F 1 b 3 Q 7 L C Z x d W 9 0 O 1 N l Y 3 R p b 2 4 x L z I w M T d 0 b 2 5 u Y W d l L 0 N o Y W 5 n Z W Q g V H l w Z S 5 7 N y 8 x M i 8 y M D E 3 L D I 0 M X 0 m c X V v d D s s J n F 1 b 3 Q 7 U 2 V j d G l v b j E v M j A x N 3 R v b m 5 h Z 2 U v Q 2 h h b m d l Z C B U e X B l L n s 3 L z E z L z I w M T c s M j Q y f S Z x d W 9 0 O y w m c X V v d D t T Z W N 0 a W 9 u M S 8 y M D E 3 d G 9 u b m F n Z S 9 D a G F u Z 2 V k I F R 5 c G U u e z c v M T Q v M j A x N y w y N D N 9 J n F 1 b 3 Q 7 L C Z x d W 9 0 O 1 N l Y 3 R p b 2 4 x L z I w M T d 0 b 2 5 u Y W d l L 0 N o Y W 5 n Z W Q g V H l w Z S 5 7 N y 8 x N S 8 y M D E 3 L D I 0 N H 0 m c X V v d D s s J n F 1 b 3 Q 7 U 2 V j d G l v b j E v M j A x N 3 R v b m 5 h Z 2 U v Q 2 h h b m d l Z C B U e X B l L n s 3 L z E 3 L z I w M T c s M j Q 1 f S Z x d W 9 0 O y w m c X V v d D t T Z W N 0 a W 9 u M S 8 y M D E 3 d G 9 u b m F n Z S 9 D a G F u Z 2 V k I F R 5 c G U u e z c v M T g v M j A x N y w y N D Z 9 J n F 1 b 3 Q 7 L C Z x d W 9 0 O 1 N l Y 3 R p b 2 4 x L z I w M T d 0 b 2 5 u Y W d l L 0 N o Y W 5 n Z W Q g V H l w Z S 5 7 N y 8 x O S 8 y M D E 3 L D I 0 N 3 0 m c X V v d D s s J n F 1 b 3 Q 7 U 2 V j d G l v b j E v M j A x N 3 R v b m 5 h Z 2 U v Q 2 h h b m d l Z C B U e X B l L n s 3 L z I w L z I w M T c s M j Q 4 f S Z x d W 9 0 O y w m c X V v d D t T Z W N 0 a W 9 u M S 8 y M D E 3 d G 9 u b m F n Z S 9 D a G F u Z 2 V k I F R 5 c G U u e z c v M j E v M j A x N y w y N D l 9 J n F 1 b 3 Q 7 L C Z x d W 9 0 O 1 N l Y 3 R p b 2 4 x L z I w M T d 0 b 2 5 u Y W d l L 0 N o Y W 5 n Z W Q g V H l w Z S 5 7 N y 8 y M i 8 y M D E 3 L D I 1 M H 0 m c X V v d D s s J n F 1 b 3 Q 7 U 2 V j d G l v b j E v M j A x N 3 R v b m 5 h Z 2 U v Q 2 h h b m d l Z C B U e X B l L n s 3 L z I 0 L z I w M T c s M j U x f S Z x d W 9 0 O y w m c X V v d D t T Z W N 0 a W 9 u M S 8 y M D E 3 d G 9 u b m F n Z S 9 D a G F u Z 2 V k I F R 5 c G U u e z c v M j U v M j A x N y w y N T J 9 J n F 1 b 3 Q 7 L C Z x d W 9 0 O 1 N l Y 3 R p b 2 4 x L z I w M T d 0 b 2 5 u Y W d l L 0 N o Y W 5 n Z W Q g V H l w Z S 5 7 N y 8 y N i 8 y M D E 3 L D I 1 M 3 0 m c X V v d D s s J n F 1 b 3 Q 7 U 2 V j d G l v b j E v M j A x N 3 R v b m 5 h Z 2 U v Q 2 h h b m d l Z C B U e X B l L n s 3 L z I 3 L z I w M T c s M j U 0 f S Z x d W 9 0 O y w m c X V v d D t T Z W N 0 a W 9 u M S 8 y M D E 3 d G 9 u b m F n Z S 9 D a G F u Z 2 V k I F R 5 c G U u e z c v M j g v M j A x N y w y N T V 9 J n F 1 b 3 Q 7 L C Z x d W 9 0 O 1 N l Y 3 R p b 2 4 x L z I w M T d 0 b 2 5 u Y W d l L 0 N o Y W 5 n Z W Q g V H l w Z S 5 7 N y 8 y O S 8 y M D E 3 L D I 1 N n 0 m c X V v d D s s J n F 1 b 3 Q 7 U 2 V j d G l v b j E v M j A x N 3 R v b m 5 h Z 2 U v Q 2 h h b m d l Z C B U e X B l L n s 3 L z M v M j A x N y w y N T d 9 J n F 1 b 3 Q 7 L C Z x d W 9 0 O 1 N l Y 3 R p b 2 4 x L z I w M T d 0 b 2 5 u Y W d l L 0 N o Y W 5 n Z W Q g V H l w Z S 5 7 N y 8 0 L z I w M T c s M j U 4 f S Z x d W 9 0 O y w m c X V v d D t T Z W N 0 a W 9 u M S 8 y M D E 3 d G 9 u b m F n Z S 9 D a G F u Z 2 V k I F R 5 c G U u e z c v N S 8 y M D E 3 L D I 1 O X 0 m c X V v d D s s J n F 1 b 3 Q 7 U 2 V j d G l v b j E v M j A x N 3 R v b m 5 h Z 2 U v Q 2 h h b m d l Z C B U e X B l L n s 3 L z Y v M j A x N y w y N j B 9 J n F 1 b 3 Q 7 L C Z x d W 9 0 O 1 N l Y 3 R p b 2 4 x L z I w M T d 0 b 2 5 u Y W d l L 0 N o Y W 5 n Z W Q g V H l w Z S 5 7 N y 8 3 L z I w M T c s M j Y x f S Z x d W 9 0 O y w m c X V v d D t T Z W N 0 a W 9 u M S 8 y M D E 3 d G 9 u b m F n Z S 9 D a G F u Z 2 V k I F R 5 c G U u e z c v O C 8 y M D E 3 L D I 2 M n 0 m c X V v d D s s J n F 1 b 3 Q 7 U 2 V j d G l v b j E v M j A x N 3 R v b m 5 h Z 2 U v Q 2 h h b m d l Z C B U e X B l L n s 4 L z c v M j A x N y w y N j N 9 J n F 1 b 3 Q 7 L C Z x d W 9 0 O 1 N l Y 3 R p b 2 4 x L z I w M T d 0 b 2 5 u Y W d l L 0 N o Y W 5 n Z W Q g V H l w Z S 5 7 O C 8 4 L z I w M T c s M j Y 0 f S Z x d W 9 0 O y w m c X V v d D t T Z W N 0 a W 9 u M S 8 y M D E 3 d G 9 u b m F n Z S 9 D a G F u Z 2 V k I F R 5 c G U u e z g v O S 8 y M D E 3 L D I 2 N X 0 m c X V v d D s s J n F 1 b 3 Q 7 U 2 V j d G l v b j E v M j A x N 3 R v b m 5 h Z 2 U v Q 2 h h b m d l Z C B U e X B l L n s 4 L z E w L z I w M T c s M j Y 2 f S Z x d W 9 0 O y w m c X V v d D t T Z W N 0 a W 9 u M S 8 y M D E 3 d G 9 u b m F n Z S 9 D a G F u Z 2 V k I F R 5 c G U u e z g v M T E v M j A x N y w y N j d 9 J n F 1 b 3 Q 7 L C Z x d W 9 0 O 1 N l Y 3 R p b 2 4 x L z I w M T d 0 b 2 5 u Y W d l L 0 N o Y W 5 n Z W Q g V H l w Z S 5 7 O C 8 x M i 8 y M D E 3 L D I 2 O H 0 m c X V v d D s s J n F 1 b 3 Q 7 U 2 V j d G l v b j E v M j A x N 3 R v b m 5 h Z 2 U v Q 2 h h b m d l Z C B U e X B l L n s 4 L z E 0 L z I w M T c s M j Y 5 f S Z x d W 9 0 O y w m c X V v d D t T Z W N 0 a W 9 u M S 8 y M D E 3 d G 9 u b m F n Z S 9 D a G F u Z 2 V k I F R 5 c G U u e z g v M T U v M j A x N y w y N z B 9 J n F 1 b 3 Q 7 L C Z x d W 9 0 O 1 N l Y 3 R p b 2 4 x L z I w M T d 0 b 2 5 u Y W d l L 0 N o Y W 5 n Z W Q g V H l w Z S 5 7 O C 8 x N i 8 y M D E 3 L D I 3 M X 0 m c X V v d D s s J n F 1 b 3 Q 7 U 2 V j d G l v b j E v M j A x N 3 R v b m 5 h Z 2 U v Q 2 h h b m d l Z C B U e X B l L n s 4 L z E 3 L z I w M T c s M j c y f S Z x d W 9 0 O y w m c X V v d D t T Z W N 0 a W 9 u M S 8 y M D E 3 d G 9 u b m F n Z S 9 D a G F u Z 2 V k I F R 5 c G U u e z g v M T g v M j A x N y w y N z N 9 J n F 1 b 3 Q 7 L C Z x d W 9 0 O 1 N l Y 3 R p b 2 4 x L z I w M T d 0 b 2 5 u Y W d l L 0 N o Y W 5 n Z W Q g V H l w Z S 5 7 O C 8 x O S 8 y M D E 3 L D I 3 N H 0 m c X V v d D s s J n F 1 b 3 Q 7 U 2 V j d G l v b j E v M j A x N 3 R v b m 5 h Z 2 U v Q 2 h h b m d l Z C B U e X B l L n s 4 L z I x L z I w M T c s M j c 1 f S Z x d W 9 0 O y w m c X V v d D t T Z W N 0 a W 9 u M S 8 y M D E 3 d G 9 u b m F n Z S 9 D a G F u Z 2 V k I F R 5 c G U u e z g v M j I v M j A x N y w y N z Z 9 J n F 1 b 3 Q 7 L C Z x d W 9 0 O 1 N l Y 3 R p b 2 4 x L z I w M T d 0 b 2 5 u Y W d l L 0 N o Y W 5 n Z W Q g V H l w Z S 5 7 O C 8 y M y 8 y M D E 3 L D I 3 N 3 0 m c X V v d D s s J n F 1 b 3 Q 7 U 2 V j d G l v b j E v M j A x N 3 R v b m 5 h Z 2 U v Q 2 h h b m d l Z C B U e X B l L n s 4 L z I 0 L z I w M T c s M j c 4 f S Z x d W 9 0 O y w m c X V v d D t T Z W N 0 a W 9 u M S 8 y M D E 3 d G 9 u b m F n Z S 9 D a G F u Z 2 V k I F R 5 c G U u e z g v M j U v M j A x N y w y N z l 9 J n F 1 b 3 Q 7 L C Z x d W 9 0 O 1 N l Y 3 R p b 2 4 x L z I w M T d 0 b 2 5 u Y W d l L 0 N o Y W 5 n Z W Q g V H l w Z S 5 7 O C 8 y N i 8 y M D E 3 L D I 4 M H 0 m c X V v d D s s J n F 1 b 3 Q 7 U 2 V j d G l v b j E v M j A x N 3 R v b m 5 h Z 2 U v Q 2 h h b m d l Z C B U e X B l L n s 3 L z M x L z I w M T c s M j g x f S Z x d W 9 0 O y w m c X V v d D t T Z W N 0 a W 9 u M S 8 y M D E 3 d G 9 u b m F n Z S 9 D a G F u Z 2 V k I F R 5 c G U u e z g v M S 8 y M D E 3 L D I 4 M n 0 m c X V v d D s s J n F 1 b 3 Q 7 U 2 V j d G l v b j E v M j A x N 3 R v b m 5 h Z 2 U v Q 2 h h b m d l Z C B U e X B l L n s 4 L z I v M j A x N y w y O D N 9 J n F 1 b 3 Q 7 L C Z x d W 9 0 O 1 N l Y 3 R p b 2 4 x L z I w M T d 0 b 2 5 u Y W d l L 0 N o Y W 5 n Z W Q g V H l w Z S 5 7 O C 8 z L z I w M T c s M j g 0 f S Z x d W 9 0 O y w m c X V v d D t T Z W N 0 a W 9 u M S 8 y M D E 3 d G 9 u b m F n Z S 9 D a G F u Z 2 V k I F R 5 c G U u e z g v N C 8 y M D E 3 L D I 4 N X 0 m c X V v d D s s J n F 1 b 3 Q 7 U 2 V j d G l v b j E v M j A x N 3 R v b m 5 h Z 2 U v Q 2 h h b m d l Z C B U e X B l L n s 4 L z U v M j A x N y w y O D Z 9 J n F 1 b 3 Q 7 L C Z x d W 9 0 O 1 N l Y 3 R p b 2 4 x L z I w M T d 0 b 2 5 u Y W d l L 0 N o Y W 5 n Z W Q g V H l w Z S 5 7 O S 8 x M S 8 y M D E 3 L D I 4 N 3 0 m c X V v d D s s J n F 1 b 3 Q 7 U 2 V j d G l v b j E v M j A x N 3 R v b m 5 h Z 2 U v Q 2 h h b m d l Z C B U e X B l L n s 5 L z E y L z I w M T c s M j g 4 f S Z x d W 9 0 O y w m c X V v d D t T Z W N 0 a W 9 u M S 8 y M D E 3 d G 9 u b m F n Z S 9 D a G F u Z 2 V k I F R 5 c G U u e z k v M T M v M j A x N y w y O D l 9 J n F 1 b 3 Q 7 L C Z x d W 9 0 O 1 N l Y 3 R p b 2 4 x L z I w M T d 0 b 2 5 u Y W d l L 0 N o Y W 5 n Z W Q g V H l w Z S 5 7 O S 8 x N C 8 y M D E 3 L D I 5 M H 0 m c X V v d D s s J n F 1 b 3 Q 7 U 2 V j d G l v b j E v M j A x N 3 R v b m 5 h Z 2 U v Q 2 h h b m d l Z C B U e X B l L n s 5 L z E 1 L z I w M T c s M j k x f S Z x d W 9 0 O y w m c X V v d D t T Z W N 0 a W 9 u M S 8 y M D E 3 d G 9 u b m F n Z S 9 D a G F u Z 2 V k I F R 5 c G U u e z k v M T Y v M j A x N y w y O T J 9 J n F 1 b 3 Q 7 L C Z x d W 9 0 O 1 N l Y 3 R p b 2 4 x L z I w M T d 0 b 2 5 u Y W d l L 0 N o Y W 5 n Z W Q g V H l w Z S 5 7 O C 8 y O C 8 y M D E 3 L D I 5 M 3 0 m c X V v d D s s J n F 1 b 3 Q 7 U 2 V j d G l v b j E v M j A x N 3 R v b m 5 h Z 2 U v Q 2 h h b m d l Z C B U e X B l L n s 4 L z I 5 L z I w M T c s M j k 0 f S Z x d W 9 0 O y w m c X V v d D t T Z W N 0 a W 9 u M S 8 y M D E 3 d G 9 u b m F n Z S 9 D a G F u Z 2 V k I F R 5 c G U u e z g v M z A v M j A x N y w y O T V 9 J n F 1 b 3 Q 7 L C Z x d W 9 0 O 1 N l Y 3 R p b 2 4 x L z I w M T d 0 b 2 5 u Y W d l L 0 N o Y W 5 n Z W Q g V H l w Z S 5 7 O C 8 z M S 8 y M D E 3 L D I 5 N n 0 m c X V v d D s s J n F 1 b 3 Q 7 U 2 V j d G l v b j E v M j A x N 3 R v b m 5 h Z 2 U v Q 2 h h b m d l Z C B U e X B l L n s 5 L z E v M j A x N y w y O T d 9 J n F 1 b 3 Q 7 L C Z x d W 9 0 O 1 N l Y 3 R p b 2 4 x L z I w M T d 0 b 2 5 u Y W d l L 0 N o Y W 5 n Z W Q g V H l w Z S 5 7 O S 8 y L z I w M T c s M j k 4 f S Z x d W 9 0 O y w m c X V v d D t T Z W N 0 a W 9 u M S 8 y M D E 3 d G 9 u b m F n Z S 9 D a G F u Z 2 V k I F R 5 c G U u e z k v M T g v M j A x N y w y O T l 9 J n F 1 b 3 Q 7 L C Z x d W 9 0 O 1 N l Y 3 R p b 2 4 x L z I w M T d 0 b 2 5 u Y W d l L 0 N o Y W 5 n Z W Q g V H l w Z S 5 7 O S 8 x O S 8 y M D E 3 L D M w M H 0 m c X V v d D s s J n F 1 b 3 Q 7 U 2 V j d G l v b j E v M j A x N 3 R v b m 5 h Z 2 U v Q 2 h h b m d l Z C B U e X B l L n s 5 L z I w L z I w M T c s M z A x f S Z x d W 9 0 O y w m c X V v d D t T Z W N 0 a W 9 u M S 8 y M D E 3 d G 9 u b m F n Z S 9 D a G F u Z 2 V k I F R 5 c G U u e z k v M j E v M j A x N y w z M D J 9 J n F 1 b 3 Q 7 L C Z x d W 9 0 O 1 N l Y 3 R p b 2 4 x L z I w M T d 0 b 2 5 u Y W d l L 0 N o Y W 5 n Z W Q g V H l w Z S 5 7 O S 8 y M i 8 y M D E 3 L D M w M 3 0 m c X V v d D s s J n F 1 b 3 Q 7 U 2 V j d G l v b j E v M j A x N 3 R v b m 5 h Z 2 U v Q 2 h h b m d l Z C B U e X B l L n s 5 L z I z L z I w M T c s M z A 0 f S Z x d W 9 0 O y w m c X V v d D t T Z W N 0 a W 9 u M S 8 y M D E 3 d G 9 u b m F n Z S 9 D a G F u Z 2 V k I F R 5 c G U u e z k v M j U v M j A x N y w z M D V 9 J n F 1 b 3 Q 7 L C Z x d W 9 0 O 1 N l Y 3 R p b 2 4 x L z I w M T d 0 b 2 5 u Y W d l L 0 N o Y W 5 n Z W Q g V H l w Z S 5 7 O S 8 y N i 8 y M D E 3 L D M w N n 0 m c X V v d D s s J n F 1 b 3 Q 7 U 2 V j d G l v b j E v M j A x N 3 R v b m 5 h Z 2 U v Q 2 h h b m d l Z C B U e X B l L n s 5 L z I 3 L z I w M T c s M z A 3 f S Z x d W 9 0 O y w m c X V v d D t T Z W N 0 a W 9 u M S 8 y M D E 3 d G 9 u b m F n Z S 9 D a G F u Z 2 V k I F R 5 c G U u e z k v M j g v M j A x N y w z M D h 9 J n F 1 b 3 Q 7 L C Z x d W 9 0 O 1 N l Y 3 R p b 2 4 x L z I w M T d 0 b 2 5 u Y W d l L 0 N o Y W 5 n Z W Q g V H l w Z S 5 7 O S 8 y O S 8 y M D E 3 L D M w O X 0 m c X V v d D s s J n F 1 b 3 Q 7 U 2 V j d G l v b j E v M j A x N 3 R v b m 5 h Z 2 U v Q 2 h h b m d l Z C B U e X B l L n s 5 L z M w L z I w M T c s M z E w f S Z x d W 9 0 O y w m c X V v d D t T Z W N 0 a W 9 u M S 8 y M D E 3 d G 9 u b m F n Z S 9 D a G F u Z 2 V k I F R 5 c G U u e z k v N C 8 y M D E 3 L D M x M X 0 m c X V v d D s s J n F 1 b 3 Q 7 U 2 V j d G l v b j E v M j A x N 3 R v b m 5 h Z 2 U v Q 2 h h b m d l Z C B U e X B l L n s 5 L z U v M j A x N y w z M T J 9 J n F 1 b 3 Q 7 L C Z x d W 9 0 O 1 N l Y 3 R p b 2 4 x L z I w M T d 0 b 2 5 u Y W d l L 0 N o Y W 5 n Z W Q g V H l w Z S 5 7 O S 8 2 L z I w M T c s M z E z f S Z x d W 9 0 O y w m c X V v d D t T Z W N 0 a W 9 u M S 8 y M D E 3 d G 9 u b m F n Z S 9 D a G F u Z 2 V k I F R 5 c G U u e z k v N y 8 y M D E 3 L D M x N H 0 m c X V v d D s s J n F 1 b 3 Q 7 U 2 V j d G l v b j E v M j A x N 3 R v b m 5 h Z 2 U v Q 2 h h b m d l Z C B U e X B l L n s 5 L z g v M j A x N y w z M T V 9 J n F 1 b 3 Q 7 L C Z x d W 9 0 O 1 N l Y 3 R p b 2 4 x L z I w M T d 0 b 2 5 u Y W d l L 0 N o Y W 5 n Z W Q g V H l w Z S 5 7 O S 8 5 L z I w M T c s M z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3 R v b m 5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2 Z W x v c G 1 l b n R k Y X R h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2 Z W x v c G 1 l b n R k Y X R h M j A x O S 9 O W U N I Q V 9 E Z X Z l b G 9 w b W V u d F 9 E Y X R h X 0 J v b 2 s g M j A x X 1 N o Z W V 0 L n t D b 2 x 1 b W 4 y L D F 9 J n F 1 b 3 Q 7 L C Z x d W 9 0 O 1 N l Y 3 R p b 2 4 x L 2 R l d m V s b 3 B t Z W 5 0 Z G F 0 Y T I w M T k v Q 2 h h b m d l Z C B U e X B l L n t E Q V R B I E F T I E 9 G L D F 9 J n F 1 b 3 Q 7 L C Z x d W 9 0 O 1 N l Y 3 R p b 2 4 x L 2 R l d m V s b 3 B t Z W 5 0 Z G F 0 Y T I w M T k v T l l D S E F f R G V 2 Z W x v c G 1 l b n R f R G F 0 Y V 9 C b 2 9 r I D I w M V 9 T a G V l d C 5 7 Q 2 9 s d W 1 u M y w y f S Z x d W 9 0 O y w m c X V v d D t T Z W N 0 a W 9 u M S 9 k Z X Z l b G 9 w b W V u d G R h d G E y M D E 5 L 0 5 Z Q 0 h B X 0 R l d m V s b 3 B t Z W 5 0 X 0 R h d G F f Q m 9 v a y A y M D F f U 2 h l Z X Q u e 0 N v b H V t b j Q s M 3 0 m c X V v d D s s J n F 1 b 3 Q 7 U 2 V j d G l v b j E v Z G V 2 Z W x v c G 1 l b n R k Y X R h M j A x O S 9 O W U N I Q V 9 E Z X Z l b G 9 w b W V u d F 9 E Y X R h X 0 J v b 2 s g M j A x X 1 N o Z W V 0 L n t D b 2 x 1 b W 4 1 L D R 9 J n F 1 b 3 Q 7 L C Z x d W 9 0 O 1 N l Y 3 R p b 2 4 x L 2 R l d m V s b 3 B t Z W 5 0 Z G F 0 Y T I w M T k v T l l D S E F f R G V 2 Z W x v c G 1 l b n R f R G F 0 Y V 9 C b 2 9 r I D I w M V 9 T a G V l d C 5 7 Q 2 9 s d W 1 u N i w 1 f S Z x d W 9 0 O y w m c X V v d D t T Z W N 0 a W 9 u M S 9 k Z X Z l b G 9 w b W V u d G R h d G E y M D E 5 L 0 5 Z Q 0 h B X 0 R l d m V s b 3 B t Z W 5 0 X 0 R h d G F f Q m 9 v a y A y M D F f U 2 h l Z X Q u e 0 N v b H V t b j c s N n 0 m c X V v d D s s J n F 1 b 3 Q 7 U 2 V j d G l v b j E v Z G V 2 Z W x v c G 1 l b n R k Y X R h M j A x O S 9 O W U N I Q V 9 E Z X Z l b G 9 w b W V u d F 9 E Y X R h X 0 J v b 2 s g M j A x X 1 N o Z W V 0 L n t D b 2 x 1 b W 4 4 L D d 9 J n F 1 b 3 Q 7 L C Z x d W 9 0 O 1 N l Y 3 R p b 2 4 x L 2 R l d m V s b 3 B t Z W 5 0 Z G F 0 Y T I w M T k v T l l D S E F f R G V 2 Z W x v c G 1 l b n R f R G F 0 Y V 9 C b 2 9 r I D I w M V 9 T a G V l d C 5 7 Q 2 9 s d W 1 u O S w 4 f S Z x d W 9 0 O y w m c X V v d D t T Z W N 0 a W 9 u M S 9 k Z X Z l b G 9 w b W V u d G R h d G E y M D E 5 L 0 5 Z Q 0 h B X 0 R l d m V s b 3 B t Z W 5 0 X 0 R h d G F f Q m 9 v a y A y M D F f U 2 h l Z X Q u e 0 N v b H V t b j E w L D l 9 J n F 1 b 3 Q 7 L C Z x d W 9 0 O 1 N l Y 3 R p b 2 4 x L 2 R l d m V s b 3 B t Z W 5 0 Z G F 0 Y T I w M T k v T l l D S E F f R G V 2 Z W x v c G 1 l b n R f R G F 0 Y V 9 C b 2 9 r I D I w M V 9 T a G V l d C 5 7 Q 2 9 s d W 1 u M T E s M T B 9 J n F 1 b 3 Q 7 L C Z x d W 9 0 O 1 N l Y 3 R p b 2 4 x L 2 R l d m V s b 3 B t Z W 5 0 Z G F 0 Y T I w M T k v T l l D S E F f R G V 2 Z W x v c G 1 l b n R f R G F 0 Y V 9 C b 2 9 r I D I w M V 9 T a G V l d C 5 7 Q 2 9 s d W 1 u M T I s M T F 9 J n F 1 b 3 Q 7 L C Z x d W 9 0 O 1 N l Y 3 R p b 2 4 x L 2 R l d m V s b 3 B t Z W 5 0 Z G F 0 Y T I w M T k v T l l D S E F f R G V 2 Z W x v c G 1 l b n R f R G F 0 Y V 9 C b 2 9 r I D I w M V 9 T a G V l d C 5 7 Q 2 9 s d W 1 u M T M s M T J 9 J n F 1 b 3 Q 7 L C Z x d W 9 0 O 1 N l Y 3 R p b 2 4 x L 2 R l d m V s b 3 B t Z W 5 0 Z G F 0 Y T I w M T k v T l l D S E F f R G V 2 Z W x v c G 1 l b n R f R G F 0 Y V 9 C b 2 9 r I D I w M V 9 T a G V l d C 5 7 Q 2 9 s d W 1 u M T Q s M T N 9 J n F 1 b 3 Q 7 L C Z x d W 9 0 O 1 N l Y 3 R p b 2 4 x L 2 R l d m V s b 3 B t Z W 5 0 Z G F 0 Y T I w M T k v T l l D S E F f R G V 2 Z W x v c G 1 l b n R f R G F 0 Y V 9 C b 2 9 r I D I w M V 9 T a G V l d C 5 7 Q 2 9 s d W 1 u M T U s M T R 9 J n F 1 b 3 Q 7 L C Z x d W 9 0 O 1 N l Y 3 R p b 2 4 x L 2 R l d m V s b 3 B t Z W 5 0 Z G F 0 Y T I w M T k v T l l D S E F f R G V 2 Z W x v c G 1 l b n R f R G F 0 Y V 9 C b 2 9 r I D I w M V 9 T a G V l d C 5 7 Q 2 9 s d W 1 u M T Y s M T V 9 J n F 1 b 3 Q 7 L C Z x d W 9 0 O 1 N l Y 3 R p b 2 4 x L 2 R l d m V s b 3 B t Z W 5 0 Z G F 0 Y T I w M T k v T l l D S E F f R G V 2 Z W x v c G 1 l b n R f R G F 0 Y V 9 C b 2 9 r I D I w M V 9 T a G V l d C 5 7 Q 2 9 s d W 1 u M T c s M T Z 9 J n F 1 b 3 Q 7 L C Z x d W 9 0 O 1 N l Y 3 R p b 2 4 x L 2 R l d m V s b 3 B t Z W 5 0 Z G F 0 Y T I w M T k v T l l D S E F f R G V 2 Z W x v c G 1 l b n R f R G F 0 Y V 9 C b 2 9 r I D I w M V 9 T a G V l d C 5 7 Q 2 9 s d W 1 u M T g s M T d 9 J n F 1 b 3 Q 7 L C Z x d W 9 0 O 1 N l Y 3 R p b 2 4 x L 2 R l d m V s b 3 B t Z W 5 0 Z G F 0 Y T I w M T k v T l l D S E F f R G V 2 Z W x v c G 1 l b n R f R G F 0 Y V 9 C b 2 9 r I D I w M V 9 T a G V l d C 5 7 Q 2 9 s d W 1 u M T k s M T h 9 J n F 1 b 3 Q 7 L C Z x d W 9 0 O 1 N l Y 3 R p b 2 4 x L 2 R l d m V s b 3 B t Z W 5 0 Z G F 0 Y T I w M T k v T l l D S E F f R G V 2 Z W x v c G 1 l b n R f R G F 0 Y V 9 C b 2 9 r I D I w M V 9 T a G V l d C 5 7 Q 2 9 s d W 1 u M j A s M T l 9 J n F 1 b 3 Q 7 L C Z x d W 9 0 O 1 N l Y 3 R p b 2 4 x L 2 R l d m V s b 3 B t Z W 5 0 Z G F 0 Y T I w M T k v T l l D S E F f R G V 2 Z W x v c G 1 l b n R f R G F 0 Y V 9 C b 2 9 r I D I w M V 9 T a G V l d C 5 7 Q 2 9 s d W 1 u M j E s M j B 9 J n F 1 b 3 Q 7 L C Z x d W 9 0 O 1 N l Y 3 R p b 2 4 x L 2 R l d m V s b 3 B t Z W 5 0 Z G F 0 Y T I w M T k v T l l D S E F f R G V 2 Z W x v c G 1 l b n R f R G F 0 Y V 9 C b 2 9 r I D I w M V 9 T a G V l d C 5 7 Q 2 9 s d W 1 u M j I s M j F 9 J n F 1 b 3 Q 7 L C Z x d W 9 0 O 1 N l Y 3 R p b 2 4 x L 2 R l d m V s b 3 B t Z W 5 0 Z G F 0 Y T I w M T k v T l l D S E F f R G V 2 Z W x v c G 1 l b n R f R G F 0 Y V 9 C b 2 9 r I D I w M V 9 T a G V l d C 5 7 Q 2 9 s d W 1 u M j M s M j J 9 J n F 1 b 3 Q 7 L C Z x d W 9 0 O 1 N l Y 3 R p b 2 4 x L 2 R l d m V s b 3 B t Z W 5 0 Z G F 0 Y T I w M T k v T l l D S E F f R G V 2 Z W x v c G 1 l b n R f R G F 0 Y V 9 C b 2 9 r I D I w M V 9 T a G V l d C 5 7 Q 2 9 s d W 1 u M j Q s M j N 9 J n F 1 b 3 Q 7 L C Z x d W 9 0 O 1 N l Y 3 R p b 2 4 x L 2 R l d m V s b 3 B t Z W 5 0 Z G F 0 Y T I w M T k v T l l D S E F f R G V 2 Z W x v c G 1 l b n R f R G F 0 Y V 9 C b 2 9 r I D I w M V 9 T a G V l d C 5 7 Q 2 9 s d W 1 u M j U s M j R 9 J n F 1 b 3 Q 7 L C Z x d W 9 0 O 1 N l Y 3 R p b 2 4 x L 2 R l d m V s b 3 B t Z W 5 0 Z G F 0 Y T I w M T k v T l l D S E F f R G V 2 Z W x v c G 1 l b n R f R G F 0 Y V 9 C b 2 9 r I D I w M V 9 T a G V l d C 5 7 Q 2 9 s d W 1 u M j Y s M j V 9 J n F 1 b 3 Q 7 L C Z x d W 9 0 O 1 N l Y 3 R p b 2 4 x L 2 R l d m V s b 3 B t Z W 5 0 Z G F 0 Y T I w M T k v T l l D S E F f R G V 2 Z W x v c G 1 l b n R f R G F 0 Y V 9 C b 2 9 r I D I w M V 9 T a G V l d C 5 7 Q 2 9 s d W 1 u M j c s M j Z 9 J n F 1 b 3 Q 7 L C Z x d W 9 0 O 1 N l Y 3 R p b 2 4 x L 2 R l d m V s b 3 B t Z W 5 0 Z G F 0 Y T I w M T k v T l l D S E F f R G V 2 Z W x v c G 1 l b n R f R G F 0 Y V 9 C b 2 9 r I D I w M V 9 T a G V l d C 5 7 Q 2 9 s d W 1 u M j g s M j d 9 J n F 1 b 3 Q 7 L C Z x d W 9 0 O 1 N l Y 3 R p b 2 4 x L 2 R l d m V s b 3 B t Z W 5 0 Z G F 0 Y T I w M T k v T l l D S E F f R G V 2 Z W x v c G 1 l b n R f R G F 0 Y V 9 C b 2 9 r I D I w M V 9 T a G V l d C 5 7 Q 2 9 s d W 1 u M j k s M j h 9 J n F 1 b 3 Q 7 L C Z x d W 9 0 O 1 N l Y 3 R p b 2 4 x L 2 R l d m V s b 3 B t Z W 5 0 Z G F 0 Y T I w M T k v T l l D S E F f R G V 2 Z W x v c G 1 l b n R f R G F 0 Y V 9 C b 2 9 r I D I w M V 9 T a G V l d C 5 7 Q 2 9 s d W 1 u M z A s M j l 9 J n F 1 b 3 Q 7 L C Z x d W 9 0 O 1 N l Y 3 R p b 2 4 x L 2 R l d m V s b 3 B t Z W 5 0 Z G F 0 Y T I w M T k v T l l D S E F f R G V 2 Z W x v c G 1 l b n R f R G F 0 Y V 9 C b 2 9 r I D I w M V 9 T a G V l d C 5 7 Q 2 9 s d W 1 u M z E s M z B 9 J n F 1 b 3 Q 7 L C Z x d W 9 0 O 1 N l Y 3 R p b 2 4 x L 2 R l d m V s b 3 B t Z W 5 0 Z G F 0 Y T I w M T k v T l l D S E F f R G V 2 Z W x v c G 1 l b n R f R G F 0 Y V 9 C b 2 9 r I D I w M V 9 T a G V l d C 5 7 Q 2 9 s d W 1 u M z I s M z F 9 J n F 1 b 3 Q 7 L C Z x d W 9 0 O 1 N l Y 3 R p b 2 4 x L 2 R l d m V s b 3 B t Z W 5 0 Z G F 0 Y T I w M T k v T l l D S E F f R G V 2 Z W x v c G 1 l b n R f R G F 0 Y V 9 C b 2 9 r I D I w M V 9 T a G V l d C 5 7 Q 2 9 s d W 1 u M z M s M z J 9 J n F 1 b 3 Q 7 L C Z x d W 9 0 O 1 N l Y 3 R p b 2 4 x L 2 R l d m V s b 3 B t Z W 5 0 Z G F 0 Y T I w M T k v T l l D S E F f R G V 2 Z W x v c G 1 l b n R f R G F 0 Y V 9 C b 2 9 r I D I w M V 9 T a G V l d C 5 7 Q 2 9 s d W 1 u M z Q s M z N 9 J n F 1 b 3 Q 7 L C Z x d W 9 0 O 1 N l Y 3 R p b 2 4 x L 2 R l d m V s b 3 B t Z W 5 0 Z G F 0 Y T I w M T k v T l l D S E F f R G V 2 Z W x v c G 1 l b n R f R G F 0 Y V 9 C b 2 9 r I D I w M V 9 T a G V l d C 5 7 Q 2 9 s d W 1 u M z U s M z R 9 J n F 1 b 3 Q 7 L C Z x d W 9 0 O 1 N l Y 3 R p b 2 4 x L 2 R l d m V s b 3 B t Z W 5 0 Z G F 0 Y T I w M T k v T l l D S E F f R G V 2 Z W x v c G 1 l b n R f R G F 0 Y V 9 C b 2 9 r I D I w M V 9 T a G V l d C 5 7 Q 2 9 s d W 1 u M z Y s M z V 9 J n F 1 b 3 Q 7 L C Z x d W 9 0 O 1 N l Y 3 R p b 2 4 x L 2 R l d m V s b 3 B t Z W 5 0 Z G F 0 Y T I w M T k v T l l D S E F f R G V 2 Z W x v c G 1 l b n R f R G F 0 Y V 9 C b 2 9 r I D I w M V 9 T a G V l d C 5 7 Q 2 9 s d W 1 u M z c s M z Z 9 J n F 1 b 3 Q 7 L C Z x d W 9 0 O 1 N l Y 3 R p b 2 4 x L 2 R l d m V s b 3 B t Z W 5 0 Z G F 0 Y T I w M T k v T l l D S E F f R G V 2 Z W x v c G 1 l b n R f R G F 0 Y V 9 C b 2 9 r I D I w M V 9 T a G V l d C 5 7 Q 2 9 s d W 1 u M z g s M z d 9 J n F 1 b 3 Q 7 L C Z x d W 9 0 O 1 N l Y 3 R p b 2 4 x L 2 R l d m V s b 3 B t Z W 5 0 Z G F 0 Y T I w M T k v T l l D S E F f R G V 2 Z W x v c G 1 l b n R f R G F 0 Y V 9 C b 2 9 r I D I w M V 9 T a G V l d C 5 7 Q 2 9 s d W 1 u M z k s M z h 9 J n F 1 b 3 Q 7 L C Z x d W 9 0 O 1 N l Y 3 R p b 2 4 x L 2 R l d m V s b 3 B t Z W 5 0 Z G F 0 Y T I w M T k v T l l D S E F f R G V 2 Z W x v c G 1 l b n R f R G F 0 Y V 9 C b 2 9 r I D I w M V 9 T a G V l d C 5 7 Q 2 9 s d W 1 u N D A s M z l 9 J n F 1 b 3 Q 7 L C Z x d W 9 0 O 1 N l Y 3 R p b 2 4 x L 2 R l d m V s b 3 B t Z W 5 0 Z G F 0 Y T I w M T k v T l l D S E F f R G V 2 Z W x v c G 1 l b n R f R G F 0 Y V 9 C b 2 9 r I D I w M V 9 T a G V l d C 5 7 Q 2 9 s d W 1 u N D E s N D B 9 J n F 1 b 3 Q 7 L C Z x d W 9 0 O 1 N l Y 3 R p b 2 4 x L 2 R l d m V s b 3 B t Z W 5 0 Z G F 0 Y T I w M T k v T l l D S E F f R G V 2 Z W x v c G 1 l b n R f R G F 0 Y V 9 C b 2 9 r I D I w M V 9 T a G V l d C 5 7 Q 2 9 s d W 1 u N D I s N D F 9 J n F 1 b 3 Q 7 L C Z x d W 9 0 O 1 N l Y 3 R p b 2 4 x L 2 R l d m V s b 3 B t Z W 5 0 Z G F 0 Y T I w M T k v T l l D S E F f R G V 2 Z W x v c G 1 l b n R f R G F 0 Y V 9 C b 2 9 r I D I w M V 9 T a G V l d C 5 7 Q 2 9 s d W 1 u N D M s N D J 9 J n F 1 b 3 Q 7 L C Z x d W 9 0 O 1 N l Y 3 R p b 2 4 x L 2 R l d m V s b 3 B t Z W 5 0 Z G F 0 Y T I w M T k v T l l D S E F f R G V 2 Z W x v c G 1 l b n R f R G F 0 Y V 9 C b 2 9 r I D I w M V 9 T a G V l d C 5 7 Q 2 9 s d W 1 u N D Q s N D N 9 J n F 1 b 3 Q 7 L C Z x d W 9 0 O 1 N l Y 3 R p b 2 4 x L 2 R l d m V s b 3 B t Z W 5 0 Z G F 0 Y T I w M T k v T l l D S E F f R G V 2 Z W x v c G 1 l b n R f R G F 0 Y V 9 C b 2 9 r I D I w M V 9 T a G V l d C 5 7 Q 2 9 s d W 1 u N D U s N D R 9 J n F 1 b 3 Q 7 L C Z x d W 9 0 O 1 N l Y 3 R p b 2 4 x L 2 R l d m V s b 3 B t Z W 5 0 Z G F 0 Y T I w M T k v T l l D S E F f R G V 2 Z W x v c G 1 l b n R f R G F 0 Y V 9 C b 2 9 r I D I w M V 9 T a G V l d C 5 7 Q 2 9 s d W 1 u N D Y s N D V 9 J n F 1 b 3 Q 7 L C Z x d W 9 0 O 1 N l Y 3 R p b 2 4 x L 2 R l d m V s b 3 B t Z W 5 0 Z G F 0 Y T I w M T k v Q 2 h h b m d l Z C B U e X B l L n t D T 0 1 Q T E V U S U 9 O I E R B V E U s N D Z 9 J n F 1 b 3 Q 7 L C Z x d W 9 0 O 1 N l Y 3 R p b 2 4 x L 2 R l d m V s b 3 B t Z W 5 0 Z G F 0 Y T I w M T k v T l l D S E F f R G V 2 Z W x v c G 1 l b n R f R G F 0 Y V 9 C b 2 9 r I D I w M V 9 T a G V l d C 5 7 Q 2 9 s d W 1 u N D g s N D d 9 J n F 1 b 3 Q 7 L C Z x d W 9 0 O 1 N l Y 3 R p b 2 4 x L 2 R l d m V s b 3 B t Z W 5 0 Z G F 0 Y T I w M T k v T l l D S E F f R G V 2 Z W x v c G 1 l b n R f R G F 0 Y V 9 C b 2 9 r I D I w M V 9 T a G V l d C 5 7 Q 2 9 s d W 1 u N D k s N D h 9 J n F 1 b 3 Q 7 L C Z x d W 9 0 O 1 N l Y 3 R p b 2 4 x L 2 R l d m V s b 3 B t Z W 5 0 Z G F 0 Y T I w M T k v T l l D S E F f R G V 2 Z W x v c G 1 l b n R f R G F 0 Y V 9 C b 2 9 r I D I w M V 9 T a G V l d C 5 7 Q 2 9 s d W 1 u N T A s N D l 9 J n F 1 b 3 Q 7 L C Z x d W 9 0 O 1 N l Y 3 R p b 2 4 x L 2 R l d m V s b 3 B t Z W 5 0 Z G F 0 Y T I w M T k v T l l D S E F f R G V 2 Z W x v c G 1 l b n R f R G F 0 Y V 9 C b 2 9 r I D I w M V 9 T a G V l d C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k Z X Z l b G 9 w b W V u d G R h d G E y M D E 5 L 0 5 Z Q 0 h B X 0 R l d m V s b 3 B t Z W 5 0 X 0 R h d G F f Q m 9 v a y A y M D F f U 2 h l Z X Q u e 0 N v b H V t b j I s M X 0 m c X V v d D s s J n F 1 b 3 Q 7 U 2 V j d G l v b j E v Z G V 2 Z W x v c G 1 l b n R k Y X R h M j A x O S 9 D a G F u Z 2 V k I F R 5 c G U u e 0 R B V E E g Q V M g T 0 Y s M X 0 m c X V v d D s s J n F 1 b 3 Q 7 U 2 V j d G l v b j E v Z G V 2 Z W x v c G 1 l b n R k Y X R h M j A x O S 9 O W U N I Q V 9 E Z X Z l b G 9 w b W V u d F 9 E Y X R h X 0 J v b 2 s g M j A x X 1 N o Z W V 0 L n t D b 2 x 1 b W 4 z L D J 9 J n F 1 b 3 Q 7 L C Z x d W 9 0 O 1 N l Y 3 R p b 2 4 x L 2 R l d m V s b 3 B t Z W 5 0 Z G F 0 Y T I w M T k v T l l D S E F f R G V 2 Z W x v c G 1 l b n R f R G F 0 Y V 9 C b 2 9 r I D I w M V 9 T a G V l d C 5 7 Q 2 9 s d W 1 u N C w z f S Z x d W 9 0 O y w m c X V v d D t T Z W N 0 a W 9 u M S 9 k Z X Z l b G 9 w b W V u d G R h d G E y M D E 5 L 0 5 Z Q 0 h B X 0 R l d m V s b 3 B t Z W 5 0 X 0 R h d G F f Q m 9 v a y A y M D F f U 2 h l Z X Q u e 0 N v b H V t b j U s N H 0 m c X V v d D s s J n F 1 b 3 Q 7 U 2 V j d G l v b j E v Z G V 2 Z W x v c G 1 l b n R k Y X R h M j A x O S 9 O W U N I Q V 9 E Z X Z l b G 9 w b W V u d F 9 E Y X R h X 0 J v b 2 s g M j A x X 1 N o Z W V 0 L n t D b 2 x 1 b W 4 2 L D V 9 J n F 1 b 3 Q 7 L C Z x d W 9 0 O 1 N l Y 3 R p b 2 4 x L 2 R l d m V s b 3 B t Z W 5 0 Z G F 0 Y T I w M T k v T l l D S E F f R G V 2 Z W x v c G 1 l b n R f R G F 0 Y V 9 C b 2 9 r I D I w M V 9 T a G V l d C 5 7 Q 2 9 s d W 1 u N y w 2 f S Z x d W 9 0 O y w m c X V v d D t T Z W N 0 a W 9 u M S 9 k Z X Z l b G 9 w b W V u d G R h d G E y M D E 5 L 0 5 Z Q 0 h B X 0 R l d m V s b 3 B t Z W 5 0 X 0 R h d G F f Q m 9 v a y A y M D F f U 2 h l Z X Q u e 0 N v b H V t b j g s N 3 0 m c X V v d D s s J n F 1 b 3 Q 7 U 2 V j d G l v b j E v Z G V 2 Z W x v c G 1 l b n R k Y X R h M j A x O S 9 O W U N I Q V 9 E Z X Z l b G 9 w b W V u d F 9 E Y X R h X 0 J v b 2 s g M j A x X 1 N o Z W V 0 L n t D b 2 x 1 b W 4 5 L D h 9 J n F 1 b 3 Q 7 L C Z x d W 9 0 O 1 N l Y 3 R p b 2 4 x L 2 R l d m V s b 3 B t Z W 5 0 Z G F 0 Y T I w M T k v T l l D S E F f R G V 2 Z W x v c G 1 l b n R f R G F 0 Y V 9 C b 2 9 r I D I w M V 9 T a G V l d C 5 7 Q 2 9 s d W 1 u M T A s O X 0 m c X V v d D s s J n F 1 b 3 Q 7 U 2 V j d G l v b j E v Z G V 2 Z W x v c G 1 l b n R k Y X R h M j A x O S 9 O W U N I Q V 9 E Z X Z l b G 9 w b W V u d F 9 E Y X R h X 0 J v b 2 s g M j A x X 1 N o Z W V 0 L n t D b 2 x 1 b W 4 x M S w x M H 0 m c X V v d D s s J n F 1 b 3 Q 7 U 2 V j d G l v b j E v Z G V 2 Z W x v c G 1 l b n R k Y X R h M j A x O S 9 O W U N I Q V 9 E Z X Z l b G 9 w b W V u d F 9 E Y X R h X 0 J v b 2 s g M j A x X 1 N o Z W V 0 L n t D b 2 x 1 b W 4 x M i w x M X 0 m c X V v d D s s J n F 1 b 3 Q 7 U 2 V j d G l v b j E v Z G V 2 Z W x v c G 1 l b n R k Y X R h M j A x O S 9 O W U N I Q V 9 E Z X Z l b G 9 w b W V u d F 9 E Y X R h X 0 J v b 2 s g M j A x X 1 N o Z W V 0 L n t D b 2 x 1 b W 4 x M y w x M n 0 m c X V v d D s s J n F 1 b 3 Q 7 U 2 V j d G l v b j E v Z G V 2 Z W x v c G 1 l b n R k Y X R h M j A x O S 9 O W U N I Q V 9 E Z X Z l b G 9 w b W V u d F 9 E Y X R h X 0 J v b 2 s g M j A x X 1 N o Z W V 0 L n t D b 2 x 1 b W 4 x N C w x M 3 0 m c X V v d D s s J n F 1 b 3 Q 7 U 2 V j d G l v b j E v Z G V 2 Z W x v c G 1 l b n R k Y X R h M j A x O S 9 O W U N I Q V 9 E Z X Z l b G 9 w b W V u d F 9 E Y X R h X 0 J v b 2 s g M j A x X 1 N o Z W V 0 L n t D b 2 x 1 b W 4 x N S w x N H 0 m c X V v d D s s J n F 1 b 3 Q 7 U 2 V j d G l v b j E v Z G V 2 Z W x v c G 1 l b n R k Y X R h M j A x O S 9 O W U N I Q V 9 E Z X Z l b G 9 w b W V u d F 9 E Y X R h X 0 J v b 2 s g M j A x X 1 N o Z W V 0 L n t D b 2 x 1 b W 4 x N i w x N X 0 m c X V v d D s s J n F 1 b 3 Q 7 U 2 V j d G l v b j E v Z G V 2 Z W x v c G 1 l b n R k Y X R h M j A x O S 9 O W U N I Q V 9 E Z X Z l b G 9 w b W V u d F 9 E Y X R h X 0 J v b 2 s g M j A x X 1 N o Z W V 0 L n t D b 2 x 1 b W 4 x N y w x N n 0 m c X V v d D s s J n F 1 b 3 Q 7 U 2 V j d G l v b j E v Z G V 2 Z W x v c G 1 l b n R k Y X R h M j A x O S 9 O W U N I Q V 9 E Z X Z l b G 9 w b W V u d F 9 E Y X R h X 0 J v b 2 s g M j A x X 1 N o Z W V 0 L n t D b 2 x 1 b W 4 x O C w x N 3 0 m c X V v d D s s J n F 1 b 3 Q 7 U 2 V j d G l v b j E v Z G V 2 Z W x v c G 1 l b n R k Y X R h M j A x O S 9 O W U N I Q V 9 E Z X Z l b G 9 w b W V u d F 9 E Y X R h X 0 J v b 2 s g M j A x X 1 N o Z W V 0 L n t D b 2 x 1 b W 4 x O S w x O H 0 m c X V v d D s s J n F 1 b 3 Q 7 U 2 V j d G l v b j E v Z G V 2 Z W x v c G 1 l b n R k Y X R h M j A x O S 9 O W U N I Q V 9 E Z X Z l b G 9 w b W V u d F 9 E Y X R h X 0 J v b 2 s g M j A x X 1 N o Z W V 0 L n t D b 2 x 1 b W 4 y M C w x O X 0 m c X V v d D s s J n F 1 b 3 Q 7 U 2 V j d G l v b j E v Z G V 2 Z W x v c G 1 l b n R k Y X R h M j A x O S 9 O W U N I Q V 9 E Z X Z l b G 9 w b W V u d F 9 E Y X R h X 0 J v b 2 s g M j A x X 1 N o Z W V 0 L n t D b 2 x 1 b W 4 y M S w y M H 0 m c X V v d D s s J n F 1 b 3 Q 7 U 2 V j d G l v b j E v Z G V 2 Z W x v c G 1 l b n R k Y X R h M j A x O S 9 O W U N I Q V 9 E Z X Z l b G 9 w b W V u d F 9 E Y X R h X 0 J v b 2 s g M j A x X 1 N o Z W V 0 L n t D b 2 x 1 b W 4 y M i w y M X 0 m c X V v d D s s J n F 1 b 3 Q 7 U 2 V j d G l v b j E v Z G V 2 Z W x v c G 1 l b n R k Y X R h M j A x O S 9 O W U N I Q V 9 E Z X Z l b G 9 w b W V u d F 9 E Y X R h X 0 J v b 2 s g M j A x X 1 N o Z W V 0 L n t D b 2 x 1 b W 4 y M y w y M n 0 m c X V v d D s s J n F 1 b 3 Q 7 U 2 V j d G l v b j E v Z G V 2 Z W x v c G 1 l b n R k Y X R h M j A x O S 9 O W U N I Q V 9 E Z X Z l b G 9 w b W V u d F 9 E Y X R h X 0 J v b 2 s g M j A x X 1 N o Z W V 0 L n t D b 2 x 1 b W 4 y N C w y M 3 0 m c X V v d D s s J n F 1 b 3 Q 7 U 2 V j d G l v b j E v Z G V 2 Z W x v c G 1 l b n R k Y X R h M j A x O S 9 O W U N I Q V 9 E Z X Z l b G 9 w b W V u d F 9 E Y X R h X 0 J v b 2 s g M j A x X 1 N o Z W V 0 L n t D b 2 x 1 b W 4 y N S w y N H 0 m c X V v d D s s J n F 1 b 3 Q 7 U 2 V j d G l v b j E v Z G V 2 Z W x v c G 1 l b n R k Y X R h M j A x O S 9 O W U N I Q V 9 E Z X Z l b G 9 w b W V u d F 9 E Y X R h X 0 J v b 2 s g M j A x X 1 N o Z W V 0 L n t D b 2 x 1 b W 4 y N i w y N X 0 m c X V v d D s s J n F 1 b 3 Q 7 U 2 V j d G l v b j E v Z G V 2 Z W x v c G 1 l b n R k Y X R h M j A x O S 9 O W U N I Q V 9 E Z X Z l b G 9 w b W V u d F 9 E Y X R h X 0 J v b 2 s g M j A x X 1 N o Z W V 0 L n t D b 2 x 1 b W 4 y N y w y N n 0 m c X V v d D s s J n F 1 b 3 Q 7 U 2 V j d G l v b j E v Z G V 2 Z W x v c G 1 l b n R k Y X R h M j A x O S 9 O W U N I Q V 9 E Z X Z l b G 9 w b W V u d F 9 E Y X R h X 0 J v b 2 s g M j A x X 1 N o Z W V 0 L n t D b 2 x 1 b W 4 y O C w y N 3 0 m c X V v d D s s J n F 1 b 3 Q 7 U 2 V j d G l v b j E v Z G V 2 Z W x v c G 1 l b n R k Y X R h M j A x O S 9 O W U N I Q V 9 E Z X Z l b G 9 w b W V u d F 9 E Y X R h X 0 J v b 2 s g M j A x X 1 N o Z W V 0 L n t D b 2 x 1 b W 4 y O S w y O H 0 m c X V v d D s s J n F 1 b 3 Q 7 U 2 V j d G l v b j E v Z G V 2 Z W x v c G 1 l b n R k Y X R h M j A x O S 9 O W U N I Q V 9 E Z X Z l b G 9 w b W V u d F 9 E Y X R h X 0 J v b 2 s g M j A x X 1 N o Z W V 0 L n t D b 2 x 1 b W 4 z M C w y O X 0 m c X V v d D s s J n F 1 b 3 Q 7 U 2 V j d G l v b j E v Z G V 2 Z W x v c G 1 l b n R k Y X R h M j A x O S 9 O W U N I Q V 9 E Z X Z l b G 9 w b W V u d F 9 E Y X R h X 0 J v b 2 s g M j A x X 1 N o Z W V 0 L n t D b 2 x 1 b W 4 z M S w z M H 0 m c X V v d D s s J n F 1 b 3 Q 7 U 2 V j d G l v b j E v Z G V 2 Z W x v c G 1 l b n R k Y X R h M j A x O S 9 O W U N I Q V 9 E Z X Z l b G 9 w b W V u d F 9 E Y X R h X 0 J v b 2 s g M j A x X 1 N o Z W V 0 L n t D b 2 x 1 b W 4 z M i w z M X 0 m c X V v d D s s J n F 1 b 3 Q 7 U 2 V j d G l v b j E v Z G V 2 Z W x v c G 1 l b n R k Y X R h M j A x O S 9 O W U N I Q V 9 E Z X Z l b G 9 w b W V u d F 9 E Y X R h X 0 J v b 2 s g M j A x X 1 N o Z W V 0 L n t D b 2 x 1 b W 4 z M y w z M n 0 m c X V v d D s s J n F 1 b 3 Q 7 U 2 V j d G l v b j E v Z G V 2 Z W x v c G 1 l b n R k Y X R h M j A x O S 9 O W U N I Q V 9 E Z X Z l b G 9 w b W V u d F 9 E Y X R h X 0 J v b 2 s g M j A x X 1 N o Z W V 0 L n t D b 2 x 1 b W 4 z N C w z M 3 0 m c X V v d D s s J n F 1 b 3 Q 7 U 2 V j d G l v b j E v Z G V 2 Z W x v c G 1 l b n R k Y X R h M j A x O S 9 O W U N I Q V 9 E Z X Z l b G 9 w b W V u d F 9 E Y X R h X 0 J v b 2 s g M j A x X 1 N o Z W V 0 L n t D b 2 x 1 b W 4 z N S w z N H 0 m c X V v d D s s J n F 1 b 3 Q 7 U 2 V j d G l v b j E v Z G V 2 Z W x v c G 1 l b n R k Y X R h M j A x O S 9 O W U N I Q V 9 E Z X Z l b G 9 w b W V u d F 9 E Y X R h X 0 J v b 2 s g M j A x X 1 N o Z W V 0 L n t D b 2 x 1 b W 4 z N i w z N X 0 m c X V v d D s s J n F 1 b 3 Q 7 U 2 V j d G l v b j E v Z G V 2 Z W x v c G 1 l b n R k Y X R h M j A x O S 9 O W U N I Q V 9 E Z X Z l b G 9 w b W V u d F 9 E Y X R h X 0 J v b 2 s g M j A x X 1 N o Z W V 0 L n t D b 2 x 1 b W 4 z N y w z N n 0 m c X V v d D s s J n F 1 b 3 Q 7 U 2 V j d G l v b j E v Z G V 2 Z W x v c G 1 l b n R k Y X R h M j A x O S 9 O W U N I Q V 9 E Z X Z l b G 9 w b W V u d F 9 E Y X R h X 0 J v b 2 s g M j A x X 1 N o Z W V 0 L n t D b 2 x 1 b W 4 z O C w z N 3 0 m c X V v d D s s J n F 1 b 3 Q 7 U 2 V j d G l v b j E v Z G V 2 Z W x v c G 1 l b n R k Y X R h M j A x O S 9 O W U N I Q V 9 E Z X Z l b G 9 w b W V u d F 9 E Y X R h X 0 J v b 2 s g M j A x X 1 N o Z W V 0 L n t D b 2 x 1 b W 4 z O S w z O H 0 m c X V v d D s s J n F 1 b 3 Q 7 U 2 V j d G l v b j E v Z G V 2 Z W x v c G 1 l b n R k Y X R h M j A x O S 9 O W U N I Q V 9 E Z X Z l b G 9 w b W V u d F 9 E Y X R h X 0 J v b 2 s g M j A x X 1 N o Z W V 0 L n t D b 2 x 1 b W 4 0 M C w z O X 0 m c X V v d D s s J n F 1 b 3 Q 7 U 2 V j d G l v b j E v Z G V 2 Z W x v c G 1 l b n R k Y X R h M j A x O S 9 O W U N I Q V 9 E Z X Z l b G 9 w b W V u d F 9 E Y X R h X 0 J v b 2 s g M j A x X 1 N o Z W V 0 L n t D b 2 x 1 b W 4 0 M S w 0 M H 0 m c X V v d D s s J n F 1 b 3 Q 7 U 2 V j d G l v b j E v Z G V 2 Z W x v c G 1 l b n R k Y X R h M j A x O S 9 O W U N I Q V 9 E Z X Z l b G 9 w b W V u d F 9 E Y X R h X 0 J v b 2 s g M j A x X 1 N o Z W V 0 L n t D b 2 x 1 b W 4 0 M i w 0 M X 0 m c X V v d D s s J n F 1 b 3 Q 7 U 2 V j d G l v b j E v Z G V 2 Z W x v c G 1 l b n R k Y X R h M j A x O S 9 O W U N I Q V 9 E Z X Z l b G 9 w b W V u d F 9 E Y X R h X 0 J v b 2 s g M j A x X 1 N o Z W V 0 L n t D b 2 x 1 b W 4 0 M y w 0 M n 0 m c X V v d D s s J n F 1 b 3 Q 7 U 2 V j d G l v b j E v Z G V 2 Z W x v c G 1 l b n R k Y X R h M j A x O S 9 O W U N I Q V 9 E Z X Z l b G 9 w b W V u d F 9 E Y X R h X 0 J v b 2 s g M j A x X 1 N o Z W V 0 L n t D b 2 x 1 b W 4 0 N C w 0 M 3 0 m c X V v d D s s J n F 1 b 3 Q 7 U 2 V j d G l v b j E v Z G V 2 Z W x v c G 1 l b n R k Y X R h M j A x O S 9 O W U N I Q V 9 E Z X Z l b G 9 w b W V u d F 9 E Y X R h X 0 J v b 2 s g M j A x X 1 N o Z W V 0 L n t D b 2 x 1 b W 4 0 N S w 0 N H 0 m c X V v d D s s J n F 1 b 3 Q 7 U 2 V j d G l v b j E v Z G V 2 Z W x v c G 1 l b n R k Y X R h M j A x O S 9 O W U N I Q V 9 E Z X Z l b G 9 w b W V u d F 9 E Y X R h X 0 J v b 2 s g M j A x X 1 N o Z W V 0 L n t D b 2 x 1 b W 4 0 N i w 0 N X 0 m c X V v d D s s J n F 1 b 3 Q 7 U 2 V j d G l v b j E v Z G V 2 Z W x v c G 1 l b n R k Y X R h M j A x O S 9 D a G F u Z 2 V k I F R 5 c G U u e 0 N P T V B M R V R J T 0 4 g R E F U R S w 0 N n 0 m c X V v d D s s J n F 1 b 3 Q 7 U 2 V j d G l v b j E v Z G V 2 Z W x v c G 1 l b n R k Y X R h M j A x O S 9 O W U N I Q V 9 E Z X Z l b G 9 w b W V u d F 9 E Y X R h X 0 J v b 2 s g M j A x X 1 N o Z W V 0 L n t D b 2 x 1 b W 4 0 O C w 0 N 3 0 m c X V v d D s s J n F 1 b 3 Q 7 U 2 V j d G l v b j E v Z G V 2 Z W x v c G 1 l b n R k Y X R h M j A x O S 9 O W U N I Q V 9 E Z X Z l b G 9 w b W V u d F 9 E Y X R h X 0 J v b 2 s g M j A x X 1 N o Z W V 0 L n t D b 2 x 1 b W 4 0 O S w 0 O H 0 m c X V v d D s s J n F 1 b 3 Q 7 U 2 V j d G l v b j E v Z G V 2 Z W x v c G 1 l b n R k Y X R h M j A x O S 9 O W U N I Q V 9 E Z X Z l b G 9 w b W V u d F 9 E Y X R h X 0 J v b 2 s g M j A x X 1 N o Z W V 0 L n t D b 2 x 1 b W 4 1 M C w 0 O X 0 m c X V v d D s s J n F 1 b 3 Q 7 U 2 V j d G l v b j E v Z G V 2 Z W x v c G 1 l b n R k Y X R h M j A x O S 9 O W U N I Q V 9 E Z X Z l b G 9 w b W V u d F 9 E Y X R h X 0 J v b 2 s g M j A x X 1 N o Z W V 0 L n t D b 2 x 1 b W 4 1 M S w 1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2 x 1 b W 5 O Y W 1 l c y I g V m F s d W U 9 I n N b J n F 1 b 3 Q 7 R E V W R U x P U E 1 F T l Q m c X V v d D s s J n F 1 b 3 Q 7 R E F U Q S B B U y B P R i Z x d W 9 0 O y w m c X V v d D t I V U Q g Q U 1 Q I y Z x d W 9 0 O y w m c X V v d D t U R F M j J n F 1 b 3 Q 7 L C Z x d W 9 0 O 0 N P T l N P T E l E Q V R F R C B U R F M j J n F 1 b 3 Q 7 L C Z x d W 9 0 O 0 R F V k V M T 1 B N R U 5 U I E V E U C M m c X V v d D s s J n F 1 b 3 Q 7 T 1 B F U k F U S U 5 H I E V E U C M m c X V v d D s s J n F 1 b 3 Q 7 S F V E I C M m c X V v d D s s J n F 1 b 3 Q 7 U F J P R 1 J B T S Z x d W 9 0 O y w m c X V v d D t N R V R I T 0 Q m c X V v d D s s J n F 1 b 3 Q 7 V F l Q R S Z x d W 9 0 O y w m c X V v d D t O V U 1 C R V I g T 0 Y g U 0 V D V E l P T i A 4 I F R S Q U 5 T S V R J T 0 4 g Q V B B U l R N R U 5 U U y Z x d W 9 0 O y w m c X V v d D t O V U 1 C R V I g T 0 Y g Q 1 V S U k V O V C B B U E F S V E 1 F T l R T J n F 1 b 3 Q 7 L C Z x d W 9 0 O 1 R P V E F M I E 5 V T U J F U i B P R i B B U E F S V E 1 F T l R T J n F 1 b 3 Q 7 L C Z x d W 9 0 O 0 5 V T U J F U i B P R i B S R U 5 U Q U w g U k 9 P T V M m c X V v d D s s J n F 1 b 3 Q 7 Q V Z H I E 5 P I F I v U i B Q R V I g Q V B B U l R N R U 5 U J n F 1 b 3 Q 7 L C Z x d W 9 0 O 1 B P U F V M Q V R J T 0 4 g U 0 V D V E l P T i A 4 I F R S Q U 5 T S V R J T 0 4 m c X V v d D s s J n F 1 b 3 Q 7 U E 9 Q V U x B V E l P T i B Q V U J M S U M g S E 9 V U 0 l O R y Z x d W 9 0 O y w m c X V v d D t U T 1 R B T C B Q T 1 B V T E F U S U 9 O J n F 1 b 3 Q 7 L C Z x d W 9 0 O 1 R P V E F M I C M g T 0 Y g R k l Y R U Q g S U 5 D T 0 1 F I E h P V V N F S E 9 M R C Z x d W 9 0 O y w m c X V v d D t Q R V J D R U 5 U I E Z J W E V E I E l O Q 0 9 N R S B I T 1 V T R U h P T E R T J n F 1 b 3 Q 7 L C Z x d W 9 0 O 0 5 V T U J F U i B P R i B S R V N J R E V O V E l B T C B C T E R H U y Z x d W 9 0 O y w m c X V v d D t O V U 1 C R V I g T 0 Y g T k 9 O L V J F U 0 l E R U 5 U S U F M I E J M R E d T J n F 1 b 3 Q 7 L C Z x d W 9 0 O 0 5 V T U J F U i B P R i B T V E F J U k h B T E x T J n F 1 b 3 Q 7 L C Z x d W 9 0 O 0 5 V T U J F U i B P R i B T V E 9 S S U V T J n F 1 b 3 Q 7 L C Z x d W 9 0 O 1 R P V E F M I E F S R U E g U 1 E g R l Q m c X V v d D s s J n F 1 b 3 Q 7 Q U N S R V M m c X V v d D s s J n F 1 b 3 Q 7 T k V U I E R F V i B B U k V B I F N R I E Z U J n F 1 b 3 Q 7 L C Z x d W 9 0 O 0 V Y Q 0 x V R E l O R y B Q Q V J L I E F D U k V T J n F 1 b 3 Q 7 L C Z x d W 9 0 O 0 J M R E c g Q 0 9 W R V J B R 0 U g U 1 E g R l Q m c X V v d D s s J n F 1 b 3 Q 7 Q 1 V C Q U d F I E N V I E Z U J n F 1 b 3 Q 7 L C Z x d W 9 0 O 0 J M R E c g Q 0 9 W R V J B R 0 U g J S Z x d W 9 0 O y w m c X V v d D t E R U 5 T S V R Z J n F 1 b 3 Q 7 L C Z x d W 9 0 O 0 R F V k V M T 1 B N R U 5 U I E N P U 1 Q m c X V v d D s s J n F 1 b 3 Q 7 U E V S I F J F T l R B T C B S T 0 9 N J n F 1 b 3 Q 7 L C Z x d W 9 0 O 0 F W R y B N T 0 5 U S E x Z I E d S T 1 N T I F J F T l Q m c X V v d D s s J n F 1 b 3 Q 7 T E 9 D Q V R J T 0 4 g U 1 R S R U V U I E E m c X V v d D s s J n F 1 b 3 Q 7 T E 9 D Q V R J T 0 4 g U 1 R S R U V U I E I m c X V v d D s s J n F 1 b 3 Q 7 T E 9 D Q V R J T 0 4 g U 1 R S R U V U I E M m c X V v d D s s J n F 1 b 3 Q 7 T E 9 D Q V R J T 0 4 g U 1 R S R U V U I E Q m c X V v d D s s J n F 1 b 3 Q 7 Q k 9 S T 1 V H S C Z x d W 9 0 O y w m c X V v d D t D T 0 1 N V U 5 J V F k g R E l T V E l S Q 1 Q m c X V v d D s s J n F 1 b 3 Q 7 V V M g Q 0 9 O R 1 J F U 1 N J T 0 5 B T C B E S V N U U k l D V C Z x d W 9 0 O y w m c X V v d D t O W S B T V E F U R S B T R U 5 B V E U g R E l T V F J J Q 1 Q m c X V v d D s s J n F 1 b 3 Q 7 T l k g U 1 R B V E U g Q V N T R U 1 C T F k g R E l T V F J J Q 1 Q m c X V v d D s s J n F 1 b 3 Q 7 T l k g Q 0 l U W S B D T 1 V O Q 0 l M I E R J U 1 R S S U N U J n F 1 b 3 Q 7 L C Z x d W 9 0 O 0 N P T V B M R V R J T 0 4 g R E F U R S Z x d W 9 0 O y w m c X V v d D t G R U R F U k F M S V p F R C B E R V Z F T E 9 Q T U V O V C Z x d W 9 0 O y w m c X V v d D t T R U 5 J T 1 I g R E V W R U x P U E 1 F T l Q m c X V v d D s s J n F 1 b 3 Q 7 R U x F Q 1 R S S U N J V F k g U E F J R C B C W S B S R V N J R E V O V F M m c X V v d D s s J n F 1 b 3 Q 7 U F J J V k F U R S B N Q U 5 B R 0 V N R U 5 U J n F 1 b 3 Q 7 X S I g L z 4 8 R W 5 0 c n k g V H l w Z T 0 i R m l s b E N v b H V t b l R 5 c G V z I i B W Y W x 1 Z T 0 i c 0 J n a 0 d B Q U F B Q U F Z R 0 J n W U F B Q U F B Q U F B Q U F B Q U F B Q U F B Q U F B Q U F B Q U F B Q U F B Q U F B Q U J n W U d C Z 1 l B Q U F B Q U F B a 0 d C Z 1 l H I i A v P j x F b n R y e S B U e X B l P S J G a W x s T G F z d F V w Z G F 0 Z W Q i I F Z h b H V l P S J k M j A y M C 0 w M i 0 y M F Q x N T o z N D o x M C 4 0 N T M 2 M z Y x W i I g L z 4 8 R W 5 0 c n k g V H l w Z T 0 i R m l s b E V y c m 9 y Q 2 9 1 b n Q i I F Z h b H V l P S J s M C I g L z 4 8 R W 5 0 c n k g V H l w Z T 0 i R m l s b E N v d W 5 0 I i B W Y W x 1 Z T 0 i b D M y M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y O D E x N 2 E 2 Z i 1 h M W F m L T R i O T Q t O D B i M i 1 m N G N m M j F j M z g 5 M W Q i I C 8 + P C 9 T d G F i b G V F b n R y a W V z P j w v S X R l b T 4 8 S X R l b T 4 8 S X R l b U x v Y 2 F 0 a W 9 u P j x J d G V t V H l w Z T 5 G b 3 J t d W x h P C 9 J d G V t V H l w Z T 4 8 S X R l b V B h d G g + U 2 V j d G l v b j E v Z G V 2 Z W x v c G 1 l b n R k Y X R h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l b G 9 w b W V u d G R h d G E y M D E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T l l D S E F f R G V 2 Z W x v c G 1 l b n R f R G F 0 Y V 9 C b 2 9 r J T I w M j A x O U p h b i U y M H h s c 3 h f a H R 0 c H M l M 0 E l M k Y l M k Z u e W N o Y S U y M H N o Y X J l c G 9 p b n Q l M j B j b 2 0 l M k Z z a X R l c y U y R l d N U E l t c G x l b W V u d G F 0 a W 9 u J T J G U 2 h h c m V k J T I w R G 9 j d W 1 l b n R z J T J G M y U y M C U y M E R h d G E l M j A l M j Y l M j B B b m F s e X N p c y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m V s b 3 B t Z W 5 0 Z G F 0 Y T I w M T k v T l l D S E F f R G V 2 Z W x v c G 1 l b n R f R G F 0 Y V 9 C b 2 9 r J T I w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2 Z W x v c G 1 l b n R k Y X R h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l b G 9 w b W V u d G R h d G E y M D E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x O W J 1 b G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1 M D E i I C 8 + P E V u d H J 5 I F R 5 c G U 9 I k Z p b G x D b 2 x 1 b W 5 O Y W 1 l c y I g V m F s d W U 9 I n N b J n F 1 b 3 Q 7 U 2 l 0 Z S B O Y W 1 l J n F 1 b 3 Q 7 L C Z x d W 9 0 O 0 1 v b n R o J n F 1 b 3 Q 7 L C Z x d W 9 0 O 1 R v b n M g c G V y I G 1 v b n R o J n F 1 b 3 Q 7 X S I g L z 4 8 R W 5 0 c n k g V H l w Z T 0 i R m l s b E N v b H V t b l R 5 c G V z I i B W Y W x 1 Z T 0 i c 0 J n T U Y i I C 8 + P E V u d H J 5 I F R 5 c G U 9 I k Z p b G x M Y X N 0 V X B k Y X R l Z C I g V m F s d W U 9 I m Q y M D I w L T A y L T I w V D E 1 O j Q x O j I z L j c 3 M D Y y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i Z j l k M z V m Y y 1 j O G F m L T R m Z T g t Y T N j Y S 0 0 Z D Y 1 Z D A x N z A 4 N T Q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Y n V s a y 9 S Z W 1 v d m V k I E J v d H R v b S B S b 3 d z L n t T a X R l I E 5 h b W U s M H 0 m c X V v d D s s J n F 1 b 3 Q 7 U 2 V j d G l v b j E v M j A x O W J 1 b G s v U m V t b 3 Z l Z C B C b 3 R 0 b 2 0 g U m 9 3 c y 5 7 T W 9 u d G g s M X 0 m c X V v d D s s J n F 1 b 3 Q 7 U 2 V j d G l v b j E v M j A x O W J 1 b G s v U m V t b 3 Z l Z C B C b 3 R 0 b 2 0 g U m 9 3 c y 5 7 V G 9 u c y B w Z X I g b W 9 u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x O W J 1 b G s v U m V t b 3 Z l Z C B C b 3 R 0 b 2 0 g U m 9 3 c y 5 7 U 2 l 0 Z S B O Y W 1 l L D B 9 J n F 1 b 3 Q 7 L C Z x d W 9 0 O 1 N l Y 3 R p b 2 4 x L z I w M T l i d W x r L 1 J l b W 9 2 Z W Q g Q m 9 0 d G 9 t I F J v d 3 M u e 0 1 v b n R o L D F 9 J n F 1 b 3 Q 7 L C Z x d W 9 0 O 1 N l Y 3 R p b 2 4 x L z I w M T l i d W x r L 1 J l b W 9 2 Z W Q g Q m 9 0 d G 9 t I F J v d 3 M u e 1 R v b n M g c G V y I G 1 v b n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Y n V s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W J 1 b G s v T l l D S E E l M j B 0 b 2 5 u Y W d l c y U y M D I w M T k l M j B 4 J T I w e G x z X 2 h 0 d H B z J T N B J T J G J T J G b n l j a G E l M j B z a G F y Z X B v a W 5 0 J T I w Y 2 9 t J T J G c 2 l 0 Z X M l M k Z X T V B J b X B s Z W 1 l b n R h d G l v b i U y R l N o Y X J l Z C U y M E R v Y 3 V t Z W 5 0 c y U y R k R T T l k l M k Z E d W 1 w J T I w d G l j a 2 V 0 c y U y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l t c G 9 y d G V k J T I w R X h j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W J 1 b G s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Y n V s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i d W x r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3 B l c i U y M G R l d m V s b 3 B t Z W 5 0 J T I w Z G F 0 Y S U y M H h s c 3 h f a H R 0 c H M l M 0 E l M k Y l M k Z u e W N o Y S U y M H N o Y X J l c G 9 p b n Q l M j B j b 2 0 l M k Z z a X R l c y U y R l d N U E l t c G x l b W V u d G F 0 a W 9 u J T J G U 2 h h c m V k J T I w R G 9 j d W 1 l b n R z J T J G R F N O W S U y R j I w M T c l M j B U b 2 5 u Y W d l J T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S W 1 w b 3 J 0 Z W Q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0 F s b F R v b m 5 h Z 2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d G 9 u b m F n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d G 9 u b m F n Z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d G 9 u b m F n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d 0 b 2 5 u Y W d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3 R v b m 5 h Z 2 U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l b G 9 w b W V u d G R h d G E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W J 1 b G s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P f G P B q Y z U C O k Q k t J k y j C w A A A A A C A A A A A A A D Z g A A w A A A A B A A A A A T K H J I r 7 + a 6 o H O 5 d g l p d g S A A A A A A S A A A C g A A A A E A A A A J x P h / F x N e T N q 6 h A B l v F 1 b x Q A A A A m b x A s y e u s 0 M M L R Y v F n O l d E x C W s A t a 0 Y 3 k T B 8 t r m n u L G 5 c M A o n I O W 7 w q c T K E f 8 z s l Z 1 K y q l v f m 1 Y P 9 E S 9 O O 2 V N 4 0 Y 9 U C P r t Z z O m 3 r 1 F R U I X 8 U A A A A Y P O B h c 4 e g P e y 9 k G S X Z H c r + + i x J E = < / D a t a M a s h u p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F27DEB7D5A4419344E83479ED9DFB" ma:contentTypeVersion="14" ma:contentTypeDescription="Create a new document." ma:contentTypeScope="" ma:versionID="36b5fe45a7ae687c9e4b1b4e01243010">
  <xsd:schema xmlns:xsd="http://www.w3.org/2001/XMLSchema" xmlns:xs="http://www.w3.org/2001/XMLSchema" xmlns:p="http://schemas.microsoft.com/office/2006/metadata/properties" xmlns:ns1="http://schemas.microsoft.com/sharepoint/v3" xmlns:ns2="a21937cc-9329-4c2e-bbda-ee5182c2f08f" xmlns:ns3="ffb7ac5d-57c2-40b6-a6f5-5a41a4e26fe7" targetNamespace="http://schemas.microsoft.com/office/2006/metadata/properties" ma:root="true" ma:fieldsID="3a6b54a4c245aaf21961d2319a43830a" ns1:_="" ns2:_="" ns3:_="">
    <xsd:import namespace="http://schemas.microsoft.com/sharepoint/v3"/>
    <xsd:import namespace="a21937cc-9329-4c2e-bbda-ee5182c2f08f"/>
    <xsd:import namespace="ffb7ac5d-57c2-40b6-a6f5-5a41a4e26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937cc-9329-4c2e-bbda-ee5182c2f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7ac5d-57c2-40b6-a6f5-5a41a4e26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94A95-46DD-49F3-A102-BD74D16844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CB0E07-E8CE-4E3E-9B7A-D2855B8C983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FA1B1C6-1F2F-44CB-BC18-EE087B13E151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3903CE13-8DFB-4123-A9E6-5EDBBDF78792}">
  <ds:schemaRefs>
    <ds:schemaRef ds:uri="http://purl.org/dc/dcmitype/"/>
    <ds:schemaRef ds:uri="http://schemas.microsoft.com/office/2006/documentManagement/types"/>
    <ds:schemaRef ds:uri="ffb7ac5d-57c2-40b6-a6f5-5a41a4e26fe7"/>
    <ds:schemaRef ds:uri="http://purl.org/dc/elements/1.1/"/>
    <ds:schemaRef ds:uri="a21937cc-9329-4c2e-bbda-ee5182c2f08f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519EB91-A54A-4B63-A75A-0C3C2A0FE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1937cc-9329-4c2e-bbda-ee5182c2f08f"/>
    <ds:schemaRef ds:uri="ffb7ac5d-57c2-40b6-a6f5-5a41a4e26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tonnage</vt:lpstr>
      <vt:lpstr>development data</vt:lpstr>
      <vt:lpstr>bulk data</vt:lpstr>
      <vt:lpstr>Overall Calculator</vt:lpstr>
      <vt:lpstr>Standards</vt:lpstr>
      <vt:lpstr>Consolidation</vt:lpstr>
      <vt:lpstr>Recycling Calculator</vt:lpstr>
      <vt:lpstr>exterior estimate</vt:lpstr>
      <vt:lpstr>container info</vt:lpstr>
      <vt:lpstr>Containers</vt:lpstr>
      <vt:lpstr>Consolidation!Developments</vt:lpstr>
      <vt:lpstr>Developments</vt:lpstr>
    </vt:vector>
  </TitlesOfParts>
  <Manager/>
  <Company>New York City Housing Authority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Spertus, Juliette</dc:creator>
  <cp:keywords/>
  <dc:description/>
  <cp:lastModifiedBy>Kyle Slugg</cp:lastModifiedBy>
  <cp:revision/>
  <dcterms:created xsi:type="dcterms:W3CDTF">2019-12-12T17:45:24Z</dcterms:created>
  <dcterms:modified xsi:type="dcterms:W3CDTF">2020-07-22T17:41:17Z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0x0101002F6F27DEB7D5A4419344E83479ED9DFB</vt:lpwstr>
  </property>
</Properties>
</file>