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murphyk9\Downloads\"/>
    </mc:Choice>
  </mc:AlternateContent>
  <xr:revisionPtr revIDLastSave="0" documentId="13_ncr:1_{627153EC-1769-4543-9A1A-F954E37E8BB2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Website Advertise (EOW)" sheetId="1" r:id="rId1"/>
  </sheets>
  <calcPr calcId="191029"/>
</workbook>
</file>

<file path=xl/calcChain.xml><?xml version="1.0" encoding="utf-8"?>
<calcChain xmlns="http://schemas.openxmlformats.org/spreadsheetml/2006/main">
  <c r="B97" i="1" l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K344" i="1"/>
  <c r="J344" i="1"/>
  <c r="I344" i="1"/>
  <c r="H344" i="1"/>
  <c r="G344" i="1"/>
  <c r="F344" i="1"/>
  <c r="E344" i="1"/>
  <c r="D344" i="1"/>
  <c r="C344" i="1"/>
  <c r="B344" i="1"/>
  <c r="A344" i="1"/>
  <c r="K343" i="1"/>
  <c r="J343" i="1"/>
  <c r="I343" i="1"/>
  <c r="H343" i="1"/>
  <c r="G343" i="1"/>
  <c r="F343" i="1"/>
  <c r="E343" i="1"/>
  <c r="D343" i="1"/>
  <c r="C343" i="1"/>
  <c r="B343" i="1"/>
  <c r="A343" i="1"/>
  <c r="K342" i="1"/>
  <c r="J342" i="1"/>
  <c r="I342" i="1"/>
  <c r="H342" i="1"/>
  <c r="G342" i="1"/>
  <c r="F342" i="1"/>
  <c r="E342" i="1"/>
  <c r="D342" i="1"/>
  <c r="C342" i="1"/>
  <c r="B342" i="1"/>
  <c r="A342" i="1"/>
  <c r="K341" i="1"/>
  <c r="J341" i="1"/>
  <c r="I341" i="1"/>
  <c r="H341" i="1"/>
  <c r="G341" i="1"/>
  <c r="F341" i="1"/>
  <c r="E341" i="1"/>
  <c r="D341" i="1"/>
  <c r="C341" i="1"/>
  <c r="B341" i="1"/>
  <c r="A341" i="1"/>
  <c r="K340" i="1"/>
  <c r="J340" i="1"/>
  <c r="I340" i="1"/>
  <c r="H340" i="1"/>
  <c r="G340" i="1"/>
  <c r="F340" i="1"/>
  <c r="E340" i="1"/>
  <c r="D340" i="1"/>
  <c r="C340" i="1"/>
  <c r="B340" i="1"/>
  <c r="A340" i="1"/>
  <c r="K339" i="1"/>
  <c r="J339" i="1"/>
  <c r="I339" i="1"/>
  <c r="H339" i="1"/>
  <c r="G339" i="1"/>
  <c r="F339" i="1"/>
  <c r="E339" i="1"/>
  <c r="D339" i="1"/>
  <c r="C339" i="1"/>
  <c r="B339" i="1"/>
  <c r="A339" i="1"/>
  <c r="K338" i="1"/>
  <c r="J338" i="1"/>
  <c r="I338" i="1"/>
  <c r="H338" i="1"/>
  <c r="G338" i="1"/>
  <c r="F338" i="1"/>
  <c r="E338" i="1"/>
  <c r="D338" i="1"/>
  <c r="C338" i="1"/>
  <c r="B338" i="1"/>
  <c r="A338" i="1"/>
  <c r="K337" i="1"/>
  <c r="J337" i="1"/>
  <c r="I337" i="1"/>
  <c r="H337" i="1"/>
  <c r="G337" i="1"/>
  <c r="F337" i="1"/>
  <c r="E337" i="1"/>
  <c r="D337" i="1"/>
  <c r="C337" i="1"/>
  <c r="B337" i="1"/>
  <c r="A337" i="1"/>
  <c r="K336" i="1"/>
  <c r="J336" i="1"/>
  <c r="I336" i="1"/>
  <c r="H336" i="1"/>
  <c r="G336" i="1"/>
  <c r="F336" i="1"/>
  <c r="E336" i="1"/>
  <c r="D336" i="1"/>
  <c r="C336" i="1"/>
  <c r="B336" i="1"/>
  <c r="A336" i="1"/>
  <c r="K335" i="1"/>
  <c r="J335" i="1"/>
  <c r="I335" i="1"/>
  <c r="H335" i="1"/>
  <c r="G335" i="1"/>
  <c r="F335" i="1"/>
  <c r="E335" i="1"/>
  <c r="D335" i="1"/>
  <c r="C335" i="1"/>
  <c r="B335" i="1"/>
  <c r="A335" i="1"/>
  <c r="K334" i="1"/>
  <c r="J334" i="1"/>
  <c r="I334" i="1"/>
  <c r="H334" i="1"/>
  <c r="G334" i="1"/>
  <c r="F334" i="1"/>
  <c r="E334" i="1"/>
  <c r="D334" i="1"/>
  <c r="C334" i="1"/>
  <c r="B334" i="1"/>
  <c r="A334" i="1"/>
  <c r="K333" i="1"/>
  <c r="J333" i="1"/>
  <c r="I333" i="1"/>
  <c r="H333" i="1"/>
  <c r="G333" i="1"/>
  <c r="F333" i="1"/>
  <c r="E333" i="1"/>
  <c r="D333" i="1"/>
  <c r="C333" i="1"/>
  <c r="B333" i="1"/>
  <c r="A333" i="1"/>
  <c r="K332" i="1"/>
  <c r="J332" i="1"/>
  <c r="I332" i="1"/>
  <c r="H332" i="1"/>
  <c r="G332" i="1"/>
  <c r="F332" i="1"/>
  <c r="E332" i="1"/>
  <c r="D332" i="1"/>
  <c r="C332" i="1"/>
  <c r="B332" i="1"/>
  <c r="A332" i="1"/>
  <c r="K331" i="1"/>
  <c r="J331" i="1"/>
  <c r="I331" i="1"/>
  <c r="H331" i="1"/>
  <c r="G331" i="1"/>
  <c r="F331" i="1"/>
  <c r="E331" i="1"/>
  <c r="D331" i="1"/>
  <c r="C331" i="1"/>
  <c r="B331" i="1"/>
  <c r="A331" i="1"/>
  <c r="K330" i="1"/>
  <c r="J330" i="1"/>
  <c r="I330" i="1"/>
  <c r="H330" i="1"/>
  <c r="G330" i="1"/>
  <c r="F330" i="1"/>
  <c r="E330" i="1"/>
  <c r="D330" i="1"/>
  <c r="C330" i="1"/>
  <c r="B330" i="1"/>
  <c r="A330" i="1"/>
  <c r="K329" i="1"/>
  <c r="J329" i="1"/>
  <c r="I329" i="1"/>
  <c r="H329" i="1"/>
  <c r="G329" i="1"/>
  <c r="F329" i="1"/>
  <c r="E329" i="1"/>
  <c r="D329" i="1"/>
  <c r="C329" i="1"/>
  <c r="B329" i="1"/>
  <c r="A329" i="1"/>
  <c r="K328" i="1"/>
  <c r="J328" i="1"/>
  <c r="I328" i="1"/>
  <c r="H328" i="1"/>
  <c r="G328" i="1"/>
  <c r="F328" i="1"/>
  <c r="E328" i="1"/>
  <c r="D328" i="1"/>
  <c r="C328" i="1"/>
  <c r="B328" i="1"/>
  <c r="A328" i="1"/>
  <c r="K327" i="1"/>
  <c r="J327" i="1"/>
  <c r="I327" i="1"/>
  <c r="H327" i="1"/>
  <c r="G327" i="1"/>
  <c r="F327" i="1"/>
  <c r="E327" i="1"/>
  <c r="D327" i="1"/>
  <c r="C327" i="1"/>
  <c r="B327" i="1"/>
  <c r="A327" i="1"/>
  <c r="K326" i="1"/>
  <c r="J326" i="1"/>
  <c r="I326" i="1"/>
  <c r="H326" i="1"/>
  <c r="G326" i="1"/>
  <c r="F326" i="1"/>
  <c r="E326" i="1"/>
  <c r="D326" i="1"/>
  <c r="C326" i="1"/>
  <c r="B326" i="1"/>
  <c r="A326" i="1"/>
  <c r="K325" i="1"/>
  <c r="J325" i="1"/>
  <c r="I325" i="1"/>
  <c r="H325" i="1"/>
  <c r="G325" i="1"/>
  <c r="F325" i="1"/>
  <c r="E325" i="1"/>
  <c r="D325" i="1"/>
  <c r="C325" i="1"/>
  <c r="B325" i="1"/>
  <c r="A325" i="1"/>
  <c r="K324" i="1"/>
  <c r="J324" i="1"/>
  <c r="I324" i="1"/>
  <c r="H324" i="1"/>
  <c r="G324" i="1"/>
  <c r="F324" i="1"/>
  <c r="E324" i="1"/>
  <c r="D324" i="1"/>
  <c r="C324" i="1"/>
  <c r="B324" i="1"/>
  <c r="A324" i="1"/>
  <c r="K323" i="1"/>
  <c r="J323" i="1"/>
  <c r="I323" i="1"/>
  <c r="H323" i="1"/>
  <c r="G323" i="1"/>
  <c r="F323" i="1"/>
  <c r="E323" i="1"/>
  <c r="D323" i="1"/>
  <c r="C323" i="1"/>
  <c r="B323" i="1"/>
  <c r="A323" i="1"/>
  <c r="K322" i="1"/>
  <c r="J322" i="1"/>
  <c r="I322" i="1"/>
  <c r="H322" i="1"/>
  <c r="G322" i="1"/>
  <c r="F322" i="1"/>
  <c r="E322" i="1"/>
  <c r="D322" i="1"/>
  <c r="C322" i="1"/>
  <c r="B322" i="1"/>
  <c r="A322" i="1"/>
  <c r="K321" i="1"/>
  <c r="J321" i="1"/>
  <c r="I321" i="1"/>
  <c r="H321" i="1"/>
  <c r="G321" i="1"/>
  <c r="E321" i="1"/>
  <c r="D321" i="1"/>
  <c r="C321" i="1"/>
  <c r="B321" i="1"/>
  <c r="A321" i="1"/>
  <c r="K320" i="1"/>
  <c r="J320" i="1"/>
  <c r="I320" i="1"/>
  <c r="H320" i="1"/>
  <c r="G320" i="1"/>
  <c r="E320" i="1"/>
  <c r="D320" i="1"/>
  <c r="C320" i="1"/>
  <c r="B320" i="1"/>
  <c r="A320" i="1"/>
  <c r="K319" i="1"/>
  <c r="J319" i="1"/>
  <c r="I319" i="1"/>
  <c r="H319" i="1"/>
  <c r="G319" i="1"/>
  <c r="E319" i="1"/>
  <c r="D319" i="1"/>
  <c r="C319" i="1"/>
  <c r="B319" i="1"/>
  <c r="A319" i="1"/>
  <c r="K318" i="1"/>
  <c r="J318" i="1"/>
  <c r="I318" i="1"/>
  <c r="H318" i="1"/>
  <c r="G318" i="1"/>
  <c r="E318" i="1"/>
  <c r="D318" i="1"/>
  <c r="C318" i="1"/>
  <c r="B318" i="1"/>
  <c r="A318" i="1"/>
  <c r="K317" i="1"/>
  <c r="J317" i="1"/>
  <c r="I317" i="1"/>
  <c r="H317" i="1"/>
  <c r="G317" i="1"/>
  <c r="E317" i="1"/>
  <c r="D317" i="1"/>
  <c r="C317" i="1"/>
  <c r="B317" i="1"/>
  <c r="A317" i="1"/>
  <c r="K316" i="1"/>
  <c r="J316" i="1"/>
  <c r="I316" i="1"/>
  <c r="H316" i="1"/>
  <c r="G316" i="1"/>
  <c r="E316" i="1"/>
  <c r="D316" i="1"/>
  <c r="C316" i="1"/>
  <c r="B316" i="1"/>
  <c r="A316" i="1"/>
  <c r="K315" i="1"/>
  <c r="J315" i="1"/>
  <c r="I315" i="1"/>
  <c r="H315" i="1"/>
  <c r="G315" i="1"/>
  <c r="E315" i="1"/>
  <c r="D315" i="1"/>
  <c r="C315" i="1"/>
  <c r="B315" i="1"/>
  <c r="A315" i="1"/>
  <c r="K314" i="1"/>
  <c r="J314" i="1"/>
  <c r="I314" i="1"/>
  <c r="H314" i="1"/>
  <c r="G314" i="1"/>
  <c r="E314" i="1"/>
  <c r="D314" i="1"/>
  <c r="C314" i="1"/>
  <c r="B314" i="1"/>
  <c r="A314" i="1"/>
  <c r="K313" i="1"/>
  <c r="J313" i="1"/>
  <c r="I313" i="1"/>
  <c r="H313" i="1"/>
  <c r="G313" i="1"/>
  <c r="E313" i="1"/>
  <c r="D313" i="1"/>
  <c r="C313" i="1"/>
  <c r="B313" i="1"/>
  <c r="A313" i="1"/>
  <c r="K312" i="1"/>
  <c r="J312" i="1"/>
  <c r="I312" i="1"/>
  <c r="H312" i="1"/>
  <c r="G312" i="1"/>
  <c r="E312" i="1"/>
  <c r="D312" i="1"/>
  <c r="C312" i="1"/>
  <c r="B312" i="1"/>
  <c r="A312" i="1"/>
  <c r="K311" i="1"/>
  <c r="J311" i="1"/>
  <c r="I311" i="1"/>
  <c r="H311" i="1"/>
  <c r="G311" i="1"/>
  <c r="E311" i="1"/>
  <c r="D311" i="1"/>
  <c r="C311" i="1"/>
  <c r="B311" i="1"/>
  <c r="A311" i="1"/>
  <c r="K310" i="1"/>
  <c r="J310" i="1"/>
  <c r="I310" i="1"/>
  <c r="H310" i="1"/>
  <c r="G310" i="1"/>
  <c r="E310" i="1"/>
  <c r="D310" i="1"/>
  <c r="C310" i="1"/>
  <c r="B310" i="1"/>
  <c r="A310" i="1"/>
  <c r="K309" i="1"/>
  <c r="J309" i="1"/>
  <c r="I309" i="1"/>
  <c r="H309" i="1"/>
  <c r="G309" i="1"/>
  <c r="E309" i="1"/>
  <c r="D309" i="1"/>
  <c r="C309" i="1"/>
  <c r="B309" i="1"/>
  <c r="A309" i="1"/>
  <c r="K308" i="1"/>
  <c r="J308" i="1"/>
  <c r="I308" i="1"/>
  <c r="H308" i="1"/>
  <c r="G308" i="1"/>
  <c r="E308" i="1"/>
  <c r="D308" i="1"/>
  <c r="C308" i="1"/>
  <c r="B308" i="1"/>
  <c r="A308" i="1"/>
  <c r="K307" i="1"/>
  <c r="J307" i="1"/>
  <c r="I307" i="1"/>
  <c r="H307" i="1"/>
  <c r="G307" i="1"/>
  <c r="E307" i="1"/>
  <c r="D307" i="1"/>
  <c r="C307" i="1"/>
  <c r="B307" i="1"/>
  <c r="A307" i="1"/>
  <c r="K306" i="1"/>
  <c r="J306" i="1"/>
  <c r="I306" i="1"/>
  <c r="H306" i="1"/>
  <c r="G306" i="1"/>
  <c r="E306" i="1"/>
  <c r="D306" i="1"/>
  <c r="C306" i="1"/>
  <c r="B306" i="1"/>
  <c r="A306" i="1"/>
  <c r="K305" i="1"/>
  <c r="J305" i="1"/>
  <c r="I305" i="1"/>
  <c r="H305" i="1"/>
  <c r="G305" i="1"/>
  <c r="E305" i="1"/>
  <c r="D305" i="1"/>
  <c r="C305" i="1"/>
  <c r="B305" i="1"/>
  <c r="A305" i="1"/>
  <c r="K304" i="1"/>
  <c r="J304" i="1"/>
  <c r="I304" i="1"/>
  <c r="H304" i="1"/>
  <c r="G304" i="1"/>
  <c r="E304" i="1"/>
  <c r="D304" i="1"/>
  <c r="C304" i="1"/>
  <c r="B304" i="1"/>
  <c r="A304" i="1"/>
  <c r="K303" i="1"/>
  <c r="J303" i="1"/>
  <c r="I303" i="1"/>
  <c r="H303" i="1"/>
  <c r="G303" i="1"/>
  <c r="E303" i="1"/>
  <c r="D303" i="1"/>
  <c r="C303" i="1"/>
  <c r="B303" i="1"/>
  <c r="A303" i="1"/>
  <c r="K302" i="1"/>
  <c r="J302" i="1"/>
  <c r="I302" i="1"/>
  <c r="H302" i="1"/>
  <c r="G302" i="1"/>
  <c r="E302" i="1"/>
  <c r="D302" i="1"/>
  <c r="C302" i="1"/>
  <c r="B302" i="1"/>
  <c r="A302" i="1"/>
  <c r="K301" i="1"/>
  <c r="J301" i="1"/>
  <c r="I301" i="1"/>
  <c r="H301" i="1"/>
  <c r="G301" i="1"/>
  <c r="E301" i="1"/>
  <c r="D301" i="1"/>
  <c r="C301" i="1"/>
  <c r="B301" i="1"/>
  <c r="A301" i="1"/>
  <c r="K300" i="1"/>
  <c r="J300" i="1"/>
  <c r="I300" i="1"/>
  <c r="H300" i="1"/>
  <c r="G300" i="1"/>
  <c r="E300" i="1"/>
  <c r="D300" i="1"/>
  <c r="C300" i="1"/>
  <c r="B300" i="1"/>
  <c r="A300" i="1"/>
  <c r="K299" i="1"/>
  <c r="J299" i="1"/>
  <c r="I299" i="1"/>
  <c r="H299" i="1"/>
  <c r="G299" i="1"/>
  <c r="E299" i="1"/>
  <c r="D299" i="1"/>
  <c r="C299" i="1"/>
  <c r="B299" i="1"/>
  <c r="A299" i="1"/>
  <c r="K298" i="1"/>
  <c r="J298" i="1"/>
  <c r="I298" i="1"/>
  <c r="H298" i="1"/>
  <c r="G298" i="1"/>
  <c r="E298" i="1"/>
  <c r="D298" i="1"/>
  <c r="C298" i="1"/>
  <c r="B298" i="1"/>
  <c r="A298" i="1"/>
  <c r="K297" i="1"/>
  <c r="J297" i="1"/>
  <c r="I297" i="1"/>
  <c r="H297" i="1"/>
  <c r="G297" i="1"/>
  <c r="E297" i="1"/>
  <c r="D297" i="1"/>
  <c r="C297" i="1"/>
  <c r="B297" i="1"/>
  <c r="A297" i="1"/>
  <c r="K296" i="1"/>
  <c r="J296" i="1"/>
  <c r="I296" i="1"/>
  <c r="H296" i="1"/>
  <c r="G296" i="1"/>
  <c r="E296" i="1"/>
  <c r="D296" i="1"/>
  <c r="C296" i="1"/>
  <c r="B296" i="1"/>
  <c r="A296" i="1"/>
  <c r="K295" i="1"/>
  <c r="J295" i="1"/>
  <c r="I295" i="1"/>
  <c r="H295" i="1"/>
  <c r="G295" i="1"/>
  <c r="E295" i="1"/>
  <c r="D295" i="1"/>
  <c r="C295" i="1"/>
  <c r="B295" i="1"/>
  <c r="A295" i="1"/>
  <c r="K294" i="1"/>
  <c r="J294" i="1"/>
  <c r="I294" i="1"/>
  <c r="H294" i="1"/>
  <c r="G294" i="1"/>
  <c r="E294" i="1"/>
  <c r="D294" i="1"/>
  <c r="C294" i="1"/>
  <c r="B294" i="1"/>
  <c r="A294" i="1"/>
  <c r="K293" i="1"/>
  <c r="J293" i="1"/>
  <c r="I293" i="1"/>
  <c r="H293" i="1"/>
  <c r="G293" i="1"/>
  <c r="E293" i="1"/>
  <c r="D293" i="1"/>
  <c r="C293" i="1"/>
  <c r="B293" i="1"/>
  <c r="A293" i="1"/>
  <c r="K292" i="1"/>
  <c r="J292" i="1"/>
  <c r="I292" i="1"/>
  <c r="H292" i="1"/>
  <c r="G292" i="1"/>
  <c r="E292" i="1"/>
  <c r="D292" i="1"/>
  <c r="C292" i="1"/>
  <c r="B292" i="1"/>
  <c r="A292" i="1"/>
  <c r="K291" i="1"/>
  <c r="J291" i="1"/>
  <c r="I291" i="1"/>
  <c r="H291" i="1"/>
  <c r="G291" i="1"/>
  <c r="E291" i="1"/>
  <c r="D291" i="1"/>
  <c r="C291" i="1"/>
  <c r="B291" i="1"/>
  <c r="A291" i="1"/>
  <c r="K290" i="1"/>
  <c r="J290" i="1"/>
  <c r="I290" i="1"/>
  <c r="H290" i="1"/>
  <c r="G290" i="1"/>
  <c r="E290" i="1"/>
  <c r="D290" i="1"/>
  <c r="C290" i="1"/>
  <c r="B290" i="1"/>
  <c r="A290" i="1"/>
  <c r="K289" i="1"/>
  <c r="J289" i="1"/>
  <c r="I289" i="1"/>
  <c r="H289" i="1"/>
  <c r="G289" i="1"/>
  <c r="E289" i="1"/>
  <c r="D289" i="1"/>
  <c r="C289" i="1"/>
  <c r="B289" i="1"/>
  <c r="A289" i="1"/>
  <c r="K288" i="1"/>
  <c r="J288" i="1"/>
  <c r="I288" i="1"/>
  <c r="H288" i="1"/>
  <c r="G288" i="1"/>
  <c r="E288" i="1"/>
  <c r="D288" i="1"/>
  <c r="C288" i="1"/>
  <c r="B288" i="1"/>
  <c r="A288" i="1"/>
  <c r="K287" i="1"/>
  <c r="J287" i="1"/>
  <c r="I287" i="1"/>
  <c r="H287" i="1"/>
  <c r="G287" i="1"/>
  <c r="E287" i="1"/>
  <c r="D287" i="1"/>
  <c r="C287" i="1"/>
  <c r="B287" i="1"/>
  <c r="A287" i="1"/>
  <c r="K286" i="1"/>
  <c r="J286" i="1"/>
  <c r="I286" i="1"/>
  <c r="H286" i="1"/>
  <c r="G286" i="1"/>
  <c r="E286" i="1"/>
  <c r="D286" i="1"/>
  <c r="C286" i="1"/>
  <c r="B286" i="1"/>
  <c r="A286" i="1"/>
  <c r="K285" i="1"/>
  <c r="J285" i="1"/>
  <c r="I285" i="1"/>
  <c r="H285" i="1"/>
  <c r="G285" i="1"/>
  <c r="E285" i="1"/>
  <c r="D285" i="1"/>
  <c r="C285" i="1"/>
  <c r="B285" i="1"/>
  <c r="A285" i="1"/>
  <c r="K284" i="1"/>
  <c r="J284" i="1"/>
  <c r="I284" i="1"/>
  <c r="H284" i="1"/>
  <c r="G284" i="1"/>
  <c r="E284" i="1"/>
  <c r="D284" i="1"/>
  <c r="C284" i="1"/>
  <c r="B284" i="1"/>
  <c r="A284" i="1"/>
  <c r="K283" i="1"/>
  <c r="J283" i="1"/>
  <c r="I283" i="1"/>
  <c r="H283" i="1"/>
  <c r="G283" i="1"/>
  <c r="E283" i="1"/>
  <c r="D283" i="1"/>
  <c r="C283" i="1"/>
  <c r="B283" i="1"/>
  <c r="A283" i="1"/>
  <c r="K282" i="1"/>
  <c r="J282" i="1"/>
  <c r="I282" i="1"/>
  <c r="H282" i="1"/>
  <c r="G282" i="1"/>
  <c r="E282" i="1"/>
  <c r="D282" i="1"/>
  <c r="C282" i="1"/>
  <c r="B282" i="1"/>
  <c r="A282" i="1"/>
  <c r="K281" i="1"/>
  <c r="J281" i="1"/>
  <c r="I281" i="1"/>
  <c r="H281" i="1"/>
  <c r="G281" i="1"/>
  <c r="E281" i="1"/>
  <c r="D281" i="1"/>
  <c r="C281" i="1"/>
  <c r="B281" i="1"/>
  <c r="A281" i="1"/>
  <c r="K280" i="1"/>
  <c r="J280" i="1"/>
  <c r="I280" i="1"/>
  <c r="H280" i="1"/>
  <c r="G280" i="1"/>
  <c r="E280" i="1"/>
  <c r="D280" i="1"/>
  <c r="C280" i="1"/>
  <c r="B280" i="1"/>
  <c r="A280" i="1"/>
  <c r="K279" i="1"/>
  <c r="J279" i="1"/>
  <c r="I279" i="1"/>
  <c r="H279" i="1"/>
  <c r="G279" i="1"/>
  <c r="E279" i="1"/>
  <c r="D279" i="1"/>
  <c r="C279" i="1"/>
  <c r="B279" i="1"/>
  <c r="A279" i="1"/>
  <c r="K278" i="1"/>
  <c r="J278" i="1"/>
  <c r="I278" i="1"/>
  <c r="H278" i="1"/>
  <c r="G278" i="1"/>
  <c r="E278" i="1"/>
  <c r="D278" i="1"/>
  <c r="C278" i="1"/>
  <c r="B278" i="1"/>
  <c r="A278" i="1"/>
  <c r="K277" i="1"/>
  <c r="J277" i="1"/>
  <c r="I277" i="1"/>
  <c r="H277" i="1"/>
  <c r="G277" i="1"/>
  <c r="E277" i="1"/>
  <c r="D277" i="1"/>
  <c r="C277" i="1"/>
  <c r="B277" i="1"/>
  <c r="A277" i="1"/>
  <c r="K276" i="1"/>
  <c r="J276" i="1"/>
  <c r="I276" i="1"/>
  <c r="H276" i="1"/>
  <c r="G276" i="1"/>
  <c r="E276" i="1"/>
  <c r="D276" i="1"/>
  <c r="C276" i="1"/>
  <c r="B276" i="1"/>
  <c r="A276" i="1"/>
  <c r="K275" i="1"/>
  <c r="J275" i="1"/>
  <c r="I275" i="1"/>
  <c r="H275" i="1"/>
  <c r="G275" i="1"/>
  <c r="E275" i="1"/>
  <c r="D275" i="1"/>
  <c r="C275" i="1"/>
  <c r="B275" i="1"/>
  <c r="A275" i="1"/>
  <c r="K274" i="1"/>
  <c r="J274" i="1"/>
  <c r="I274" i="1"/>
  <c r="H274" i="1"/>
  <c r="G274" i="1"/>
  <c r="E274" i="1"/>
  <c r="D274" i="1"/>
  <c r="C274" i="1"/>
  <c r="B274" i="1"/>
  <c r="A274" i="1"/>
  <c r="K273" i="1"/>
  <c r="J273" i="1"/>
  <c r="I273" i="1"/>
  <c r="H273" i="1"/>
  <c r="G273" i="1"/>
  <c r="E273" i="1"/>
  <c r="D273" i="1"/>
  <c r="C273" i="1"/>
  <c r="B273" i="1"/>
  <c r="A273" i="1"/>
  <c r="K272" i="1"/>
  <c r="J272" i="1"/>
  <c r="I272" i="1"/>
  <c r="H272" i="1"/>
  <c r="G272" i="1"/>
  <c r="E272" i="1"/>
  <c r="D272" i="1"/>
  <c r="C272" i="1"/>
  <c r="B272" i="1"/>
  <c r="A272" i="1"/>
  <c r="K271" i="1"/>
  <c r="J271" i="1"/>
  <c r="I271" i="1"/>
  <c r="H271" i="1"/>
  <c r="G271" i="1"/>
  <c r="E271" i="1"/>
  <c r="D271" i="1"/>
  <c r="C271" i="1"/>
  <c r="B271" i="1"/>
  <c r="A271" i="1"/>
  <c r="K270" i="1"/>
  <c r="J270" i="1"/>
  <c r="I270" i="1"/>
  <c r="H270" i="1"/>
  <c r="G270" i="1"/>
  <c r="E270" i="1"/>
  <c r="D270" i="1"/>
  <c r="C270" i="1"/>
  <c r="B270" i="1"/>
  <c r="A270" i="1"/>
  <c r="K269" i="1"/>
  <c r="J269" i="1"/>
  <c r="I269" i="1"/>
  <c r="H269" i="1"/>
  <c r="G269" i="1"/>
  <c r="E269" i="1"/>
  <c r="D269" i="1"/>
  <c r="C269" i="1"/>
  <c r="B269" i="1"/>
  <c r="A269" i="1"/>
  <c r="K268" i="1"/>
  <c r="J268" i="1"/>
  <c r="I268" i="1"/>
  <c r="H268" i="1"/>
  <c r="G268" i="1"/>
  <c r="E268" i="1"/>
  <c r="D268" i="1"/>
  <c r="C268" i="1"/>
  <c r="B268" i="1"/>
  <c r="A268" i="1"/>
  <c r="K267" i="1"/>
  <c r="J267" i="1"/>
  <c r="I267" i="1"/>
  <c r="H267" i="1"/>
  <c r="G267" i="1"/>
  <c r="E267" i="1"/>
  <c r="D267" i="1"/>
  <c r="C267" i="1"/>
  <c r="B267" i="1"/>
  <c r="A267" i="1"/>
  <c r="K266" i="1"/>
  <c r="J266" i="1"/>
  <c r="I266" i="1"/>
  <c r="H266" i="1"/>
  <c r="G266" i="1"/>
  <c r="E266" i="1"/>
  <c r="D266" i="1"/>
  <c r="C266" i="1"/>
  <c r="B266" i="1"/>
  <c r="A266" i="1"/>
  <c r="K265" i="1"/>
  <c r="J265" i="1"/>
  <c r="I265" i="1"/>
  <c r="H265" i="1"/>
  <c r="G265" i="1"/>
  <c r="E265" i="1"/>
  <c r="D265" i="1"/>
  <c r="C265" i="1"/>
  <c r="B265" i="1"/>
  <c r="A265" i="1"/>
  <c r="K264" i="1"/>
  <c r="J264" i="1"/>
  <c r="I264" i="1"/>
  <c r="H264" i="1"/>
  <c r="G264" i="1"/>
  <c r="E264" i="1"/>
  <c r="D264" i="1"/>
  <c r="C264" i="1"/>
  <c r="B264" i="1"/>
  <c r="A264" i="1"/>
  <c r="K263" i="1"/>
  <c r="J263" i="1"/>
  <c r="I263" i="1"/>
  <c r="H263" i="1"/>
  <c r="G263" i="1"/>
  <c r="E263" i="1"/>
  <c r="D263" i="1"/>
  <c r="C263" i="1"/>
  <c r="B263" i="1"/>
  <c r="A263" i="1"/>
  <c r="K262" i="1"/>
  <c r="J262" i="1"/>
  <c r="I262" i="1"/>
  <c r="H262" i="1"/>
  <c r="G262" i="1"/>
  <c r="E262" i="1"/>
  <c r="D262" i="1"/>
  <c r="C262" i="1"/>
  <c r="B262" i="1"/>
  <c r="A262" i="1"/>
  <c r="K261" i="1"/>
  <c r="J261" i="1"/>
  <c r="I261" i="1"/>
  <c r="H261" i="1"/>
  <c r="G261" i="1"/>
  <c r="E261" i="1"/>
  <c r="D261" i="1"/>
  <c r="C261" i="1"/>
  <c r="B261" i="1"/>
  <c r="A261" i="1"/>
  <c r="K260" i="1"/>
  <c r="J260" i="1"/>
  <c r="I260" i="1"/>
  <c r="H260" i="1"/>
  <c r="G260" i="1"/>
  <c r="E260" i="1"/>
  <c r="D260" i="1"/>
  <c r="C260" i="1"/>
  <c r="B260" i="1"/>
  <c r="A260" i="1"/>
  <c r="K259" i="1"/>
  <c r="J259" i="1"/>
  <c r="I259" i="1"/>
  <c r="H259" i="1"/>
  <c r="G259" i="1"/>
  <c r="E259" i="1"/>
  <c r="D259" i="1"/>
  <c r="C259" i="1"/>
  <c r="B259" i="1"/>
  <c r="A259" i="1"/>
  <c r="K258" i="1"/>
  <c r="J258" i="1"/>
  <c r="I258" i="1"/>
  <c r="H258" i="1"/>
  <c r="G258" i="1"/>
  <c r="E258" i="1"/>
  <c r="D258" i="1"/>
  <c r="C258" i="1"/>
  <c r="B258" i="1"/>
  <c r="A258" i="1"/>
  <c r="K257" i="1"/>
  <c r="J257" i="1"/>
  <c r="I257" i="1"/>
  <c r="H257" i="1"/>
  <c r="G257" i="1"/>
  <c r="E257" i="1"/>
  <c r="D257" i="1"/>
  <c r="C257" i="1"/>
  <c r="B257" i="1"/>
  <c r="A257" i="1"/>
  <c r="K256" i="1"/>
  <c r="J256" i="1"/>
  <c r="I256" i="1"/>
  <c r="H256" i="1"/>
  <c r="G256" i="1"/>
  <c r="E256" i="1"/>
  <c r="D256" i="1"/>
  <c r="C256" i="1"/>
  <c r="B256" i="1"/>
  <c r="A256" i="1"/>
  <c r="K255" i="1"/>
  <c r="J255" i="1"/>
  <c r="I255" i="1"/>
  <c r="H255" i="1"/>
  <c r="G255" i="1"/>
  <c r="E255" i="1"/>
  <c r="D255" i="1"/>
  <c r="C255" i="1"/>
  <c r="B255" i="1"/>
  <c r="A255" i="1"/>
  <c r="K254" i="1"/>
  <c r="J254" i="1"/>
  <c r="I254" i="1"/>
  <c r="H254" i="1"/>
  <c r="G254" i="1"/>
  <c r="E254" i="1"/>
  <c r="D254" i="1"/>
  <c r="C254" i="1"/>
  <c r="B254" i="1"/>
  <c r="A254" i="1"/>
  <c r="K253" i="1"/>
  <c r="J253" i="1"/>
  <c r="I253" i="1"/>
  <c r="H253" i="1"/>
  <c r="G253" i="1"/>
  <c r="E253" i="1"/>
  <c r="D253" i="1"/>
  <c r="C253" i="1"/>
  <c r="B253" i="1"/>
  <c r="A253" i="1"/>
  <c r="K252" i="1"/>
  <c r="J252" i="1"/>
  <c r="I252" i="1"/>
  <c r="H252" i="1"/>
  <c r="G252" i="1"/>
  <c r="E252" i="1"/>
  <c r="D252" i="1"/>
  <c r="C252" i="1"/>
  <c r="B252" i="1"/>
  <c r="A252" i="1"/>
  <c r="K251" i="1"/>
  <c r="J251" i="1"/>
  <c r="I251" i="1"/>
  <c r="H251" i="1"/>
  <c r="G251" i="1"/>
  <c r="E251" i="1"/>
  <c r="D251" i="1"/>
  <c r="C251" i="1"/>
  <c r="B251" i="1"/>
  <c r="A251" i="1"/>
  <c r="K250" i="1"/>
  <c r="J250" i="1"/>
  <c r="I250" i="1"/>
  <c r="H250" i="1"/>
  <c r="G250" i="1"/>
  <c r="E250" i="1"/>
  <c r="D250" i="1"/>
  <c r="C250" i="1"/>
  <c r="B250" i="1"/>
  <c r="A250" i="1"/>
  <c r="K249" i="1"/>
  <c r="J249" i="1"/>
  <c r="I249" i="1"/>
  <c r="H249" i="1"/>
  <c r="G249" i="1"/>
  <c r="E249" i="1"/>
  <c r="D249" i="1"/>
  <c r="C249" i="1"/>
  <c r="B249" i="1"/>
  <c r="A249" i="1"/>
  <c r="K248" i="1"/>
  <c r="J248" i="1"/>
  <c r="I248" i="1"/>
  <c r="H248" i="1"/>
  <c r="G248" i="1"/>
  <c r="E248" i="1"/>
  <c r="D248" i="1"/>
  <c r="C248" i="1"/>
  <c r="B248" i="1"/>
  <c r="A248" i="1"/>
  <c r="K247" i="1"/>
  <c r="J247" i="1"/>
  <c r="I247" i="1"/>
  <c r="H247" i="1"/>
  <c r="G247" i="1"/>
  <c r="E247" i="1"/>
  <c r="D247" i="1"/>
  <c r="C247" i="1"/>
  <c r="B247" i="1"/>
  <c r="A247" i="1"/>
  <c r="K246" i="1"/>
  <c r="J246" i="1"/>
  <c r="I246" i="1"/>
  <c r="H246" i="1"/>
  <c r="G246" i="1"/>
  <c r="E246" i="1"/>
  <c r="D246" i="1"/>
  <c r="C246" i="1"/>
  <c r="B246" i="1"/>
  <c r="A246" i="1"/>
  <c r="K245" i="1"/>
  <c r="J245" i="1"/>
  <c r="I245" i="1"/>
  <c r="H245" i="1"/>
  <c r="G245" i="1"/>
  <c r="E245" i="1"/>
  <c r="D245" i="1"/>
  <c r="C245" i="1"/>
  <c r="B245" i="1"/>
  <c r="A245" i="1"/>
  <c r="K244" i="1"/>
  <c r="J244" i="1"/>
  <c r="I244" i="1"/>
  <c r="H244" i="1"/>
  <c r="G244" i="1"/>
  <c r="E244" i="1"/>
  <c r="D244" i="1"/>
  <c r="C244" i="1"/>
  <c r="B244" i="1"/>
  <c r="A244" i="1"/>
  <c r="K243" i="1"/>
  <c r="J243" i="1"/>
  <c r="I243" i="1"/>
  <c r="H243" i="1"/>
  <c r="G243" i="1"/>
  <c r="E243" i="1"/>
  <c r="D243" i="1"/>
  <c r="C243" i="1"/>
  <c r="B243" i="1"/>
  <c r="A243" i="1"/>
  <c r="K242" i="1"/>
  <c r="J242" i="1"/>
  <c r="I242" i="1"/>
  <c r="H242" i="1"/>
  <c r="G242" i="1"/>
  <c r="E242" i="1"/>
  <c r="D242" i="1"/>
  <c r="C242" i="1"/>
  <c r="B242" i="1"/>
  <c r="A242" i="1"/>
  <c r="K241" i="1"/>
  <c r="J241" i="1"/>
  <c r="I241" i="1"/>
  <c r="H241" i="1"/>
  <c r="G241" i="1"/>
  <c r="E241" i="1"/>
  <c r="D241" i="1"/>
  <c r="C241" i="1"/>
  <c r="B241" i="1"/>
  <c r="A241" i="1"/>
  <c r="K240" i="1"/>
  <c r="J240" i="1"/>
  <c r="I240" i="1"/>
  <c r="H240" i="1"/>
  <c r="G240" i="1"/>
  <c r="E240" i="1"/>
  <c r="D240" i="1"/>
  <c r="C240" i="1"/>
  <c r="B240" i="1"/>
  <c r="A240" i="1"/>
  <c r="K239" i="1"/>
  <c r="J239" i="1"/>
  <c r="I239" i="1"/>
  <c r="H239" i="1"/>
  <c r="G239" i="1"/>
  <c r="E239" i="1"/>
  <c r="D239" i="1"/>
  <c r="C239" i="1"/>
  <c r="B239" i="1"/>
  <c r="A239" i="1"/>
  <c r="K238" i="1"/>
  <c r="J238" i="1"/>
  <c r="I238" i="1"/>
  <c r="H238" i="1"/>
  <c r="G238" i="1"/>
  <c r="E238" i="1"/>
  <c r="D238" i="1"/>
  <c r="C238" i="1"/>
  <c r="B238" i="1"/>
  <c r="A238" i="1"/>
  <c r="K237" i="1"/>
  <c r="J237" i="1"/>
  <c r="I237" i="1"/>
  <c r="H237" i="1"/>
  <c r="G237" i="1"/>
  <c r="E237" i="1"/>
  <c r="D237" i="1"/>
  <c r="C237" i="1"/>
  <c r="B237" i="1"/>
  <c r="A237" i="1"/>
  <c r="K236" i="1"/>
  <c r="J236" i="1"/>
  <c r="I236" i="1"/>
  <c r="H236" i="1"/>
  <c r="G236" i="1"/>
  <c r="E236" i="1"/>
  <c r="D236" i="1"/>
  <c r="C236" i="1"/>
  <c r="B236" i="1"/>
  <c r="A236" i="1"/>
  <c r="K235" i="1"/>
  <c r="J235" i="1"/>
  <c r="I235" i="1"/>
  <c r="H235" i="1"/>
  <c r="G235" i="1"/>
  <c r="E235" i="1"/>
  <c r="D235" i="1"/>
  <c r="C235" i="1"/>
  <c r="B235" i="1"/>
  <c r="A235" i="1"/>
  <c r="K234" i="1"/>
  <c r="J234" i="1"/>
  <c r="I234" i="1"/>
  <c r="H234" i="1"/>
  <c r="G234" i="1"/>
  <c r="E234" i="1"/>
  <c r="D234" i="1"/>
  <c r="C234" i="1"/>
  <c r="B234" i="1"/>
  <c r="A234" i="1"/>
  <c r="K233" i="1"/>
  <c r="J233" i="1"/>
  <c r="I233" i="1"/>
  <c r="H233" i="1"/>
  <c r="G233" i="1"/>
  <c r="E233" i="1"/>
  <c r="D233" i="1"/>
  <c r="C233" i="1"/>
  <c r="B233" i="1"/>
  <c r="A233" i="1"/>
  <c r="K232" i="1"/>
  <c r="J232" i="1"/>
  <c r="I232" i="1"/>
  <c r="H232" i="1"/>
  <c r="G232" i="1"/>
  <c r="E232" i="1"/>
  <c r="D232" i="1"/>
  <c r="C232" i="1"/>
  <c r="B232" i="1"/>
  <c r="A232" i="1"/>
  <c r="K231" i="1"/>
  <c r="J231" i="1"/>
  <c r="I231" i="1"/>
  <c r="H231" i="1"/>
  <c r="G231" i="1"/>
  <c r="E231" i="1"/>
  <c r="D231" i="1"/>
  <c r="C231" i="1"/>
  <c r="B231" i="1"/>
  <c r="A231" i="1"/>
  <c r="K230" i="1"/>
  <c r="J230" i="1"/>
  <c r="I230" i="1"/>
  <c r="H230" i="1"/>
  <c r="G230" i="1"/>
  <c r="E230" i="1"/>
  <c r="D230" i="1"/>
  <c r="C230" i="1"/>
  <c r="B230" i="1"/>
  <c r="A230" i="1"/>
  <c r="K229" i="1"/>
  <c r="J229" i="1"/>
  <c r="I229" i="1"/>
  <c r="H229" i="1"/>
  <c r="G229" i="1"/>
  <c r="E229" i="1"/>
  <c r="D229" i="1"/>
  <c r="C229" i="1"/>
  <c r="B229" i="1"/>
  <c r="A229" i="1"/>
  <c r="K228" i="1"/>
  <c r="J228" i="1"/>
  <c r="I228" i="1"/>
  <c r="H228" i="1"/>
  <c r="G228" i="1"/>
  <c r="E228" i="1"/>
  <c r="D228" i="1"/>
  <c r="C228" i="1"/>
  <c r="B228" i="1"/>
  <c r="A228" i="1"/>
  <c r="K227" i="1"/>
  <c r="J227" i="1"/>
  <c r="I227" i="1"/>
  <c r="H227" i="1"/>
  <c r="G227" i="1"/>
  <c r="E227" i="1"/>
  <c r="D227" i="1"/>
  <c r="C227" i="1"/>
  <c r="B227" i="1"/>
  <c r="A227" i="1"/>
  <c r="K226" i="1"/>
  <c r="J226" i="1"/>
  <c r="I226" i="1"/>
  <c r="H226" i="1"/>
  <c r="G226" i="1"/>
  <c r="E226" i="1"/>
  <c r="D226" i="1"/>
  <c r="C226" i="1"/>
  <c r="B226" i="1"/>
  <c r="A226" i="1"/>
  <c r="K225" i="1"/>
  <c r="J225" i="1"/>
  <c r="I225" i="1"/>
  <c r="H225" i="1"/>
  <c r="G225" i="1"/>
  <c r="E225" i="1"/>
  <c r="D225" i="1"/>
  <c r="C225" i="1"/>
  <c r="B225" i="1"/>
  <c r="A225" i="1"/>
  <c r="K224" i="1"/>
  <c r="J224" i="1"/>
  <c r="I224" i="1"/>
  <c r="H224" i="1"/>
  <c r="G224" i="1"/>
  <c r="E224" i="1"/>
  <c r="D224" i="1"/>
  <c r="C224" i="1"/>
  <c r="B224" i="1"/>
  <c r="A224" i="1"/>
  <c r="K223" i="1"/>
  <c r="J223" i="1"/>
  <c r="I223" i="1"/>
  <c r="H223" i="1"/>
  <c r="G223" i="1"/>
  <c r="E223" i="1"/>
  <c r="D223" i="1"/>
  <c r="C223" i="1"/>
  <c r="B223" i="1"/>
  <c r="A223" i="1"/>
  <c r="K222" i="1"/>
  <c r="J222" i="1"/>
  <c r="I222" i="1"/>
  <c r="H222" i="1"/>
  <c r="G222" i="1"/>
  <c r="E222" i="1"/>
  <c r="D222" i="1"/>
  <c r="C222" i="1"/>
  <c r="B222" i="1"/>
  <c r="A222" i="1"/>
  <c r="K221" i="1"/>
  <c r="J221" i="1"/>
  <c r="I221" i="1"/>
  <c r="H221" i="1"/>
  <c r="G221" i="1"/>
  <c r="E221" i="1"/>
  <c r="D221" i="1"/>
  <c r="C221" i="1"/>
  <c r="B221" i="1"/>
  <c r="A221" i="1"/>
  <c r="K220" i="1"/>
  <c r="J220" i="1"/>
  <c r="I220" i="1"/>
  <c r="H220" i="1"/>
  <c r="G220" i="1"/>
  <c r="E220" i="1"/>
  <c r="D220" i="1"/>
  <c r="C220" i="1"/>
  <c r="B220" i="1"/>
  <c r="A220" i="1"/>
  <c r="K219" i="1"/>
  <c r="J219" i="1"/>
  <c r="I219" i="1"/>
  <c r="H219" i="1"/>
  <c r="G219" i="1"/>
  <c r="E219" i="1"/>
  <c r="D219" i="1"/>
  <c r="C219" i="1"/>
  <c r="B219" i="1"/>
  <c r="A219" i="1"/>
  <c r="K218" i="1"/>
  <c r="J218" i="1"/>
  <c r="I218" i="1"/>
  <c r="H218" i="1"/>
  <c r="G218" i="1"/>
  <c r="E218" i="1"/>
  <c r="D218" i="1"/>
  <c r="C218" i="1"/>
  <c r="B218" i="1"/>
  <c r="A218" i="1"/>
  <c r="K217" i="1"/>
  <c r="J217" i="1"/>
  <c r="I217" i="1"/>
  <c r="H217" i="1"/>
  <c r="G217" i="1"/>
  <c r="E217" i="1"/>
  <c r="D217" i="1"/>
  <c r="C217" i="1"/>
  <c r="B217" i="1"/>
  <c r="A217" i="1"/>
  <c r="K216" i="1"/>
  <c r="J216" i="1"/>
  <c r="I216" i="1"/>
  <c r="H216" i="1"/>
  <c r="G216" i="1"/>
  <c r="E216" i="1"/>
  <c r="D216" i="1"/>
  <c r="C216" i="1"/>
  <c r="B216" i="1"/>
  <c r="A216" i="1"/>
  <c r="K215" i="1"/>
  <c r="J215" i="1"/>
  <c r="I215" i="1"/>
  <c r="H215" i="1"/>
  <c r="G215" i="1"/>
  <c r="E215" i="1"/>
  <c r="D215" i="1"/>
  <c r="C215" i="1"/>
  <c r="B215" i="1"/>
  <c r="A215" i="1"/>
  <c r="K214" i="1"/>
  <c r="J214" i="1"/>
  <c r="I214" i="1"/>
  <c r="H214" i="1"/>
  <c r="G214" i="1"/>
  <c r="E214" i="1"/>
  <c r="D214" i="1"/>
  <c r="C214" i="1"/>
  <c r="B214" i="1"/>
  <c r="A214" i="1"/>
  <c r="K213" i="1"/>
  <c r="J213" i="1"/>
  <c r="I213" i="1"/>
  <c r="H213" i="1"/>
  <c r="G213" i="1"/>
  <c r="E213" i="1"/>
  <c r="D213" i="1"/>
  <c r="C213" i="1"/>
  <c r="B213" i="1"/>
  <c r="A213" i="1"/>
  <c r="K212" i="1"/>
  <c r="J212" i="1"/>
  <c r="I212" i="1"/>
  <c r="H212" i="1"/>
  <c r="G212" i="1"/>
  <c r="E212" i="1"/>
  <c r="D212" i="1"/>
  <c r="C212" i="1"/>
  <c r="B212" i="1"/>
  <c r="A212" i="1"/>
  <c r="K211" i="1"/>
  <c r="J211" i="1"/>
  <c r="I211" i="1"/>
  <c r="H211" i="1"/>
  <c r="G211" i="1"/>
  <c r="E211" i="1"/>
  <c r="D211" i="1"/>
  <c r="C211" i="1"/>
  <c r="B211" i="1"/>
  <c r="A211" i="1"/>
  <c r="K210" i="1"/>
  <c r="J210" i="1"/>
  <c r="I210" i="1"/>
  <c r="H210" i="1"/>
  <c r="G210" i="1"/>
  <c r="E210" i="1"/>
  <c r="D210" i="1"/>
  <c r="C210" i="1"/>
  <c r="B210" i="1"/>
  <c r="A210" i="1"/>
  <c r="K209" i="1"/>
  <c r="J209" i="1"/>
  <c r="I209" i="1"/>
  <c r="H209" i="1"/>
  <c r="G209" i="1"/>
  <c r="E209" i="1"/>
  <c r="D209" i="1"/>
  <c r="C209" i="1"/>
  <c r="B209" i="1"/>
  <c r="A209" i="1"/>
  <c r="K208" i="1"/>
  <c r="J208" i="1"/>
  <c r="I208" i="1"/>
  <c r="H208" i="1"/>
  <c r="G208" i="1"/>
  <c r="E208" i="1"/>
  <c r="D208" i="1"/>
  <c r="C208" i="1"/>
  <c r="B208" i="1"/>
  <c r="A208" i="1"/>
  <c r="K207" i="1"/>
  <c r="J207" i="1"/>
  <c r="I207" i="1"/>
  <c r="H207" i="1"/>
  <c r="G207" i="1"/>
  <c r="E207" i="1"/>
  <c r="D207" i="1"/>
  <c r="C207" i="1"/>
  <c r="B207" i="1"/>
  <c r="A207" i="1"/>
  <c r="K206" i="1"/>
  <c r="J206" i="1"/>
  <c r="I206" i="1"/>
  <c r="H206" i="1"/>
  <c r="G206" i="1"/>
  <c r="E206" i="1"/>
  <c r="D206" i="1"/>
  <c r="C206" i="1"/>
  <c r="B206" i="1"/>
  <c r="A206" i="1"/>
  <c r="K205" i="1"/>
  <c r="J205" i="1"/>
  <c r="I205" i="1"/>
  <c r="H205" i="1"/>
  <c r="G205" i="1"/>
  <c r="E205" i="1"/>
  <c r="D205" i="1"/>
  <c r="C205" i="1"/>
  <c r="B205" i="1"/>
  <c r="A205" i="1"/>
  <c r="K204" i="1"/>
  <c r="J204" i="1"/>
  <c r="I204" i="1"/>
  <c r="H204" i="1"/>
  <c r="G204" i="1"/>
  <c r="E204" i="1"/>
  <c r="D204" i="1"/>
  <c r="C204" i="1"/>
  <c r="B204" i="1"/>
  <c r="A204" i="1"/>
  <c r="K203" i="1"/>
  <c r="J203" i="1"/>
  <c r="I203" i="1"/>
  <c r="H203" i="1"/>
  <c r="G203" i="1"/>
  <c r="E203" i="1"/>
  <c r="D203" i="1"/>
  <c r="C203" i="1"/>
  <c r="B203" i="1"/>
  <c r="A203" i="1"/>
  <c r="K202" i="1"/>
  <c r="J202" i="1"/>
  <c r="I202" i="1"/>
  <c r="H202" i="1"/>
  <c r="G202" i="1"/>
  <c r="E202" i="1"/>
  <c r="D202" i="1"/>
  <c r="C202" i="1"/>
  <c r="B202" i="1"/>
  <c r="A202" i="1"/>
  <c r="K201" i="1"/>
  <c r="J201" i="1"/>
  <c r="I201" i="1"/>
  <c r="H201" i="1"/>
  <c r="G201" i="1"/>
  <c r="E201" i="1"/>
  <c r="D201" i="1"/>
  <c r="C201" i="1"/>
  <c r="B201" i="1"/>
  <c r="A201" i="1"/>
  <c r="K200" i="1"/>
  <c r="J200" i="1"/>
  <c r="I200" i="1"/>
  <c r="H200" i="1"/>
  <c r="G200" i="1"/>
  <c r="E200" i="1"/>
  <c r="D200" i="1"/>
  <c r="C200" i="1"/>
  <c r="B200" i="1"/>
  <c r="A200" i="1"/>
  <c r="K199" i="1"/>
  <c r="J199" i="1"/>
  <c r="I199" i="1"/>
  <c r="H199" i="1"/>
  <c r="G199" i="1"/>
  <c r="E199" i="1"/>
  <c r="D199" i="1"/>
  <c r="C199" i="1"/>
  <c r="B199" i="1"/>
  <c r="A199" i="1"/>
  <c r="K198" i="1"/>
  <c r="J198" i="1"/>
  <c r="I198" i="1"/>
  <c r="H198" i="1"/>
  <c r="G198" i="1"/>
  <c r="E198" i="1"/>
  <c r="D198" i="1"/>
  <c r="C198" i="1"/>
  <c r="B198" i="1"/>
  <c r="A198" i="1"/>
  <c r="K197" i="1"/>
  <c r="J197" i="1"/>
  <c r="I197" i="1"/>
  <c r="H197" i="1"/>
  <c r="G197" i="1"/>
  <c r="E197" i="1"/>
  <c r="D197" i="1"/>
  <c r="C197" i="1"/>
  <c r="B197" i="1"/>
  <c r="A197" i="1"/>
  <c r="K196" i="1"/>
  <c r="J196" i="1"/>
  <c r="I196" i="1"/>
  <c r="H196" i="1"/>
  <c r="G196" i="1"/>
  <c r="E196" i="1"/>
  <c r="D196" i="1"/>
  <c r="C196" i="1"/>
  <c r="B196" i="1"/>
  <c r="A196" i="1"/>
  <c r="K195" i="1"/>
  <c r="J195" i="1"/>
  <c r="I195" i="1"/>
  <c r="H195" i="1"/>
  <c r="G195" i="1"/>
  <c r="E195" i="1"/>
  <c r="D195" i="1"/>
  <c r="C195" i="1"/>
  <c r="B195" i="1"/>
  <c r="A195" i="1"/>
  <c r="K194" i="1"/>
  <c r="J194" i="1"/>
  <c r="I194" i="1"/>
  <c r="H194" i="1"/>
  <c r="G194" i="1"/>
  <c r="E194" i="1"/>
  <c r="D194" i="1"/>
  <c r="C194" i="1"/>
  <c r="B194" i="1"/>
  <c r="A194" i="1"/>
  <c r="K193" i="1"/>
  <c r="J193" i="1"/>
  <c r="I193" i="1"/>
  <c r="H193" i="1"/>
  <c r="G193" i="1"/>
  <c r="E193" i="1"/>
  <c r="D193" i="1"/>
  <c r="C193" i="1"/>
  <c r="B193" i="1"/>
  <c r="A193" i="1"/>
  <c r="K192" i="1"/>
  <c r="I192" i="1"/>
  <c r="H192" i="1"/>
  <c r="G192" i="1"/>
  <c r="E192" i="1"/>
  <c r="D192" i="1"/>
  <c r="C192" i="1"/>
  <c r="B192" i="1"/>
  <c r="A192" i="1"/>
  <c r="K191" i="1"/>
  <c r="J191" i="1"/>
  <c r="I191" i="1"/>
  <c r="H191" i="1"/>
  <c r="G191" i="1"/>
  <c r="E191" i="1"/>
  <c r="D191" i="1"/>
  <c r="C191" i="1"/>
  <c r="B191" i="1"/>
  <c r="A191" i="1"/>
  <c r="K190" i="1"/>
  <c r="J190" i="1"/>
  <c r="I190" i="1"/>
  <c r="H190" i="1"/>
  <c r="G190" i="1"/>
  <c r="E190" i="1"/>
  <c r="D190" i="1"/>
  <c r="C190" i="1"/>
  <c r="B190" i="1"/>
  <c r="A190" i="1"/>
  <c r="K189" i="1"/>
  <c r="J189" i="1"/>
  <c r="I189" i="1"/>
  <c r="H189" i="1"/>
  <c r="G189" i="1"/>
  <c r="E189" i="1"/>
  <c r="D189" i="1"/>
  <c r="C189" i="1"/>
  <c r="B189" i="1"/>
  <c r="A189" i="1"/>
  <c r="K188" i="1"/>
  <c r="J188" i="1"/>
  <c r="I188" i="1"/>
  <c r="H188" i="1"/>
  <c r="G188" i="1"/>
  <c r="E188" i="1"/>
  <c r="D188" i="1"/>
  <c r="C188" i="1"/>
  <c r="B188" i="1"/>
  <c r="A188" i="1"/>
  <c r="K187" i="1"/>
  <c r="I187" i="1"/>
  <c r="H187" i="1"/>
  <c r="G187" i="1"/>
  <c r="E187" i="1"/>
  <c r="D187" i="1"/>
  <c r="C187" i="1"/>
  <c r="B187" i="1"/>
  <c r="A187" i="1"/>
  <c r="K186" i="1"/>
  <c r="J186" i="1"/>
  <c r="I186" i="1"/>
  <c r="H186" i="1"/>
  <c r="G186" i="1"/>
  <c r="E186" i="1"/>
  <c r="D186" i="1"/>
  <c r="C186" i="1"/>
  <c r="B186" i="1"/>
  <c r="A186" i="1"/>
  <c r="K185" i="1"/>
  <c r="I185" i="1"/>
  <c r="H185" i="1"/>
  <c r="G185" i="1"/>
  <c r="E185" i="1"/>
  <c r="D185" i="1"/>
  <c r="C185" i="1"/>
  <c r="B185" i="1"/>
  <c r="A185" i="1"/>
  <c r="K184" i="1"/>
  <c r="I184" i="1"/>
  <c r="H184" i="1"/>
  <c r="G184" i="1"/>
  <c r="E184" i="1"/>
  <c r="D184" i="1"/>
  <c r="C184" i="1"/>
  <c r="B184" i="1"/>
  <c r="A184" i="1"/>
  <c r="K183" i="1"/>
  <c r="J183" i="1"/>
  <c r="I183" i="1"/>
  <c r="H183" i="1"/>
  <c r="G183" i="1"/>
  <c r="E183" i="1"/>
  <c r="D183" i="1"/>
  <c r="C183" i="1"/>
  <c r="B183" i="1"/>
  <c r="A183" i="1"/>
  <c r="K182" i="1"/>
  <c r="J182" i="1"/>
  <c r="I182" i="1"/>
  <c r="H182" i="1"/>
  <c r="G182" i="1"/>
  <c r="E182" i="1"/>
  <c r="D182" i="1"/>
  <c r="C182" i="1"/>
  <c r="B182" i="1"/>
  <c r="A182" i="1"/>
  <c r="K181" i="1"/>
  <c r="J181" i="1"/>
  <c r="I181" i="1"/>
  <c r="H181" i="1"/>
  <c r="G181" i="1"/>
  <c r="E181" i="1"/>
  <c r="D181" i="1"/>
  <c r="C181" i="1"/>
  <c r="B181" i="1"/>
  <c r="A181" i="1"/>
  <c r="K180" i="1"/>
  <c r="J180" i="1"/>
  <c r="I180" i="1"/>
  <c r="H180" i="1"/>
  <c r="G180" i="1"/>
  <c r="E180" i="1"/>
  <c r="D180" i="1"/>
  <c r="C180" i="1"/>
  <c r="B180" i="1"/>
  <c r="A180" i="1"/>
  <c r="K179" i="1"/>
  <c r="J179" i="1"/>
  <c r="I179" i="1"/>
  <c r="H179" i="1"/>
  <c r="G179" i="1"/>
  <c r="E179" i="1"/>
  <c r="D179" i="1"/>
  <c r="C179" i="1"/>
  <c r="B179" i="1"/>
  <c r="A179" i="1"/>
  <c r="K178" i="1"/>
  <c r="J178" i="1"/>
  <c r="I178" i="1"/>
  <c r="H178" i="1"/>
  <c r="G178" i="1"/>
  <c r="E178" i="1"/>
  <c r="D178" i="1"/>
  <c r="C178" i="1"/>
  <c r="B178" i="1"/>
  <c r="A178" i="1"/>
  <c r="K177" i="1"/>
  <c r="J177" i="1"/>
  <c r="I177" i="1"/>
  <c r="H177" i="1"/>
  <c r="G177" i="1"/>
  <c r="E177" i="1"/>
  <c r="D177" i="1"/>
  <c r="C177" i="1"/>
  <c r="B177" i="1"/>
  <c r="A177" i="1"/>
  <c r="K176" i="1"/>
  <c r="J176" i="1"/>
  <c r="I176" i="1"/>
  <c r="H176" i="1"/>
  <c r="G176" i="1"/>
  <c r="E176" i="1"/>
  <c r="D176" i="1"/>
  <c r="C176" i="1"/>
  <c r="B176" i="1"/>
  <c r="A176" i="1"/>
  <c r="K175" i="1"/>
  <c r="J175" i="1"/>
  <c r="I175" i="1"/>
  <c r="H175" i="1"/>
  <c r="G175" i="1"/>
  <c r="E175" i="1"/>
  <c r="D175" i="1"/>
  <c r="C175" i="1"/>
  <c r="B175" i="1"/>
  <c r="A175" i="1"/>
  <c r="K174" i="1"/>
  <c r="J174" i="1"/>
  <c r="I174" i="1"/>
  <c r="H174" i="1"/>
  <c r="G174" i="1"/>
  <c r="E174" i="1"/>
  <c r="D174" i="1"/>
  <c r="C174" i="1"/>
  <c r="B174" i="1"/>
  <c r="A174" i="1"/>
  <c r="K173" i="1"/>
  <c r="J173" i="1"/>
  <c r="I173" i="1"/>
  <c r="H173" i="1"/>
  <c r="G173" i="1"/>
  <c r="E173" i="1"/>
  <c r="D173" i="1"/>
  <c r="C173" i="1"/>
  <c r="B173" i="1"/>
  <c r="A173" i="1"/>
  <c r="K172" i="1"/>
  <c r="J172" i="1"/>
  <c r="I172" i="1"/>
  <c r="H172" i="1"/>
  <c r="G172" i="1"/>
  <c r="F172" i="1"/>
  <c r="E172" i="1"/>
  <c r="D172" i="1"/>
  <c r="C172" i="1"/>
  <c r="B172" i="1"/>
  <c r="A172" i="1"/>
  <c r="K171" i="1"/>
  <c r="J171" i="1"/>
  <c r="I171" i="1"/>
  <c r="H171" i="1"/>
  <c r="G171" i="1"/>
  <c r="E171" i="1"/>
  <c r="D171" i="1"/>
  <c r="C171" i="1"/>
  <c r="B171" i="1"/>
  <c r="A171" i="1"/>
  <c r="K170" i="1"/>
  <c r="J170" i="1"/>
  <c r="I170" i="1"/>
  <c r="H170" i="1"/>
  <c r="G170" i="1"/>
  <c r="E170" i="1"/>
  <c r="D170" i="1"/>
  <c r="C170" i="1"/>
  <c r="B170" i="1"/>
  <c r="A170" i="1"/>
  <c r="K169" i="1"/>
  <c r="J169" i="1"/>
  <c r="I169" i="1"/>
  <c r="H169" i="1"/>
  <c r="G169" i="1"/>
  <c r="E169" i="1"/>
  <c r="D169" i="1"/>
  <c r="C169" i="1"/>
  <c r="B169" i="1"/>
  <c r="A169" i="1"/>
  <c r="K168" i="1"/>
  <c r="J168" i="1"/>
  <c r="I168" i="1"/>
  <c r="H168" i="1"/>
  <c r="G168" i="1"/>
  <c r="E168" i="1"/>
  <c r="D168" i="1"/>
  <c r="C168" i="1"/>
  <c r="B168" i="1"/>
  <c r="A168" i="1"/>
  <c r="K167" i="1"/>
  <c r="J167" i="1"/>
  <c r="I167" i="1"/>
  <c r="H167" i="1"/>
  <c r="G167" i="1"/>
  <c r="E167" i="1"/>
  <c r="D167" i="1"/>
  <c r="C167" i="1"/>
  <c r="B167" i="1"/>
  <c r="A167" i="1"/>
  <c r="K166" i="1"/>
  <c r="I166" i="1"/>
  <c r="H166" i="1"/>
  <c r="G166" i="1"/>
  <c r="E166" i="1"/>
  <c r="D166" i="1"/>
  <c r="C166" i="1"/>
  <c r="B166" i="1"/>
  <c r="A166" i="1"/>
  <c r="K165" i="1"/>
  <c r="I165" i="1"/>
  <c r="H165" i="1"/>
  <c r="G165" i="1"/>
  <c r="E165" i="1"/>
  <c r="D165" i="1"/>
  <c r="C165" i="1"/>
  <c r="B165" i="1"/>
  <c r="A165" i="1"/>
  <c r="K164" i="1"/>
  <c r="I164" i="1"/>
  <c r="H164" i="1"/>
  <c r="G164" i="1"/>
  <c r="E164" i="1"/>
  <c r="D164" i="1"/>
  <c r="C164" i="1"/>
  <c r="B164" i="1"/>
  <c r="A164" i="1"/>
  <c r="K163" i="1"/>
  <c r="J163" i="1"/>
  <c r="I163" i="1"/>
  <c r="H163" i="1"/>
  <c r="G163" i="1"/>
  <c r="E163" i="1"/>
  <c r="D163" i="1"/>
  <c r="A163" i="1"/>
  <c r="K162" i="1"/>
  <c r="J162" i="1"/>
  <c r="I162" i="1"/>
  <c r="H162" i="1"/>
  <c r="G162" i="1"/>
  <c r="E162" i="1"/>
  <c r="D162" i="1"/>
  <c r="A162" i="1"/>
  <c r="K161" i="1"/>
  <c r="J161" i="1"/>
  <c r="I161" i="1"/>
  <c r="H161" i="1"/>
  <c r="G161" i="1"/>
  <c r="E161" i="1"/>
  <c r="D161" i="1"/>
  <c r="A161" i="1"/>
  <c r="K160" i="1"/>
  <c r="J160" i="1"/>
  <c r="I160" i="1"/>
  <c r="H160" i="1"/>
  <c r="G160" i="1"/>
  <c r="E160" i="1"/>
  <c r="D160" i="1"/>
  <c r="A160" i="1"/>
  <c r="K159" i="1"/>
  <c r="J159" i="1"/>
  <c r="I159" i="1"/>
  <c r="H159" i="1"/>
  <c r="G159" i="1"/>
  <c r="E159" i="1"/>
  <c r="D159" i="1"/>
  <c r="A159" i="1"/>
  <c r="K158" i="1"/>
  <c r="J158" i="1"/>
  <c r="I158" i="1"/>
  <c r="H158" i="1"/>
  <c r="G158" i="1"/>
  <c r="E158" i="1"/>
  <c r="D158" i="1"/>
  <c r="A158" i="1"/>
  <c r="K157" i="1"/>
  <c r="J157" i="1"/>
  <c r="I157" i="1"/>
  <c r="H157" i="1"/>
  <c r="G157" i="1"/>
  <c r="E157" i="1"/>
  <c r="D157" i="1"/>
  <c r="A157" i="1"/>
  <c r="K156" i="1"/>
  <c r="J156" i="1"/>
  <c r="I156" i="1"/>
  <c r="H156" i="1"/>
  <c r="G156" i="1"/>
  <c r="E156" i="1"/>
  <c r="D156" i="1"/>
  <c r="A156" i="1"/>
  <c r="K155" i="1"/>
  <c r="J155" i="1"/>
  <c r="I155" i="1"/>
  <c r="H155" i="1"/>
  <c r="G155" i="1"/>
  <c r="E155" i="1"/>
  <c r="D155" i="1"/>
  <c r="A155" i="1"/>
  <c r="K154" i="1"/>
  <c r="J154" i="1"/>
  <c r="I154" i="1"/>
  <c r="H154" i="1"/>
  <c r="G154" i="1"/>
  <c r="E154" i="1"/>
  <c r="D154" i="1"/>
  <c r="A154" i="1"/>
  <c r="K153" i="1"/>
  <c r="J153" i="1"/>
  <c r="I153" i="1"/>
  <c r="H153" i="1"/>
  <c r="G153" i="1"/>
  <c r="E153" i="1"/>
  <c r="D153" i="1"/>
  <c r="A153" i="1"/>
  <c r="K152" i="1"/>
  <c r="J152" i="1"/>
  <c r="I152" i="1"/>
  <c r="H152" i="1"/>
  <c r="G152" i="1"/>
  <c r="E152" i="1"/>
  <c r="D152" i="1"/>
  <c r="A152" i="1"/>
  <c r="K151" i="1"/>
  <c r="J151" i="1"/>
  <c r="I151" i="1"/>
  <c r="H151" i="1"/>
  <c r="G151" i="1"/>
  <c r="E151" i="1"/>
  <c r="D151" i="1"/>
  <c r="A151" i="1"/>
  <c r="K150" i="1"/>
  <c r="J150" i="1"/>
  <c r="I150" i="1"/>
  <c r="H150" i="1"/>
  <c r="G150" i="1"/>
  <c r="E150" i="1"/>
  <c r="D150" i="1"/>
  <c r="A150" i="1"/>
  <c r="K149" i="1"/>
  <c r="J149" i="1"/>
  <c r="I149" i="1"/>
  <c r="H149" i="1"/>
  <c r="G149" i="1"/>
  <c r="E149" i="1"/>
  <c r="D149" i="1"/>
  <c r="A149" i="1"/>
  <c r="K148" i="1"/>
  <c r="J148" i="1"/>
  <c r="I148" i="1"/>
  <c r="H148" i="1"/>
  <c r="G148" i="1"/>
  <c r="E148" i="1"/>
  <c r="D148" i="1"/>
  <c r="A148" i="1"/>
  <c r="K147" i="1"/>
  <c r="J147" i="1"/>
  <c r="I147" i="1"/>
  <c r="H147" i="1"/>
  <c r="G147" i="1"/>
  <c r="E147" i="1"/>
  <c r="D147" i="1"/>
  <c r="A147" i="1"/>
  <c r="K146" i="1"/>
  <c r="J146" i="1"/>
  <c r="I146" i="1"/>
  <c r="H146" i="1"/>
  <c r="G146" i="1"/>
  <c r="E146" i="1"/>
  <c r="D146" i="1"/>
  <c r="A146" i="1"/>
  <c r="K145" i="1"/>
  <c r="J145" i="1"/>
  <c r="I145" i="1"/>
  <c r="H145" i="1"/>
  <c r="G145" i="1"/>
  <c r="E145" i="1"/>
  <c r="D145" i="1"/>
  <c r="A145" i="1"/>
  <c r="K144" i="1"/>
  <c r="J144" i="1"/>
  <c r="I144" i="1"/>
  <c r="H144" i="1"/>
  <c r="G144" i="1"/>
  <c r="E144" i="1"/>
  <c r="D144" i="1"/>
  <c r="A144" i="1"/>
  <c r="K143" i="1"/>
  <c r="J143" i="1"/>
  <c r="I143" i="1"/>
  <c r="H143" i="1"/>
  <c r="G143" i="1"/>
  <c r="E143" i="1"/>
  <c r="D143" i="1"/>
  <c r="A143" i="1"/>
  <c r="K142" i="1"/>
  <c r="J142" i="1"/>
  <c r="I142" i="1"/>
  <c r="H142" i="1"/>
  <c r="G142" i="1"/>
  <c r="E142" i="1"/>
  <c r="D142" i="1"/>
  <c r="A142" i="1"/>
  <c r="K141" i="1"/>
  <c r="J141" i="1"/>
  <c r="I141" i="1"/>
  <c r="H141" i="1"/>
  <c r="G141" i="1"/>
  <c r="E141" i="1"/>
  <c r="D141" i="1"/>
  <c r="A141" i="1"/>
  <c r="K140" i="1"/>
  <c r="J140" i="1"/>
  <c r="I140" i="1"/>
  <c r="H140" i="1"/>
  <c r="G140" i="1"/>
  <c r="E140" i="1"/>
  <c r="D140" i="1"/>
  <c r="A140" i="1"/>
  <c r="K139" i="1"/>
  <c r="J139" i="1"/>
  <c r="I139" i="1"/>
  <c r="H139" i="1"/>
  <c r="G139" i="1"/>
  <c r="E139" i="1"/>
  <c r="D139" i="1"/>
  <c r="A139" i="1"/>
  <c r="K138" i="1"/>
  <c r="J138" i="1"/>
  <c r="I138" i="1"/>
  <c r="H138" i="1"/>
  <c r="G138" i="1"/>
  <c r="E138" i="1"/>
  <c r="D138" i="1"/>
  <c r="A138" i="1"/>
  <c r="K137" i="1"/>
  <c r="J137" i="1"/>
  <c r="I137" i="1"/>
  <c r="H137" i="1"/>
  <c r="G137" i="1"/>
  <c r="E137" i="1"/>
  <c r="D137" i="1"/>
  <c r="A137" i="1"/>
  <c r="K136" i="1"/>
  <c r="J136" i="1"/>
  <c r="I136" i="1"/>
  <c r="H136" i="1"/>
  <c r="G136" i="1"/>
  <c r="E136" i="1"/>
  <c r="D136" i="1"/>
  <c r="A136" i="1"/>
  <c r="K135" i="1"/>
  <c r="J135" i="1"/>
  <c r="I135" i="1"/>
  <c r="H135" i="1"/>
  <c r="G135" i="1"/>
  <c r="E135" i="1"/>
  <c r="D135" i="1"/>
  <c r="A135" i="1"/>
  <c r="K134" i="1"/>
  <c r="J134" i="1"/>
  <c r="I134" i="1"/>
  <c r="H134" i="1"/>
  <c r="G134" i="1"/>
  <c r="E134" i="1"/>
  <c r="D134" i="1"/>
  <c r="A134" i="1"/>
  <c r="K133" i="1"/>
  <c r="J133" i="1"/>
  <c r="I133" i="1"/>
  <c r="H133" i="1"/>
  <c r="G133" i="1"/>
  <c r="E133" i="1"/>
  <c r="D133" i="1"/>
  <c r="A133" i="1"/>
  <c r="K132" i="1"/>
  <c r="J132" i="1"/>
  <c r="I132" i="1"/>
  <c r="H132" i="1"/>
  <c r="G132" i="1"/>
  <c r="E132" i="1"/>
  <c r="D132" i="1"/>
  <c r="A132" i="1"/>
  <c r="K131" i="1"/>
  <c r="J131" i="1"/>
  <c r="I131" i="1"/>
  <c r="H131" i="1"/>
  <c r="G131" i="1"/>
  <c r="E131" i="1"/>
  <c r="D131" i="1"/>
  <c r="A131" i="1"/>
  <c r="K130" i="1"/>
  <c r="J130" i="1"/>
  <c r="I130" i="1"/>
  <c r="H130" i="1"/>
  <c r="G130" i="1"/>
  <c r="E130" i="1"/>
  <c r="D130" i="1"/>
  <c r="A130" i="1"/>
  <c r="K129" i="1"/>
  <c r="J129" i="1"/>
  <c r="I129" i="1"/>
  <c r="H129" i="1"/>
  <c r="G129" i="1"/>
  <c r="E129" i="1"/>
  <c r="D129" i="1"/>
  <c r="A129" i="1"/>
  <c r="K128" i="1"/>
  <c r="J128" i="1"/>
  <c r="I128" i="1"/>
  <c r="H128" i="1"/>
  <c r="G128" i="1"/>
  <c r="E128" i="1"/>
  <c r="D128" i="1"/>
  <c r="A128" i="1"/>
  <c r="K127" i="1"/>
  <c r="J127" i="1"/>
  <c r="I127" i="1"/>
  <c r="H127" i="1"/>
  <c r="G127" i="1"/>
  <c r="E127" i="1"/>
  <c r="D127" i="1"/>
  <c r="A127" i="1"/>
  <c r="K126" i="1"/>
  <c r="J126" i="1"/>
  <c r="I126" i="1"/>
  <c r="H126" i="1"/>
  <c r="G126" i="1"/>
  <c r="E126" i="1"/>
  <c r="D126" i="1"/>
  <c r="A126" i="1"/>
  <c r="K125" i="1"/>
  <c r="J125" i="1"/>
  <c r="I125" i="1"/>
  <c r="H125" i="1"/>
  <c r="G125" i="1"/>
  <c r="E125" i="1"/>
  <c r="D125" i="1"/>
  <c r="A125" i="1"/>
  <c r="K124" i="1"/>
  <c r="J124" i="1"/>
  <c r="I124" i="1"/>
  <c r="H124" i="1"/>
  <c r="G124" i="1"/>
  <c r="E124" i="1"/>
  <c r="D124" i="1"/>
  <c r="A124" i="1"/>
  <c r="K123" i="1"/>
  <c r="J123" i="1"/>
  <c r="I123" i="1"/>
  <c r="H123" i="1"/>
  <c r="G123" i="1"/>
  <c r="E123" i="1"/>
  <c r="D123" i="1"/>
  <c r="A123" i="1"/>
  <c r="K122" i="1"/>
  <c r="J122" i="1"/>
  <c r="I122" i="1"/>
  <c r="H122" i="1"/>
  <c r="G122" i="1"/>
  <c r="E122" i="1"/>
  <c r="D122" i="1"/>
  <c r="A122" i="1"/>
  <c r="K121" i="1"/>
  <c r="J121" i="1"/>
  <c r="I121" i="1"/>
  <c r="H121" i="1"/>
  <c r="G121" i="1"/>
  <c r="E121" i="1"/>
  <c r="D121" i="1"/>
  <c r="A121" i="1"/>
  <c r="K120" i="1"/>
  <c r="J120" i="1"/>
  <c r="I120" i="1"/>
  <c r="H120" i="1"/>
  <c r="G120" i="1"/>
  <c r="E120" i="1"/>
  <c r="D120" i="1"/>
  <c r="A120" i="1"/>
  <c r="K119" i="1"/>
  <c r="J119" i="1"/>
  <c r="I119" i="1"/>
  <c r="H119" i="1"/>
  <c r="G119" i="1"/>
  <c r="E119" i="1"/>
  <c r="D119" i="1"/>
  <c r="A119" i="1"/>
  <c r="K118" i="1"/>
  <c r="J118" i="1"/>
  <c r="I118" i="1"/>
  <c r="H118" i="1"/>
  <c r="G118" i="1"/>
  <c r="E118" i="1"/>
  <c r="D118" i="1"/>
  <c r="A118" i="1"/>
  <c r="K117" i="1"/>
  <c r="J117" i="1"/>
  <c r="I117" i="1"/>
  <c r="H117" i="1"/>
  <c r="G117" i="1"/>
  <c r="E117" i="1"/>
  <c r="D117" i="1"/>
  <c r="A117" i="1"/>
  <c r="K116" i="1"/>
  <c r="J116" i="1"/>
  <c r="I116" i="1"/>
  <c r="H116" i="1"/>
  <c r="G116" i="1"/>
  <c r="E116" i="1"/>
  <c r="D116" i="1"/>
  <c r="A116" i="1"/>
  <c r="K115" i="1"/>
  <c r="J115" i="1"/>
  <c r="I115" i="1"/>
  <c r="H115" i="1"/>
  <c r="G115" i="1"/>
  <c r="E115" i="1"/>
  <c r="D115" i="1"/>
  <c r="A115" i="1"/>
  <c r="K114" i="1"/>
  <c r="J114" i="1"/>
  <c r="I114" i="1"/>
  <c r="H114" i="1"/>
  <c r="G114" i="1"/>
  <c r="E114" i="1"/>
  <c r="D114" i="1"/>
  <c r="A114" i="1"/>
  <c r="K113" i="1"/>
  <c r="J113" i="1"/>
  <c r="I113" i="1"/>
  <c r="H113" i="1"/>
  <c r="G113" i="1"/>
  <c r="E113" i="1"/>
  <c r="D113" i="1"/>
  <c r="A113" i="1"/>
  <c r="K112" i="1"/>
  <c r="J112" i="1"/>
  <c r="I112" i="1"/>
  <c r="H112" i="1"/>
  <c r="G112" i="1"/>
  <c r="E112" i="1"/>
  <c r="D112" i="1"/>
  <c r="A112" i="1"/>
  <c r="K111" i="1"/>
  <c r="J111" i="1"/>
  <c r="I111" i="1"/>
  <c r="H111" i="1"/>
  <c r="G111" i="1"/>
  <c r="E111" i="1"/>
  <c r="D111" i="1"/>
  <c r="A111" i="1"/>
  <c r="K110" i="1"/>
  <c r="J110" i="1"/>
  <c r="I110" i="1"/>
  <c r="H110" i="1"/>
  <c r="G110" i="1"/>
  <c r="E110" i="1"/>
  <c r="D110" i="1"/>
  <c r="A110" i="1"/>
  <c r="K109" i="1"/>
  <c r="J109" i="1"/>
  <c r="I109" i="1"/>
  <c r="H109" i="1"/>
  <c r="G109" i="1"/>
  <c r="E109" i="1"/>
  <c r="D109" i="1"/>
  <c r="A109" i="1"/>
  <c r="K108" i="1"/>
  <c r="J108" i="1"/>
  <c r="I108" i="1"/>
  <c r="H108" i="1"/>
  <c r="G108" i="1"/>
  <c r="E108" i="1"/>
  <c r="D108" i="1"/>
  <c r="A108" i="1"/>
  <c r="K107" i="1"/>
  <c r="J107" i="1"/>
  <c r="I107" i="1"/>
  <c r="H107" i="1"/>
  <c r="G107" i="1"/>
  <c r="E107" i="1"/>
  <c r="D107" i="1"/>
  <c r="A107" i="1"/>
  <c r="K106" i="1"/>
  <c r="J106" i="1"/>
  <c r="I106" i="1"/>
  <c r="H106" i="1"/>
  <c r="G106" i="1"/>
  <c r="E106" i="1"/>
  <c r="D106" i="1"/>
  <c r="A106" i="1"/>
  <c r="K105" i="1"/>
  <c r="J105" i="1"/>
  <c r="I105" i="1"/>
  <c r="H105" i="1"/>
  <c r="G105" i="1"/>
  <c r="E105" i="1"/>
  <c r="D105" i="1"/>
  <c r="A105" i="1"/>
  <c r="K104" i="1"/>
  <c r="J104" i="1"/>
  <c r="I104" i="1"/>
  <c r="H104" i="1"/>
  <c r="G104" i="1"/>
  <c r="E104" i="1"/>
  <c r="D104" i="1"/>
  <c r="A104" i="1"/>
  <c r="K103" i="1"/>
  <c r="J103" i="1"/>
  <c r="I103" i="1"/>
  <c r="H103" i="1"/>
  <c r="G103" i="1"/>
  <c r="E103" i="1"/>
  <c r="D103" i="1"/>
  <c r="A103" i="1"/>
  <c r="K102" i="1"/>
  <c r="J102" i="1"/>
  <c r="I102" i="1"/>
  <c r="H102" i="1"/>
  <c r="G102" i="1"/>
  <c r="E102" i="1"/>
  <c r="D102" i="1"/>
  <c r="A102" i="1"/>
  <c r="K101" i="1"/>
  <c r="J101" i="1"/>
  <c r="I101" i="1"/>
  <c r="H101" i="1"/>
  <c r="G101" i="1"/>
  <c r="E101" i="1"/>
  <c r="D101" i="1"/>
  <c r="A101" i="1"/>
  <c r="K100" i="1"/>
  <c r="J100" i="1"/>
  <c r="I100" i="1"/>
  <c r="H100" i="1"/>
  <c r="G100" i="1"/>
  <c r="E100" i="1"/>
  <c r="D100" i="1"/>
  <c r="A100" i="1"/>
  <c r="K99" i="1"/>
  <c r="J99" i="1"/>
  <c r="I99" i="1"/>
  <c r="H99" i="1"/>
  <c r="G99" i="1"/>
  <c r="E99" i="1"/>
  <c r="D99" i="1"/>
  <c r="A99" i="1"/>
  <c r="K98" i="1"/>
  <c r="J98" i="1"/>
  <c r="I98" i="1"/>
  <c r="H98" i="1"/>
  <c r="G98" i="1"/>
  <c r="E98" i="1"/>
  <c r="D98" i="1"/>
  <c r="A98" i="1"/>
  <c r="K97" i="1"/>
  <c r="J97" i="1"/>
  <c r="I97" i="1"/>
  <c r="H97" i="1"/>
  <c r="G97" i="1"/>
  <c r="E97" i="1"/>
  <c r="D97" i="1"/>
  <c r="A97" i="1"/>
  <c r="K96" i="1"/>
  <c r="J96" i="1"/>
  <c r="I96" i="1"/>
  <c r="H96" i="1"/>
  <c r="G96" i="1"/>
  <c r="E96" i="1"/>
  <c r="D96" i="1"/>
  <c r="C96" i="1"/>
  <c r="B96" i="1"/>
  <c r="A96" i="1"/>
  <c r="K95" i="1"/>
  <c r="J95" i="1"/>
  <c r="I95" i="1"/>
  <c r="H95" i="1"/>
  <c r="G95" i="1"/>
  <c r="E95" i="1"/>
  <c r="D95" i="1"/>
  <c r="C95" i="1"/>
  <c r="B95" i="1"/>
  <c r="A95" i="1"/>
  <c r="K94" i="1"/>
  <c r="J94" i="1"/>
  <c r="I94" i="1"/>
  <c r="H94" i="1"/>
  <c r="G94" i="1"/>
  <c r="E94" i="1"/>
  <c r="D94" i="1"/>
  <c r="C94" i="1"/>
  <c r="B94" i="1"/>
  <c r="A94" i="1"/>
  <c r="K93" i="1"/>
  <c r="J93" i="1"/>
  <c r="I93" i="1"/>
  <c r="H93" i="1"/>
  <c r="G93" i="1"/>
  <c r="E93" i="1"/>
  <c r="D93" i="1"/>
  <c r="C93" i="1"/>
  <c r="B93" i="1"/>
  <c r="A93" i="1"/>
  <c r="K92" i="1"/>
  <c r="J92" i="1"/>
  <c r="I92" i="1"/>
  <c r="H92" i="1"/>
  <c r="G92" i="1"/>
  <c r="E92" i="1"/>
  <c r="D92" i="1"/>
  <c r="C92" i="1"/>
  <c r="B92" i="1"/>
  <c r="A92" i="1"/>
  <c r="K91" i="1"/>
  <c r="J91" i="1"/>
  <c r="I91" i="1"/>
  <c r="H91" i="1"/>
  <c r="G91" i="1"/>
  <c r="E91" i="1"/>
  <c r="D91" i="1"/>
  <c r="C91" i="1"/>
  <c r="B91" i="1"/>
  <c r="A91" i="1"/>
  <c r="K90" i="1"/>
  <c r="J90" i="1"/>
  <c r="I90" i="1"/>
  <c r="H90" i="1"/>
  <c r="G90" i="1"/>
  <c r="E90" i="1"/>
  <c r="D90" i="1"/>
  <c r="C90" i="1"/>
  <c r="B90" i="1"/>
  <c r="A90" i="1"/>
  <c r="K89" i="1"/>
  <c r="J89" i="1"/>
  <c r="I89" i="1"/>
  <c r="H89" i="1"/>
  <c r="G89" i="1"/>
  <c r="E89" i="1"/>
  <c r="D89" i="1"/>
  <c r="C89" i="1"/>
  <c r="B89" i="1"/>
  <c r="A89" i="1"/>
  <c r="K88" i="1"/>
  <c r="J88" i="1"/>
  <c r="I88" i="1"/>
  <c r="H88" i="1"/>
  <c r="G88" i="1"/>
  <c r="E88" i="1"/>
  <c r="D88" i="1"/>
  <c r="C88" i="1"/>
  <c r="B88" i="1"/>
  <c r="A88" i="1"/>
  <c r="K87" i="1"/>
  <c r="J87" i="1"/>
  <c r="I87" i="1"/>
  <c r="H87" i="1"/>
  <c r="G87" i="1"/>
  <c r="E87" i="1"/>
  <c r="D87" i="1"/>
  <c r="C87" i="1"/>
  <c r="B87" i="1"/>
  <c r="A87" i="1"/>
  <c r="K86" i="1"/>
  <c r="J86" i="1"/>
  <c r="I86" i="1"/>
  <c r="H86" i="1"/>
  <c r="G86" i="1"/>
  <c r="E86" i="1"/>
  <c r="D86" i="1"/>
  <c r="C86" i="1"/>
  <c r="B86" i="1"/>
  <c r="A86" i="1"/>
  <c r="K85" i="1"/>
  <c r="J85" i="1"/>
  <c r="I85" i="1"/>
  <c r="H85" i="1"/>
  <c r="G85" i="1"/>
  <c r="E85" i="1"/>
  <c r="D85" i="1"/>
  <c r="C85" i="1"/>
  <c r="B85" i="1"/>
  <c r="A85" i="1"/>
  <c r="K84" i="1"/>
  <c r="J84" i="1"/>
  <c r="I84" i="1"/>
  <c r="H84" i="1"/>
  <c r="G84" i="1"/>
  <c r="E84" i="1"/>
  <c r="D84" i="1"/>
  <c r="C84" i="1"/>
  <c r="B84" i="1"/>
  <c r="A84" i="1"/>
  <c r="K83" i="1"/>
  <c r="J83" i="1"/>
  <c r="I83" i="1"/>
  <c r="H83" i="1"/>
  <c r="G83" i="1"/>
  <c r="E83" i="1"/>
  <c r="D83" i="1"/>
  <c r="C83" i="1"/>
  <c r="B83" i="1"/>
  <c r="A83" i="1"/>
  <c r="K82" i="1"/>
  <c r="J82" i="1"/>
  <c r="I82" i="1"/>
  <c r="H82" i="1"/>
  <c r="G82" i="1"/>
  <c r="E82" i="1"/>
  <c r="D82" i="1"/>
  <c r="C82" i="1"/>
  <c r="B82" i="1"/>
  <c r="A82" i="1"/>
  <c r="K81" i="1"/>
  <c r="J81" i="1"/>
  <c r="I81" i="1"/>
  <c r="H81" i="1"/>
  <c r="G81" i="1"/>
  <c r="E81" i="1"/>
  <c r="D81" i="1"/>
  <c r="C81" i="1"/>
  <c r="B81" i="1"/>
  <c r="A81" i="1"/>
  <c r="K80" i="1"/>
  <c r="J80" i="1"/>
  <c r="I80" i="1"/>
  <c r="H80" i="1"/>
  <c r="G80" i="1"/>
  <c r="E80" i="1"/>
  <c r="D80" i="1"/>
  <c r="C80" i="1"/>
  <c r="B80" i="1"/>
  <c r="A80" i="1"/>
  <c r="K79" i="1"/>
  <c r="J79" i="1"/>
  <c r="I79" i="1"/>
  <c r="H79" i="1"/>
  <c r="G79" i="1"/>
  <c r="E79" i="1"/>
  <c r="D79" i="1"/>
  <c r="C79" i="1"/>
  <c r="B79" i="1"/>
  <c r="A79" i="1"/>
  <c r="K78" i="1"/>
  <c r="J78" i="1"/>
  <c r="I78" i="1"/>
  <c r="H78" i="1"/>
  <c r="G78" i="1"/>
  <c r="E78" i="1"/>
  <c r="D78" i="1"/>
  <c r="C78" i="1"/>
  <c r="B78" i="1"/>
  <c r="A78" i="1"/>
  <c r="K77" i="1"/>
  <c r="J77" i="1"/>
  <c r="I77" i="1"/>
  <c r="H77" i="1"/>
  <c r="G77" i="1"/>
  <c r="E77" i="1"/>
  <c r="D77" i="1"/>
  <c r="C77" i="1"/>
  <c r="B77" i="1"/>
  <c r="A77" i="1"/>
  <c r="K76" i="1"/>
  <c r="J76" i="1"/>
  <c r="I76" i="1"/>
  <c r="H76" i="1"/>
  <c r="G76" i="1"/>
  <c r="E76" i="1"/>
  <c r="D76" i="1"/>
  <c r="C76" i="1"/>
  <c r="B76" i="1"/>
  <c r="A76" i="1"/>
  <c r="K75" i="1"/>
  <c r="J75" i="1"/>
  <c r="I75" i="1"/>
  <c r="H75" i="1"/>
  <c r="G75" i="1"/>
  <c r="E75" i="1"/>
  <c r="D75" i="1"/>
  <c r="C75" i="1"/>
  <c r="B75" i="1"/>
  <c r="A75" i="1"/>
  <c r="K74" i="1"/>
  <c r="J74" i="1"/>
  <c r="I74" i="1"/>
  <c r="H74" i="1"/>
  <c r="G74" i="1"/>
  <c r="E74" i="1"/>
  <c r="D74" i="1"/>
  <c r="C74" i="1"/>
  <c r="B74" i="1"/>
  <c r="A74" i="1"/>
  <c r="K73" i="1"/>
  <c r="J73" i="1"/>
  <c r="I73" i="1"/>
  <c r="H73" i="1"/>
  <c r="G73" i="1"/>
  <c r="E73" i="1"/>
  <c r="D73" i="1"/>
  <c r="C73" i="1"/>
  <c r="B73" i="1"/>
  <c r="A73" i="1"/>
  <c r="K72" i="1"/>
  <c r="J72" i="1"/>
  <c r="I72" i="1"/>
  <c r="H72" i="1"/>
  <c r="G72" i="1"/>
  <c r="E72" i="1"/>
  <c r="D72" i="1"/>
  <c r="C72" i="1"/>
  <c r="B72" i="1"/>
  <c r="A72" i="1"/>
  <c r="K71" i="1"/>
  <c r="J71" i="1"/>
  <c r="I71" i="1"/>
  <c r="H71" i="1"/>
  <c r="G71" i="1"/>
  <c r="E71" i="1"/>
  <c r="D71" i="1"/>
  <c r="C71" i="1"/>
  <c r="B71" i="1"/>
  <c r="A71" i="1"/>
  <c r="K70" i="1"/>
  <c r="J70" i="1"/>
  <c r="I70" i="1"/>
  <c r="H70" i="1"/>
  <c r="G70" i="1"/>
  <c r="E70" i="1"/>
  <c r="D70" i="1"/>
  <c r="C70" i="1"/>
  <c r="B70" i="1"/>
  <c r="A70" i="1"/>
  <c r="K69" i="1"/>
  <c r="J69" i="1"/>
  <c r="I69" i="1"/>
  <c r="H69" i="1"/>
  <c r="G69" i="1"/>
  <c r="E69" i="1"/>
  <c r="D69" i="1"/>
  <c r="C69" i="1"/>
  <c r="B69" i="1"/>
  <c r="A69" i="1"/>
  <c r="K68" i="1"/>
  <c r="J68" i="1"/>
  <c r="I68" i="1"/>
  <c r="H68" i="1"/>
  <c r="G68" i="1"/>
  <c r="E68" i="1"/>
  <c r="D68" i="1"/>
  <c r="C68" i="1"/>
  <c r="B68" i="1"/>
  <c r="A68" i="1"/>
  <c r="K67" i="1"/>
  <c r="J67" i="1"/>
  <c r="I67" i="1"/>
  <c r="H67" i="1"/>
  <c r="G67" i="1"/>
  <c r="E67" i="1"/>
  <c r="D67" i="1"/>
  <c r="C67" i="1"/>
  <c r="B67" i="1"/>
  <c r="A67" i="1"/>
  <c r="K66" i="1"/>
  <c r="J66" i="1"/>
  <c r="I66" i="1"/>
  <c r="H66" i="1"/>
  <c r="G66" i="1"/>
  <c r="E66" i="1"/>
  <c r="D66" i="1"/>
  <c r="C66" i="1"/>
  <c r="B66" i="1"/>
  <c r="A66" i="1"/>
  <c r="K65" i="1"/>
  <c r="J65" i="1"/>
  <c r="I65" i="1"/>
  <c r="H65" i="1"/>
  <c r="G65" i="1"/>
  <c r="E65" i="1"/>
  <c r="D65" i="1"/>
  <c r="C65" i="1"/>
  <c r="B65" i="1"/>
  <c r="A65" i="1"/>
  <c r="K64" i="1"/>
  <c r="J64" i="1"/>
  <c r="I64" i="1"/>
  <c r="H64" i="1"/>
  <c r="G64" i="1"/>
  <c r="E64" i="1"/>
  <c r="D64" i="1"/>
  <c r="C64" i="1"/>
  <c r="B64" i="1"/>
  <c r="A64" i="1"/>
  <c r="K63" i="1"/>
  <c r="J63" i="1"/>
  <c r="I63" i="1"/>
  <c r="H63" i="1"/>
  <c r="G63" i="1"/>
  <c r="E63" i="1"/>
  <c r="D63" i="1"/>
  <c r="C63" i="1"/>
  <c r="B63" i="1"/>
  <c r="A63" i="1"/>
  <c r="K62" i="1"/>
  <c r="J62" i="1"/>
  <c r="I62" i="1"/>
  <c r="H62" i="1"/>
  <c r="G62" i="1"/>
  <c r="E62" i="1"/>
  <c r="D62" i="1"/>
  <c r="C62" i="1"/>
  <c r="B62" i="1"/>
  <c r="A62" i="1"/>
  <c r="K61" i="1"/>
  <c r="J61" i="1"/>
  <c r="I61" i="1"/>
  <c r="H61" i="1"/>
  <c r="G61" i="1"/>
  <c r="E61" i="1"/>
  <c r="D61" i="1"/>
  <c r="C61" i="1"/>
  <c r="B61" i="1"/>
  <c r="A61" i="1"/>
  <c r="K60" i="1"/>
  <c r="J60" i="1"/>
  <c r="I60" i="1"/>
  <c r="H60" i="1"/>
  <c r="G60" i="1"/>
  <c r="E60" i="1"/>
  <c r="D60" i="1"/>
  <c r="C60" i="1"/>
  <c r="B60" i="1"/>
  <c r="A60" i="1"/>
  <c r="K59" i="1"/>
  <c r="J59" i="1"/>
  <c r="I59" i="1"/>
  <c r="H59" i="1"/>
  <c r="G59" i="1"/>
  <c r="E59" i="1"/>
  <c r="D59" i="1"/>
  <c r="C59" i="1"/>
  <c r="B59" i="1"/>
  <c r="A59" i="1"/>
  <c r="K58" i="1"/>
  <c r="J58" i="1"/>
  <c r="I58" i="1"/>
  <c r="H58" i="1"/>
  <c r="G58" i="1"/>
  <c r="E58" i="1"/>
  <c r="D58" i="1"/>
  <c r="C58" i="1"/>
  <c r="B58" i="1"/>
  <c r="A58" i="1"/>
  <c r="K57" i="1"/>
  <c r="J57" i="1"/>
  <c r="I57" i="1"/>
  <c r="H57" i="1"/>
  <c r="G57" i="1"/>
  <c r="E57" i="1"/>
  <c r="D57" i="1"/>
  <c r="C57" i="1"/>
  <c r="B57" i="1"/>
  <c r="A57" i="1"/>
  <c r="K56" i="1"/>
  <c r="J56" i="1"/>
  <c r="I56" i="1"/>
  <c r="H56" i="1"/>
  <c r="G56" i="1"/>
  <c r="E56" i="1"/>
  <c r="D56" i="1"/>
  <c r="C56" i="1"/>
  <c r="B56" i="1"/>
  <c r="A56" i="1"/>
  <c r="K55" i="1"/>
  <c r="J55" i="1"/>
  <c r="I55" i="1"/>
  <c r="H55" i="1"/>
  <c r="G55" i="1"/>
  <c r="E55" i="1"/>
  <c r="D55" i="1"/>
  <c r="C55" i="1"/>
  <c r="B55" i="1"/>
  <c r="A55" i="1"/>
  <c r="K54" i="1"/>
  <c r="J54" i="1"/>
  <c r="I54" i="1"/>
  <c r="H54" i="1"/>
  <c r="G54" i="1"/>
  <c r="E54" i="1"/>
  <c r="D54" i="1"/>
  <c r="C54" i="1"/>
  <c r="B54" i="1"/>
  <c r="A54" i="1"/>
  <c r="K53" i="1"/>
  <c r="J53" i="1"/>
  <c r="I53" i="1"/>
  <c r="H53" i="1"/>
  <c r="G53" i="1"/>
  <c r="E53" i="1"/>
  <c r="D53" i="1"/>
  <c r="C53" i="1"/>
  <c r="B53" i="1"/>
  <c r="A53" i="1"/>
  <c r="K52" i="1"/>
  <c r="J52" i="1"/>
  <c r="I52" i="1"/>
  <c r="H52" i="1"/>
  <c r="G52" i="1"/>
  <c r="E52" i="1"/>
  <c r="D52" i="1"/>
  <c r="C52" i="1"/>
  <c r="B52" i="1"/>
  <c r="A52" i="1"/>
  <c r="K51" i="1"/>
  <c r="J51" i="1"/>
  <c r="I51" i="1"/>
  <c r="H51" i="1"/>
  <c r="G51" i="1"/>
  <c r="E51" i="1"/>
  <c r="D51" i="1"/>
  <c r="C51" i="1"/>
  <c r="B51" i="1"/>
  <c r="A51" i="1"/>
  <c r="K50" i="1"/>
  <c r="J50" i="1"/>
  <c r="I50" i="1"/>
  <c r="H50" i="1"/>
  <c r="G50" i="1"/>
  <c r="E50" i="1"/>
  <c r="D50" i="1"/>
  <c r="C50" i="1"/>
  <c r="B50" i="1"/>
  <c r="A50" i="1"/>
  <c r="K49" i="1"/>
  <c r="J49" i="1"/>
  <c r="I49" i="1"/>
  <c r="H49" i="1"/>
  <c r="G49" i="1"/>
  <c r="E49" i="1"/>
  <c r="D49" i="1"/>
  <c r="C49" i="1"/>
  <c r="B49" i="1"/>
  <c r="A49" i="1"/>
  <c r="K48" i="1"/>
  <c r="J48" i="1"/>
  <c r="I48" i="1"/>
  <c r="H48" i="1"/>
  <c r="G48" i="1"/>
  <c r="E48" i="1"/>
  <c r="D48" i="1"/>
  <c r="C48" i="1"/>
  <c r="B48" i="1"/>
  <c r="A48" i="1"/>
  <c r="K47" i="1"/>
  <c r="J47" i="1"/>
  <c r="I47" i="1"/>
  <c r="H47" i="1"/>
  <c r="G47" i="1"/>
  <c r="E47" i="1"/>
  <c r="D47" i="1"/>
  <c r="C47" i="1"/>
  <c r="B47" i="1"/>
  <c r="A47" i="1"/>
  <c r="K46" i="1"/>
  <c r="J46" i="1"/>
  <c r="I46" i="1"/>
  <c r="H46" i="1"/>
  <c r="G46" i="1"/>
  <c r="E46" i="1"/>
  <c r="D46" i="1"/>
  <c r="C46" i="1"/>
  <c r="B46" i="1"/>
  <c r="A46" i="1"/>
  <c r="K45" i="1"/>
  <c r="J45" i="1"/>
  <c r="I45" i="1"/>
  <c r="H45" i="1"/>
  <c r="G45" i="1"/>
  <c r="E45" i="1"/>
  <c r="D45" i="1"/>
  <c r="C45" i="1"/>
  <c r="B45" i="1"/>
  <c r="A45" i="1"/>
  <c r="K44" i="1"/>
  <c r="J44" i="1"/>
  <c r="I44" i="1"/>
  <c r="H44" i="1"/>
  <c r="G44" i="1"/>
  <c r="E44" i="1"/>
  <c r="D44" i="1"/>
  <c r="C44" i="1"/>
  <c r="B44" i="1"/>
  <c r="A44" i="1"/>
  <c r="K43" i="1"/>
  <c r="J43" i="1"/>
  <c r="I43" i="1"/>
  <c r="H43" i="1"/>
  <c r="G43" i="1"/>
  <c r="E43" i="1"/>
  <c r="D43" i="1"/>
  <c r="C43" i="1"/>
  <c r="B43" i="1"/>
  <c r="A43" i="1"/>
  <c r="K42" i="1"/>
  <c r="J42" i="1"/>
  <c r="I42" i="1"/>
  <c r="H42" i="1"/>
  <c r="G42" i="1"/>
  <c r="E42" i="1"/>
  <c r="D42" i="1"/>
  <c r="C42" i="1"/>
  <c r="B42" i="1"/>
  <c r="A42" i="1"/>
  <c r="K41" i="1"/>
  <c r="J41" i="1"/>
  <c r="I41" i="1"/>
  <c r="H41" i="1"/>
  <c r="G41" i="1"/>
  <c r="E41" i="1"/>
  <c r="D41" i="1"/>
  <c r="C41" i="1"/>
  <c r="B41" i="1"/>
  <c r="A41" i="1"/>
  <c r="K40" i="1"/>
  <c r="J40" i="1"/>
  <c r="I40" i="1"/>
  <c r="H40" i="1"/>
  <c r="G40" i="1"/>
  <c r="E40" i="1"/>
  <c r="D40" i="1"/>
  <c r="C40" i="1"/>
  <c r="B40" i="1"/>
  <c r="A40" i="1"/>
  <c r="K39" i="1"/>
  <c r="J39" i="1"/>
  <c r="I39" i="1"/>
  <c r="H39" i="1"/>
  <c r="G39" i="1"/>
  <c r="E39" i="1"/>
  <c r="D39" i="1"/>
  <c r="C39" i="1"/>
  <c r="B39" i="1"/>
  <c r="A39" i="1"/>
  <c r="K38" i="1"/>
  <c r="J38" i="1"/>
  <c r="I38" i="1"/>
  <c r="H38" i="1"/>
  <c r="G38" i="1"/>
  <c r="E38" i="1"/>
  <c r="D38" i="1"/>
  <c r="C38" i="1"/>
  <c r="B38" i="1"/>
  <c r="A38" i="1"/>
  <c r="K37" i="1"/>
  <c r="J37" i="1"/>
  <c r="I37" i="1"/>
  <c r="H37" i="1"/>
  <c r="G37" i="1"/>
  <c r="E37" i="1"/>
  <c r="D37" i="1"/>
  <c r="C37" i="1"/>
  <c r="B37" i="1"/>
  <c r="A37" i="1"/>
  <c r="K36" i="1"/>
  <c r="J36" i="1"/>
  <c r="I36" i="1"/>
  <c r="H36" i="1"/>
  <c r="G36" i="1"/>
  <c r="E36" i="1"/>
  <c r="D36" i="1"/>
  <c r="C36" i="1"/>
  <c r="B36" i="1"/>
  <c r="A36" i="1"/>
  <c r="K35" i="1"/>
  <c r="J35" i="1"/>
  <c r="I35" i="1"/>
  <c r="H35" i="1"/>
  <c r="G35" i="1"/>
  <c r="E35" i="1"/>
  <c r="D35" i="1"/>
  <c r="C35" i="1"/>
  <c r="B35" i="1"/>
  <c r="A35" i="1"/>
  <c r="K34" i="1"/>
  <c r="J34" i="1"/>
  <c r="I34" i="1"/>
  <c r="H34" i="1"/>
  <c r="G34" i="1"/>
  <c r="E34" i="1"/>
  <c r="D34" i="1"/>
  <c r="C34" i="1"/>
  <c r="B34" i="1"/>
  <c r="A34" i="1"/>
  <c r="K33" i="1"/>
  <c r="J33" i="1"/>
  <c r="I33" i="1"/>
  <c r="H33" i="1"/>
  <c r="G33" i="1"/>
  <c r="E33" i="1"/>
  <c r="D33" i="1"/>
  <c r="C33" i="1"/>
  <c r="B33" i="1"/>
  <c r="A33" i="1"/>
  <c r="K32" i="1"/>
  <c r="J32" i="1"/>
  <c r="I32" i="1"/>
  <c r="H32" i="1"/>
  <c r="G32" i="1"/>
  <c r="E32" i="1"/>
  <c r="D32" i="1"/>
  <c r="C32" i="1"/>
  <c r="B32" i="1"/>
  <c r="A32" i="1"/>
  <c r="K31" i="1"/>
  <c r="J31" i="1"/>
  <c r="I31" i="1"/>
  <c r="H31" i="1"/>
  <c r="G31" i="1"/>
  <c r="E31" i="1"/>
  <c r="D31" i="1"/>
  <c r="C31" i="1"/>
  <c r="B31" i="1"/>
  <c r="A31" i="1"/>
  <c r="K30" i="1"/>
  <c r="J30" i="1"/>
  <c r="I30" i="1"/>
  <c r="H30" i="1"/>
  <c r="G30" i="1"/>
  <c r="E30" i="1"/>
  <c r="D30" i="1"/>
  <c r="C30" i="1"/>
  <c r="B30" i="1"/>
  <c r="A30" i="1"/>
  <c r="K29" i="1"/>
  <c r="J29" i="1"/>
  <c r="I29" i="1"/>
  <c r="H29" i="1"/>
  <c r="G29" i="1"/>
  <c r="E29" i="1"/>
  <c r="D29" i="1"/>
  <c r="C29" i="1"/>
  <c r="B29" i="1"/>
  <c r="A29" i="1"/>
  <c r="K28" i="1"/>
  <c r="J28" i="1"/>
  <c r="I28" i="1"/>
  <c r="H28" i="1"/>
  <c r="G28" i="1"/>
  <c r="E28" i="1"/>
  <c r="D28" i="1"/>
  <c r="C28" i="1"/>
  <c r="B28" i="1"/>
  <c r="A28" i="1"/>
  <c r="K27" i="1"/>
  <c r="J27" i="1"/>
  <c r="I27" i="1"/>
  <c r="H27" i="1"/>
  <c r="G27" i="1"/>
  <c r="E27" i="1"/>
  <c r="D27" i="1"/>
  <c r="C27" i="1"/>
  <c r="B27" i="1"/>
  <c r="A27" i="1"/>
  <c r="K26" i="1"/>
  <c r="J26" i="1"/>
  <c r="I26" i="1"/>
  <c r="H26" i="1"/>
  <c r="G26" i="1"/>
  <c r="E26" i="1"/>
  <c r="D26" i="1"/>
  <c r="C26" i="1"/>
  <c r="B26" i="1"/>
  <c r="A26" i="1"/>
  <c r="K25" i="1"/>
  <c r="J25" i="1"/>
  <c r="I25" i="1"/>
  <c r="H25" i="1"/>
  <c r="G25" i="1"/>
  <c r="E25" i="1"/>
  <c r="D25" i="1"/>
  <c r="C25" i="1"/>
  <c r="B25" i="1"/>
  <c r="A25" i="1"/>
  <c r="K24" i="1"/>
  <c r="J24" i="1"/>
  <c r="I24" i="1"/>
  <c r="H24" i="1"/>
  <c r="G24" i="1"/>
  <c r="E24" i="1"/>
  <c r="D24" i="1"/>
  <c r="C24" i="1"/>
  <c r="B24" i="1"/>
  <c r="A24" i="1"/>
  <c r="K23" i="1"/>
  <c r="J23" i="1"/>
  <c r="I23" i="1"/>
  <c r="H23" i="1"/>
  <c r="G23" i="1"/>
  <c r="E23" i="1"/>
  <c r="D23" i="1"/>
  <c r="C23" i="1"/>
  <c r="B23" i="1"/>
  <c r="A23" i="1"/>
  <c r="K22" i="1"/>
  <c r="J22" i="1"/>
  <c r="I22" i="1"/>
  <c r="H22" i="1"/>
  <c r="G22" i="1"/>
  <c r="E22" i="1"/>
  <c r="D22" i="1"/>
  <c r="C22" i="1"/>
  <c r="B22" i="1"/>
  <c r="A22" i="1"/>
  <c r="K21" i="1"/>
  <c r="J21" i="1"/>
  <c r="I21" i="1"/>
  <c r="H21" i="1"/>
  <c r="G21" i="1"/>
  <c r="E21" i="1"/>
  <c r="D21" i="1"/>
  <c r="C21" i="1"/>
  <c r="B21" i="1"/>
  <c r="A21" i="1"/>
  <c r="K20" i="1"/>
  <c r="J20" i="1"/>
  <c r="I20" i="1"/>
  <c r="H20" i="1"/>
  <c r="G20" i="1"/>
  <c r="E20" i="1"/>
  <c r="D20" i="1"/>
  <c r="C20" i="1"/>
  <c r="B20" i="1"/>
  <c r="A20" i="1"/>
  <c r="K19" i="1"/>
  <c r="J19" i="1"/>
  <c r="I19" i="1"/>
  <c r="H19" i="1"/>
  <c r="G19" i="1"/>
  <c r="E19" i="1"/>
  <c r="D19" i="1"/>
  <c r="C19" i="1"/>
  <c r="B19" i="1"/>
  <c r="A19" i="1"/>
  <c r="K18" i="1"/>
  <c r="J18" i="1"/>
  <c r="I18" i="1"/>
  <c r="H18" i="1"/>
  <c r="G18" i="1"/>
  <c r="E18" i="1"/>
  <c r="D18" i="1"/>
  <c r="C18" i="1"/>
  <c r="B18" i="1"/>
  <c r="A18" i="1"/>
  <c r="K17" i="1"/>
  <c r="J17" i="1"/>
  <c r="I17" i="1"/>
  <c r="H17" i="1"/>
  <c r="G17" i="1"/>
  <c r="E17" i="1"/>
  <c r="D17" i="1"/>
  <c r="C17" i="1"/>
  <c r="B17" i="1"/>
  <c r="A17" i="1"/>
  <c r="K16" i="1"/>
  <c r="J16" i="1"/>
  <c r="I16" i="1"/>
  <c r="H16" i="1"/>
  <c r="G16" i="1"/>
  <c r="E16" i="1"/>
  <c r="D16" i="1"/>
  <c r="C16" i="1"/>
  <c r="B16" i="1"/>
  <c r="A16" i="1"/>
  <c r="K15" i="1"/>
  <c r="J15" i="1"/>
  <c r="I15" i="1"/>
  <c r="H15" i="1"/>
  <c r="G15" i="1"/>
  <c r="E15" i="1"/>
  <c r="D15" i="1"/>
  <c r="C15" i="1"/>
  <c r="B15" i="1"/>
  <c r="A15" i="1"/>
  <c r="K14" i="1"/>
  <c r="J14" i="1"/>
  <c r="I14" i="1"/>
  <c r="H14" i="1"/>
  <c r="G14" i="1"/>
  <c r="E14" i="1"/>
  <c r="D14" i="1"/>
  <c r="C14" i="1"/>
  <c r="B14" i="1"/>
  <c r="A14" i="1"/>
  <c r="K13" i="1"/>
  <c r="J13" i="1"/>
  <c r="I13" i="1"/>
  <c r="H13" i="1"/>
  <c r="G13" i="1"/>
  <c r="E13" i="1"/>
  <c r="D13" i="1"/>
  <c r="C13" i="1"/>
  <c r="B13" i="1"/>
  <c r="A13" i="1"/>
  <c r="K12" i="1"/>
  <c r="J12" i="1"/>
  <c r="I12" i="1"/>
  <c r="H12" i="1"/>
  <c r="G12" i="1"/>
  <c r="E12" i="1"/>
  <c r="D12" i="1"/>
  <c r="C12" i="1"/>
  <c r="B12" i="1"/>
  <c r="A12" i="1"/>
  <c r="K11" i="1"/>
  <c r="J11" i="1"/>
  <c r="I11" i="1"/>
  <c r="H11" i="1"/>
  <c r="G11" i="1"/>
  <c r="E11" i="1"/>
  <c r="D11" i="1"/>
  <c r="C11" i="1"/>
  <c r="B11" i="1"/>
  <c r="A11" i="1"/>
  <c r="K10" i="1"/>
  <c r="J10" i="1"/>
  <c r="I10" i="1"/>
  <c r="H10" i="1"/>
  <c r="G10" i="1"/>
  <c r="E10" i="1"/>
  <c r="D10" i="1"/>
  <c r="C10" i="1"/>
  <c r="B10" i="1"/>
  <c r="A10" i="1"/>
  <c r="K9" i="1"/>
  <c r="J9" i="1"/>
  <c r="I9" i="1"/>
  <c r="H9" i="1"/>
  <c r="G9" i="1"/>
  <c r="E9" i="1"/>
  <c r="D9" i="1"/>
  <c r="C9" i="1"/>
  <c r="B9" i="1"/>
  <c r="A9" i="1"/>
  <c r="K8" i="1"/>
  <c r="J8" i="1"/>
  <c r="I8" i="1"/>
  <c r="H8" i="1"/>
  <c r="G8" i="1"/>
  <c r="E8" i="1"/>
  <c r="D8" i="1"/>
  <c r="C8" i="1"/>
  <c r="B8" i="1"/>
  <c r="A8" i="1"/>
  <c r="K7" i="1"/>
  <c r="J7" i="1"/>
  <c r="I7" i="1"/>
  <c r="H7" i="1"/>
  <c r="G7" i="1"/>
  <c r="E7" i="1"/>
  <c r="D7" i="1"/>
  <c r="C7" i="1"/>
  <c r="B7" i="1"/>
  <c r="A7" i="1"/>
  <c r="K6" i="1"/>
  <c r="J6" i="1"/>
  <c r="I6" i="1"/>
  <c r="H6" i="1"/>
  <c r="G6" i="1"/>
  <c r="E6" i="1"/>
  <c r="D6" i="1"/>
  <c r="C6" i="1"/>
  <c r="B6" i="1"/>
  <c r="A6" i="1"/>
  <c r="K5" i="1"/>
  <c r="J5" i="1"/>
  <c r="I5" i="1"/>
  <c r="H5" i="1"/>
  <c r="G5" i="1"/>
  <c r="F5" i="1"/>
  <c r="E5" i="1"/>
  <c r="D5" i="1"/>
  <c r="C5" i="1"/>
  <c r="B5" i="1"/>
  <c r="A5" i="1"/>
</calcChain>
</file>

<file path=xl/sharedStrings.xml><?xml version="1.0" encoding="utf-8"?>
<sst xmlns="http://schemas.openxmlformats.org/spreadsheetml/2006/main" count="13" uniqueCount="13">
  <si>
    <t>Enter Week Start Date (Should be a Monday):</t>
  </si>
  <si>
    <t>Open this link to download this sheet only</t>
  </si>
  <si>
    <t>Provider</t>
  </si>
  <si>
    <t>Test Type</t>
  </si>
  <si>
    <t>Age</t>
  </si>
  <si>
    <t>Start Date</t>
  </si>
  <si>
    <t>End Date</t>
  </si>
  <si>
    <t>Notes</t>
  </si>
  <si>
    <t>Location</t>
  </si>
  <si>
    <t>Address</t>
  </si>
  <si>
    <t>Borough</t>
  </si>
  <si>
    <t>Zip</t>
  </si>
  <si>
    <t>Open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</si>
</sst>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/d"/>
  </numFmts>
  <fonts count="9">
    <font>
      <sz val="10"/>
      <color rgb="FF000000"/>
      <name val="Arial"/>
    </font>
    <font>
      <b/>
      <sz val="12"/>
      <color rgb="FFFFFFFF"/>
      <name val="Calibri"/>
    </font>
    <font>
      <sz val="10"/>
      <name val="Arial"/>
    </font>
    <font>
      <sz val="14"/>
      <color theme="1"/>
      <name val="Arial"/>
    </font>
    <font>
      <b/>
      <u/>
      <sz val="11"/>
      <color rgb="FF1155CC"/>
      <name val="Inconsolata"/>
    </font>
    <font>
      <sz val="10"/>
      <color theme="1"/>
      <name val="Arial"/>
    </font>
    <font>
      <b/>
      <sz val="10"/>
      <color theme="0"/>
      <name val="Calibri"/>
    </font>
    <font>
      <b/>
      <sz val="10"/>
      <color rgb="FFFFFFFF"/>
      <name val="Calibri"/>
    </font>
    <font>
      <sz val="11"/>
      <color rgb="FF000000"/>
      <name val="Inconsolata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EF8E3"/>
        <bgColor rgb="FFFEF8E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164" fontId="3" fillId="3" borderId="4" xfId="0" applyNumberFormat="1" applyFont="1" applyFill="1" applyBorder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165" fontId="5" fillId="4" borderId="0" xfId="0" applyNumberFormat="1" applyFont="1" applyFill="1" applyAlignment="1"/>
    <xf numFmtId="0" fontId="5" fillId="4" borderId="0" xfId="0" applyFont="1" applyFill="1" applyAlignment="1"/>
    <xf numFmtId="0" fontId="5" fillId="4" borderId="0" xfId="0" applyFont="1" applyFill="1" applyAlignment="1">
      <alignment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5" fillId="0" borderId="0" xfId="0" applyFont="1"/>
    <xf numFmtId="0" fontId="8" fillId="4" borderId="0" xfId="0" applyFont="1" applyFill="1"/>
    <xf numFmtId="14" fontId="5" fillId="0" borderId="0" xfId="0" applyNumberFormat="1" applyFont="1"/>
    <xf numFmtId="0" fontId="5" fillId="0" borderId="0" xfId="0" applyFont="1" applyAlignment="1">
      <alignment wrapText="1"/>
    </xf>
    <xf numFmtId="1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E599"/>
          <bgColor rgb="FFFFE5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FFF00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HSsThFVBRKD-qIjAUMAUmUzfGidRlgsJWLdy6JCfDGk/export?format=xlsx&amp;gid=988293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1C232"/>
    <outlinePr summaryBelow="0" summaryRight="0"/>
  </sheetPr>
  <dimension ref="A1:BC344"/>
  <sheetViews>
    <sheetView tabSelected="1" topLeftCell="A34" workbookViewId="0">
      <selection activeCell="B96" sqref="B96:C163"/>
    </sheetView>
  </sheetViews>
  <sheetFormatPr defaultColWidth="14.42578125" defaultRowHeight="15.75" customHeight="1"/>
  <cols>
    <col min="2" max="2" width="24.140625" customWidth="1"/>
    <col min="6" max="6" width="25.85546875" customWidth="1"/>
    <col min="7" max="7" width="49" customWidth="1"/>
    <col min="8" max="8" width="54.42578125" customWidth="1"/>
  </cols>
  <sheetData>
    <row r="1" spans="1:55" ht="15.75" customHeight="1">
      <c r="A1" s="25" t="s">
        <v>0</v>
      </c>
      <c r="B1" s="26"/>
      <c r="C1" s="26"/>
      <c r="D1" s="27"/>
      <c r="E1" s="1">
        <v>44571</v>
      </c>
      <c r="F1" s="2" t="s">
        <v>1</v>
      </c>
      <c r="G1" s="3"/>
      <c r="H1" s="4"/>
      <c r="I1" s="5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>
      <c r="B2" s="6"/>
      <c r="C2" s="7"/>
      <c r="D2" s="7"/>
      <c r="E2" s="7"/>
      <c r="F2" s="7"/>
      <c r="G2" s="7"/>
      <c r="H2" s="8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>
      <c r="A3" s="9"/>
      <c r="B3" s="9"/>
      <c r="C3" s="9"/>
      <c r="D3" s="9"/>
      <c r="E3" s="9"/>
      <c r="F3" s="10"/>
      <c r="G3" s="11"/>
      <c r="H3" s="11"/>
      <c r="I3" s="12"/>
      <c r="J3" s="9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</row>
    <row r="4" spans="1:55">
      <c r="A4" s="14" t="s">
        <v>2</v>
      </c>
      <c r="B4" s="15" t="s">
        <v>3</v>
      </c>
      <c r="C4" s="15" t="s">
        <v>4</v>
      </c>
      <c r="D4" s="14" t="s">
        <v>5</v>
      </c>
      <c r="E4" s="14" t="s">
        <v>6</v>
      </c>
      <c r="F4" s="16" t="s">
        <v>7</v>
      </c>
      <c r="G4" s="17" t="s">
        <v>8</v>
      </c>
      <c r="H4" s="17" t="s">
        <v>9</v>
      </c>
      <c r="I4" s="18" t="s">
        <v>10</v>
      </c>
      <c r="J4" s="14" t="s">
        <v>11</v>
      </c>
      <c r="K4" s="19" t="s">
        <v>12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</row>
    <row r="5" spans="1:55">
      <c r="A5" s="20" t="str">
        <f ca="1">IFERROR(__xludf.DUMMYFUNCTION("FILTER('Master Schedule RAW'!C$3:C2051,'Master Schedule RAW'!$F$3:$F2051&gt;=$E$1,'Master Schedule RAW'!$F$3:$F2051&lt;=$E$1+6,'Master Schedule RAW'!C3:C2051&lt;&gt;""BRL"",'Master Schedule RAW'!C3:C2051&lt;&gt;""DOE Premier"",'Master Schedule RAW'!C3:C2051&lt;&gt;""SOMOS"",'Mas"&amp;"ter Schedule RAW'!D3:D2051&lt;&gt;""Fixed site"",'Master Schedule RAW'!O3:O2051&lt;&gt;""no"",'Master Schedule RAW'!C3:C2051&lt;&gt;""MedRite"")"),"RRT")</f>
        <v>RRT</v>
      </c>
      <c r="B5" s="20" t="str">
        <f ca="1">IFERROR(__xludf.DUMMYFUNCTION("FILTER('Master Schedule RAW'!S$3:S2051,'Master Schedule RAW'!$F$3:$F2051&gt;=$E$1,'Master Schedule RAW'!$F$3:$F2051&lt;=$E$1+6,'Master Schedule RAW'!C3:C2051&lt;&gt;""BRL"",'Master Schedule RAW'!C3:C2051&lt;&gt;""DOE Premier"",'Master Schedule RAW'!C3:C2051&lt;&gt;""SOMOS"",'Mas"&amp;"ter Schedule RAW'!O3:O2051&lt;&gt;""no"",'Master Schedule RAW'!D3:D2051&lt;&gt;""Fixed Site"",'Master Schedule RAW'!C3:C2051&lt;&gt;""MedRite"")"),"PCR + Rapid Antigen")</f>
        <v>PCR + Rapid Antigen</v>
      </c>
      <c r="C5" s="21" t="str">
        <f ca="1">IFERROR(__xludf.DUMMYFUNCTION("FILTER('Master Schedule RAW'!T$3:T2051,'Master Schedule RAW'!$F$3:$F2051&gt;=$E$1,'Master Schedule RAW'!$F$3:$F2051&lt;=$E$1+6,'Master Schedule RAW'!C3:C2051&lt;&gt;""BRL"",'Master Schedule RAW'!C3:C2051&lt;&gt;""DOE Premier"",'Master Schedule RAW'!C3:C2051&lt;&gt;""SOMOS"",'Mas"&amp;"ter Schedule RAW'!O3:O2051&lt;&gt;""no"",'Master Schedule RAW'!D3:D2051&lt;&gt;""Fixed Site"",'Master Schedule RAW'!C3:C2051&lt;&gt;""MedRite"")"),"4+")</f>
        <v>4+</v>
      </c>
      <c r="D5" s="22">
        <f ca="1">IFERROR(__xludf.DUMMYFUNCTION("FILTER('Master Schedule RAW'!F$3:F2051,'Master Schedule RAW'!$F$3:$F2051&gt;=$E$1,'Master Schedule RAW'!$F$3:$F2051&lt;=$E$1+6,'Master Schedule RAW'!C3:C2051&lt;&gt;""BRL"",'Master Schedule RAW'!C3:C2051&lt;&gt;""DOE Premier"",'Master Schedule RAW'!C3:C2051&lt;&gt;""SOMOS"",'Mas"&amp;"ter Schedule RAW'!O3:O2051&lt;&gt;""no"",'Master Schedule RAW'!D3:D2051&lt;&gt;""Fixed Site"",'Master Schedule RAW'!C3:C2051&lt;&gt;""MedRite"")"),44571)</f>
        <v>44571</v>
      </c>
      <c r="E5" s="22">
        <f ca="1">IFERROR(__xludf.DUMMYFUNCTION("FILTER('Master Schedule RAW'!G$3:G2051,'Master Schedule RAW'!$F$3:$F2051&gt;=$E$1,'Master Schedule RAW'!$F$3:$F2051&lt;=$E$1+6,'Master Schedule RAW'!$C$3:$C2051&lt;&gt;""BRL"",'Master Schedule RAW'!C3:C2051&lt;&gt;""DOE Premier"",'Master Schedule RAW'!C3:C2051&lt;&gt;""SOMOS"",'"&amp;"Master Schedule RAW'!O3:O2051&lt;&gt;""no"",'Master Schedule RAW'!D3:D2051&lt;&gt;""Fixed Site"",'Master Schedule RAW'!C3:C2051&lt;&gt;""MedRite"")"),44577)</f>
        <v>44577</v>
      </c>
      <c r="F5" s="21" t="str">
        <f ca="1">IFERROR(__xludf.DUMMYFUNCTION("FILTER('Master Schedule RAW'!H$3:H2051,'Master Schedule RAW'!$F$3:$F2051&gt;=$E$1,'Master Schedule RAW'!$F$3:$F2051&lt;=$E$1+6,'Master Schedule RAW'!C3:C2051&lt;&gt;""BRL"",'Master Schedule RAW'!C3:C2051&lt;&gt;""DOE Premier"",'Master Schedule RAW'!C3:C2051&lt;&gt;""SOMOS"",'Mas"&amp;"ter Schedule RAW'!O3:O2051&lt;&gt;""no"",'Master Schedule RAW'!D3:D2051&lt;&gt;""Fixed Site"",'Master Schedule RAW'!C3:C2051&lt;&gt;""MedRite"")"),"")</f>
        <v/>
      </c>
      <c r="G5" s="23" t="str">
        <f ca="1">IFERROR(__xludf.DUMMYFUNCTION("FILTER('Master Schedule RAW'!I$3:I2051,'Master Schedule RAW'!$F$3:$F2051&gt;=$E$1,'Master Schedule RAW'!$F$3:$F2051&lt;=$E$1+6,'Master Schedule RAW'!$C$3:$C2051&lt;&gt;""BRL"",'Master Schedule RAW'!C3:C2051&lt;&gt;""DOE Premier"",'Master Schedule RAW'!C3:C2051&lt;&gt;""SOMOS"",'"&amp;"Master Schedule RAW'!O3:O2051&lt;&gt;""no"",'Master Schedule RAW'!D3:D2051&lt;&gt;""Fixed Site"",'Master Schedule RAW'!C3:C2051&lt;&gt;""MedRite"")"),"Gotham Sydenham")</f>
        <v>Gotham Sydenham</v>
      </c>
      <c r="H5" s="23" t="str">
        <f ca="1">IFERROR(__xludf.DUMMYFUNCTION("FILTER('Master Schedule RAW'!K$3:K2051,'Master Schedule RAW'!$F$3:$F2051&gt;=$E$1,'Master Schedule RAW'!$F$3:$F2051&lt;=$E$1+6,'Master Schedule RAW'!$C$3:$C2051&lt;&gt;""BRL"",'Master Schedule RAW'!C3:C2051&lt;&gt;""DOE Premier"",'Master Schedule RAW'!C3:C2051&lt;&gt;""SOMOS"",'"&amp;"Master Schedule RAW'!O3:O2051&lt;&gt;""no"",'Master Schedule RAW'!D3:D2051&lt;&gt;""Fixed Site"", 'Master Schedule RAW'!C3:C2051&lt;&gt;""MedRite"")"),"264 W 118th St")</f>
        <v>264 W 118th St</v>
      </c>
      <c r="I5" s="20" t="str">
        <f ca="1">IFERROR(__xludf.DUMMYFUNCTION("FILTER('Master Schedule RAW'!M$3:M2051,'Master Schedule RAW'!$F$3:$F2051&gt;=$E$1,'Master Schedule RAW'!$F$3:$F2051&lt;=$E$1+6,'Master Schedule RAW'!$C$3:$C2051&lt;&gt;""BRL"",'Master Schedule RAW'!C3:C2051&lt;&gt;""DOE Premier"",'Master Schedule RAW'!C3:C2051&lt;&gt;""SOMOS"",'"&amp;"Master Schedule RAW'!O3:O2051&lt;&gt;""no"",'Master Schedule RAW'!D3:D2051&lt;&gt;""Fixed Site"",'Master Schedule RAW'!C3:C2051&lt;&gt;""MedRite"")"),"Manhattan")</f>
        <v>Manhattan</v>
      </c>
      <c r="J5" s="24">
        <f ca="1">IFERROR(__xludf.DUMMYFUNCTION("FILTER('Master Schedule RAW'!N$3:N2051,'Master Schedule RAW'!$F$3:$F2051&gt;=$E$1,'Master Schedule RAW'!$F$3:$F2051&lt;=$E$1+6,'Master Schedule RAW'!$C$3:$C2051&lt;&gt;""BRL"",'Master Schedule RAW'!C3:C2051&lt;&gt;""DOE Premier"",'Master Schedule RAW'!C3:C2051&lt;&gt;""SOMOS"",'"&amp;"Master Schedule RAW'!O3:O2051&lt;&gt;""no"",'Master Schedule RAW'!D3:D2051&lt;&gt;""Fixed Site"",'Master Schedule RAW'!C3:C2051&lt;&gt;""MedRite"")"),10026)</f>
        <v>10026</v>
      </c>
      <c r="K5" s="20" t="str">
        <f ca="1">IFERROR(__xludf.DUMMYFUNCTION("FILTER('Master Schedule RAW'!Q$3:Q2051,'Master Schedule RAW'!$F$3:$F2051&gt;=$E$1,'Master Schedule RAW'!$F$3:$F2051&lt;=$E$1+6,'Master Schedule RAW'!$C$3:$C2051&lt;&gt;""BRL"",'Master Schedule RAW'!C3:C2051&lt;&gt;""DOE Premier"",'Master Schedule RAW'!C3:C2051&lt;&gt;""SOMOS"",'"&amp;"Master Schedule RAW'!O3:O2051&lt;&gt;""no"",'Master Schedule RAW'!D3:D2051&lt;&gt;""Fixed Site"",'Master Schedule RAW'!C3:C2051&lt;&gt;""MedRite"")"),"9am-7pm")</f>
        <v>9am-7pm</v>
      </c>
    </row>
    <row r="6" spans="1:55">
      <c r="A6" s="20" t="str">
        <f ca="1">IFERROR(__xludf.DUMMYFUNCTION("""COMPUTED_VALUE"""),"RRT")</f>
        <v>RRT</v>
      </c>
      <c r="B6" s="20" t="str">
        <f ca="1">IFERROR(__xludf.DUMMYFUNCTION("""COMPUTED_VALUE"""),"PCR + Rapid Antigen")</f>
        <v>PCR + Rapid Antigen</v>
      </c>
      <c r="C6" s="20" t="str">
        <f ca="1">IFERROR(__xludf.DUMMYFUNCTION("""COMPUTED_VALUE"""),"4+")</f>
        <v>4+</v>
      </c>
      <c r="D6" s="22">
        <f ca="1">IFERROR(__xludf.DUMMYFUNCTION("""COMPUTED_VALUE"""),44571)</f>
        <v>44571</v>
      </c>
      <c r="E6" s="22">
        <f ca="1">IFERROR(__xludf.DUMMYFUNCTION("""COMPUTED_VALUE"""),44571)</f>
        <v>44571</v>
      </c>
      <c r="F6" s="20"/>
      <c r="G6" s="20" t="str">
        <f ca="1">IFERROR(__xludf.DUMMYFUNCTION("""COMPUTED_VALUE"""),"Herbert Von King Park")</f>
        <v>Herbert Von King Park</v>
      </c>
      <c r="H6" s="20" t="str">
        <f ca="1">IFERROR(__xludf.DUMMYFUNCTION("""COMPUTED_VALUE"""),"670 Lafayette Av")</f>
        <v>670 Lafayette Av</v>
      </c>
      <c r="I6" s="20" t="str">
        <f ca="1">IFERROR(__xludf.DUMMYFUNCTION("""COMPUTED_VALUE"""),"Brooklyn")</f>
        <v>Brooklyn</v>
      </c>
      <c r="J6" s="24">
        <f ca="1">IFERROR(__xludf.DUMMYFUNCTION("""COMPUTED_VALUE"""),11216)</f>
        <v>11216</v>
      </c>
      <c r="K6" s="20" t="str">
        <f ca="1">IFERROR(__xludf.DUMMYFUNCTION("""COMPUTED_VALUE"""),"8am-7pm")</f>
        <v>8am-7pm</v>
      </c>
    </row>
    <row r="7" spans="1:55">
      <c r="A7" s="20" t="str">
        <f ca="1">IFERROR(__xludf.DUMMYFUNCTION("""COMPUTED_VALUE"""),"RRT")</f>
        <v>RRT</v>
      </c>
      <c r="B7" s="20" t="str">
        <f ca="1">IFERROR(__xludf.DUMMYFUNCTION("""COMPUTED_VALUE"""),"PCR + Rapid Antigen")</f>
        <v>PCR + Rapid Antigen</v>
      </c>
      <c r="C7" s="20" t="str">
        <f ca="1">IFERROR(__xludf.DUMMYFUNCTION("""COMPUTED_VALUE"""),"4+")</f>
        <v>4+</v>
      </c>
      <c r="D7" s="22">
        <f ca="1">IFERROR(__xludf.DUMMYFUNCTION("""COMPUTED_VALUE"""),44572)</f>
        <v>44572</v>
      </c>
      <c r="E7" s="22">
        <f ca="1">IFERROR(__xludf.DUMMYFUNCTION("""COMPUTED_VALUE"""),44572)</f>
        <v>44572</v>
      </c>
      <c r="F7" s="20"/>
      <c r="G7" s="20" t="str">
        <f ca="1">IFERROR(__xludf.DUMMYFUNCTION("""COMPUTED_VALUE"""),"Sta Cruz Episcopal Church")</f>
        <v>Sta Cruz Episcopal Church</v>
      </c>
      <c r="H7" s="20" t="str">
        <f ca="1">IFERROR(__xludf.DUMMYFUNCTION("""COMPUTED_VALUE"""),"176 St. Nicholas Avenue")</f>
        <v>176 St. Nicholas Avenue</v>
      </c>
      <c r="I7" s="20" t="str">
        <f ca="1">IFERROR(__xludf.DUMMYFUNCTION("""COMPUTED_VALUE"""),"Brooklyn")</f>
        <v>Brooklyn</v>
      </c>
      <c r="J7" s="24">
        <f ca="1">IFERROR(__xludf.DUMMYFUNCTION("""COMPUTED_VALUE"""),11237)</f>
        <v>11237</v>
      </c>
      <c r="K7" s="20" t="str">
        <f ca="1">IFERROR(__xludf.DUMMYFUNCTION("""COMPUTED_VALUE"""),"10am-5pm")</f>
        <v>10am-5pm</v>
      </c>
    </row>
    <row r="8" spans="1:55">
      <c r="A8" s="20" t="str">
        <f ca="1">IFERROR(__xludf.DUMMYFUNCTION("""COMPUTED_VALUE"""),"RRT")</f>
        <v>RRT</v>
      </c>
      <c r="B8" s="20" t="str">
        <f ca="1">IFERROR(__xludf.DUMMYFUNCTION("""COMPUTED_VALUE"""),"PCR + Rapid Antigen")</f>
        <v>PCR + Rapid Antigen</v>
      </c>
      <c r="C8" s="20" t="str">
        <f ca="1">IFERROR(__xludf.DUMMYFUNCTION("""COMPUTED_VALUE"""),"4+")</f>
        <v>4+</v>
      </c>
      <c r="D8" s="22">
        <f ca="1">IFERROR(__xludf.DUMMYFUNCTION("""COMPUTED_VALUE"""),44573)</f>
        <v>44573</v>
      </c>
      <c r="E8" s="22">
        <f ca="1">IFERROR(__xludf.DUMMYFUNCTION("""COMPUTED_VALUE"""),44574)</f>
        <v>44574</v>
      </c>
      <c r="F8" s="20"/>
      <c r="G8" s="20" t="str">
        <f ca="1">IFERROR(__xludf.DUMMYFUNCTION("""COMPUTED_VALUE"""),"Weeksville Heritage Center")</f>
        <v>Weeksville Heritage Center</v>
      </c>
      <c r="H8" s="20" t="str">
        <f ca="1">IFERROR(__xludf.DUMMYFUNCTION("""COMPUTED_VALUE"""),"Buffalo Ave and Bergen St")</f>
        <v>Buffalo Ave and Bergen St</v>
      </c>
      <c r="I8" s="20" t="str">
        <f ca="1">IFERROR(__xludf.DUMMYFUNCTION("""COMPUTED_VALUE"""),"Brooklyn")</f>
        <v>Brooklyn</v>
      </c>
      <c r="J8" s="24">
        <f ca="1">IFERROR(__xludf.DUMMYFUNCTION("""COMPUTED_VALUE"""),11213)</f>
        <v>11213</v>
      </c>
      <c r="K8" s="20" t="str">
        <f ca="1">IFERROR(__xludf.DUMMYFUNCTION("""COMPUTED_VALUE"""),"8am-6pm")</f>
        <v>8am-6pm</v>
      </c>
    </row>
    <row r="9" spans="1:55">
      <c r="A9" s="20" t="str">
        <f ca="1">IFERROR(__xludf.DUMMYFUNCTION("""COMPUTED_VALUE"""),"RRT")</f>
        <v>RRT</v>
      </c>
      <c r="B9" s="20" t="str">
        <f ca="1">IFERROR(__xludf.DUMMYFUNCTION("""COMPUTED_VALUE"""),"PCR + Rapid Antigen")</f>
        <v>PCR + Rapid Antigen</v>
      </c>
      <c r="C9" s="20" t="str">
        <f ca="1">IFERROR(__xludf.DUMMYFUNCTION("""COMPUTED_VALUE"""),"4+")</f>
        <v>4+</v>
      </c>
      <c r="D9" s="22">
        <f ca="1">IFERROR(__xludf.DUMMYFUNCTION("""COMPUTED_VALUE"""),44575)</f>
        <v>44575</v>
      </c>
      <c r="E9" s="22">
        <f ca="1">IFERROR(__xludf.DUMMYFUNCTION("""COMPUTED_VALUE"""),44576)</f>
        <v>44576</v>
      </c>
      <c r="F9" s="20"/>
      <c r="G9" s="20" t="str">
        <f ca="1">IFERROR(__xludf.DUMMYFUNCTION("""COMPUTED_VALUE"""),"Weeksville Heritage Center")</f>
        <v>Weeksville Heritage Center</v>
      </c>
      <c r="H9" s="20" t="str">
        <f ca="1">IFERROR(__xludf.DUMMYFUNCTION("""COMPUTED_VALUE"""),"Buffalo Ave and Bergen St")</f>
        <v>Buffalo Ave and Bergen St</v>
      </c>
      <c r="I9" s="20" t="str">
        <f ca="1">IFERROR(__xludf.DUMMYFUNCTION("""COMPUTED_VALUE"""),"Brooklyn")</f>
        <v>Brooklyn</v>
      </c>
      <c r="J9" s="24">
        <f ca="1">IFERROR(__xludf.DUMMYFUNCTION("""COMPUTED_VALUE"""),11213)</f>
        <v>11213</v>
      </c>
      <c r="K9" s="20" t="str">
        <f ca="1">IFERROR(__xludf.DUMMYFUNCTION("""COMPUTED_VALUE"""),"8am-5pm")</f>
        <v>8am-5pm</v>
      </c>
    </row>
    <row r="10" spans="1:55">
      <c r="A10" s="20" t="str">
        <f ca="1">IFERROR(__xludf.DUMMYFUNCTION("""COMPUTED_VALUE"""),"RRT")</f>
        <v>RRT</v>
      </c>
      <c r="B10" s="20" t="str">
        <f ca="1">IFERROR(__xludf.DUMMYFUNCTION("""COMPUTED_VALUE"""),"PCR + Rapid Antigen")</f>
        <v>PCR + Rapid Antigen</v>
      </c>
      <c r="C10" s="20" t="str">
        <f ca="1">IFERROR(__xludf.DUMMYFUNCTION("""COMPUTED_VALUE"""),"4+")</f>
        <v>4+</v>
      </c>
      <c r="D10" s="22">
        <f ca="1">IFERROR(__xludf.DUMMYFUNCTION("""COMPUTED_VALUE"""),44577)</f>
        <v>44577</v>
      </c>
      <c r="E10" s="22">
        <f ca="1">IFERROR(__xludf.DUMMYFUNCTION("""COMPUTED_VALUE"""),44577)</f>
        <v>44577</v>
      </c>
      <c r="F10" s="20"/>
      <c r="G10" s="20" t="str">
        <f ca="1">IFERROR(__xludf.DUMMYFUNCTION("""COMPUTED_VALUE"""),"Abyssinian Baptist Church - Pediatric")</f>
        <v>Abyssinian Baptist Church - Pediatric</v>
      </c>
      <c r="H10" s="20" t="str">
        <f ca="1">IFERROR(__xludf.DUMMYFUNCTION("""COMPUTED_VALUE"""),"132 West 138th Street")</f>
        <v>132 West 138th Street</v>
      </c>
      <c r="I10" s="20" t="str">
        <f ca="1">IFERROR(__xludf.DUMMYFUNCTION("""COMPUTED_VALUE"""),"Manhattan")</f>
        <v>Manhattan</v>
      </c>
      <c r="J10" s="24">
        <f ca="1">IFERROR(__xludf.DUMMYFUNCTION("""COMPUTED_VALUE"""),10030)</f>
        <v>10030</v>
      </c>
      <c r="K10" s="20" t="str">
        <f ca="1">IFERROR(__xludf.DUMMYFUNCTION("""COMPUTED_VALUE"""),"8am-6pm")</f>
        <v>8am-6pm</v>
      </c>
    </row>
    <row r="11" spans="1:55">
      <c r="A11" s="20" t="str">
        <f ca="1">IFERROR(__xludf.DUMMYFUNCTION("""COMPUTED_VALUE"""),"RRT")</f>
        <v>RRT</v>
      </c>
      <c r="B11" s="20" t="str">
        <f ca="1">IFERROR(__xludf.DUMMYFUNCTION("""COMPUTED_VALUE"""),"PCR + Rapid Antigen")</f>
        <v>PCR + Rapid Antigen</v>
      </c>
      <c r="C11" s="20" t="str">
        <f ca="1">IFERROR(__xludf.DUMMYFUNCTION("""COMPUTED_VALUE"""),"4+")</f>
        <v>4+</v>
      </c>
      <c r="D11" s="22">
        <f ca="1">IFERROR(__xludf.DUMMYFUNCTION("""COMPUTED_VALUE"""),44571)</f>
        <v>44571</v>
      </c>
      <c r="E11" s="22">
        <f ca="1">IFERROR(__xludf.DUMMYFUNCTION("""COMPUTED_VALUE"""),44575)</f>
        <v>44575</v>
      </c>
      <c r="F11" s="20"/>
      <c r="G11" s="20" t="str">
        <f ca="1">IFERROR(__xludf.DUMMYFUNCTION("""COMPUTED_VALUE"""),"Kings of Kings Foundation")</f>
        <v>Kings of Kings Foundation</v>
      </c>
      <c r="H11" s="20" t="str">
        <f ca="1">IFERROR(__xludf.DUMMYFUNCTION("""COMPUTED_VALUE"""),"106-56 Guy R. Brewer Blvd")</f>
        <v>106-56 Guy R. Brewer Blvd</v>
      </c>
      <c r="I11" s="20" t="str">
        <f ca="1">IFERROR(__xludf.DUMMYFUNCTION("""COMPUTED_VALUE"""),"Queens")</f>
        <v>Queens</v>
      </c>
      <c r="J11" s="24">
        <f ca="1">IFERROR(__xludf.DUMMYFUNCTION("""COMPUTED_VALUE"""),11433)</f>
        <v>11433</v>
      </c>
      <c r="K11" s="20" t="str">
        <f ca="1">IFERROR(__xludf.DUMMYFUNCTION("""COMPUTED_VALUE"""),"9AM-5PM")</f>
        <v>9AM-5PM</v>
      </c>
    </row>
    <row r="12" spans="1:55">
      <c r="A12" s="20" t="str">
        <f ca="1">IFERROR(__xludf.DUMMYFUNCTION("""COMPUTED_VALUE"""),"RRT")</f>
        <v>RRT</v>
      </c>
      <c r="B12" s="20" t="str">
        <f ca="1">IFERROR(__xludf.DUMMYFUNCTION("""COMPUTED_VALUE"""),"PCR + Rapid Antigen")</f>
        <v>PCR + Rapid Antigen</v>
      </c>
      <c r="C12" s="20" t="str">
        <f ca="1">IFERROR(__xludf.DUMMYFUNCTION("""COMPUTED_VALUE"""),"4+")</f>
        <v>4+</v>
      </c>
      <c r="D12" s="22">
        <f ca="1">IFERROR(__xludf.DUMMYFUNCTION("""COMPUTED_VALUE"""),44576)</f>
        <v>44576</v>
      </c>
      <c r="E12" s="22">
        <f ca="1">IFERROR(__xludf.DUMMYFUNCTION("""COMPUTED_VALUE"""),44577)</f>
        <v>44577</v>
      </c>
      <c r="F12" s="20"/>
      <c r="G12" s="20" t="str">
        <f ca="1">IFERROR(__xludf.DUMMYFUNCTION("""COMPUTED_VALUE"""),"First Spanish UMC")</f>
        <v>First Spanish UMC</v>
      </c>
      <c r="H12" s="20" t="str">
        <f ca="1">IFERROR(__xludf.DUMMYFUNCTION("""COMPUTED_VALUE"""),"Corner of 111th street &amp; Lexington Ave")</f>
        <v>Corner of 111th street &amp; Lexington Ave</v>
      </c>
      <c r="I12" s="20" t="str">
        <f ca="1">IFERROR(__xludf.DUMMYFUNCTION("""COMPUTED_VALUE"""),"Manhattan")</f>
        <v>Manhattan</v>
      </c>
      <c r="J12" s="24">
        <f ca="1">IFERROR(__xludf.DUMMYFUNCTION("""COMPUTED_VALUE"""),10029)</f>
        <v>10029</v>
      </c>
      <c r="K12" s="20" t="str">
        <f ca="1">IFERROR(__xludf.DUMMYFUNCTION("""COMPUTED_VALUE"""),"8am-6pm")</f>
        <v>8am-6pm</v>
      </c>
    </row>
    <row r="13" spans="1:55">
      <c r="A13" s="20" t="str">
        <f ca="1">IFERROR(__xludf.DUMMYFUNCTION("""COMPUTED_VALUE"""),"RRT")</f>
        <v>RRT</v>
      </c>
      <c r="B13" s="20" t="str">
        <f ca="1">IFERROR(__xludf.DUMMYFUNCTION("""COMPUTED_VALUE"""),"PCR + Rapid Antigen")</f>
        <v>PCR + Rapid Antigen</v>
      </c>
      <c r="C13" s="20" t="str">
        <f ca="1">IFERROR(__xludf.DUMMYFUNCTION("""COMPUTED_VALUE"""),"4+")</f>
        <v>4+</v>
      </c>
      <c r="D13" s="22">
        <f ca="1">IFERROR(__xludf.DUMMYFUNCTION("""COMPUTED_VALUE"""),44571)</f>
        <v>44571</v>
      </c>
      <c r="E13" s="22">
        <f ca="1">IFERROR(__xludf.DUMMYFUNCTION("""COMPUTED_VALUE"""),44577)</f>
        <v>44577</v>
      </c>
      <c r="F13" s="20"/>
      <c r="G13" s="20" t="str">
        <f ca="1">IFERROR(__xludf.DUMMYFUNCTION("""COMPUTED_VALUE"""),"Beach 39th Vaccine Hub - Through 1/31/22")</f>
        <v>Beach 39th Vaccine Hub - Through 1/31/22</v>
      </c>
      <c r="H13" s="20" t="str">
        <f ca="1">IFERROR(__xludf.DUMMYFUNCTION("""COMPUTED_VALUE"""),"42-12 Rockaway Beach Blvd, Queens, NY 11691")</f>
        <v>42-12 Rockaway Beach Blvd, Queens, NY 11691</v>
      </c>
      <c r="I13" s="20" t="str">
        <f ca="1">IFERROR(__xludf.DUMMYFUNCTION("""COMPUTED_VALUE"""),"Queens")</f>
        <v>Queens</v>
      </c>
      <c r="J13" s="24">
        <f ca="1">IFERROR(__xludf.DUMMYFUNCTION("""COMPUTED_VALUE"""),11691)</f>
        <v>11691</v>
      </c>
      <c r="K13" s="20" t="str">
        <f ca="1">IFERROR(__xludf.DUMMYFUNCTION("""COMPUTED_VALUE"""),"8am-6pm")</f>
        <v>8am-6pm</v>
      </c>
    </row>
    <row r="14" spans="1:55">
      <c r="A14" s="20" t="str">
        <f ca="1">IFERROR(__xludf.DUMMYFUNCTION("""COMPUTED_VALUE"""),"RRT")</f>
        <v>RRT</v>
      </c>
      <c r="B14" s="20" t="str">
        <f ca="1">IFERROR(__xludf.DUMMYFUNCTION("""COMPUTED_VALUE"""),"PCR + Rapid Antigen")</f>
        <v>PCR + Rapid Antigen</v>
      </c>
      <c r="C14" s="20" t="str">
        <f ca="1">IFERROR(__xludf.DUMMYFUNCTION("""COMPUTED_VALUE"""),"4+")</f>
        <v>4+</v>
      </c>
      <c r="D14" s="22">
        <f ca="1">IFERROR(__xludf.DUMMYFUNCTION("""COMPUTED_VALUE"""),44571)</f>
        <v>44571</v>
      </c>
      <c r="E14" s="22">
        <f ca="1">IFERROR(__xludf.DUMMYFUNCTION("""COMPUTED_VALUE"""),44573)</f>
        <v>44573</v>
      </c>
      <c r="F14" s="20"/>
      <c r="G14" s="20" t="str">
        <f ca="1">IFERROR(__xludf.DUMMYFUNCTION("""COMPUTED_VALUE"""),"Burger King - Liberty Ave")</f>
        <v>Burger King - Liberty Ave</v>
      </c>
      <c r="H14" s="20" t="str">
        <f ca="1">IFERROR(__xludf.DUMMYFUNCTION("""COMPUTED_VALUE"""),"120-02 Liberty Ave")</f>
        <v>120-02 Liberty Ave</v>
      </c>
      <c r="I14" s="20" t="str">
        <f ca="1">IFERROR(__xludf.DUMMYFUNCTION("""COMPUTED_VALUE"""),"Queens")</f>
        <v>Queens</v>
      </c>
      <c r="J14" s="24">
        <f ca="1">IFERROR(__xludf.DUMMYFUNCTION("""COMPUTED_VALUE"""),11419)</f>
        <v>11419</v>
      </c>
      <c r="K14" s="20" t="str">
        <f ca="1">IFERROR(__xludf.DUMMYFUNCTION("""COMPUTED_VALUE"""),"8am-6pm")</f>
        <v>8am-6pm</v>
      </c>
    </row>
    <row r="15" spans="1:55">
      <c r="A15" s="20" t="str">
        <f ca="1">IFERROR(__xludf.DUMMYFUNCTION("""COMPUTED_VALUE"""),"RRT")</f>
        <v>RRT</v>
      </c>
      <c r="B15" s="20" t="str">
        <f ca="1">IFERROR(__xludf.DUMMYFUNCTION("""COMPUTED_VALUE"""),"PCR + Rapid Antigen")</f>
        <v>PCR + Rapid Antigen</v>
      </c>
      <c r="C15" s="20" t="str">
        <f ca="1">IFERROR(__xludf.DUMMYFUNCTION("""COMPUTED_VALUE"""),"4+")</f>
        <v>4+</v>
      </c>
      <c r="D15" s="22">
        <f ca="1">IFERROR(__xludf.DUMMYFUNCTION("""COMPUTED_VALUE"""),44574)</f>
        <v>44574</v>
      </c>
      <c r="E15" s="22">
        <f ca="1">IFERROR(__xludf.DUMMYFUNCTION("""COMPUTED_VALUE"""),44574)</f>
        <v>44574</v>
      </c>
      <c r="F15" s="20"/>
      <c r="G15" s="20" t="str">
        <f ca="1">IFERROR(__xludf.DUMMYFUNCTION("""COMPUTED_VALUE"""),"PAYO Food Pantry")</f>
        <v>PAYO Food Pantry</v>
      </c>
      <c r="H15" s="20" t="str">
        <f ca="1">IFERROR(__xludf.DUMMYFUNCTION("""COMPUTED_VALUE"""),"1045 Coney Island Ave")</f>
        <v>1045 Coney Island Ave</v>
      </c>
      <c r="I15" s="20" t="str">
        <f ca="1">IFERROR(__xludf.DUMMYFUNCTION("""COMPUTED_VALUE"""),"Brooklyn")</f>
        <v>Brooklyn</v>
      </c>
      <c r="J15" s="24">
        <f ca="1">IFERROR(__xludf.DUMMYFUNCTION("""COMPUTED_VALUE"""),11230)</f>
        <v>11230</v>
      </c>
      <c r="K15" s="20" t="str">
        <f ca="1">IFERROR(__xludf.DUMMYFUNCTION("""COMPUTED_VALUE"""),"9am-7pm")</f>
        <v>9am-7pm</v>
      </c>
    </row>
    <row r="16" spans="1:55">
      <c r="A16" s="20" t="str">
        <f ca="1">IFERROR(__xludf.DUMMYFUNCTION("""COMPUTED_VALUE"""),"RRT")</f>
        <v>RRT</v>
      </c>
      <c r="B16" s="20" t="str">
        <f ca="1">IFERROR(__xludf.DUMMYFUNCTION("""COMPUTED_VALUE"""),"PCR + Rapid Antigen")</f>
        <v>PCR + Rapid Antigen</v>
      </c>
      <c r="C16" s="20" t="str">
        <f ca="1">IFERROR(__xludf.DUMMYFUNCTION("""COMPUTED_VALUE"""),"4+")</f>
        <v>4+</v>
      </c>
      <c r="D16" s="22">
        <f ca="1">IFERROR(__xludf.DUMMYFUNCTION("""COMPUTED_VALUE"""),44575)</f>
        <v>44575</v>
      </c>
      <c r="E16" s="22">
        <f ca="1">IFERROR(__xludf.DUMMYFUNCTION("""COMPUTED_VALUE"""),44575)</f>
        <v>44575</v>
      </c>
      <c r="F16" s="20"/>
      <c r="G16" s="20" t="str">
        <f ca="1">IFERROR(__xludf.DUMMYFUNCTION("""COMPUTED_VALUE"""),"Council of Peoples Organization")</f>
        <v>Council of Peoples Organization</v>
      </c>
      <c r="H16" s="20" t="str">
        <f ca="1">IFERROR(__xludf.DUMMYFUNCTION("""COMPUTED_VALUE"""),"1081 Coney Island Avenue")</f>
        <v>1081 Coney Island Avenue</v>
      </c>
      <c r="I16" s="20" t="str">
        <f ca="1">IFERROR(__xludf.DUMMYFUNCTION("""COMPUTED_VALUE"""),"Brooklyn")</f>
        <v>Brooklyn</v>
      </c>
      <c r="J16" s="24">
        <f ca="1">IFERROR(__xludf.DUMMYFUNCTION("""COMPUTED_VALUE"""),11230)</f>
        <v>11230</v>
      </c>
      <c r="K16" s="20" t="str">
        <f ca="1">IFERROR(__xludf.DUMMYFUNCTION("""COMPUTED_VALUE"""),"8am-6pm")</f>
        <v>8am-6pm</v>
      </c>
    </row>
    <row r="17" spans="1:11">
      <c r="A17" s="20" t="str">
        <f ca="1">IFERROR(__xludf.DUMMYFUNCTION("""COMPUTED_VALUE"""),"RRT")</f>
        <v>RRT</v>
      </c>
      <c r="B17" s="20" t="str">
        <f ca="1">IFERROR(__xludf.DUMMYFUNCTION("""COMPUTED_VALUE"""),"PCR + Rapid Antigen")</f>
        <v>PCR + Rapid Antigen</v>
      </c>
      <c r="C17" s="20" t="str">
        <f ca="1">IFERROR(__xludf.DUMMYFUNCTION("""COMPUTED_VALUE"""),"4+")</f>
        <v>4+</v>
      </c>
      <c r="D17" s="22">
        <f ca="1">IFERROR(__xludf.DUMMYFUNCTION("""COMPUTED_VALUE"""),44576)</f>
        <v>44576</v>
      </c>
      <c r="E17" s="22">
        <f ca="1">IFERROR(__xludf.DUMMYFUNCTION("""COMPUTED_VALUE"""),44576)</f>
        <v>44576</v>
      </c>
      <c r="F17" s="20"/>
      <c r="G17" s="20" t="str">
        <f ca="1">IFERROR(__xludf.DUMMYFUNCTION("""COMPUTED_VALUE"""),"First Faith Baptist Church")</f>
        <v>First Faith Baptist Church</v>
      </c>
      <c r="H17" s="20" t="str">
        <f ca="1">IFERROR(__xludf.DUMMYFUNCTION("""COMPUTED_VALUE"""),"Corner of 208th Street &amp; Murdock Ave")</f>
        <v>Corner of 208th Street &amp; Murdock Ave</v>
      </c>
      <c r="I17" s="20" t="str">
        <f ca="1">IFERROR(__xludf.DUMMYFUNCTION("""COMPUTED_VALUE"""),"Queens")</f>
        <v>Queens</v>
      </c>
      <c r="J17" s="24">
        <f ca="1">IFERROR(__xludf.DUMMYFUNCTION("""COMPUTED_VALUE"""),11411)</f>
        <v>11411</v>
      </c>
      <c r="K17" s="20" t="str">
        <f ca="1">IFERROR(__xludf.DUMMYFUNCTION("""COMPUTED_VALUE"""),"8AM-6PM")</f>
        <v>8AM-6PM</v>
      </c>
    </row>
    <row r="18" spans="1:11">
      <c r="A18" s="20" t="str">
        <f ca="1">IFERROR(__xludf.DUMMYFUNCTION("""COMPUTED_VALUE"""),"RRT")</f>
        <v>RRT</v>
      </c>
      <c r="B18" s="20" t="str">
        <f ca="1">IFERROR(__xludf.DUMMYFUNCTION("""COMPUTED_VALUE"""),"PCR + Rapid Antigen")</f>
        <v>PCR + Rapid Antigen</v>
      </c>
      <c r="C18" s="20" t="str">
        <f ca="1">IFERROR(__xludf.DUMMYFUNCTION("""COMPUTED_VALUE"""),"4+")</f>
        <v>4+</v>
      </c>
      <c r="D18" s="22">
        <f ca="1">IFERROR(__xludf.DUMMYFUNCTION("""COMPUTED_VALUE"""),44577)</f>
        <v>44577</v>
      </c>
      <c r="E18" s="22">
        <f ca="1">IFERROR(__xludf.DUMMYFUNCTION("""COMPUTED_VALUE"""),44577)</f>
        <v>44577</v>
      </c>
      <c r="F18" s="20"/>
      <c r="G18" s="20" t="str">
        <f ca="1">IFERROR(__xludf.DUMMYFUNCTION("""COMPUTED_VALUE"""),"St. Francis College ")</f>
        <v xml:space="preserve">St. Francis College </v>
      </c>
      <c r="H18" s="20" t="str">
        <f ca="1">IFERROR(__xludf.DUMMYFUNCTION("""COMPUTED_VALUE"""),"97 Columbia Heights")</f>
        <v>97 Columbia Heights</v>
      </c>
      <c r="I18" s="20" t="str">
        <f ca="1">IFERROR(__xludf.DUMMYFUNCTION("""COMPUTED_VALUE"""),"Brooklyn")</f>
        <v>Brooklyn</v>
      </c>
      <c r="J18" s="24">
        <f ca="1">IFERROR(__xludf.DUMMYFUNCTION("""COMPUTED_VALUE"""),11201)</f>
        <v>11201</v>
      </c>
      <c r="K18" s="20" t="str">
        <f ca="1">IFERROR(__xludf.DUMMYFUNCTION("""COMPUTED_VALUE"""),"9am-6pm")</f>
        <v>9am-6pm</v>
      </c>
    </row>
    <row r="19" spans="1:11">
      <c r="A19" s="20" t="str">
        <f ca="1">IFERROR(__xludf.DUMMYFUNCTION("""COMPUTED_VALUE"""),"RRT")</f>
        <v>RRT</v>
      </c>
      <c r="B19" s="20" t="str">
        <f ca="1">IFERROR(__xludf.DUMMYFUNCTION("""COMPUTED_VALUE"""),"PCR + Rapid Antigen")</f>
        <v>PCR + Rapid Antigen</v>
      </c>
      <c r="C19" s="20" t="str">
        <f ca="1">IFERROR(__xludf.DUMMYFUNCTION("""COMPUTED_VALUE"""),"4+")</f>
        <v>4+</v>
      </c>
      <c r="D19" s="22">
        <f ca="1">IFERROR(__xludf.DUMMYFUNCTION("""COMPUTED_VALUE"""),44571)</f>
        <v>44571</v>
      </c>
      <c r="E19" s="22">
        <f ca="1">IFERROR(__xludf.DUMMYFUNCTION("""COMPUTED_VALUE"""),44571)</f>
        <v>44571</v>
      </c>
      <c r="F19" s="20"/>
      <c r="G19" s="20" t="str">
        <f ca="1">IFERROR(__xludf.DUMMYFUNCTION("""COMPUTED_VALUE"""),"Quisqueya Playground")</f>
        <v>Quisqueya Playground</v>
      </c>
      <c r="H19" s="20" t="str">
        <f ca="1">IFERROR(__xludf.DUMMYFUNCTION("""COMPUTED_VALUE"""),"2405 Amsterdam Ave")</f>
        <v>2405 Amsterdam Ave</v>
      </c>
      <c r="I19" s="20" t="str">
        <f ca="1">IFERROR(__xludf.DUMMYFUNCTION("""COMPUTED_VALUE"""),"Manhattan")</f>
        <v>Manhattan</v>
      </c>
      <c r="J19" s="24">
        <f ca="1">IFERROR(__xludf.DUMMYFUNCTION("""COMPUTED_VALUE"""),10033)</f>
        <v>10033</v>
      </c>
      <c r="K19" s="20" t="str">
        <f ca="1">IFERROR(__xludf.DUMMYFUNCTION("""COMPUTED_VALUE"""),"8am -7pm")</f>
        <v>8am -7pm</v>
      </c>
    </row>
    <row r="20" spans="1:11">
      <c r="A20" s="20" t="str">
        <f ca="1">IFERROR(__xludf.DUMMYFUNCTION("""COMPUTED_VALUE"""),"RRT")</f>
        <v>RRT</v>
      </c>
      <c r="B20" s="20" t="str">
        <f ca="1">IFERROR(__xludf.DUMMYFUNCTION("""COMPUTED_VALUE"""),"PCR + Rapid Antigen")</f>
        <v>PCR + Rapid Antigen</v>
      </c>
      <c r="C20" s="20" t="str">
        <f ca="1">IFERROR(__xludf.DUMMYFUNCTION("""COMPUTED_VALUE"""),"4+")</f>
        <v>4+</v>
      </c>
      <c r="D20" s="22">
        <f ca="1">IFERROR(__xludf.DUMMYFUNCTION("""COMPUTED_VALUE"""),44572)</f>
        <v>44572</v>
      </c>
      <c r="E20" s="22">
        <f ca="1">IFERROR(__xludf.DUMMYFUNCTION("""COMPUTED_VALUE"""),44572)</f>
        <v>44572</v>
      </c>
      <c r="F20" s="20"/>
      <c r="G20" s="20" t="str">
        <f ca="1">IFERROR(__xludf.DUMMYFUNCTION("""COMPUTED_VALUE"""),"Project New Yorker")</f>
        <v>Project New Yorker</v>
      </c>
      <c r="H20" s="20" t="str">
        <f ca="1">IFERROR(__xludf.DUMMYFUNCTION("""COMPUTED_VALUE"""),"169-18 Hillside Avenue")</f>
        <v>169-18 Hillside Avenue</v>
      </c>
      <c r="I20" s="20" t="str">
        <f ca="1">IFERROR(__xludf.DUMMYFUNCTION("""COMPUTED_VALUE"""),"Queens")</f>
        <v>Queens</v>
      </c>
      <c r="J20" s="24">
        <f ca="1">IFERROR(__xludf.DUMMYFUNCTION("""COMPUTED_VALUE"""),11432)</f>
        <v>11432</v>
      </c>
      <c r="K20" s="20" t="str">
        <f ca="1">IFERROR(__xludf.DUMMYFUNCTION("""COMPUTED_VALUE"""),"8am-6pm")</f>
        <v>8am-6pm</v>
      </c>
    </row>
    <row r="21" spans="1:11">
      <c r="A21" s="20" t="str">
        <f ca="1">IFERROR(__xludf.DUMMYFUNCTION("""COMPUTED_VALUE"""),"RRT")</f>
        <v>RRT</v>
      </c>
      <c r="B21" s="20" t="str">
        <f ca="1">IFERROR(__xludf.DUMMYFUNCTION("""COMPUTED_VALUE"""),"PCR + Rapid Antigen")</f>
        <v>PCR + Rapid Antigen</v>
      </c>
      <c r="C21" s="20" t="str">
        <f ca="1">IFERROR(__xludf.DUMMYFUNCTION("""COMPUTED_VALUE"""),"4+")</f>
        <v>4+</v>
      </c>
      <c r="D21" s="22">
        <f ca="1">IFERROR(__xludf.DUMMYFUNCTION("""COMPUTED_VALUE"""),44573)</f>
        <v>44573</v>
      </c>
      <c r="E21" s="22">
        <f ca="1">IFERROR(__xludf.DUMMYFUNCTION("""COMPUTED_VALUE"""),44575)</f>
        <v>44575</v>
      </c>
      <c r="F21" s="20"/>
      <c r="G21" s="20" t="str">
        <f ca="1">IFERROR(__xludf.DUMMYFUNCTION("""COMPUTED_VALUE"""),"NYCHA Forest")</f>
        <v>NYCHA Forest</v>
      </c>
      <c r="H21" s="20" t="str">
        <f ca="1">IFERROR(__xludf.DUMMYFUNCTION("""COMPUTED_VALUE"""),"1010 Trinity Avenue")</f>
        <v>1010 Trinity Avenue</v>
      </c>
      <c r="I21" s="20" t="str">
        <f ca="1">IFERROR(__xludf.DUMMYFUNCTION("""COMPUTED_VALUE"""),"Bronx")</f>
        <v>Bronx</v>
      </c>
      <c r="J21" s="24">
        <f ca="1">IFERROR(__xludf.DUMMYFUNCTION("""COMPUTED_VALUE"""),10456)</f>
        <v>10456</v>
      </c>
      <c r="K21" s="20" t="str">
        <f ca="1">IFERROR(__xludf.DUMMYFUNCTION("""COMPUTED_VALUE"""),"8am-6pm")</f>
        <v>8am-6pm</v>
      </c>
    </row>
    <row r="22" spans="1:11">
      <c r="A22" s="20" t="str">
        <f ca="1">IFERROR(__xludf.DUMMYFUNCTION("""COMPUTED_VALUE"""),"RRT")</f>
        <v>RRT</v>
      </c>
      <c r="B22" s="20" t="str">
        <f ca="1">IFERROR(__xludf.DUMMYFUNCTION("""COMPUTED_VALUE"""),"PCR + Rapid Antigen")</f>
        <v>PCR + Rapid Antigen</v>
      </c>
      <c r="C22" s="20" t="str">
        <f ca="1">IFERROR(__xludf.DUMMYFUNCTION("""COMPUTED_VALUE"""),"4+")</f>
        <v>4+</v>
      </c>
      <c r="D22" s="22">
        <f ca="1">IFERROR(__xludf.DUMMYFUNCTION("""COMPUTED_VALUE"""),44576)</f>
        <v>44576</v>
      </c>
      <c r="E22" s="22">
        <f ca="1">IFERROR(__xludf.DUMMYFUNCTION("""COMPUTED_VALUE"""),44576)</f>
        <v>44576</v>
      </c>
      <c r="F22" s="20"/>
      <c r="G22" s="20" t="str">
        <f ca="1">IFERROR(__xludf.DUMMYFUNCTION("""COMPUTED_VALUE"""),"First Corinthian Baptist Church")</f>
        <v>First Corinthian Baptist Church</v>
      </c>
      <c r="H22" s="20" t="str">
        <f ca="1">IFERROR(__xludf.DUMMYFUNCTION("""COMPUTED_VALUE"""),"1912 Adam Clayton Powell Jr Blvd")</f>
        <v>1912 Adam Clayton Powell Jr Blvd</v>
      </c>
      <c r="I22" s="20" t="str">
        <f ca="1">IFERROR(__xludf.DUMMYFUNCTION("""COMPUTED_VALUE"""),"Manhattan")</f>
        <v>Manhattan</v>
      </c>
      <c r="J22" s="24">
        <f ca="1">IFERROR(__xludf.DUMMYFUNCTION("""COMPUTED_VALUE"""),10026)</f>
        <v>10026</v>
      </c>
      <c r="K22" s="20" t="str">
        <f ca="1">IFERROR(__xludf.DUMMYFUNCTION("""COMPUTED_VALUE"""),"9AM-5PM")</f>
        <v>9AM-5PM</v>
      </c>
    </row>
    <row r="23" spans="1:11">
      <c r="A23" s="20" t="str">
        <f ca="1">IFERROR(__xludf.DUMMYFUNCTION("""COMPUTED_VALUE"""),"RRT")</f>
        <v>RRT</v>
      </c>
      <c r="B23" s="20" t="str">
        <f ca="1">IFERROR(__xludf.DUMMYFUNCTION("""COMPUTED_VALUE"""),"PCR + Rapid Antigen")</f>
        <v>PCR + Rapid Antigen</v>
      </c>
      <c r="C23" s="20" t="str">
        <f ca="1">IFERROR(__xludf.DUMMYFUNCTION("""COMPUTED_VALUE"""),"4+")</f>
        <v>4+</v>
      </c>
      <c r="D23" s="22">
        <f ca="1">IFERROR(__xludf.DUMMYFUNCTION("""COMPUTED_VALUE"""),44577)</f>
        <v>44577</v>
      </c>
      <c r="E23" s="22">
        <f ca="1">IFERROR(__xludf.DUMMYFUNCTION("""COMPUTED_VALUE"""),44577)</f>
        <v>44577</v>
      </c>
      <c r="F23" s="20"/>
      <c r="G23" s="20" t="str">
        <f ca="1">IFERROR(__xludf.DUMMYFUNCTION("""COMPUTED_VALUE"""),"Hunt's Point Produce Market")</f>
        <v>Hunt's Point Produce Market</v>
      </c>
      <c r="H23" s="20" t="str">
        <f ca="1">IFERROR(__xludf.DUMMYFUNCTION("""COMPUTED_VALUE"""),"772 Edgewater Rd, Bronx NY")</f>
        <v>772 Edgewater Rd, Bronx NY</v>
      </c>
      <c r="I23" s="20" t="str">
        <f ca="1">IFERROR(__xludf.DUMMYFUNCTION("""COMPUTED_VALUE"""),"Bronx")</f>
        <v>Bronx</v>
      </c>
      <c r="J23" s="24">
        <f ca="1">IFERROR(__xludf.DUMMYFUNCTION("""COMPUTED_VALUE"""),10474)</f>
        <v>10474</v>
      </c>
      <c r="K23" s="20" t="str">
        <f ca="1">IFERROR(__xludf.DUMMYFUNCTION("""COMPUTED_VALUE"""),"8am-6pm")</f>
        <v>8am-6pm</v>
      </c>
    </row>
    <row r="24" spans="1:11">
      <c r="A24" s="20" t="str">
        <f ca="1">IFERROR(__xludf.DUMMYFUNCTION("""COMPUTED_VALUE"""),"RRT")</f>
        <v>RRT</v>
      </c>
      <c r="B24" s="20" t="str">
        <f ca="1">IFERROR(__xludf.DUMMYFUNCTION("""COMPUTED_VALUE"""),"PCR + Rapid Antigen")</f>
        <v>PCR + Rapid Antigen</v>
      </c>
      <c r="C24" s="20" t="str">
        <f ca="1">IFERROR(__xludf.DUMMYFUNCTION("""COMPUTED_VALUE"""),"4+")</f>
        <v>4+</v>
      </c>
      <c r="D24" s="22">
        <f ca="1">IFERROR(__xludf.DUMMYFUNCTION("""COMPUTED_VALUE"""),44571)</f>
        <v>44571</v>
      </c>
      <c r="E24" s="22">
        <f ca="1">IFERROR(__xludf.DUMMYFUNCTION("""COMPUTED_VALUE"""),44572)</f>
        <v>44572</v>
      </c>
      <c r="F24" s="20"/>
      <c r="G24" s="20" t="str">
        <f ca="1">IFERROR(__xludf.DUMMYFUNCTION("""COMPUTED_VALUE"""),"Star Spangled Playground")</f>
        <v>Star Spangled Playground</v>
      </c>
      <c r="H24" s="20" t="str">
        <f ca="1">IFERROR(__xludf.DUMMYFUNCTION("""COMPUTED_VALUE"""),"194 Franklin Ave, Brooklyn, NY 11205")</f>
        <v>194 Franklin Ave, Brooklyn, NY 11205</v>
      </c>
      <c r="I24" s="20" t="str">
        <f ca="1">IFERROR(__xludf.DUMMYFUNCTION("""COMPUTED_VALUE"""),"Brooklyn")</f>
        <v>Brooklyn</v>
      </c>
      <c r="J24" s="24">
        <f ca="1">IFERROR(__xludf.DUMMYFUNCTION("""COMPUTED_VALUE"""),11205)</f>
        <v>11205</v>
      </c>
      <c r="K24" s="20" t="str">
        <f ca="1">IFERROR(__xludf.DUMMYFUNCTION("""COMPUTED_VALUE"""),"8am-6pm")</f>
        <v>8am-6pm</v>
      </c>
    </row>
    <row r="25" spans="1:11">
      <c r="A25" s="20" t="str">
        <f ca="1">IFERROR(__xludf.DUMMYFUNCTION("""COMPUTED_VALUE"""),"RRT")</f>
        <v>RRT</v>
      </c>
      <c r="B25" s="20" t="str">
        <f ca="1">IFERROR(__xludf.DUMMYFUNCTION("""COMPUTED_VALUE"""),"PCR + Rapid Antigen")</f>
        <v>PCR + Rapid Antigen</v>
      </c>
      <c r="C25" s="20" t="str">
        <f ca="1">IFERROR(__xludf.DUMMYFUNCTION("""COMPUTED_VALUE"""),"4+")</f>
        <v>4+</v>
      </c>
      <c r="D25" s="22">
        <f ca="1">IFERROR(__xludf.DUMMYFUNCTION("""COMPUTED_VALUE"""),44573)</f>
        <v>44573</v>
      </c>
      <c r="E25" s="22">
        <f ca="1">IFERROR(__xludf.DUMMYFUNCTION("""COMPUTED_VALUE"""),44575)</f>
        <v>44575</v>
      </c>
      <c r="F25" s="20"/>
      <c r="G25" s="20" t="str">
        <f ca="1">IFERROR(__xludf.DUMMYFUNCTION("""COMPUTED_VALUE"""),"NYCHA O'Dwyer Gardens")</f>
        <v>NYCHA O'Dwyer Gardens</v>
      </c>
      <c r="H25" s="20" t="str">
        <f ca="1">IFERROR(__xludf.DUMMYFUNCTION("""COMPUTED_VALUE"""),"2951 West 33rd Street")</f>
        <v>2951 West 33rd Street</v>
      </c>
      <c r="I25" s="20" t="str">
        <f ca="1">IFERROR(__xludf.DUMMYFUNCTION("""COMPUTED_VALUE"""),"Brooklyn")</f>
        <v>Brooklyn</v>
      </c>
      <c r="J25" s="24">
        <f ca="1">IFERROR(__xludf.DUMMYFUNCTION("""COMPUTED_VALUE"""),11224)</f>
        <v>11224</v>
      </c>
      <c r="K25" s="20" t="str">
        <f ca="1">IFERROR(__xludf.DUMMYFUNCTION("""COMPUTED_VALUE"""),"8am-6pm")</f>
        <v>8am-6pm</v>
      </c>
    </row>
    <row r="26" spans="1:11">
      <c r="A26" s="20" t="str">
        <f ca="1">IFERROR(__xludf.DUMMYFUNCTION("""COMPUTED_VALUE"""),"RRT")</f>
        <v>RRT</v>
      </c>
      <c r="B26" s="20" t="str">
        <f ca="1">IFERROR(__xludf.DUMMYFUNCTION("""COMPUTED_VALUE"""),"PCR + Rapid Antigen")</f>
        <v>PCR + Rapid Antigen</v>
      </c>
      <c r="C26" s="20" t="str">
        <f ca="1">IFERROR(__xludf.DUMMYFUNCTION("""COMPUTED_VALUE"""),"4+")</f>
        <v>4+</v>
      </c>
      <c r="D26" s="22">
        <f ca="1">IFERROR(__xludf.DUMMYFUNCTION("""COMPUTED_VALUE"""),44576)</f>
        <v>44576</v>
      </c>
      <c r="E26" s="22">
        <f ca="1">IFERROR(__xludf.DUMMYFUNCTION("""COMPUTED_VALUE"""),44576)</f>
        <v>44576</v>
      </c>
      <c r="F26" s="20"/>
      <c r="G26" s="20" t="str">
        <f ca="1">IFERROR(__xludf.DUMMYFUNCTION("""COMPUTED_VALUE"""),"New Jerusalem United Methodist Church")</f>
        <v>New Jerusalem United Methodist Church</v>
      </c>
      <c r="H26" s="20" t="str">
        <f ca="1">IFERROR(__xludf.DUMMYFUNCTION("""COMPUTED_VALUE"""),"484 Knickerborker Ave")</f>
        <v>484 Knickerborker Ave</v>
      </c>
      <c r="I26" s="20" t="str">
        <f ca="1">IFERROR(__xludf.DUMMYFUNCTION("""COMPUTED_VALUE"""),"Brooklyn")</f>
        <v>Brooklyn</v>
      </c>
      <c r="J26" s="24">
        <f ca="1">IFERROR(__xludf.DUMMYFUNCTION("""COMPUTED_VALUE"""),11237)</f>
        <v>11237</v>
      </c>
      <c r="K26" s="20" t="str">
        <f ca="1">IFERROR(__xludf.DUMMYFUNCTION("""COMPUTED_VALUE"""),"10am-5pm")</f>
        <v>10am-5pm</v>
      </c>
    </row>
    <row r="27" spans="1:11">
      <c r="A27" s="20" t="str">
        <f ca="1">IFERROR(__xludf.DUMMYFUNCTION("""COMPUTED_VALUE"""),"RRT")</f>
        <v>RRT</v>
      </c>
      <c r="B27" s="20" t="str">
        <f ca="1">IFERROR(__xludf.DUMMYFUNCTION("""COMPUTED_VALUE"""),"PCR + Rapid Antigen")</f>
        <v>PCR + Rapid Antigen</v>
      </c>
      <c r="C27" s="20" t="str">
        <f ca="1">IFERROR(__xludf.DUMMYFUNCTION("""COMPUTED_VALUE"""),"4+")</f>
        <v>4+</v>
      </c>
      <c r="D27" s="22">
        <f ca="1">IFERROR(__xludf.DUMMYFUNCTION("""COMPUTED_VALUE"""),44577)</f>
        <v>44577</v>
      </c>
      <c r="E27" s="22">
        <f ca="1">IFERROR(__xludf.DUMMYFUNCTION("""COMPUTED_VALUE"""),44577)</f>
        <v>44577</v>
      </c>
      <c r="F27" s="20"/>
      <c r="G27" s="20" t="str">
        <f ca="1">IFERROR(__xludf.DUMMYFUNCTION("""COMPUTED_VALUE"""),"Abyssinian Baptist Church")</f>
        <v>Abyssinian Baptist Church</v>
      </c>
      <c r="H27" s="20" t="str">
        <f ca="1">IFERROR(__xludf.DUMMYFUNCTION("""COMPUTED_VALUE"""),"132 West 138th Street")</f>
        <v>132 West 138th Street</v>
      </c>
      <c r="I27" s="20" t="str">
        <f ca="1">IFERROR(__xludf.DUMMYFUNCTION("""COMPUTED_VALUE"""),"Manhattan")</f>
        <v>Manhattan</v>
      </c>
      <c r="J27" s="24">
        <f ca="1">IFERROR(__xludf.DUMMYFUNCTION("""COMPUTED_VALUE"""),10030)</f>
        <v>10030</v>
      </c>
      <c r="K27" s="20" t="str">
        <f ca="1">IFERROR(__xludf.DUMMYFUNCTION("""COMPUTED_VALUE"""),"8am-6pm")</f>
        <v>8am-6pm</v>
      </c>
    </row>
    <row r="28" spans="1:11">
      <c r="A28" s="20" t="str">
        <f ca="1">IFERROR(__xludf.DUMMYFUNCTION("""COMPUTED_VALUE"""),"RRT")</f>
        <v>RRT</v>
      </c>
      <c r="B28" s="20" t="str">
        <f ca="1">IFERROR(__xludf.DUMMYFUNCTION("""COMPUTED_VALUE"""),"PCR + Rapid Antigen")</f>
        <v>PCR + Rapid Antigen</v>
      </c>
      <c r="C28" s="20" t="str">
        <f ca="1">IFERROR(__xludf.DUMMYFUNCTION("""COMPUTED_VALUE"""),"4+")</f>
        <v>4+</v>
      </c>
      <c r="D28" s="22">
        <f ca="1">IFERROR(__xludf.DUMMYFUNCTION("""COMPUTED_VALUE"""),44571)</f>
        <v>44571</v>
      </c>
      <c r="E28" s="22">
        <f ca="1">IFERROR(__xludf.DUMMYFUNCTION("""COMPUTED_VALUE"""),44572)</f>
        <v>44572</v>
      </c>
      <c r="F28" s="20"/>
      <c r="G28" s="20" t="str">
        <f ca="1">IFERROR(__xludf.DUMMYFUNCTION("""COMPUTED_VALUE"""),"Bayswater Skate Park")</f>
        <v>Bayswater Skate Park</v>
      </c>
      <c r="H28" s="20" t="str">
        <f ca="1">IFERROR(__xludf.DUMMYFUNCTION("""COMPUTED_VALUE"""),"Bay 32nd St &amp; Falcon Ave, Far Rockaway, NY 11691")</f>
        <v>Bay 32nd St &amp; Falcon Ave, Far Rockaway, NY 11691</v>
      </c>
      <c r="I28" s="20" t="str">
        <f ca="1">IFERROR(__xludf.DUMMYFUNCTION("""COMPUTED_VALUE"""),"Queens")</f>
        <v>Queens</v>
      </c>
      <c r="J28" s="24">
        <f ca="1">IFERROR(__xludf.DUMMYFUNCTION("""COMPUTED_VALUE"""),11691)</f>
        <v>11691</v>
      </c>
      <c r="K28" s="20" t="str">
        <f ca="1">IFERROR(__xludf.DUMMYFUNCTION("""COMPUTED_VALUE"""),"8am-6pm")</f>
        <v>8am-6pm</v>
      </c>
    </row>
    <row r="29" spans="1:11" ht="12.75">
      <c r="A29" s="20" t="str">
        <f ca="1">IFERROR(__xludf.DUMMYFUNCTION("""COMPUTED_VALUE"""),"RRT")</f>
        <v>RRT</v>
      </c>
      <c r="B29" s="20" t="str">
        <f ca="1">IFERROR(__xludf.DUMMYFUNCTION("""COMPUTED_VALUE"""),"PCR + Rapid Antigen")</f>
        <v>PCR + Rapid Antigen</v>
      </c>
      <c r="C29" s="20" t="str">
        <f ca="1">IFERROR(__xludf.DUMMYFUNCTION("""COMPUTED_VALUE"""),"4+")</f>
        <v>4+</v>
      </c>
      <c r="D29" s="22">
        <f ca="1">IFERROR(__xludf.DUMMYFUNCTION("""COMPUTED_VALUE"""),44573)</f>
        <v>44573</v>
      </c>
      <c r="E29" s="22">
        <f ca="1">IFERROR(__xludf.DUMMYFUNCTION("""COMPUTED_VALUE"""),44575)</f>
        <v>44575</v>
      </c>
      <c r="F29" s="20"/>
      <c r="G29" s="20" t="str">
        <f ca="1">IFERROR(__xludf.DUMMYFUNCTION("""COMPUTED_VALUE"""),"NYCHA Unity Plaza")</f>
        <v>NYCHA Unity Plaza</v>
      </c>
      <c r="H29" s="20" t="str">
        <f ca="1">IFERROR(__xludf.DUMMYFUNCTION("""COMPUTED_VALUE"""),"578 Blake Ave")</f>
        <v>578 Blake Ave</v>
      </c>
      <c r="I29" s="20" t="str">
        <f ca="1">IFERROR(__xludf.DUMMYFUNCTION("""COMPUTED_VALUE"""),"Brooklyn")</f>
        <v>Brooklyn</v>
      </c>
      <c r="J29" s="24">
        <f ca="1">IFERROR(__xludf.DUMMYFUNCTION("""COMPUTED_VALUE"""),11207)</f>
        <v>11207</v>
      </c>
      <c r="K29" s="20" t="str">
        <f ca="1">IFERROR(__xludf.DUMMYFUNCTION("""COMPUTED_VALUE"""),"8am-6pm")</f>
        <v>8am-6pm</v>
      </c>
    </row>
    <row r="30" spans="1:11" ht="12.75">
      <c r="A30" s="20" t="str">
        <f ca="1">IFERROR(__xludf.DUMMYFUNCTION("""COMPUTED_VALUE"""),"RRT")</f>
        <v>RRT</v>
      </c>
      <c r="B30" s="20" t="str">
        <f ca="1">IFERROR(__xludf.DUMMYFUNCTION("""COMPUTED_VALUE"""),"PCR + Rapid Antigen")</f>
        <v>PCR + Rapid Antigen</v>
      </c>
      <c r="C30" s="20" t="str">
        <f ca="1">IFERROR(__xludf.DUMMYFUNCTION("""COMPUTED_VALUE"""),"4+")</f>
        <v>4+</v>
      </c>
      <c r="D30" s="22">
        <f ca="1">IFERROR(__xludf.DUMMYFUNCTION("""COMPUTED_VALUE"""),44576)</f>
        <v>44576</v>
      </c>
      <c r="E30" s="22">
        <f ca="1">IFERROR(__xludf.DUMMYFUNCTION("""COMPUTED_VALUE"""),44577)</f>
        <v>44577</v>
      </c>
      <c r="F30" s="20"/>
      <c r="G30" s="20" t="str">
        <f ca="1">IFERROR(__xludf.DUMMYFUNCTION("""COMPUTED_VALUE"""),"Dunkin - Prospect Ave")</f>
        <v>Dunkin - Prospect Ave</v>
      </c>
      <c r="H30" s="20" t="str">
        <f ca="1">IFERROR(__xludf.DUMMYFUNCTION("""COMPUTED_VALUE"""),"839 Prospect Ave")</f>
        <v>839 Prospect Ave</v>
      </c>
      <c r="I30" s="20" t="str">
        <f ca="1">IFERROR(__xludf.DUMMYFUNCTION("""COMPUTED_VALUE"""),"Bronx")</f>
        <v>Bronx</v>
      </c>
      <c r="J30" s="24">
        <f ca="1">IFERROR(__xludf.DUMMYFUNCTION("""COMPUTED_VALUE"""),10459)</f>
        <v>10459</v>
      </c>
      <c r="K30" s="20" t="str">
        <f ca="1">IFERROR(__xludf.DUMMYFUNCTION("""COMPUTED_VALUE"""),"8am-6pm")</f>
        <v>8am-6pm</v>
      </c>
    </row>
    <row r="31" spans="1:11" ht="12.75">
      <c r="A31" s="20" t="str">
        <f ca="1">IFERROR(__xludf.DUMMYFUNCTION("""COMPUTED_VALUE"""),"RRT")</f>
        <v>RRT</v>
      </c>
      <c r="B31" s="20" t="str">
        <f ca="1">IFERROR(__xludf.DUMMYFUNCTION("""COMPUTED_VALUE"""),"PCR + Rapid Antigen")</f>
        <v>PCR + Rapid Antigen</v>
      </c>
      <c r="C31" s="20" t="str">
        <f ca="1">IFERROR(__xludf.DUMMYFUNCTION("""COMPUTED_VALUE"""),"4+")</f>
        <v>4+</v>
      </c>
      <c r="D31" s="22">
        <f ca="1">IFERROR(__xludf.DUMMYFUNCTION("""COMPUTED_VALUE"""),44571)</f>
        <v>44571</v>
      </c>
      <c r="E31" s="22">
        <f ca="1">IFERROR(__xludf.DUMMYFUNCTION("""COMPUTED_VALUE"""),44572)</f>
        <v>44572</v>
      </c>
      <c r="F31" s="20"/>
      <c r="G31" s="20" t="str">
        <f ca="1">IFERROR(__xludf.DUMMYFUNCTION("""COMPUTED_VALUE"""),"Stars and Stripes Playground")</f>
        <v>Stars and Stripes Playground</v>
      </c>
      <c r="H31" s="20" t="str">
        <f ca="1">IFERROR(__xludf.DUMMYFUNCTION("""COMPUTED_VALUE"""),"Baychester Ave &amp; Crawford Ave, Bronx, NY 10466")</f>
        <v>Baychester Ave &amp; Crawford Ave, Bronx, NY 10466</v>
      </c>
      <c r="I31" s="20" t="str">
        <f ca="1">IFERROR(__xludf.DUMMYFUNCTION("""COMPUTED_VALUE"""),"Bronx")</f>
        <v>Bronx</v>
      </c>
      <c r="J31" s="24">
        <f ca="1">IFERROR(__xludf.DUMMYFUNCTION("""COMPUTED_VALUE"""),10466)</f>
        <v>10466</v>
      </c>
      <c r="K31" s="20" t="str">
        <f ca="1">IFERROR(__xludf.DUMMYFUNCTION("""COMPUTED_VALUE"""),"8am-6pm")</f>
        <v>8am-6pm</v>
      </c>
    </row>
    <row r="32" spans="1:11" ht="12.75">
      <c r="A32" s="20" t="str">
        <f ca="1">IFERROR(__xludf.DUMMYFUNCTION("""COMPUTED_VALUE"""),"RRT")</f>
        <v>RRT</v>
      </c>
      <c r="B32" s="20" t="str">
        <f ca="1">IFERROR(__xludf.DUMMYFUNCTION("""COMPUTED_VALUE"""),"PCR + Rapid Antigen")</f>
        <v>PCR + Rapid Antigen</v>
      </c>
      <c r="C32" s="20" t="str">
        <f ca="1">IFERROR(__xludf.DUMMYFUNCTION("""COMPUTED_VALUE"""),"4+")</f>
        <v>4+</v>
      </c>
      <c r="D32" s="22">
        <f ca="1">IFERROR(__xludf.DUMMYFUNCTION("""COMPUTED_VALUE"""),44573)</f>
        <v>44573</v>
      </c>
      <c r="E32" s="22">
        <f ca="1">IFERROR(__xludf.DUMMYFUNCTION("""COMPUTED_VALUE"""),44573)</f>
        <v>44573</v>
      </c>
      <c r="F32" s="20"/>
      <c r="G32" s="20" t="str">
        <f ca="1">IFERROR(__xludf.DUMMYFUNCTION("""COMPUTED_VALUE"""),"NYCHA Kingsborough")</f>
        <v>NYCHA Kingsborough</v>
      </c>
      <c r="H32" s="20" t="str">
        <f ca="1">IFERROR(__xludf.DUMMYFUNCTION("""COMPUTED_VALUE"""),"1880 Pacfic Street")</f>
        <v>1880 Pacfic Street</v>
      </c>
      <c r="I32" s="20" t="str">
        <f ca="1">IFERROR(__xludf.DUMMYFUNCTION("""COMPUTED_VALUE"""),"Brooklyn")</f>
        <v>Brooklyn</v>
      </c>
      <c r="J32" s="24">
        <f ca="1">IFERROR(__xludf.DUMMYFUNCTION("""COMPUTED_VALUE"""),11233)</f>
        <v>11233</v>
      </c>
      <c r="K32" s="20" t="str">
        <f ca="1">IFERROR(__xludf.DUMMYFUNCTION("""COMPUTED_VALUE"""),"8am-6pm")</f>
        <v>8am-6pm</v>
      </c>
    </row>
    <row r="33" spans="1:11" ht="12.75">
      <c r="A33" s="20" t="str">
        <f ca="1">IFERROR(__xludf.DUMMYFUNCTION("""COMPUTED_VALUE"""),"RRT")</f>
        <v>RRT</v>
      </c>
      <c r="B33" s="20" t="str">
        <f ca="1">IFERROR(__xludf.DUMMYFUNCTION("""COMPUTED_VALUE"""),"PCR + Rapid Antigen")</f>
        <v>PCR + Rapid Antigen</v>
      </c>
      <c r="C33" s="20" t="str">
        <f ca="1">IFERROR(__xludf.DUMMYFUNCTION("""COMPUTED_VALUE"""),"4+")</f>
        <v>4+</v>
      </c>
      <c r="D33" s="22">
        <f ca="1">IFERROR(__xludf.DUMMYFUNCTION("""COMPUTED_VALUE"""),44574)</f>
        <v>44574</v>
      </c>
      <c r="E33" s="22">
        <f ca="1">IFERROR(__xludf.DUMMYFUNCTION("""COMPUTED_VALUE"""),44574)</f>
        <v>44574</v>
      </c>
      <c r="F33" s="20"/>
      <c r="G33" s="20" t="str">
        <f ca="1">IFERROR(__xludf.DUMMYFUNCTION("""COMPUTED_VALUE"""),"Caribbean Women’s Health Association")</f>
        <v>Caribbean Women’s Health Association</v>
      </c>
      <c r="H33" s="20" t="str">
        <f ca="1">IFERROR(__xludf.DUMMYFUNCTION("""COMPUTED_VALUE"""),"3512 Church Avenue, Brooklyn, NY 11203")</f>
        <v>3512 Church Avenue, Brooklyn, NY 11203</v>
      </c>
      <c r="I33" s="20" t="str">
        <f ca="1">IFERROR(__xludf.DUMMYFUNCTION("""COMPUTED_VALUE"""),"Brooklyn")</f>
        <v>Brooklyn</v>
      </c>
      <c r="J33" s="24">
        <f ca="1">IFERROR(__xludf.DUMMYFUNCTION("""COMPUTED_VALUE"""),11203)</f>
        <v>11203</v>
      </c>
      <c r="K33" s="20" t="str">
        <f ca="1">IFERROR(__xludf.DUMMYFUNCTION("""COMPUTED_VALUE"""),"8am-6pm")</f>
        <v>8am-6pm</v>
      </c>
    </row>
    <row r="34" spans="1:11" ht="12.75">
      <c r="A34" s="20" t="str">
        <f ca="1">IFERROR(__xludf.DUMMYFUNCTION("""COMPUTED_VALUE"""),"RRT")</f>
        <v>RRT</v>
      </c>
      <c r="B34" s="20" t="str">
        <f ca="1">IFERROR(__xludf.DUMMYFUNCTION("""COMPUTED_VALUE"""),"PCR + Rapid Antigen")</f>
        <v>PCR + Rapid Antigen</v>
      </c>
      <c r="C34" s="20" t="str">
        <f ca="1">IFERROR(__xludf.DUMMYFUNCTION("""COMPUTED_VALUE"""),"4+")</f>
        <v>4+</v>
      </c>
      <c r="D34" s="22">
        <f ca="1">IFERROR(__xludf.DUMMYFUNCTION("""COMPUTED_VALUE"""),44575)</f>
        <v>44575</v>
      </c>
      <c r="E34" s="22">
        <f ca="1">IFERROR(__xludf.DUMMYFUNCTION("""COMPUTED_VALUE"""),44575)</f>
        <v>44575</v>
      </c>
      <c r="F34" s="20"/>
      <c r="G34" s="20" t="str">
        <f ca="1">IFERROR(__xludf.DUMMYFUNCTION("""COMPUTED_VALUE"""),"Gurdwara Sant Sagar")</f>
        <v>Gurdwara Sant Sagar</v>
      </c>
      <c r="H34" s="20" t="str">
        <f ca="1">IFERROR(__xludf.DUMMYFUNCTION("""COMPUTED_VALUE"""),"242-25 Braddock Ave")</f>
        <v>242-25 Braddock Ave</v>
      </c>
      <c r="I34" s="20" t="str">
        <f ca="1">IFERROR(__xludf.DUMMYFUNCTION("""COMPUTED_VALUE"""),"Queens")</f>
        <v>Queens</v>
      </c>
      <c r="J34" s="24">
        <f ca="1">IFERROR(__xludf.DUMMYFUNCTION("""COMPUTED_VALUE"""),11426)</f>
        <v>11426</v>
      </c>
      <c r="K34" s="20" t="str">
        <f ca="1">IFERROR(__xludf.DUMMYFUNCTION("""COMPUTED_VALUE"""),"8am-6pm")</f>
        <v>8am-6pm</v>
      </c>
    </row>
    <row r="35" spans="1:11" ht="12.75">
      <c r="A35" s="20" t="str">
        <f ca="1">IFERROR(__xludf.DUMMYFUNCTION("""COMPUTED_VALUE"""),"RRT")</f>
        <v>RRT</v>
      </c>
      <c r="B35" s="20" t="str">
        <f ca="1">IFERROR(__xludf.DUMMYFUNCTION("""COMPUTED_VALUE"""),"PCR + Rapid Antigen")</f>
        <v>PCR + Rapid Antigen</v>
      </c>
      <c r="C35" s="20" t="str">
        <f ca="1">IFERROR(__xludf.DUMMYFUNCTION("""COMPUTED_VALUE"""),"4+")</f>
        <v>4+</v>
      </c>
      <c r="D35" s="22">
        <f ca="1">IFERROR(__xludf.DUMMYFUNCTION("""COMPUTED_VALUE"""),44576)</f>
        <v>44576</v>
      </c>
      <c r="E35" s="22">
        <f ca="1">IFERROR(__xludf.DUMMYFUNCTION("""COMPUTED_VALUE"""),44576)</f>
        <v>44576</v>
      </c>
      <c r="F35" s="20"/>
      <c r="G35" s="20" t="str">
        <f ca="1">IFERROR(__xludf.DUMMYFUNCTION("""COMPUTED_VALUE"""),"NYCHA Kingsborough")</f>
        <v>NYCHA Kingsborough</v>
      </c>
      <c r="H35" s="20" t="str">
        <f ca="1">IFERROR(__xludf.DUMMYFUNCTION("""COMPUTED_VALUE"""),"1880 Pacfic Street")</f>
        <v>1880 Pacfic Street</v>
      </c>
      <c r="I35" s="20" t="str">
        <f ca="1">IFERROR(__xludf.DUMMYFUNCTION("""COMPUTED_VALUE"""),"Brooklyn")</f>
        <v>Brooklyn</v>
      </c>
      <c r="J35" s="24">
        <f ca="1">IFERROR(__xludf.DUMMYFUNCTION("""COMPUTED_VALUE"""),11233)</f>
        <v>11233</v>
      </c>
      <c r="K35" s="20" t="str">
        <f ca="1">IFERROR(__xludf.DUMMYFUNCTION("""COMPUTED_VALUE"""),"8am-6pm")</f>
        <v>8am-6pm</v>
      </c>
    </row>
    <row r="36" spans="1:11" ht="12.75">
      <c r="A36" s="20" t="str">
        <f ca="1">IFERROR(__xludf.DUMMYFUNCTION("""COMPUTED_VALUE"""),"RRT")</f>
        <v>RRT</v>
      </c>
      <c r="B36" s="20" t="str">
        <f ca="1">IFERROR(__xludf.DUMMYFUNCTION("""COMPUTED_VALUE"""),"PCR + Rapid Antigen")</f>
        <v>PCR + Rapid Antigen</v>
      </c>
      <c r="C36" s="20" t="str">
        <f ca="1">IFERROR(__xludf.DUMMYFUNCTION("""COMPUTED_VALUE"""),"4+")</f>
        <v>4+</v>
      </c>
      <c r="D36" s="22">
        <f ca="1">IFERROR(__xludf.DUMMYFUNCTION("""COMPUTED_VALUE"""),44577)</f>
        <v>44577</v>
      </c>
      <c r="E36" s="22">
        <f ca="1">IFERROR(__xludf.DUMMYFUNCTION("""COMPUTED_VALUE"""),44577)</f>
        <v>44577</v>
      </c>
      <c r="F36" s="20"/>
      <c r="G36" s="20" t="str">
        <f ca="1">IFERROR(__xludf.DUMMYFUNCTION("""COMPUTED_VALUE"""),"Herbert Von King Park")</f>
        <v>Herbert Von King Park</v>
      </c>
      <c r="H36" s="20" t="str">
        <f ca="1">IFERROR(__xludf.DUMMYFUNCTION("""COMPUTED_VALUE"""),"670 Lafayette Av")</f>
        <v>670 Lafayette Av</v>
      </c>
      <c r="I36" s="20" t="str">
        <f ca="1">IFERROR(__xludf.DUMMYFUNCTION("""COMPUTED_VALUE"""),"Brooklyn")</f>
        <v>Brooklyn</v>
      </c>
      <c r="J36" s="24">
        <f ca="1">IFERROR(__xludf.DUMMYFUNCTION("""COMPUTED_VALUE"""),11216)</f>
        <v>11216</v>
      </c>
      <c r="K36" s="20" t="str">
        <f ca="1">IFERROR(__xludf.DUMMYFUNCTION("""COMPUTED_VALUE"""),"8am-7pm")</f>
        <v>8am-7pm</v>
      </c>
    </row>
    <row r="37" spans="1:11" ht="12.75">
      <c r="A37" s="20" t="str">
        <f ca="1">IFERROR(__xludf.DUMMYFUNCTION("""COMPUTED_VALUE"""),"RRT")</f>
        <v>RRT</v>
      </c>
      <c r="B37" s="20" t="str">
        <f ca="1">IFERROR(__xludf.DUMMYFUNCTION("""COMPUTED_VALUE"""),"PCR + Rapid Antigen")</f>
        <v>PCR + Rapid Antigen</v>
      </c>
      <c r="C37" s="20" t="str">
        <f ca="1">IFERROR(__xludf.DUMMYFUNCTION("""COMPUTED_VALUE"""),"4+")</f>
        <v>4+</v>
      </c>
      <c r="D37" s="22">
        <f ca="1">IFERROR(__xludf.DUMMYFUNCTION("""COMPUTED_VALUE"""),44571)</f>
        <v>44571</v>
      </c>
      <c r="E37" s="22">
        <f ca="1">IFERROR(__xludf.DUMMYFUNCTION("""COMPUTED_VALUE"""),44572)</f>
        <v>44572</v>
      </c>
      <c r="F37" s="20"/>
      <c r="G37" s="20" t="str">
        <f ca="1">IFERROR(__xludf.DUMMYFUNCTION("""COMPUTED_VALUE"""),"St. Peter's Episcopal Church")</f>
        <v>St. Peter's Episcopal Church</v>
      </c>
      <c r="H37" s="20" t="str">
        <f ca="1">IFERROR(__xludf.DUMMYFUNCTION("""COMPUTED_VALUE"""),"137-28 244th St")</f>
        <v>137-28 244th St</v>
      </c>
      <c r="I37" s="20" t="str">
        <f ca="1">IFERROR(__xludf.DUMMYFUNCTION("""COMPUTED_VALUE"""),"Queens")</f>
        <v>Queens</v>
      </c>
      <c r="J37" s="24">
        <f ca="1">IFERROR(__xludf.DUMMYFUNCTION("""COMPUTED_VALUE"""),11422)</f>
        <v>11422</v>
      </c>
      <c r="K37" s="20" t="str">
        <f ca="1">IFERROR(__xludf.DUMMYFUNCTION("""COMPUTED_VALUE"""),"8am-6pm")</f>
        <v>8am-6pm</v>
      </c>
    </row>
    <row r="38" spans="1:11" ht="12.75">
      <c r="A38" s="20" t="str">
        <f ca="1">IFERROR(__xludf.DUMMYFUNCTION("""COMPUTED_VALUE"""),"RRT")</f>
        <v>RRT</v>
      </c>
      <c r="B38" s="20" t="str">
        <f ca="1">IFERROR(__xludf.DUMMYFUNCTION("""COMPUTED_VALUE"""),"PCR + Rapid Antigen")</f>
        <v>PCR + Rapid Antigen</v>
      </c>
      <c r="C38" s="20" t="str">
        <f ca="1">IFERROR(__xludf.DUMMYFUNCTION("""COMPUTED_VALUE"""),"4+")</f>
        <v>4+</v>
      </c>
      <c r="D38" s="22">
        <f ca="1">IFERROR(__xludf.DUMMYFUNCTION("""COMPUTED_VALUE"""),44573)</f>
        <v>44573</v>
      </c>
      <c r="E38" s="22">
        <f ca="1">IFERROR(__xludf.DUMMYFUNCTION("""COMPUTED_VALUE"""),44575)</f>
        <v>44575</v>
      </c>
      <c r="F38" s="20"/>
      <c r="G38" s="20" t="str">
        <f ca="1">IFERROR(__xludf.DUMMYFUNCTION("""COMPUTED_VALUE"""),"NYCHA Redfern")</f>
        <v>NYCHA Redfern</v>
      </c>
      <c r="H38" s="20" t="str">
        <f ca="1">IFERROR(__xludf.DUMMYFUNCTION("""COMPUTED_VALUE"""),"14-60 Beach Channel Dr")</f>
        <v>14-60 Beach Channel Dr</v>
      </c>
      <c r="I38" s="20" t="str">
        <f ca="1">IFERROR(__xludf.DUMMYFUNCTION("""COMPUTED_VALUE"""),"Queens")</f>
        <v>Queens</v>
      </c>
      <c r="J38" s="24">
        <f ca="1">IFERROR(__xludf.DUMMYFUNCTION("""COMPUTED_VALUE"""),11691)</f>
        <v>11691</v>
      </c>
      <c r="K38" s="20" t="str">
        <f ca="1">IFERROR(__xludf.DUMMYFUNCTION("""COMPUTED_VALUE"""),"8am-6pm")</f>
        <v>8am-6pm</v>
      </c>
    </row>
    <row r="39" spans="1:11" ht="12.75">
      <c r="A39" s="20" t="str">
        <f ca="1">IFERROR(__xludf.DUMMYFUNCTION("""COMPUTED_VALUE"""),"RRT")</f>
        <v>RRT</v>
      </c>
      <c r="B39" s="20" t="str">
        <f ca="1">IFERROR(__xludf.DUMMYFUNCTION("""COMPUTED_VALUE"""),"PCR + Rapid Antigen")</f>
        <v>PCR + Rapid Antigen</v>
      </c>
      <c r="C39" s="20" t="str">
        <f ca="1">IFERROR(__xludf.DUMMYFUNCTION("""COMPUTED_VALUE"""),"4+")</f>
        <v>4+</v>
      </c>
      <c r="D39" s="22">
        <f ca="1">IFERROR(__xludf.DUMMYFUNCTION("""COMPUTED_VALUE"""),44576)</f>
        <v>44576</v>
      </c>
      <c r="E39" s="22">
        <f ca="1">IFERROR(__xludf.DUMMYFUNCTION("""COMPUTED_VALUE"""),44577)</f>
        <v>44577</v>
      </c>
      <c r="F39" s="20"/>
      <c r="G39" s="20" t="str">
        <f ca="1">IFERROR(__xludf.DUMMYFUNCTION("""COMPUTED_VALUE"""),"Sedgwick Houses")</f>
        <v>Sedgwick Houses</v>
      </c>
      <c r="H39" s="20" t="str">
        <f ca="1">IFERROR(__xludf.DUMMYFUNCTION("""COMPUTED_VALUE"""),"1553 University Ave, Bronx, NY 10453")</f>
        <v>1553 University Ave, Bronx, NY 10453</v>
      </c>
      <c r="I39" s="20" t="str">
        <f ca="1">IFERROR(__xludf.DUMMYFUNCTION("""COMPUTED_VALUE"""),"Bronx")</f>
        <v>Bronx</v>
      </c>
      <c r="J39" s="24">
        <f ca="1">IFERROR(__xludf.DUMMYFUNCTION("""COMPUTED_VALUE"""),10453)</f>
        <v>10453</v>
      </c>
      <c r="K39" s="20" t="str">
        <f ca="1">IFERROR(__xludf.DUMMYFUNCTION("""COMPUTED_VALUE"""),"8am-6pm")</f>
        <v>8am-6pm</v>
      </c>
    </row>
    <row r="40" spans="1:11" ht="12.75">
      <c r="A40" s="20" t="str">
        <f ca="1">IFERROR(__xludf.DUMMYFUNCTION("""COMPUTED_VALUE"""),"RRT")</f>
        <v>RRT</v>
      </c>
      <c r="B40" s="20" t="str">
        <f ca="1">IFERROR(__xludf.DUMMYFUNCTION("""COMPUTED_VALUE"""),"PCR + Rapid Antigen")</f>
        <v>PCR + Rapid Antigen</v>
      </c>
      <c r="C40" s="20" t="str">
        <f ca="1">IFERROR(__xludf.DUMMYFUNCTION("""COMPUTED_VALUE"""),"4+")</f>
        <v>4+</v>
      </c>
      <c r="D40" s="22">
        <f ca="1">IFERROR(__xludf.DUMMYFUNCTION("""COMPUTED_VALUE"""),44571)</f>
        <v>44571</v>
      </c>
      <c r="E40" s="22">
        <f ca="1">IFERROR(__xludf.DUMMYFUNCTION("""COMPUTED_VALUE"""),44574)</f>
        <v>44574</v>
      </c>
      <c r="F40" s="20"/>
      <c r="G40" s="20" t="str">
        <f ca="1">IFERROR(__xludf.DUMMYFUNCTION("""COMPUTED_VALUE"""),"First Baptist Church - Elmhurst ")</f>
        <v xml:space="preserve">First Baptist Church - Elmhurst </v>
      </c>
      <c r="H40" s="20" t="str">
        <f ca="1">IFERROR(__xludf.DUMMYFUNCTION("""COMPUTED_VALUE"""),"100-10 Astoria Blvd")</f>
        <v>100-10 Astoria Blvd</v>
      </c>
      <c r="I40" s="20" t="str">
        <f ca="1">IFERROR(__xludf.DUMMYFUNCTION("""COMPUTED_VALUE"""),"Queens")</f>
        <v>Queens</v>
      </c>
      <c r="J40" s="24">
        <f ca="1">IFERROR(__xludf.DUMMYFUNCTION("""COMPUTED_VALUE"""),11369)</f>
        <v>11369</v>
      </c>
      <c r="K40" s="20" t="str">
        <f ca="1">IFERROR(__xludf.DUMMYFUNCTION("""COMPUTED_VALUE"""),"8am-6pm")</f>
        <v>8am-6pm</v>
      </c>
    </row>
    <row r="41" spans="1:11" ht="12.75">
      <c r="A41" s="20" t="str">
        <f ca="1">IFERROR(__xludf.DUMMYFUNCTION("""COMPUTED_VALUE"""),"RRT")</f>
        <v>RRT</v>
      </c>
      <c r="B41" s="20" t="str">
        <f ca="1">IFERROR(__xludf.DUMMYFUNCTION("""COMPUTED_VALUE"""),"PCR + Rapid Antigen")</f>
        <v>PCR + Rapid Antigen</v>
      </c>
      <c r="C41" s="20" t="str">
        <f ca="1">IFERROR(__xludf.DUMMYFUNCTION("""COMPUTED_VALUE"""),"4+")</f>
        <v>4+</v>
      </c>
      <c r="D41" s="22">
        <f ca="1">IFERROR(__xludf.DUMMYFUNCTION("""COMPUTED_VALUE"""),44574)</f>
        <v>44574</v>
      </c>
      <c r="E41" s="22">
        <f ca="1">IFERROR(__xludf.DUMMYFUNCTION("""COMPUTED_VALUE"""),44574)</f>
        <v>44574</v>
      </c>
      <c r="F41" s="20"/>
      <c r="G41" s="20" t="str">
        <f ca="1">IFERROR(__xludf.DUMMYFUNCTION("""COMPUTED_VALUE"""),"Cong Beth Jacob Ohev Shalom")</f>
        <v>Cong Beth Jacob Ohev Shalom</v>
      </c>
      <c r="H41" s="20" t="str">
        <f ca="1">IFERROR(__xludf.DUMMYFUNCTION("""COMPUTED_VALUE"""),"284 Rodney Street, Brooklyn, NY 11211")</f>
        <v>284 Rodney Street, Brooklyn, NY 11211</v>
      </c>
      <c r="I41" s="20" t="str">
        <f ca="1">IFERROR(__xludf.DUMMYFUNCTION("""COMPUTED_VALUE"""),"Brooklyn")</f>
        <v>Brooklyn</v>
      </c>
      <c r="J41" s="24">
        <f ca="1">IFERROR(__xludf.DUMMYFUNCTION("""COMPUTED_VALUE"""),11211)</f>
        <v>11211</v>
      </c>
      <c r="K41" s="20" t="str">
        <f ca="1">IFERROR(__xludf.DUMMYFUNCTION("""COMPUTED_VALUE"""),"8am-6pm")</f>
        <v>8am-6pm</v>
      </c>
    </row>
    <row r="42" spans="1:11" ht="12.75">
      <c r="A42" s="20" t="str">
        <f ca="1">IFERROR(__xludf.DUMMYFUNCTION("""COMPUTED_VALUE"""),"RRT")</f>
        <v>RRT</v>
      </c>
      <c r="B42" s="20" t="str">
        <f ca="1">IFERROR(__xludf.DUMMYFUNCTION("""COMPUTED_VALUE"""),"PCR + Rapid Antigen")</f>
        <v>PCR + Rapid Antigen</v>
      </c>
      <c r="C42" s="20" t="str">
        <f ca="1">IFERROR(__xludf.DUMMYFUNCTION("""COMPUTED_VALUE"""),"4+")</f>
        <v>4+</v>
      </c>
      <c r="D42" s="22">
        <f ca="1">IFERROR(__xludf.DUMMYFUNCTION("""COMPUTED_VALUE"""),44577)</f>
        <v>44577</v>
      </c>
      <c r="E42" s="22">
        <f ca="1">IFERROR(__xludf.DUMMYFUNCTION("""COMPUTED_VALUE"""),44577)</f>
        <v>44577</v>
      </c>
      <c r="F42" s="20"/>
      <c r="G42" s="20" t="str">
        <f ca="1">IFERROR(__xludf.DUMMYFUNCTION("""COMPUTED_VALUE"""),"Quisqueya Playground")</f>
        <v>Quisqueya Playground</v>
      </c>
      <c r="H42" s="20" t="str">
        <f ca="1">IFERROR(__xludf.DUMMYFUNCTION("""COMPUTED_VALUE"""),"2405 Amsterdam Ave")</f>
        <v>2405 Amsterdam Ave</v>
      </c>
      <c r="I42" s="20" t="str">
        <f ca="1">IFERROR(__xludf.DUMMYFUNCTION("""COMPUTED_VALUE"""),"Manhattan")</f>
        <v>Manhattan</v>
      </c>
      <c r="J42" s="24">
        <f ca="1">IFERROR(__xludf.DUMMYFUNCTION("""COMPUTED_VALUE"""),10033)</f>
        <v>10033</v>
      </c>
      <c r="K42" s="20" t="str">
        <f ca="1">IFERROR(__xludf.DUMMYFUNCTION("""COMPUTED_VALUE"""),"8am -7pm")</f>
        <v>8am -7pm</v>
      </c>
    </row>
    <row r="43" spans="1:11" ht="12.75">
      <c r="A43" s="20" t="str">
        <f ca="1">IFERROR(__xludf.DUMMYFUNCTION("""COMPUTED_VALUE"""),"RRT")</f>
        <v>RRT</v>
      </c>
      <c r="B43" s="20" t="str">
        <f ca="1">IFERROR(__xludf.DUMMYFUNCTION("""COMPUTED_VALUE"""),"PCR + Rapid Antigen")</f>
        <v>PCR + Rapid Antigen</v>
      </c>
      <c r="C43" s="20" t="str">
        <f ca="1">IFERROR(__xludf.DUMMYFUNCTION("""COMPUTED_VALUE"""),"4+")</f>
        <v>4+</v>
      </c>
      <c r="D43" s="22">
        <f ca="1">IFERROR(__xludf.DUMMYFUNCTION("""COMPUTED_VALUE"""),44571)</f>
        <v>44571</v>
      </c>
      <c r="E43" s="22">
        <f ca="1">IFERROR(__xludf.DUMMYFUNCTION("""COMPUTED_VALUE"""),44573)</f>
        <v>44573</v>
      </c>
      <c r="F43" s="20"/>
      <c r="G43" s="20" t="str">
        <f ca="1">IFERROR(__xludf.DUMMYFUNCTION("""COMPUTED_VALUE"""),"Brighton Neighborhood Association")</f>
        <v>Brighton Neighborhood Association</v>
      </c>
      <c r="H43" s="20" t="str">
        <f ca="1">IFERROR(__xludf.DUMMYFUNCTION("""COMPUTED_VALUE"""),"1002 Brighton Beach Ave")</f>
        <v>1002 Brighton Beach Ave</v>
      </c>
      <c r="I43" s="20" t="str">
        <f ca="1">IFERROR(__xludf.DUMMYFUNCTION("""COMPUTED_VALUE"""),"Brooklyn")</f>
        <v>Brooklyn</v>
      </c>
      <c r="J43" s="24">
        <f ca="1">IFERROR(__xludf.DUMMYFUNCTION("""COMPUTED_VALUE"""),11235)</f>
        <v>11235</v>
      </c>
      <c r="K43" s="20" t="str">
        <f ca="1">IFERROR(__xludf.DUMMYFUNCTION("""COMPUTED_VALUE"""),"8am-6pm")</f>
        <v>8am-6pm</v>
      </c>
    </row>
    <row r="44" spans="1:11" ht="12.75">
      <c r="A44" s="20" t="str">
        <f ca="1">IFERROR(__xludf.DUMMYFUNCTION("""COMPUTED_VALUE"""),"RRT")</f>
        <v>RRT</v>
      </c>
      <c r="B44" s="20" t="str">
        <f ca="1">IFERROR(__xludf.DUMMYFUNCTION("""COMPUTED_VALUE"""),"PCR + Rapid Antigen")</f>
        <v>PCR + Rapid Antigen</v>
      </c>
      <c r="C44" s="20" t="str">
        <f ca="1">IFERROR(__xludf.DUMMYFUNCTION("""COMPUTED_VALUE"""),"4+")</f>
        <v>4+</v>
      </c>
      <c r="D44" s="22">
        <f ca="1">IFERROR(__xludf.DUMMYFUNCTION("""COMPUTED_VALUE"""),44575)</f>
        <v>44575</v>
      </c>
      <c r="E44" s="22">
        <f ca="1">IFERROR(__xludf.DUMMYFUNCTION("""COMPUTED_VALUE"""),44577)</f>
        <v>44577</v>
      </c>
      <c r="F44" s="20"/>
      <c r="G44" s="20" t="str">
        <f ca="1">IFERROR(__xludf.DUMMYFUNCTION("""COMPUTED_VALUE"""),"Burger King - Liberty Ave")</f>
        <v>Burger King - Liberty Ave</v>
      </c>
      <c r="H44" s="20" t="str">
        <f ca="1">IFERROR(__xludf.DUMMYFUNCTION("""COMPUTED_VALUE"""),"120-02 Liberty Ave")</f>
        <v>120-02 Liberty Ave</v>
      </c>
      <c r="I44" s="20" t="str">
        <f ca="1">IFERROR(__xludf.DUMMYFUNCTION("""COMPUTED_VALUE"""),"Queens")</f>
        <v>Queens</v>
      </c>
      <c r="J44" s="24">
        <f ca="1">IFERROR(__xludf.DUMMYFUNCTION("""COMPUTED_VALUE"""),11419)</f>
        <v>11419</v>
      </c>
      <c r="K44" s="20" t="str">
        <f ca="1">IFERROR(__xludf.DUMMYFUNCTION("""COMPUTED_VALUE"""),"8am-6pm")</f>
        <v>8am-6pm</v>
      </c>
    </row>
    <row r="45" spans="1:11" ht="12.75">
      <c r="A45" s="20" t="str">
        <f ca="1">IFERROR(__xludf.DUMMYFUNCTION("""COMPUTED_VALUE"""),"RRT")</f>
        <v>RRT</v>
      </c>
      <c r="B45" s="20" t="str">
        <f ca="1">IFERROR(__xludf.DUMMYFUNCTION("""COMPUTED_VALUE"""),"PCR + Rapid Antigen")</f>
        <v>PCR + Rapid Antigen</v>
      </c>
      <c r="C45" s="20" t="str">
        <f ca="1">IFERROR(__xludf.DUMMYFUNCTION("""COMPUTED_VALUE"""),"4+")</f>
        <v>4+</v>
      </c>
      <c r="D45" s="22">
        <f ca="1">IFERROR(__xludf.DUMMYFUNCTION("""COMPUTED_VALUE"""),44571)</f>
        <v>44571</v>
      </c>
      <c r="E45" s="22">
        <f ca="1">IFERROR(__xludf.DUMMYFUNCTION("""COMPUTED_VALUE"""),44577)</f>
        <v>44577</v>
      </c>
      <c r="F45" s="20"/>
      <c r="G45" s="20" t="str">
        <f ca="1">IFERROR(__xludf.DUMMYFUNCTION("""COMPUTED_VALUE"""),"William F. Moore Park")</f>
        <v>William F. Moore Park</v>
      </c>
      <c r="H45" s="20" t="str">
        <f ca="1">IFERROR(__xludf.DUMMYFUNCTION("""COMPUTED_VALUE"""),"10706 Corona Ave., Queens, NY 11368")</f>
        <v>10706 Corona Ave., Queens, NY 11368</v>
      </c>
      <c r="I45" s="20" t="str">
        <f ca="1">IFERROR(__xludf.DUMMYFUNCTION("""COMPUTED_VALUE"""),"Queens")</f>
        <v>Queens</v>
      </c>
      <c r="J45" s="24">
        <f ca="1">IFERROR(__xludf.DUMMYFUNCTION("""COMPUTED_VALUE"""),11368)</f>
        <v>11368</v>
      </c>
      <c r="K45" s="20" t="str">
        <f ca="1">IFERROR(__xludf.DUMMYFUNCTION("""COMPUTED_VALUE"""),"8am-6pm")</f>
        <v>8am-6pm</v>
      </c>
    </row>
    <row r="46" spans="1:11" ht="12.75">
      <c r="A46" s="20" t="str">
        <f ca="1">IFERROR(__xludf.DUMMYFUNCTION("""COMPUTED_VALUE"""),"RRT")</f>
        <v>RRT</v>
      </c>
      <c r="B46" s="20" t="str">
        <f ca="1">IFERROR(__xludf.DUMMYFUNCTION("""COMPUTED_VALUE"""),"PCR + Rapid Antigen")</f>
        <v>PCR + Rapid Antigen</v>
      </c>
      <c r="C46" s="20" t="str">
        <f ca="1">IFERROR(__xludf.DUMMYFUNCTION("""COMPUTED_VALUE"""),"4+")</f>
        <v>4+</v>
      </c>
      <c r="D46" s="22">
        <f ca="1">IFERROR(__xludf.DUMMYFUNCTION("""COMPUTED_VALUE"""),44571)</f>
        <v>44571</v>
      </c>
      <c r="E46" s="22">
        <f ca="1">IFERROR(__xludf.DUMMYFUNCTION("""COMPUTED_VALUE"""),44573)</f>
        <v>44573</v>
      </c>
      <c r="F46" s="20"/>
      <c r="G46" s="20" t="str">
        <f ca="1">IFERROR(__xludf.DUMMYFUNCTION("""COMPUTED_VALUE"""),"Bryan Park")</f>
        <v>Bryan Park</v>
      </c>
      <c r="H46" s="20" t="str">
        <f ca="1">IFERROR(__xludf.DUMMYFUNCTION("""COMPUTED_VALUE"""),"E Fordham Rd &amp; E Kingsbridge Rd, Bronx, NY 10458")</f>
        <v>E Fordham Rd &amp; E Kingsbridge Rd, Bronx, NY 10458</v>
      </c>
      <c r="I46" s="20" t="str">
        <f ca="1">IFERROR(__xludf.DUMMYFUNCTION("""COMPUTED_VALUE"""),"Bronx")</f>
        <v>Bronx</v>
      </c>
      <c r="J46" s="24">
        <f ca="1">IFERROR(__xludf.DUMMYFUNCTION("""COMPUTED_VALUE"""),10458)</f>
        <v>10458</v>
      </c>
      <c r="K46" s="20" t="str">
        <f ca="1">IFERROR(__xludf.DUMMYFUNCTION("""COMPUTED_VALUE"""),"8am-6pm")</f>
        <v>8am-6pm</v>
      </c>
    </row>
    <row r="47" spans="1:11" ht="12.75">
      <c r="A47" s="20" t="str">
        <f ca="1">IFERROR(__xludf.DUMMYFUNCTION("""COMPUTED_VALUE"""),"RRT")</f>
        <v>RRT</v>
      </c>
      <c r="B47" s="20" t="str">
        <f ca="1">IFERROR(__xludf.DUMMYFUNCTION("""COMPUTED_VALUE"""),"PCR + Rapid Antigen")</f>
        <v>PCR + Rapid Antigen</v>
      </c>
      <c r="C47" s="20" t="str">
        <f ca="1">IFERROR(__xludf.DUMMYFUNCTION("""COMPUTED_VALUE"""),"4+")</f>
        <v>4+</v>
      </c>
      <c r="D47" s="22">
        <f ca="1">IFERROR(__xludf.DUMMYFUNCTION("""COMPUTED_VALUE"""),44574)</f>
        <v>44574</v>
      </c>
      <c r="E47" s="22">
        <f ca="1">IFERROR(__xludf.DUMMYFUNCTION("""COMPUTED_VALUE"""),44567)</f>
        <v>44567</v>
      </c>
      <c r="F47" s="20"/>
      <c r="G47" s="20" t="str">
        <f ca="1">IFERROR(__xludf.DUMMYFUNCTION("""COMPUTED_VALUE"""),"Uncommon Schools: LPBVEA")</f>
        <v>Uncommon Schools: LPBVEA</v>
      </c>
      <c r="H47" s="20" t="str">
        <f ca="1">IFERROR(__xludf.DUMMYFUNCTION("""COMPUTED_VALUE"""),"985 Rockaway Ave")</f>
        <v>985 Rockaway Ave</v>
      </c>
      <c r="I47" s="20" t="str">
        <f ca="1">IFERROR(__xludf.DUMMYFUNCTION("""COMPUTED_VALUE"""),"Brooklyn")</f>
        <v>Brooklyn</v>
      </c>
      <c r="J47" s="24">
        <f ca="1">IFERROR(__xludf.DUMMYFUNCTION("""COMPUTED_VALUE"""),11212)</f>
        <v>11212</v>
      </c>
      <c r="K47" s="20" t="str">
        <f ca="1">IFERROR(__xludf.DUMMYFUNCTION("""COMPUTED_VALUE"""),"7am-4pm")</f>
        <v>7am-4pm</v>
      </c>
    </row>
    <row r="48" spans="1:11" ht="12.75">
      <c r="A48" s="20" t="str">
        <f ca="1">IFERROR(__xludf.DUMMYFUNCTION("""COMPUTED_VALUE"""),"RRT")</f>
        <v>RRT</v>
      </c>
      <c r="B48" s="20" t="str">
        <f ca="1">IFERROR(__xludf.DUMMYFUNCTION("""COMPUTED_VALUE"""),"PCR + Rapid Antigen")</f>
        <v>PCR + Rapid Antigen</v>
      </c>
      <c r="C48" s="20" t="str">
        <f ca="1">IFERROR(__xludf.DUMMYFUNCTION("""COMPUTED_VALUE"""),"4+")</f>
        <v>4+</v>
      </c>
      <c r="D48" s="22">
        <f ca="1">IFERROR(__xludf.DUMMYFUNCTION("""COMPUTED_VALUE"""),44575)</f>
        <v>44575</v>
      </c>
      <c r="E48" s="22">
        <f ca="1">IFERROR(__xludf.DUMMYFUNCTION("""COMPUTED_VALUE"""),44575)</f>
        <v>44575</v>
      </c>
      <c r="F48" s="20"/>
      <c r="G48" s="20" t="str">
        <f ca="1">IFERROR(__xludf.DUMMYFUNCTION("""COMPUTED_VALUE"""),"Uncommon Schools: LPBVEA")</f>
        <v>Uncommon Schools: LPBVEA</v>
      </c>
      <c r="H48" s="20" t="str">
        <f ca="1">IFERROR(__xludf.DUMMYFUNCTION("""COMPUTED_VALUE"""),"985 Rockaway Ave")</f>
        <v>985 Rockaway Ave</v>
      </c>
      <c r="I48" s="20" t="str">
        <f ca="1">IFERROR(__xludf.DUMMYFUNCTION("""COMPUTED_VALUE"""),"Brooklyn")</f>
        <v>Brooklyn</v>
      </c>
      <c r="J48" s="24">
        <f ca="1">IFERROR(__xludf.DUMMYFUNCTION("""COMPUTED_VALUE"""),11212)</f>
        <v>11212</v>
      </c>
      <c r="K48" s="20" t="str">
        <f ca="1">IFERROR(__xludf.DUMMYFUNCTION("""COMPUTED_VALUE"""),"7am-4pm")</f>
        <v>7am-4pm</v>
      </c>
    </row>
    <row r="49" spans="1:11" ht="12.75">
      <c r="A49" s="20" t="str">
        <f ca="1">IFERROR(__xludf.DUMMYFUNCTION("""COMPUTED_VALUE"""),"RRT")</f>
        <v>RRT</v>
      </c>
      <c r="B49" s="20" t="str">
        <f ca="1">IFERROR(__xludf.DUMMYFUNCTION("""COMPUTED_VALUE"""),"PCR + Rapid Antigen")</f>
        <v>PCR + Rapid Antigen</v>
      </c>
      <c r="C49" s="20" t="str">
        <f ca="1">IFERROR(__xludf.DUMMYFUNCTION("""COMPUTED_VALUE"""),"4+")</f>
        <v>4+</v>
      </c>
      <c r="D49" s="22">
        <f ca="1">IFERROR(__xludf.DUMMYFUNCTION("""COMPUTED_VALUE"""),44576)</f>
        <v>44576</v>
      </c>
      <c r="E49" s="22">
        <f ca="1">IFERROR(__xludf.DUMMYFUNCTION("""COMPUTED_VALUE"""),44577)</f>
        <v>44577</v>
      </c>
      <c r="F49" s="20"/>
      <c r="G49" s="20" t="str">
        <f ca="1">IFERROR(__xludf.DUMMYFUNCTION("""COMPUTED_VALUE"""),"Stars and Stripes Playground")</f>
        <v>Stars and Stripes Playground</v>
      </c>
      <c r="H49" s="20" t="str">
        <f ca="1">IFERROR(__xludf.DUMMYFUNCTION("""COMPUTED_VALUE"""),"Baychester Ave &amp; Crawford Ave, Bronx, NY 10466")</f>
        <v>Baychester Ave &amp; Crawford Ave, Bronx, NY 10466</v>
      </c>
      <c r="I49" s="20" t="str">
        <f ca="1">IFERROR(__xludf.DUMMYFUNCTION("""COMPUTED_VALUE"""),"Bronx")</f>
        <v>Bronx</v>
      </c>
      <c r="J49" s="24">
        <f ca="1">IFERROR(__xludf.DUMMYFUNCTION("""COMPUTED_VALUE"""),10466)</f>
        <v>10466</v>
      </c>
      <c r="K49" s="20" t="str">
        <f ca="1">IFERROR(__xludf.DUMMYFUNCTION("""COMPUTED_VALUE"""),"8am-6pm")</f>
        <v>8am-6pm</v>
      </c>
    </row>
    <row r="50" spans="1:11" ht="12.75">
      <c r="A50" s="20" t="str">
        <f ca="1">IFERROR(__xludf.DUMMYFUNCTION("""COMPUTED_VALUE"""),"RRT")</f>
        <v>RRT</v>
      </c>
      <c r="B50" s="20" t="str">
        <f ca="1">IFERROR(__xludf.DUMMYFUNCTION("""COMPUTED_VALUE"""),"PCR + Rapid Antigen")</f>
        <v>PCR + Rapid Antigen</v>
      </c>
      <c r="C50" s="20" t="str">
        <f ca="1">IFERROR(__xludf.DUMMYFUNCTION("""COMPUTED_VALUE"""),"4+")</f>
        <v>4+</v>
      </c>
      <c r="D50" s="22">
        <f ca="1">IFERROR(__xludf.DUMMYFUNCTION("""COMPUTED_VALUE"""),44571)</f>
        <v>44571</v>
      </c>
      <c r="E50" s="22">
        <f ca="1">IFERROR(__xludf.DUMMYFUNCTION("""COMPUTED_VALUE"""),44573)</f>
        <v>44573</v>
      </c>
      <c r="F50" s="20"/>
      <c r="G50" s="20" t="str">
        <f ca="1">IFERROR(__xludf.DUMMYFUNCTION("""COMPUTED_VALUE"""),"Blink @ Gun Hill")</f>
        <v>Blink @ Gun Hill</v>
      </c>
      <c r="H50" s="20" t="str">
        <f ca="1">IFERROR(__xludf.DUMMYFUNCTION("""COMPUTED_VALUE"""),"3580 White Plains Road")</f>
        <v>3580 White Plains Road</v>
      </c>
      <c r="I50" s="20" t="str">
        <f ca="1">IFERROR(__xludf.DUMMYFUNCTION("""COMPUTED_VALUE"""),"Bronx")</f>
        <v>Bronx</v>
      </c>
      <c r="J50" s="24">
        <f ca="1">IFERROR(__xludf.DUMMYFUNCTION("""COMPUTED_VALUE"""),10467)</f>
        <v>10467</v>
      </c>
      <c r="K50" s="20" t="str">
        <f ca="1">IFERROR(__xludf.DUMMYFUNCTION("""COMPUTED_VALUE"""),"10am-8pm")</f>
        <v>10am-8pm</v>
      </c>
    </row>
    <row r="51" spans="1:11" ht="12.75">
      <c r="A51" s="20" t="str">
        <f ca="1">IFERROR(__xludf.DUMMYFUNCTION("""COMPUTED_VALUE"""),"RRT")</f>
        <v>RRT</v>
      </c>
      <c r="B51" s="20" t="str">
        <f ca="1">IFERROR(__xludf.DUMMYFUNCTION("""COMPUTED_VALUE"""),"PCR + Rapid Antigen")</f>
        <v>PCR + Rapid Antigen</v>
      </c>
      <c r="C51" s="20" t="str">
        <f ca="1">IFERROR(__xludf.DUMMYFUNCTION("""COMPUTED_VALUE"""),"4+")</f>
        <v>4+</v>
      </c>
      <c r="D51" s="22">
        <f ca="1">IFERROR(__xludf.DUMMYFUNCTION("""COMPUTED_VALUE"""),44574)</f>
        <v>44574</v>
      </c>
      <c r="E51" s="22">
        <f ca="1">IFERROR(__xludf.DUMMYFUNCTION("""COMPUTED_VALUE"""),44575)</f>
        <v>44575</v>
      </c>
      <c r="F51" s="20"/>
      <c r="G51" s="20" t="str">
        <f ca="1">IFERROR(__xludf.DUMMYFUNCTION("""COMPUTED_VALUE"""),"Blink @ Concourse West Village")</f>
        <v>Blink @ Concourse West Village</v>
      </c>
      <c r="H51" s="20" t="str">
        <f ca="1">IFERROR(__xludf.DUMMYFUNCTION("""COMPUTED_VALUE"""),"820 Concourse Village W")</f>
        <v>820 Concourse Village W</v>
      </c>
      <c r="I51" s="20" t="str">
        <f ca="1">IFERROR(__xludf.DUMMYFUNCTION("""COMPUTED_VALUE"""),"Bronx")</f>
        <v>Bronx</v>
      </c>
      <c r="J51" s="24">
        <f ca="1">IFERROR(__xludf.DUMMYFUNCTION("""COMPUTED_VALUE"""),10451)</f>
        <v>10451</v>
      </c>
      <c r="K51" s="20" t="str">
        <f ca="1">IFERROR(__xludf.DUMMYFUNCTION("""COMPUTED_VALUE"""),"10am-8pm")</f>
        <v>10am-8pm</v>
      </c>
    </row>
    <row r="52" spans="1:11" ht="12.75">
      <c r="A52" s="20" t="str">
        <f ca="1">IFERROR(__xludf.DUMMYFUNCTION("""COMPUTED_VALUE"""),"RRT")</f>
        <v>RRT</v>
      </c>
      <c r="B52" s="20" t="str">
        <f ca="1">IFERROR(__xludf.DUMMYFUNCTION("""COMPUTED_VALUE"""),"PCR + Rapid Antigen")</f>
        <v>PCR + Rapid Antigen</v>
      </c>
      <c r="C52" s="20" t="str">
        <f ca="1">IFERROR(__xludf.DUMMYFUNCTION("""COMPUTED_VALUE"""),"4+")</f>
        <v>4+</v>
      </c>
      <c r="D52" s="22">
        <f ca="1">IFERROR(__xludf.DUMMYFUNCTION("""COMPUTED_VALUE"""),44576)</f>
        <v>44576</v>
      </c>
      <c r="E52" s="22">
        <f ca="1">IFERROR(__xludf.DUMMYFUNCTION("""COMPUTED_VALUE"""),44577)</f>
        <v>44577</v>
      </c>
      <c r="F52" s="20"/>
      <c r="G52" s="20" t="str">
        <f ca="1">IFERROR(__xludf.DUMMYFUNCTION("""COMPUTED_VALUE"""),"Blink @ Hunts Point ")</f>
        <v xml:space="preserve">Blink @ Hunts Point </v>
      </c>
      <c r="H52" s="20" t="str">
        <f ca="1">IFERROR(__xludf.DUMMYFUNCTION("""COMPUTED_VALUE"""),"932 Southern Blvd")</f>
        <v>932 Southern Blvd</v>
      </c>
      <c r="I52" s="20" t="str">
        <f ca="1">IFERROR(__xludf.DUMMYFUNCTION("""COMPUTED_VALUE"""),"Bronx")</f>
        <v>Bronx</v>
      </c>
      <c r="J52" s="24">
        <f ca="1">IFERROR(__xludf.DUMMYFUNCTION("""COMPUTED_VALUE"""),10459)</f>
        <v>10459</v>
      </c>
      <c r="K52" s="20" t="str">
        <f ca="1">IFERROR(__xludf.DUMMYFUNCTION("""COMPUTED_VALUE"""),"8am-6pm")</f>
        <v>8am-6pm</v>
      </c>
    </row>
    <row r="53" spans="1:11" ht="12.75">
      <c r="A53" s="20" t="str">
        <f ca="1">IFERROR(__xludf.DUMMYFUNCTION("""COMPUTED_VALUE"""),"RRT")</f>
        <v>RRT</v>
      </c>
      <c r="B53" s="20" t="str">
        <f ca="1">IFERROR(__xludf.DUMMYFUNCTION("""COMPUTED_VALUE"""),"PCR + Rapid Antigen")</f>
        <v>PCR + Rapid Antigen</v>
      </c>
      <c r="C53" s="20" t="str">
        <f ca="1">IFERROR(__xludf.DUMMYFUNCTION("""COMPUTED_VALUE"""),"4+")</f>
        <v>4+</v>
      </c>
      <c r="D53" s="22">
        <f ca="1">IFERROR(__xludf.DUMMYFUNCTION("""COMPUTED_VALUE"""),44571)</f>
        <v>44571</v>
      </c>
      <c r="E53" s="22">
        <f ca="1">IFERROR(__xludf.DUMMYFUNCTION("""COMPUTED_VALUE"""),44574)</f>
        <v>44574</v>
      </c>
      <c r="F53" s="20"/>
      <c r="G53" s="20" t="str">
        <f ca="1">IFERROR(__xludf.DUMMYFUNCTION("""COMPUTED_VALUE"""),"Wingate Park")</f>
        <v>Wingate Park</v>
      </c>
      <c r="H53" s="20" t="str">
        <f ca="1">IFERROR(__xludf.DUMMYFUNCTION("""COMPUTED_VALUE"""),"466 Rutland Rd")</f>
        <v>466 Rutland Rd</v>
      </c>
      <c r="I53" s="20" t="str">
        <f ca="1">IFERROR(__xludf.DUMMYFUNCTION("""COMPUTED_VALUE"""),"Brooklyn")</f>
        <v>Brooklyn</v>
      </c>
      <c r="J53" s="24">
        <f ca="1">IFERROR(__xludf.DUMMYFUNCTION("""COMPUTED_VALUE"""),11203)</f>
        <v>11203</v>
      </c>
      <c r="K53" s="20" t="str">
        <f ca="1">IFERROR(__xludf.DUMMYFUNCTION("""COMPUTED_VALUE"""),"9am-7pm")</f>
        <v>9am-7pm</v>
      </c>
    </row>
    <row r="54" spans="1:11" ht="12.75">
      <c r="A54" s="20" t="str">
        <f ca="1">IFERROR(__xludf.DUMMYFUNCTION("""COMPUTED_VALUE"""),"RRT")</f>
        <v>RRT</v>
      </c>
      <c r="B54" s="20" t="str">
        <f ca="1">IFERROR(__xludf.DUMMYFUNCTION("""COMPUTED_VALUE"""),"PCR + Rapid Antigen")</f>
        <v>PCR + Rapid Antigen</v>
      </c>
      <c r="C54" s="20" t="str">
        <f ca="1">IFERROR(__xludf.DUMMYFUNCTION("""COMPUTED_VALUE"""),"4+")</f>
        <v>4+</v>
      </c>
      <c r="D54" s="22">
        <f ca="1">IFERROR(__xludf.DUMMYFUNCTION("""COMPUTED_VALUE"""),44575)</f>
        <v>44575</v>
      </c>
      <c r="E54" s="22">
        <f ca="1">IFERROR(__xludf.DUMMYFUNCTION("""COMPUTED_VALUE"""),44575)</f>
        <v>44575</v>
      </c>
      <c r="F54" s="20"/>
      <c r="G54" s="20" t="str">
        <f ca="1">IFERROR(__xludf.DUMMYFUNCTION("""COMPUTED_VALUE"""),"Black Health")</f>
        <v>Black Health</v>
      </c>
      <c r="H54" s="20" t="str">
        <f ca="1">IFERROR(__xludf.DUMMYFUNCTION("""COMPUTED_VALUE"""),"215 W 125th St. ")</f>
        <v xml:space="preserve">215 W 125th St. </v>
      </c>
      <c r="I54" s="20" t="str">
        <f ca="1">IFERROR(__xludf.DUMMYFUNCTION("""COMPUTED_VALUE"""),"Manhattan")</f>
        <v>Manhattan</v>
      </c>
      <c r="J54" s="24">
        <f ca="1">IFERROR(__xludf.DUMMYFUNCTION("""COMPUTED_VALUE"""),10027)</f>
        <v>10027</v>
      </c>
      <c r="K54" s="20" t="str">
        <f ca="1">IFERROR(__xludf.DUMMYFUNCTION("""COMPUTED_VALUE"""),"10AM-5PM")</f>
        <v>10AM-5PM</v>
      </c>
    </row>
    <row r="55" spans="1:11" ht="12.75">
      <c r="A55" s="20" t="str">
        <f ca="1">IFERROR(__xludf.DUMMYFUNCTION("""COMPUTED_VALUE"""),"RRT")</f>
        <v>RRT</v>
      </c>
      <c r="B55" s="20" t="str">
        <f ca="1">IFERROR(__xludf.DUMMYFUNCTION("""COMPUTED_VALUE"""),"PCR + Rapid Antigen")</f>
        <v>PCR + Rapid Antigen</v>
      </c>
      <c r="C55" s="20" t="str">
        <f ca="1">IFERROR(__xludf.DUMMYFUNCTION("""COMPUTED_VALUE"""),"4+")</f>
        <v>4+</v>
      </c>
      <c r="D55" s="22">
        <f ca="1">IFERROR(__xludf.DUMMYFUNCTION("""COMPUTED_VALUE"""),44576)</f>
        <v>44576</v>
      </c>
      <c r="E55" s="22">
        <f ca="1">IFERROR(__xludf.DUMMYFUNCTION("""COMPUTED_VALUE"""),44576)</f>
        <v>44576</v>
      </c>
      <c r="F55" s="20"/>
      <c r="G55" s="20" t="str">
        <f ca="1">IFERROR(__xludf.DUMMYFUNCTION("""COMPUTED_VALUE"""),"KCS / Bayside United Methodist Church")</f>
        <v>KCS / Bayside United Methodist Church</v>
      </c>
      <c r="H55" s="20" t="str">
        <f ca="1">IFERROR(__xludf.DUMMYFUNCTION("""COMPUTED_VALUE"""),"3820 Bell Blvd, Bayside, NY 11361")</f>
        <v>3820 Bell Blvd, Bayside, NY 11361</v>
      </c>
      <c r="I55" s="20" t="str">
        <f ca="1">IFERROR(__xludf.DUMMYFUNCTION("""COMPUTED_VALUE"""),"Queens")</f>
        <v>Queens</v>
      </c>
      <c r="J55" s="24">
        <f ca="1">IFERROR(__xludf.DUMMYFUNCTION("""COMPUTED_VALUE"""),11361)</f>
        <v>11361</v>
      </c>
      <c r="K55" s="20" t="str">
        <f ca="1">IFERROR(__xludf.DUMMYFUNCTION("""COMPUTED_VALUE"""),"8am-6pm")</f>
        <v>8am-6pm</v>
      </c>
    </row>
    <row r="56" spans="1:11" ht="12.75">
      <c r="A56" s="20" t="str">
        <f ca="1">IFERROR(__xludf.DUMMYFUNCTION("""COMPUTED_VALUE"""),"RRT")</f>
        <v>RRT</v>
      </c>
      <c r="B56" s="20" t="str">
        <f ca="1">IFERROR(__xludf.DUMMYFUNCTION("""COMPUTED_VALUE"""),"PCR + Rapid Antigen")</f>
        <v>PCR + Rapid Antigen</v>
      </c>
      <c r="C56" s="20" t="str">
        <f ca="1">IFERROR(__xludf.DUMMYFUNCTION("""COMPUTED_VALUE"""),"4+")</f>
        <v>4+</v>
      </c>
      <c r="D56" s="22">
        <f ca="1">IFERROR(__xludf.DUMMYFUNCTION("""COMPUTED_VALUE"""),44577)</f>
        <v>44577</v>
      </c>
      <c r="E56" s="22">
        <f ca="1">IFERROR(__xludf.DUMMYFUNCTION("""COMPUTED_VALUE"""),44577)</f>
        <v>44577</v>
      </c>
      <c r="F56" s="20"/>
      <c r="G56" s="20" t="str">
        <f ca="1">IFERROR(__xludf.DUMMYFUNCTION("""COMPUTED_VALUE"""),"Star Spangled Playground")</f>
        <v>Star Spangled Playground</v>
      </c>
      <c r="H56" s="20" t="str">
        <f ca="1">IFERROR(__xludf.DUMMYFUNCTION("""COMPUTED_VALUE"""),"194 Franklin Ave, Brooklyn, NY 11205")</f>
        <v>194 Franklin Ave, Brooklyn, NY 11205</v>
      </c>
      <c r="I56" s="20" t="str">
        <f ca="1">IFERROR(__xludf.DUMMYFUNCTION("""COMPUTED_VALUE"""),"Brooklyn")</f>
        <v>Brooklyn</v>
      </c>
      <c r="J56" s="24">
        <f ca="1">IFERROR(__xludf.DUMMYFUNCTION("""COMPUTED_VALUE"""),11205)</f>
        <v>11205</v>
      </c>
      <c r="K56" s="20" t="str">
        <f ca="1">IFERROR(__xludf.DUMMYFUNCTION("""COMPUTED_VALUE"""),"8am-6pm")</f>
        <v>8am-6pm</v>
      </c>
    </row>
    <row r="57" spans="1:11" ht="12.75">
      <c r="A57" s="20" t="str">
        <f ca="1">IFERROR(__xludf.DUMMYFUNCTION("""COMPUTED_VALUE"""),"RRT")</f>
        <v>RRT</v>
      </c>
      <c r="B57" s="20" t="str">
        <f ca="1">IFERROR(__xludf.DUMMYFUNCTION("""COMPUTED_VALUE"""),"PCR + Rapid Antigen")</f>
        <v>PCR + Rapid Antigen</v>
      </c>
      <c r="C57" s="20" t="str">
        <f ca="1">IFERROR(__xludf.DUMMYFUNCTION("""COMPUTED_VALUE"""),"4+")</f>
        <v>4+</v>
      </c>
      <c r="D57" s="22">
        <f ca="1">IFERROR(__xludf.DUMMYFUNCTION("""COMPUTED_VALUE"""),44571)</f>
        <v>44571</v>
      </c>
      <c r="E57" s="22">
        <f ca="1">IFERROR(__xludf.DUMMYFUNCTION("""COMPUTED_VALUE"""),44573)</f>
        <v>44573</v>
      </c>
      <c r="F57" s="20"/>
      <c r="G57" s="20" t="str">
        <f ca="1">IFERROR(__xludf.DUMMYFUNCTION("""COMPUTED_VALUE"""),"Dunkin - Prospect Ave")</f>
        <v>Dunkin - Prospect Ave</v>
      </c>
      <c r="H57" s="20" t="str">
        <f ca="1">IFERROR(__xludf.DUMMYFUNCTION("""COMPUTED_VALUE"""),"839 Prospect Ave")</f>
        <v>839 Prospect Ave</v>
      </c>
      <c r="I57" s="20" t="str">
        <f ca="1">IFERROR(__xludf.DUMMYFUNCTION("""COMPUTED_VALUE"""),"Bronx")</f>
        <v>Bronx</v>
      </c>
      <c r="J57" s="24">
        <f ca="1">IFERROR(__xludf.DUMMYFUNCTION("""COMPUTED_VALUE"""),10459)</f>
        <v>10459</v>
      </c>
      <c r="K57" s="20" t="str">
        <f ca="1">IFERROR(__xludf.DUMMYFUNCTION("""COMPUTED_VALUE"""),"8am-6pm")</f>
        <v>8am-6pm</v>
      </c>
    </row>
    <row r="58" spans="1:11" ht="12.75">
      <c r="A58" s="20" t="str">
        <f ca="1">IFERROR(__xludf.DUMMYFUNCTION("""COMPUTED_VALUE"""),"RRT")</f>
        <v>RRT</v>
      </c>
      <c r="B58" s="20" t="str">
        <f ca="1">IFERROR(__xludf.DUMMYFUNCTION("""COMPUTED_VALUE"""),"PCR + Rapid Antigen")</f>
        <v>PCR + Rapid Antigen</v>
      </c>
      <c r="C58" s="20" t="str">
        <f ca="1">IFERROR(__xludf.DUMMYFUNCTION("""COMPUTED_VALUE"""),"4+")</f>
        <v>4+</v>
      </c>
      <c r="D58" s="22">
        <f ca="1">IFERROR(__xludf.DUMMYFUNCTION("""COMPUTED_VALUE"""),44574)</f>
        <v>44574</v>
      </c>
      <c r="E58" s="22">
        <f ca="1">IFERROR(__xludf.DUMMYFUNCTION("""COMPUTED_VALUE"""),44574)</f>
        <v>44574</v>
      </c>
      <c r="F58" s="20"/>
      <c r="G58" s="20" t="str">
        <f ca="1">IFERROR(__xludf.DUMMYFUNCTION("""COMPUTED_VALUE"""),"New Jerusalem Worship Center")</f>
        <v>New Jerusalem Worship Center</v>
      </c>
      <c r="H58" s="20" t="str">
        <f ca="1">IFERROR(__xludf.DUMMYFUNCTION("""COMPUTED_VALUE"""),"122-05 Smith Street")</f>
        <v>122-05 Smith Street</v>
      </c>
      <c r="I58" s="20" t="str">
        <f ca="1">IFERROR(__xludf.DUMMYFUNCTION("""COMPUTED_VALUE"""),"Queens")</f>
        <v>Queens</v>
      </c>
      <c r="J58" s="24">
        <f ca="1">IFERROR(__xludf.DUMMYFUNCTION("""COMPUTED_VALUE"""),11434)</f>
        <v>11434</v>
      </c>
      <c r="K58" s="20" t="str">
        <f ca="1">IFERROR(__xludf.DUMMYFUNCTION("""COMPUTED_VALUE"""),"8am-6pm")</f>
        <v>8am-6pm</v>
      </c>
    </row>
    <row r="59" spans="1:11" ht="12.75">
      <c r="A59" s="20" t="str">
        <f ca="1">IFERROR(__xludf.DUMMYFUNCTION("""COMPUTED_VALUE"""),"RRT")</f>
        <v>RRT</v>
      </c>
      <c r="B59" s="20" t="str">
        <f ca="1">IFERROR(__xludf.DUMMYFUNCTION("""COMPUTED_VALUE"""),"PCR + Rapid Antigen")</f>
        <v>PCR + Rapid Antigen</v>
      </c>
      <c r="C59" s="20" t="str">
        <f ca="1">IFERROR(__xludf.DUMMYFUNCTION("""COMPUTED_VALUE"""),"4+")</f>
        <v>4+</v>
      </c>
      <c r="D59" s="22">
        <f ca="1">IFERROR(__xludf.DUMMYFUNCTION("""COMPUTED_VALUE"""),44575)</f>
        <v>44575</v>
      </c>
      <c r="E59" s="22">
        <f ca="1">IFERROR(__xludf.DUMMYFUNCTION("""COMPUTED_VALUE"""),44575)</f>
        <v>44575</v>
      </c>
      <c r="F59" s="20"/>
      <c r="G59" s="20" t="str">
        <f ca="1">IFERROR(__xludf.DUMMYFUNCTION("""COMPUTED_VALUE"""),"Brooklyn Prospect: Clinton Hill Middle School")</f>
        <v>Brooklyn Prospect: Clinton Hill Middle School</v>
      </c>
      <c r="H59" s="20" t="str">
        <f ca="1">IFERROR(__xludf.DUMMYFUNCTION("""COMPUTED_VALUE"""),"1100 Fulton St")</f>
        <v>1100 Fulton St</v>
      </c>
      <c r="I59" s="20" t="str">
        <f ca="1">IFERROR(__xludf.DUMMYFUNCTION("""COMPUTED_VALUE"""),"Brooklyn")</f>
        <v>Brooklyn</v>
      </c>
      <c r="J59" s="24">
        <f ca="1">IFERROR(__xludf.DUMMYFUNCTION("""COMPUTED_VALUE"""),11238)</f>
        <v>11238</v>
      </c>
      <c r="K59" s="20" t="str">
        <f ca="1">IFERROR(__xludf.DUMMYFUNCTION("""COMPUTED_VALUE"""),"7am-5pm")</f>
        <v>7am-5pm</v>
      </c>
    </row>
    <row r="60" spans="1:11" ht="12.75">
      <c r="A60" s="20" t="str">
        <f ca="1">IFERROR(__xludf.DUMMYFUNCTION("""COMPUTED_VALUE"""),"RRT")</f>
        <v>RRT</v>
      </c>
      <c r="B60" s="20" t="str">
        <f ca="1">IFERROR(__xludf.DUMMYFUNCTION("""COMPUTED_VALUE"""),"PCR + Rapid Antigen")</f>
        <v>PCR + Rapid Antigen</v>
      </c>
      <c r="C60" s="20" t="str">
        <f ca="1">IFERROR(__xludf.DUMMYFUNCTION("""COMPUTED_VALUE"""),"4+")</f>
        <v>4+</v>
      </c>
      <c r="D60" s="22">
        <f ca="1">IFERROR(__xludf.DUMMYFUNCTION("""COMPUTED_VALUE"""),44576)</f>
        <v>44576</v>
      </c>
      <c r="E60" s="22">
        <f ca="1">IFERROR(__xludf.DUMMYFUNCTION("""COMPUTED_VALUE"""),44577)</f>
        <v>44577</v>
      </c>
      <c r="F60" s="20"/>
      <c r="G60" s="20" t="str">
        <f ca="1">IFERROR(__xludf.DUMMYFUNCTION("""COMPUTED_VALUE"""),"Blink @ Canarsie")</f>
        <v>Blink @ Canarsie</v>
      </c>
      <c r="H60" s="20" t="str">
        <f ca="1">IFERROR(__xludf.DUMMYFUNCTION("""COMPUTED_VALUE"""),"E 92nd St at Flatlands Ave")</f>
        <v>E 92nd St at Flatlands Ave</v>
      </c>
      <c r="I60" s="20" t="str">
        <f ca="1">IFERROR(__xludf.DUMMYFUNCTION("""COMPUTED_VALUE"""),"Brooklyn")</f>
        <v>Brooklyn</v>
      </c>
      <c r="J60" s="24">
        <f ca="1">IFERROR(__xludf.DUMMYFUNCTION("""COMPUTED_VALUE"""),11236)</f>
        <v>11236</v>
      </c>
      <c r="K60" s="20" t="str">
        <f ca="1">IFERROR(__xludf.DUMMYFUNCTION("""COMPUTED_VALUE"""),"8am-6pm")</f>
        <v>8am-6pm</v>
      </c>
    </row>
    <row r="61" spans="1:11" ht="12.75">
      <c r="A61" s="20" t="str">
        <f ca="1">IFERROR(__xludf.DUMMYFUNCTION("""COMPUTED_VALUE"""),"RRT")</f>
        <v>RRT</v>
      </c>
      <c r="B61" s="20" t="str">
        <f ca="1">IFERROR(__xludf.DUMMYFUNCTION("""COMPUTED_VALUE"""),"PCR + Rapid Antigen")</f>
        <v>PCR + Rapid Antigen</v>
      </c>
      <c r="C61" s="20" t="str">
        <f ca="1">IFERROR(__xludf.DUMMYFUNCTION("""COMPUTED_VALUE"""),"4+")</f>
        <v>4+</v>
      </c>
      <c r="D61" s="22">
        <f ca="1">IFERROR(__xludf.DUMMYFUNCTION("""COMPUTED_VALUE"""),44571)</f>
        <v>44571</v>
      </c>
      <c r="E61" s="22">
        <f ca="1">IFERROR(__xludf.DUMMYFUNCTION("""COMPUTED_VALUE"""),44577)</f>
        <v>44577</v>
      </c>
      <c r="F61" s="20"/>
      <c r="G61" s="20" t="str">
        <f ca="1">IFERROR(__xludf.DUMMYFUNCTION("""COMPUTED_VALUE"""),"Conference House Park ")</f>
        <v xml:space="preserve">Conference House Park </v>
      </c>
      <c r="H61" s="20" t="str">
        <f ca="1">IFERROR(__xludf.DUMMYFUNCTION("""COMPUTED_VALUE"""),"Corner of Saterlee Street and Hylan Blvd")</f>
        <v>Corner of Saterlee Street and Hylan Blvd</v>
      </c>
      <c r="I61" s="20" t="str">
        <f ca="1">IFERROR(__xludf.DUMMYFUNCTION("""COMPUTED_VALUE"""),"Staten Island")</f>
        <v>Staten Island</v>
      </c>
      <c r="J61" s="24">
        <f ca="1">IFERROR(__xludf.DUMMYFUNCTION("""COMPUTED_VALUE"""),10307)</f>
        <v>10307</v>
      </c>
      <c r="K61" s="20" t="str">
        <f ca="1">IFERROR(__xludf.DUMMYFUNCTION("""COMPUTED_VALUE"""),"8am-6pm")</f>
        <v>8am-6pm</v>
      </c>
    </row>
    <row r="62" spans="1:11" ht="12.75">
      <c r="A62" s="20" t="str">
        <f ca="1">IFERROR(__xludf.DUMMYFUNCTION("""COMPUTED_VALUE"""),"RRT")</f>
        <v>RRT</v>
      </c>
      <c r="B62" s="20" t="str">
        <f ca="1">IFERROR(__xludf.DUMMYFUNCTION("""COMPUTED_VALUE"""),"PCR + Rapid Antigen")</f>
        <v>PCR + Rapid Antigen</v>
      </c>
      <c r="C62" s="20" t="str">
        <f ca="1">IFERROR(__xludf.DUMMYFUNCTION("""COMPUTED_VALUE"""),"4+")</f>
        <v>4+</v>
      </c>
      <c r="D62" s="22">
        <f ca="1">IFERROR(__xludf.DUMMYFUNCTION("""COMPUTED_VALUE"""),44571)</f>
        <v>44571</v>
      </c>
      <c r="E62" s="22">
        <f ca="1">IFERROR(__xludf.DUMMYFUNCTION("""COMPUTED_VALUE"""),44575)</f>
        <v>44575</v>
      </c>
      <c r="F62" s="20"/>
      <c r="G62" s="20" t="str">
        <f ca="1">IFERROR(__xludf.DUMMYFUNCTION("""COMPUTED_VALUE"""),"Blink @ East Tremont")</f>
        <v>Blink @ East Tremont</v>
      </c>
      <c r="H62" s="20" t="str">
        <f ca="1">IFERROR(__xludf.DUMMYFUNCTION("""COMPUTED_VALUE"""),"645 E. Tremont Ave")</f>
        <v>645 E. Tremont Ave</v>
      </c>
      <c r="I62" s="20" t="str">
        <f ca="1">IFERROR(__xludf.DUMMYFUNCTION("""COMPUTED_VALUE"""),"Bronx")</f>
        <v>Bronx</v>
      </c>
      <c r="J62" s="24">
        <f ca="1">IFERROR(__xludf.DUMMYFUNCTION("""COMPUTED_VALUE"""),10457)</f>
        <v>10457</v>
      </c>
      <c r="K62" s="20" t="str">
        <f ca="1">IFERROR(__xludf.DUMMYFUNCTION("""COMPUTED_VALUE"""),"8am-6pm")</f>
        <v>8am-6pm</v>
      </c>
    </row>
    <row r="63" spans="1:11" ht="12.75">
      <c r="A63" s="20" t="str">
        <f ca="1">IFERROR(__xludf.DUMMYFUNCTION("""COMPUTED_VALUE"""),"RRT")</f>
        <v>RRT</v>
      </c>
      <c r="B63" s="20" t="str">
        <f ca="1">IFERROR(__xludf.DUMMYFUNCTION("""COMPUTED_VALUE"""),"PCR + Rapid Antigen")</f>
        <v>PCR + Rapid Antigen</v>
      </c>
      <c r="C63" s="20" t="str">
        <f ca="1">IFERROR(__xludf.DUMMYFUNCTION("""COMPUTED_VALUE"""),"4+")</f>
        <v>4+</v>
      </c>
      <c r="D63" s="22">
        <f ca="1">IFERROR(__xludf.DUMMYFUNCTION("""COMPUTED_VALUE"""),44576)</f>
        <v>44576</v>
      </c>
      <c r="E63" s="22">
        <f ca="1">IFERROR(__xludf.DUMMYFUNCTION("""COMPUTED_VALUE"""),44576)</f>
        <v>44576</v>
      </c>
      <c r="F63" s="20"/>
      <c r="G63" s="20" t="str">
        <f ca="1">IFERROR(__xludf.DUMMYFUNCTION("""COMPUTED_VALUE"""),"Shack48")</f>
        <v>Shack48</v>
      </c>
      <c r="H63" s="20" t="str">
        <f ca="1">IFERROR(__xludf.DUMMYFUNCTION("""COMPUTED_VALUE"""),"212-32 48th Ave")</f>
        <v>212-32 48th Ave</v>
      </c>
      <c r="I63" s="20" t="str">
        <f ca="1">IFERROR(__xludf.DUMMYFUNCTION("""COMPUTED_VALUE"""),"Queens")</f>
        <v>Queens</v>
      </c>
      <c r="J63" s="24">
        <f ca="1">IFERROR(__xludf.DUMMYFUNCTION("""COMPUTED_VALUE"""),11364)</f>
        <v>11364</v>
      </c>
      <c r="K63" s="20" t="str">
        <f ca="1">IFERROR(__xludf.DUMMYFUNCTION("""COMPUTED_VALUE"""),"10am-5pm")</f>
        <v>10am-5pm</v>
      </c>
    </row>
    <row r="64" spans="1:11" ht="12.75">
      <c r="A64" s="20" t="str">
        <f ca="1">IFERROR(__xludf.DUMMYFUNCTION("""COMPUTED_VALUE"""),"RRT")</f>
        <v>RRT</v>
      </c>
      <c r="B64" s="20" t="str">
        <f ca="1">IFERROR(__xludf.DUMMYFUNCTION("""COMPUTED_VALUE"""),"PCR + Rapid Antigen")</f>
        <v>PCR + Rapid Antigen</v>
      </c>
      <c r="C64" s="20" t="str">
        <f ca="1">IFERROR(__xludf.DUMMYFUNCTION("""COMPUTED_VALUE"""),"4+")</f>
        <v>4+</v>
      </c>
      <c r="D64" s="22">
        <f ca="1">IFERROR(__xludf.DUMMYFUNCTION("""COMPUTED_VALUE"""),44577)</f>
        <v>44577</v>
      </c>
      <c r="E64" s="22">
        <f ca="1">IFERROR(__xludf.DUMMYFUNCTION("""COMPUTED_VALUE"""),44577)</f>
        <v>44577</v>
      </c>
      <c r="F64" s="20"/>
      <c r="G64" s="20" t="str">
        <f ca="1">IFERROR(__xludf.DUMMYFUNCTION("""COMPUTED_VALUE"""),"Shack48")</f>
        <v>Shack48</v>
      </c>
      <c r="H64" s="20" t="str">
        <f ca="1">IFERROR(__xludf.DUMMYFUNCTION("""COMPUTED_VALUE"""),"212-32 48th Ave")</f>
        <v>212-32 48th Ave</v>
      </c>
      <c r="I64" s="20" t="str">
        <f ca="1">IFERROR(__xludf.DUMMYFUNCTION("""COMPUTED_VALUE"""),"Queens")</f>
        <v>Queens</v>
      </c>
      <c r="J64" s="24">
        <f ca="1">IFERROR(__xludf.DUMMYFUNCTION("""COMPUTED_VALUE"""),11364)</f>
        <v>11364</v>
      </c>
      <c r="K64" s="20" t="str">
        <f ca="1">IFERROR(__xludf.DUMMYFUNCTION("""COMPUTED_VALUE"""),"10am-5pm")</f>
        <v>10am-5pm</v>
      </c>
    </row>
    <row r="65" spans="1:11" ht="12.75">
      <c r="A65" s="20" t="str">
        <f ca="1">IFERROR(__xludf.DUMMYFUNCTION("""COMPUTED_VALUE"""),"RRT")</f>
        <v>RRT</v>
      </c>
      <c r="B65" s="20" t="str">
        <f ca="1">IFERROR(__xludf.DUMMYFUNCTION("""COMPUTED_VALUE"""),"PCR + Rapid Antigen")</f>
        <v>PCR + Rapid Antigen</v>
      </c>
      <c r="C65" s="20" t="str">
        <f ca="1">IFERROR(__xludf.DUMMYFUNCTION("""COMPUTED_VALUE"""),"4+")</f>
        <v>4+</v>
      </c>
      <c r="D65" s="22">
        <f ca="1">IFERROR(__xludf.DUMMYFUNCTION("""COMPUTED_VALUE"""),44571)</f>
        <v>44571</v>
      </c>
      <c r="E65" s="22">
        <f ca="1">IFERROR(__xludf.DUMMYFUNCTION("""COMPUTED_VALUE"""),44571)</f>
        <v>44571</v>
      </c>
      <c r="F65" s="20"/>
      <c r="G65" s="20" t="str">
        <f ca="1">IFERROR(__xludf.DUMMYFUNCTION("""COMPUTED_VALUE"""),"Prince Joshua Avitto Community Center")</f>
        <v>Prince Joshua Avitto Community Center</v>
      </c>
      <c r="H65" s="20" t="str">
        <f ca="1">IFERROR(__xludf.DUMMYFUNCTION("""COMPUTED_VALUE"""),"876 Schenck Ave, Brooklyn, NY 11207")</f>
        <v>876 Schenck Ave, Brooklyn, NY 11207</v>
      </c>
      <c r="I65" s="20" t="str">
        <f ca="1">IFERROR(__xludf.DUMMYFUNCTION("""COMPUTED_VALUE"""),"Brooklyn")</f>
        <v>Brooklyn</v>
      </c>
      <c r="J65" s="24">
        <f ca="1">IFERROR(__xludf.DUMMYFUNCTION("""COMPUTED_VALUE"""),11207)</f>
        <v>11207</v>
      </c>
      <c r="K65" s="20" t="str">
        <f ca="1">IFERROR(__xludf.DUMMYFUNCTION("""COMPUTED_VALUE"""),"10AM-6PM")</f>
        <v>10AM-6PM</v>
      </c>
    </row>
    <row r="66" spans="1:11" ht="12.75">
      <c r="A66" s="20" t="str">
        <f ca="1">IFERROR(__xludf.DUMMYFUNCTION("""COMPUTED_VALUE"""),"RRT")</f>
        <v>RRT</v>
      </c>
      <c r="B66" s="20" t="str">
        <f ca="1">IFERROR(__xludf.DUMMYFUNCTION("""COMPUTED_VALUE"""),"PCR + Rapid Antigen")</f>
        <v>PCR + Rapid Antigen</v>
      </c>
      <c r="C66" s="20" t="str">
        <f ca="1">IFERROR(__xludf.DUMMYFUNCTION("""COMPUTED_VALUE"""),"4+")</f>
        <v>4+</v>
      </c>
      <c r="D66" s="22">
        <f ca="1">IFERROR(__xludf.DUMMYFUNCTION("""COMPUTED_VALUE"""),44572)</f>
        <v>44572</v>
      </c>
      <c r="E66" s="22">
        <f ca="1">IFERROR(__xludf.DUMMYFUNCTION("""COMPUTED_VALUE"""),44572)</f>
        <v>44572</v>
      </c>
      <c r="F66" s="20"/>
      <c r="G66" s="20" t="str">
        <f ca="1">IFERROR(__xludf.DUMMYFUNCTION("""COMPUTED_VALUE"""),"Prince Joshua Avitto Community Center")</f>
        <v>Prince Joshua Avitto Community Center</v>
      </c>
      <c r="H66" s="20" t="str">
        <f ca="1">IFERROR(__xludf.DUMMYFUNCTION("""COMPUTED_VALUE"""),"877 Schenck Ave, Brooklyn, NY 11207")</f>
        <v>877 Schenck Ave, Brooklyn, NY 11207</v>
      </c>
      <c r="I66" s="20" t="str">
        <f ca="1">IFERROR(__xludf.DUMMYFUNCTION("""COMPUTED_VALUE"""),"Brooklyn")</f>
        <v>Brooklyn</v>
      </c>
      <c r="J66" s="24">
        <f ca="1">IFERROR(__xludf.DUMMYFUNCTION("""COMPUTED_VALUE"""),11207)</f>
        <v>11207</v>
      </c>
      <c r="K66" s="20" t="str">
        <f ca="1">IFERROR(__xludf.DUMMYFUNCTION("""COMPUTED_VALUE"""),"12PM-8PM")</f>
        <v>12PM-8PM</v>
      </c>
    </row>
    <row r="67" spans="1:11" ht="12.75">
      <c r="A67" s="20" t="str">
        <f ca="1">IFERROR(__xludf.DUMMYFUNCTION("""COMPUTED_VALUE"""),"RRT")</f>
        <v>RRT</v>
      </c>
      <c r="B67" s="20" t="str">
        <f ca="1">IFERROR(__xludf.DUMMYFUNCTION("""COMPUTED_VALUE"""),"PCR + Rapid Antigen")</f>
        <v>PCR + Rapid Antigen</v>
      </c>
      <c r="C67" s="20" t="str">
        <f ca="1">IFERROR(__xludf.DUMMYFUNCTION("""COMPUTED_VALUE"""),"4+")</f>
        <v>4+</v>
      </c>
      <c r="D67" s="22">
        <f ca="1">IFERROR(__xludf.DUMMYFUNCTION("""COMPUTED_VALUE"""),44573)</f>
        <v>44573</v>
      </c>
      <c r="E67" s="22">
        <f ca="1">IFERROR(__xludf.DUMMYFUNCTION("""COMPUTED_VALUE"""),44573)</f>
        <v>44573</v>
      </c>
      <c r="F67" s="20"/>
      <c r="G67" s="20" t="str">
        <f ca="1">IFERROR(__xludf.DUMMYFUNCTION("""COMPUTED_VALUE"""),"Prince Joshua Avitto Community Center")</f>
        <v>Prince Joshua Avitto Community Center</v>
      </c>
      <c r="H67" s="20" t="str">
        <f ca="1">IFERROR(__xludf.DUMMYFUNCTION("""COMPUTED_VALUE"""),"878 Schenck Ave, Brooklyn, NY 11207")</f>
        <v>878 Schenck Ave, Brooklyn, NY 11207</v>
      </c>
      <c r="I67" s="20" t="str">
        <f ca="1">IFERROR(__xludf.DUMMYFUNCTION("""COMPUTED_VALUE"""),"Brooklyn")</f>
        <v>Brooklyn</v>
      </c>
      <c r="J67" s="24">
        <f ca="1">IFERROR(__xludf.DUMMYFUNCTION("""COMPUTED_VALUE"""),11207)</f>
        <v>11207</v>
      </c>
      <c r="K67" s="20" t="str">
        <f ca="1">IFERROR(__xludf.DUMMYFUNCTION("""COMPUTED_VALUE"""),"9AM-5PM")</f>
        <v>9AM-5PM</v>
      </c>
    </row>
    <row r="68" spans="1:11" ht="12.75">
      <c r="A68" s="20" t="str">
        <f ca="1">IFERROR(__xludf.DUMMYFUNCTION("""COMPUTED_VALUE"""),"RRT")</f>
        <v>RRT</v>
      </c>
      <c r="B68" s="20" t="str">
        <f ca="1">IFERROR(__xludf.DUMMYFUNCTION("""COMPUTED_VALUE"""),"PCR + Rapid Antigen")</f>
        <v>PCR + Rapid Antigen</v>
      </c>
      <c r="C68" s="20" t="str">
        <f ca="1">IFERROR(__xludf.DUMMYFUNCTION("""COMPUTED_VALUE"""),"4+")</f>
        <v>4+</v>
      </c>
      <c r="D68" s="22">
        <f ca="1">IFERROR(__xludf.DUMMYFUNCTION("""COMPUTED_VALUE"""),44574)</f>
        <v>44574</v>
      </c>
      <c r="E68" s="22">
        <f ca="1">IFERROR(__xludf.DUMMYFUNCTION("""COMPUTED_VALUE"""),44574)</f>
        <v>44574</v>
      </c>
      <c r="F68" s="20"/>
      <c r="G68" s="20" t="str">
        <f ca="1">IFERROR(__xludf.DUMMYFUNCTION("""COMPUTED_VALUE"""),"Brooklyn Prospect: Brooklyn Prospect High School")</f>
        <v>Brooklyn Prospect: Brooklyn Prospect High School</v>
      </c>
      <c r="H68" s="20" t="str">
        <f ca="1">IFERROR(__xludf.DUMMYFUNCTION("""COMPUTED_VALUE"""),"3002 Ft Hamilton Pkwy")</f>
        <v>3002 Ft Hamilton Pkwy</v>
      </c>
      <c r="I68" s="20" t="str">
        <f ca="1">IFERROR(__xludf.DUMMYFUNCTION("""COMPUTED_VALUE"""),"Brooklyn")</f>
        <v>Brooklyn</v>
      </c>
      <c r="J68" s="24">
        <f ca="1">IFERROR(__xludf.DUMMYFUNCTION("""COMPUTED_VALUE"""),11218)</f>
        <v>11218</v>
      </c>
      <c r="K68" s="20" t="str">
        <f ca="1">IFERROR(__xludf.DUMMYFUNCTION("""COMPUTED_VALUE"""),"7am-5pm")</f>
        <v>7am-5pm</v>
      </c>
    </row>
    <row r="69" spans="1:11" ht="12.75">
      <c r="A69" s="20" t="str">
        <f ca="1">IFERROR(__xludf.DUMMYFUNCTION("""COMPUTED_VALUE"""),"RRT")</f>
        <v>RRT</v>
      </c>
      <c r="B69" s="20" t="str">
        <f ca="1">IFERROR(__xludf.DUMMYFUNCTION("""COMPUTED_VALUE"""),"PCR + Rapid Antigen")</f>
        <v>PCR + Rapid Antigen</v>
      </c>
      <c r="C69" s="20" t="str">
        <f ca="1">IFERROR(__xludf.DUMMYFUNCTION("""COMPUTED_VALUE"""),"4+")</f>
        <v>4+</v>
      </c>
      <c r="D69" s="22">
        <f ca="1">IFERROR(__xludf.DUMMYFUNCTION("""COMPUTED_VALUE"""),44575)</f>
        <v>44575</v>
      </c>
      <c r="E69" s="22">
        <f ca="1">IFERROR(__xludf.DUMMYFUNCTION("""COMPUTED_VALUE"""),44575)</f>
        <v>44575</v>
      </c>
      <c r="F69" s="20"/>
      <c r="G69" s="20" t="str">
        <f ca="1">IFERROR(__xludf.DUMMYFUNCTION("""COMPUTED_VALUE"""),"Brooklyn Prospect: Downtown/International Elementary Schools")</f>
        <v>Brooklyn Prospect: Downtown/International Elementary Schools</v>
      </c>
      <c r="H69" s="20" t="str">
        <f ca="1">IFERROR(__xludf.DUMMYFUNCTION("""COMPUTED_VALUE"""),"80 Willoughby St")</f>
        <v>80 Willoughby St</v>
      </c>
      <c r="I69" s="20" t="str">
        <f ca="1">IFERROR(__xludf.DUMMYFUNCTION("""COMPUTED_VALUE"""),"Brooklyn")</f>
        <v>Brooklyn</v>
      </c>
      <c r="J69" s="24">
        <f ca="1">IFERROR(__xludf.DUMMYFUNCTION("""COMPUTED_VALUE"""),11201)</f>
        <v>11201</v>
      </c>
      <c r="K69" s="20" t="str">
        <f ca="1">IFERROR(__xludf.DUMMYFUNCTION("""COMPUTED_VALUE"""),"7am-5pm")</f>
        <v>7am-5pm</v>
      </c>
    </row>
    <row r="70" spans="1:11" ht="12.75">
      <c r="A70" s="20" t="str">
        <f ca="1">IFERROR(__xludf.DUMMYFUNCTION("""COMPUTED_VALUE"""),"RRT")</f>
        <v>RRT</v>
      </c>
      <c r="B70" s="20" t="str">
        <f ca="1">IFERROR(__xludf.DUMMYFUNCTION("""COMPUTED_VALUE"""),"PCR + Rapid Antigen")</f>
        <v>PCR + Rapid Antigen</v>
      </c>
      <c r="C70" s="20" t="str">
        <f ca="1">IFERROR(__xludf.DUMMYFUNCTION("""COMPUTED_VALUE"""),"4+")</f>
        <v>4+</v>
      </c>
      <c r="D70" s="22">
        <f ca="1">IFERROR(__xludf.DUMMYFUNCTION("""COMPUTED_VALUE"""),44576)</f>
        <v>44576</v>
      </c>
      <c r="E70" s="22">
        <f ca="1">IFERROR(__xludf.DUMMYFUNCTION("""COMPUTED_VALUE"""),44577)</f>
        <v>44577</v>
      </c>
      <c r="F70" s="20"/>
      <c r="G70" s="20" t="str">
        <f ca="1">IFERROR(__xludf.DUMMYFUNCTION("""COMPUTED_VALUE"""),"Blink @ Claremont")</f>
        <v>Blink @ Claremont</v>
      </c>
      <c r="H70" s="20" t="str">
        <f ca="1">IFERROR(__xludf.DUMMYFUNCTION("""COMPUTED_VALUE"""),"1421 Webster Ave")</f>
        <v>1421 Webster Ave</v>
      </c>
      <c r="I70" s="20" t="str">
        <f ca="1">IFERROR(__xludf.DUMMYFUNCTION("""COMPUTED_VALUE"""),"Bronx")</f>
        <v>Bronx</v>
      </c>
      <c r="J70" s="24">
        <f ca="1">IFERROR(__xludf.DUMMYFUNCTION("""COMPUTED_VALUE"""),10456)</f>
        <v>10456</v>
      </c>
      <c r="K70" s="20" t="str">
        <f ca="1">IFERROR(__xludf.DUMMYFUNCTION("""COMPUTED_VALUE"""),"8am-6pm")</f>
        <v>8am-6pm</v>
      </c>
    </row>
    <row r="71" spans="1:11" ht="12.75">
      <c r="A71" s="20" t="str">
        <f ca="1">IFERROR(__xludf.DUMMYFUNCTION("""COMPUTED_VALUE"""),"RRT")</f>
        <v>RRT</v>
      </c>
      <c r="B71" s="20" t="str">
        <f ca="1">IFERROR(__xludf.DUMMYFUNCTION("""COMPUTED_VALUE"""),"PCR + Rapid Antigen")</f>
        <v>PCR + Rapid Antigen</v>
      </c>
      <c r="C71" s="20" t="str">
        <f ca="1">IFERROR(__xludf.DUMMYFUNCTION("""COMPUTED_VALUE"""),"4+")</f>
        <v>4+</v>
      </c>
      <c r="D71" s="22">
        <f ca="1">IFERROR(__xludf.DUMMYFUNCTION("""COMPUTED_VALUE"""),44571)</f>
        <v>44571</v>
      </c>
      <c r="E71" s="22">
        <f ca="1">IFERROR(__xludf.DUMMYFUNCTION("""COMPUTED_VALUE"""),44573)</f>
        <v>44573</v>
      </c>
      <c r="F71" s="20"/>
      <c r="G71" s="20" t="str">
        <f ca="1">IFERROR(__xludf.DUMMYFUNCTION("""COMPUTED_VALUE"""),"Fannie Lou Hamer Freedom High School ")</f>
        <v xml:space="preserve">Fannie Lou Hamer Freedom High School </v>
      </c>
      <c r="H71" s="20" t="str">
        <f ca="1">IFERROR(__xludf.DUMMYFUNCTION("""COMPUTED_VALUE"""),"1021 Jennings St")</f>
        <v>1021 Jennings St</v>
      </c>
      <c r="I71" s="20" t="str">
        <f ca="1">IFERROR(__xludf.DUMMYFUNCTION("""COMPUTED_VALUE"""),"Bronx")</f>
        <v>Bronx</v>
      </c>
      <c r="J71" s="24">
        <f ca="1">IFERROR(__xludf.DUMMYFUNCTION("""COMPUTED_VALUE"""),10460)</f>
        <v>10460</v>
      </c>
      <c r="K71" s="20" t="str">
        <f ca="1">IFERROR(__xludf.DUMMYFUNCTION("""COMPUTED_VALUE"""),"8AM-5PM")</f>
        <v>8AM-5PM</v>
      </c>
    </row>
    <row r="72" spans="1:11" ht="12.75">
      <c r="A72" s="20" t="str">
        <f ca="1">IFERROR(__xludf.DUMMYFUNCTION("""COMPUTED_VALUE"""),"RRT")</f>
        <v>RRT</v>
      </c>
      <c r="B72" s="20" t="str">
        <f ca="1">IFERROR(__xludf.DUMMYFUNCTION("""COMPUTED_VALUE"""),"PCR + Rapid Antigen")</f>
        <v>PCR + Rapid Antigen</v>
      </c>
      <c r="C72" s="20" t="str">
        <f ca="1">IFERROR(__xludf.DUMMYFUNCTION("""COMPUTED_VALUE"""),"4+")</f>
        <v>4+</v>
      </c>
      <c r="D72" s="22">
        <f ca="1">IFERROR(__xludf.DUMMYFUNCTION("""COMPUTED_VALUE"""),44574)</f>
        <v>44574</v>
      </c>
      <c r="E72" s="22">
        <f ca="1">IFERROR(__xludf.DUMMYFUNCTION("""COMPUTED_VALUE"""),44574)</f>
        <v>44574</v>
      </c>
      <c r="F72" s="20"/>
      <c r="G72" s="20" t="str">
        <f ca="1">IFERROR(__xludf.DUMMYFUNCTION("""COMPUTED_VALUE"""),"Brooklyn Prospect: Clinton Hill Middle School")</f>
        <v>Brooklyn Prospect: Clinton Hill Middle School</v>
      </c>
      <c r="H72" s="20" t="str">
        <f ca="1">IFERROR(__xludf.DUMMYFUNCTION("""COMPUTED_VALUE"""),"1100 Fulton St")</f>
        <v>1100 Fulton St</v>
      </c>
      <c r="I72" s="20" t="str">
        <f ca="1">IFERROR(__xludf.DUMMYFUNCTION("""COMPUTED_VALUE"""),"Brooklyn")</f>
        <v>Brooklyn</v>
      </c>
      <c r="J72" s="24">
        <f ca="1">IFERROR(__xludf.DUMMYFUNCTION("""COMPUTED_VALUE"""),11238)</f>
        <v>11238</v>
      </c>
      <c r="K72" s="20" t="str">
        <f ca="1">IFERROR(__xludf.DUMMYFUNCTION("""COMPUTED_VALUE"""),"7am-5pm")</f>
        <v>7am-5pm</v>
      </c>
    </row>
    <row r="73" spans="1:11" ht="12.75">
      <c r="A73" s="20" t="str">
        <f ca="1">IFERROR(__xludf.DUMMYFUNCTION("""COMPUTED_VALUE"""),"RRT")</f>
        <v>RRT</v>
      </c>
      <c r="B73" s="20" t="str">
        <f ca="1">IFERROR(__xludf.DUMMYFUNCTION("""COMPUTED_VALUE"""),"PCR + Rapid Antigen")</f>
        <v>PCR + Rapid Antigen</v>
      </c>
      <c r="C73" s="20" t="str">
        <f ca="1">IFERROR(__xludf.DUMMYFUNCTION("""COMPUTED_VALUE"""),"4+")</f>
        <v>4+</v>
      </c>
      <c r="D73" s="22">
        <f ca="1">IFERROR(__xludf.DUMMYFUNCTION("""COMPUTED_VALUE"""),44575)</f>
        <v>44575</v>
      </c>
      <c r="E73" s="22">
        <f ca="1">IFERROR(__xludf.DUMMYFUNCTION("""COMPUTED_VALUE"""),44575)</f>
        <v>44575</v>
      </c>
      <c r="F73" s="20"/>
      <c r="G73" s="20" t="str">
        <f ca="1">IFERROR(__xludf.DUMMYFUNCTION("""COMPUTED_VALUE"""),"Brooklyn Prospect: Windsor Terrace Middle School")</f>
        <v>Brooklyn Prospect: Windsor Terrace Middle School</v>
      </c>
      <c r="H73" s="20" t="str">
        <f ca="1">IFERROR(__xludf.DUMMYFUNCTION("""COMPUTED_VALUE"""),"40 Flatbush Ave Ext")</f>
        <v>40 Flatbush Ave Ext</v>
      </c>
      <c r="I73" s="20" t="str">
        <f ca="1">IFERROR(__xludf.DUMMYFUNCTION("""COMPUTED_VALUE"""),"Brooklyn")</f>
        <v>Brooklyn</v>
      </c>
      <c r="J73" s="24">
        <f ca="1">IFERROR(__xludf.DUMMYFUNCTION("""COMPUTED_VALUE"""),11201)</f>
        <v>11201</v>
      </c>
      <c r="K73" s="20" t="str">
        <f ca="1">IFERROR(__xludf.DUMMYFUNCTION("""COMPUTED_VALUE"""),"7am-5pm")</f>
        <v>7am-5pm</v>
      </c>
    </row>
    <row r="74" spans="1:11" ht="12.75">
      <c r="A74" s="20" t="str">
        <f ca="1">IFERROR(__xludf.DUMMYFUNCTION("""COMPUTED_VALUE"""),"RRT")</f>
        <v>RRT</v>
      </c>
      <c r="B74" s="20" t="str">
        <f ca="1">IFERROR(__xludf.DUMMYFUNCTION("""COMPUTED_VALUE"""),"PCR + Rapid Antigen")</f>
        <v>PCR + Rapid Antigen</v>
      </c>
      <c r="C74" s="20" t="str">
        <f ca="1">IFERROR(__xludf.DUMMYFUNCTION("""COMPUTED_VALUE"""),"4+")</f>
        <v>4+</v>
      </c>
      <c r="D74" s="22">
        <f ca="1">IFERROR(__xludf.DUMMYFUNCTION("""COMPUTED_VALUE"""),44576)</f>
        <v>44576</v>
      </c>
      <c r="E74" s="22">
        <f ca="1">IFERROR(__xludf.DUMMYFUNCTION("""COMPUTED_VALUE"""),44577)</f>
        <v>44577</v>
      </c>
      <c r="F74" s="20"/>
      <c r="G74" s="20" t="str">
        <f ca="1">IFERROR(__xludf.DUMMYFUNCTION("""COMPUTED_VALUE"""),"Blink @ Coney Island")</f>
        <v>Blink @ Coney Island</v>
      </c>
      <c r="H74" s="20" t="str">
        <f ca="1">IFERROR(__xludf.DUMMYFUNCTION("""COMPUTED_VALUE"""),"2857 W. 8th Street")</f>
        <v>2857 W. 8th Street</v>
      </c>
      <c r="I74" s="20" t="str">
        <f ca="1">IFERROR(__xludf.DUMMYFUNCTION("""COMPUTED_VALUE"""),"Brooklyn")</f>
        <v>Brooklyn</v>
      </c>
      <c r="J74" s="24">
        <f ca="1">IFERROR(__xludf.DUMMYFUNCTION("""COMPUTED_VALUE"""),11224)</f>
        <v>11224</v>
      </c>
      <c r="K74" s="20" t="str">
        <f ca="1">IFERROR(__xludf.DUMMYFUNCTION("""COMPUTED_VALUE"""),"8am-6pm")</f>
        <v>8am-6pm</v>
      </c>
    </row>
    <row r="75" spans="1:11" ht="12.75">
      <c r="A75" s="20" t="str">
        <f ca="1">IFERROR(__xludf.DUMMYFUNCTION("""COMPUTED_VALUE"""),"RRT")</f>
        <v>RRT</v>
      </c>
      <c r="B75" s="20" t="str">
        <f ca="1">IFERROR(__xludf.DUMMYFUNCTION("""COMPUTED_VALUE"""),"PCR + Rapid Antigen")</f>
        <v>PCR + Rapid Antigen</v>
      </c>
      <c r="C75" s="20" t="str">
        <f ca="1">IFERROR(__xludf.DUMMYFUNCTION("""COMPUTED_VALUE"""),"4+")</f>
        <v>4+</v>
      </c>
      <c r="D75" s="22">
        <f ca="1">IFERROR(__xludf.DUMMYFUNCTION("""COMPUTED_VALUE"""),44571)</f>
        <v>44571</v>
      </c>
      <c r="E75" s="22">
        <f ca="1">IFERROR(__xludf.DUMMYFUNCTION("""COMPUTED_VALUE"""),44573)</f>
        <v>44573</v>
      </c>
      <c r="F75" s="20"/>
      <c r="G75" s="20" t="str">
        <f ca="1">IFERROR(__xludf.DUMMYFUNCTION("""COMPUTED_VALUE"""),"Children's Aid St. Roch")</f>
        <v>Children's Aid St. Roch</v>
      </c>
      <c r="H75" s="20" t="str">
        <f ca="1">IFERROR(__xludf.DUMMYFUNCTION("""COMPUTED_VALUE"""),"465 Villa Ave")</f>
        <v>465 Villa Ave</v>
      </c>
      <c r="I75" s="20" t="str">
        <f ca="1">IFERROR(__xludf.DUMMYFUNCTION("""COMPUTED_VALUE"""),"Staten Island")</f>
        <v>Staten Island</v>
      </c>
      <c r="J75" s="24">
        <f ca="1">IFERROR(__xludf.DUMMYFUNCTION("""COMPUTED_VALUE"""),10302)</f>
        <v>10302</v>
      </c>
      <c r="K75" s="20" t="str">
        <f ca="1">IFERROR(__xludf.DUMMYFUNCTION("""COMPUTED_VALUE"""),"8AM-5PM")</f>
        <v>8AM-5PM</v>
      </c>
    </row>
    <row r="76" spans="1:11" ht="12.75">
      <c r="A76" s="20" t="str">
        <f ca="1">IFERROR(__xludf.DUMMYFUNCTION("""COMPUTED_VALUE"""),"RRT")</f>
        <v>RRT</v>
      </c>
      <c r="B76" s="20" t="str">
        <f ca="1">IFERROR(__xludf.DUMMYFUNCTION("""COMPUTED_VALUE"""),"PCR + Rapid Antigen")</f>
        <v>PCR + Rapid Antigen</v>
      </c>
      <c r="C76" s="20" t="str">
        <f ca="1">IFERROR(__xludf.DUMMYFUNCTION("""COMPUTED_VALUE"""),"4+")</f>
        <v>4+</v>
      </c>
      <c r="D76" s="22">
        <f ca="1">IFERROR(__xludf.DUMMYFUNCTION("""COMPUTED_VALUE"""),44574)</f>
        <v>44574</v>
      </c>
      <c r="E76" s="22">
        <f ca="1">IFERROR(__xludf.DUMMYFUNCTION("""COMPUTED_VALUE"""),44574)</f>
        <v>44574</v>
      </c>
      <c r="F76" s="20"/>
      <c r="G76" s="20" t="str">
        <f ca="1">IFERROR(__xludf.DUMMYFUNCTION("""COMPUTED_VALUE"""),"Brooklyn Prospect: Windsor Terrace Middle School")</f>
        <v>Brooklyn Prospect: Windsor Terrace Middle School</v>
      </c>
      <c r="H76" s="20" t="str">
        <f ca="1">IFERROR(__xludf.DUMMYFUNCTION("""COMPUTED_VALUE"""),"40 Flatbush Ave Ext")</f>
        <v>40 Flatbush Ave Ext</v>
      </c>
      <c r="I76" s="20" t="str">
        <f ca="1">IFERROR(__xludf.DUMMYFUNCTION("""COMPUTED_VALUE"""),"Brooklyn")</f>
        <v>Brooklyn</v>
      </c>
      <c r="J76" s="24">
        <f ca="1">IFERROR(__xludf.DUMMYFUNCTION("""COMPUTED_VALUE"""),11201)</f>
        <v>11201</v>
      </c>
      <c r="K76" s="20" t="str">
        <f ca="1">IFERROR(__xludf.DUMMYFUNCTION("""COMPUTED_VALUE"""),"7am-5pm")</f>
        <v>7am-5pm</v>
      </c>
    </row>
    <row r="77" spans="1:11" ht="12.75">
      <c r="A77" s="20" t="str">
        <f ca="1">IFERROR(__xludf.DUMMYFUNCTION("""COMPUTED_VALUE"""),"RRT")</f>
        <v>RRT</v>
      </c>
      <c r="B77" s="20" t="str">
        <f ca="1">IFERROR(__xludf.DUMMYFUNCTION("""COMPUTED_VALUE"""),"PCR + Rapid Antigen")</f>
        <v>PCR + Rapid Antigen</v>
      </c>
      <c r="C77" s="20" t="str">
        <f ca="1">IFERROR(__xludf.DUMMYFUNCTION("""COMPUTED_VALUE"""),"4+")</f>
        <v>4+</v>
      </c>
      <c r="D77" s="22">
        <f ca="1">IFERROR(__xludf.DUMMYFUNCTION("""COMPUTED_VALUE"""),44575)</f>
        <v>44575</v>
      </c>
      <c r="E77" s="22">
        <f ca="1">IFERROR(__xludf.DUMMYFUNCTION("""COMPUTED_VALUE"""),44575)</f>
        <v>44575</v>
      </c>
      <c r="F77" s="20"/>
      <c r="G77" s="20" t="str">
        <f ca="1">IFERROR(__xludf.DUMMYFUNCTION("""COMPUTED_VALUE"""),"Brooklyn Prospect: Windsor Terrace Elementary School")</f>
        <v>Brooklyn Prospect: Windsor Terrace Elementary School</v>
      </c>
      <c r="H77" s="20" t="str">
        <f ca="1">IFERROR(__xludf.DUMMYFUNCTION("""COMPUTED_VALUE"""),"3002 Ft Hamilton Pkwy")</f>
        <v>3002 Ft Hamilton Pkwy</v>
      </c>
      <c r="I77" s="20" t="str">
        <f ca="1">IFERROR(__xludf.DUMMYFUNCTION("""COMPUTED_VALUE"""),"Brooklyn")</f>
        <v>Brooklyn</v>
      </c>
      <c r="J77" s="24">
        <f ca="1">IFERROR(__xludf.DUMMYFUNCTION("""COMPUTED_VALUE"""),11218)</f>
        <v>11218</v>
      </c>
      <c r="K77" s="20" t="str">
        <f ca="1">IFERROR(__xludf.DUMMYFUNCTION("""COMPUTED_VALUE"""),"7am-5pm")</f>
        <v>7am-5pm</v>
      </c>
    </row>
    <row r="78" spans="1:11" ht="12.75">
      <c r="A78" s="20" t="str">
        <f ca="1">IFERROR(__xludf.DUMMYFUNCTION("""COMPUTED_VALUE"""),"RRT")</f>
        <v>RRT</v>
      </c>
      <c r="B78" s="20" t="str">
        <f ca="1">IFERROR(__xludf.DUMMYFUNCTION("""COMPUTED_VALUE"""),"PCR + Rapid Antigen")</f>
        <v>PCR + Rapid Antigen</v>
      </c>
      <c r="C78" s="20" t="str">
        <f ca="1">IFERROR(__xludf.DUMMYFUNCTION("""COMPUTED_VALUE"""),"4+")</f>
        <v>4+</v>
      </c>
      <c r="D78" s="22">
        <f ca="1">IFERROR(__xludf.DUMMYFUNCTION("""COMPUTED_VALUE"""),44576)</f>
        <v>44576</v>
      </c>
      <c r="E78" s="22">
        <f ca="1">IFERROR(__xludf.DUMMYFUNCTION("""COMPUTED_VALUE"""),44577)</f>
        <v>44577</v>
      </c>
      <c r="F78" s="20"/>
      <c r="G78" s="20" t="str">
        <f ca="1">IFERROR(__xludf.DUMMYFUNCTION("""COMPUTED_VALUE"""),"Blink @ Springfield Gardens")</f>
        <v>Blink @ Springfield Gardens</v>
      </c>
      <c r="H78" s="20" t="str">
        <f ca="1">IFERROR(__xludf.DUMMYFUNCTION("""COMPUTED_VALUE"""),"130-20 Farmers Blvd")</f>
        <v>130-20 Farmers Blvd</v>
      </c>
      <c r="I78" s="20" t="str">
        <f ca="1">IFERROR(__xludf.DUMMYFUNCTION("""COMPUTED_VALUE"""),"Queens")</f>
        <v>Queens</v>
      </c>
      <c r="J78" s="24">
        <f ca="1">IFERROR(__xludf.DUMMYFUNCTION("""COMPUTED_VALUE"""),11423)</f>
        <v>11423</v>
      </c>
      <c r="K78" s="20" t="str">
        <f ca="1">IFERROR(__xludf.DUMMYFUNCTION("""COMPUTED_VALUE"""),"8am-6pm")</f>
        <v>8am-6pm</v>
      </c>
    </row>
    <row r="79" spans="1:11" ht="12.75">
      <c r="A79" s="20" t="str">
        <f ca="1">IFERROR(__xludf.DUMMYFUNCTION("""COMPUTED_VALUE"""),"RRT")</f>
        <v>RRT</v>
      </c>
      <c r="B79" s="20" t="str">
        <f ca="1">IFERROR(__xludf.DUMMYFUNCTION("""COMPUTED_VALUE"""),"PCR + Rapid Antigen")</f>
        <v>PCR + Rapid Antigen</v>
      </c>
      <c r="C79" s="20" t="str">
        <f ca="1">IFERROR(__xludf.DUMMYFUNCTION("""COMPUTED_VALUE"""),"4+")</f>
        <v>4+</v>
      </c>
      <c r="D79" s="22">
        <f ca="1">IFERROR(__xludf.DUMMYFUNCTION("""COMPUTED_VALUE"""),44571)</f>
        <v>44571</v>
      </c>
      <c r="E79" s="22">
        <f ca="1">IFERROR(__xludf.DUMMYFUNCTION("""COMPUTED_VALUE"""),44571)</f>
        <v>44571</v>
      </c>
      <c r="F79" s="20"/>
      <c r="G79" s="20" t="str">
        <f ca="1">IFERROR(__xludf.DUMMYFUNCTION("""COMPUTED_VALUE"""),"NYADI College of Automotive and Diesel Technology")</f>
        <v>NYADI College of Automotive and Diesel Technology</v>
      </c>
      <c r="H79" s="20" t="str">
        <f ca="1">IFERROR(__xludf.DUMMYFUNCTION("""COMPUTED_VALUE"""),"178-18 Liberty Ave (intersection of Liberty Ave &amp; 178 St)")</f>
        <v>178-18 Liberty Ave (intersection of Liberty Ave &amp; 178 St)</v>
      </c>
      <c r="I79" s="20" t="str">
        <f ca="1">IFERROR(__xludf.DUMMYFUNCTION("""COMPUTED_VALUE"""),"Queens")</f>
        <v>Queens</v>
      </c>
      <c r="J79" s="24">
        <f ca="1">IFERROR(__xludf.DUMMYFUNCTION("""COMPUTED_VALUE"""),11433)</f>
        <v>11433</v>
      </c>
      <c r="K79" s="20" t="str">
        <f ca="1">IFERROR(__xludf.DUMMYFUNCTION("""COMPUTED_VALUE"""),"8am-6pm")</f>
        <v>8am-6pm</v>
      </c>
    </row>
    <row r="80" spans="1:11" ht="12.75">
      <c r="A80" s="20" t="str">
        <f ca="1">IFERROR(__xludf.DUMMYFUNCTION("""COMPUTED_VALUE"""),"RRT")</f>
        <v>RRT</v>
      </c>
      <c r="B80" s="20" t="str">
        <f ca="1">IFERROR(__xludf.DUMMYFUNCTION("""COMPUTED_VALUE"""),"PCR + Rapid Antigen")</f>
        <v>PCR + Rapid Antigen</v>
      </c>
      <c r="C80" s="20" t="str">
        <f ca="1">IFERROR(__xludf.DUMMYFUNCTION("""COMPUTED_VALUE"""),"4+")</f>
        <v>4+</v>
      </c>
      <c r="D80" s="22">
        <f ca="1">IFERROR(__xludf.DUMMYFUNCTION("""COMPUTED_VALUE"""),44572)</f>
        <v>44572</v>
      </c>
      <c r="E80" s="22">
        <f ca="1">IFERROR(__xludf.DUMMYFUNCTION("""COMPUTED_VALUE"""),44574)</f>
        <v>44574</v>
      </c>
      <c r="F80" s="20"/>
      <c r="G80" s="20" t="str">
        <f ca="1">IFERROR(__xludf.DUMMYFUNCTION("""COMPUTED_VALUE"""),"Borough of Manhattan Community College")</f>
        <v>Borough of Manhattan Community College</v>
      </c>
      <c r="H80" s="20" t="str">
        <f ca="1">IFERROR(__xludf.DUMMYFUNCTION("""COMPUTED_VALUE"""),"245 Greenwich Street (at Park Place)")</f>
        <v>245 Greenwich Street (at Park Place)</v>
      </c>
      <c r="I80" s="20" t="str">
        <f ca="1">IFERROR(__xludf.DUMMYFUNCTION("""COMPUTED_VALUE"""),"Manhattan")</f>
        <v>Manhattan</v>
      </c>
      <c r="J80" s="24">
        <f ca="1">IFERROR(__xludf.DUMMYFUNCTION("""COMPUTED_VALUE"""),10007)</f>
        <v>10007</v>
      </c>
      <c r="K80" s="20" t="str">
        <f ca="1">IFERROR(__xludf.DUMMYFUNCTION("""COMPUTED_VALUE"""),"8am-6pm")</f>
        <v>8am-6pm</v>
      </c>
    </row>
    <row r="81" spans="1:11" ht="12.75">
      <c r="A81" s="20" t="str">
        <f ca="1">IFERROR(__xludf.DUMMYFUNCTION("""COMPUTED_VALUE"""),"RRT")</f>
        <v>RRT</v>
      </c>
      <c r="B81" s="20" t="str">
        <f ca="1">IFERROR(__xludf.DUMMYFUNCTION("""COMPUTED_VALUE"""),"PCR + Rapid Antigen")</f>
        <v>PCR + Rapid Antigen</v>
      </c>
      <c r="C81" s="20" t="str">
        <f ca="1">IFERROR(__xludf.DUMMYFUNCTION("""COMPUTED_VALUE"""),"4+")</f>
        <v>4+</v>
      </c>
      <c r="D81" s="22">
        <f ca="1">IFERROR(__xludf.DUMMYFUNCTION("""COMPUTED_VALUE"""),44576)</f>
        <v>44576</v>
      </c>
      <c r="E81" s="22">
        <f ca="1">IFERROR(__xludf.DUMMYFUNCTION("""COMPUTED_VALUE"""),44576)</f>
        <v>44576</v>
      </c>
      <c r="F81" s="20"/>
      <c r="G81" s="20" t="str">
        <f ca="1">IFERROR(__xludf.DUMMYFUNCTION("""COMPUTED_VALUE"""),"Grace United Methodist Church")</f>
        <v>Grace United Methodist Church</v>
      </c>
      <c r="H81" s="20" t="str">
        <f ca="1">IFERROR(__xludf.DUMMYFUNCTION("""COMPUTED_VALUE"""),"200-08 Murdock Avenue")</f>
        <v>200-08 Murdock Avenue</v>
      </c>
      <c r="I81" s="20" t="str">
        <f ca="1">IFERROR(__xludf.DUMMYFUNCTION("""COMPUTED_VALUE"""),"Queens")</f>
        <v>Queens</v>
      </c>
      <c r="J81" s="24">
        <f ca="1">IFERROR(__xludf.DUMMYFUNCTION("""COMPUTED_VALUE"""),11412)</f>
        <v>11412</v>
      </c>
      <c r="K81" s="20" t="str">
        <f ca="1">IFERROR(__xludf.DUMMYFUNCTION("""COMPUTED_VALUE"""),"8AM-6PM")</f>
        <v>8AM-6PM</v>
      </c>
    </row>
    <row r="82" spans="1:11" ht="12.75">
      <c r="A82" s="20" t="str">
        <f ca="1">IFERROR(__xludf.DUMMYFUNCTION("""COMPUTED_VALUE"""),"RRT")</f>
        <v>RRT</v>
      </c>
      <c r="B82" s="20" t="str">
        <f ca="1">IFERROR(__xludf.DUMMYFUNCTION("""COMPUTED_VALUE"""),"PCR + Rapid Antigen")</f>
        <v>PCR + Rapid Antigen</v>
      </c>
      <c r="C82" s="20" t="str">
        <f ca="1">IFERROR(__xludf.DUMMYFUNCTION("""COMPUTED_VALUE"""),"4+")</f>
        <v>4+</v>
      </c>
      <c r="D82" s="22">
        <f ca="1">IFERROR(__xludf.DUMMYFUNCTION("""COMPUTED_VALUE"""),44577)</f>
        <v>44577</v>
      </c>
      <c r="E82" s="22">
        <f ca="1">IFERROR(__xludf.DUMMYFUNCTION("""COMPUTED_VALUE"""),44577)</f>
        <v>44577</v>
      </c>
      <c r="F82" s="20"/>
      <c r="G82" s="20" t="str">
        <f ca="1">IFERROR(__xludf.DUMMYFUNCTION("""COMPUTED_VALUE"""),"First Faith Baptist Church")</f>
        <v>First Faith Baptist Church</v>
      </c>
      <c r="H82" s="20" t="str">
        <f ca="1">IFERROR(__xludf.DUMMYFUNCTION("""COMPUTED_VALUE"""),"Corner of 208th Street &amp; Murdock Ave")</f>
        <v>Corner of 208th Street &amp; Murdock Ave</v>
      </c>
      <c r="I82" s="20" t="str">
        <f ca="1">IFERROR(__xludf.DUMMYFUNCTION("""COMPUTED_VALUE"""),"Queens")</f>
        <v>Queens</v>
      </c>
      <c r="J82" s="24">
        <f ca="1">IFERROR(__xludf.DUMMYFUNCTION("""COMPUTED_VALUE"""),11411)</f>
        <v>11411</v>
      </c>
      <c r="K82" s="20" t="str">
        <f ca="1">IFERROR(__xludf.DUMMYFUNCTION("""COMPUTED_VALUE"""),"8AM-6PM")</f>
        <v>8AM-6PM</v>
      </c>
    </row>
    <row r="83" spans="1:11" ht="12.75">
      <c r="A83" s="20" t="str">
        <f ca="1">IFERROR(__xludf.DUMMYFUNCTION("""COMPUTED_VALUE"""),"RRT")</f>
        <v>RRT</v>
      </c>
      <c r="B83" s="20" t="str">
        <f ca="1">IFERROR(__xludf.DUMMYFUNCTION("""COMPUTED_VALUE"""),"PCR + Rapid Antigen")</f>
        <v>PCR + Rapid Antigen</v>
      </c>
      <c r="C83" s="20" t="str">
        <f ca="1">IFERROR(__xludf.DUMMYFUNCTION("""COMPUTED_VALUE"""),"4+")</f>
        <v>4+</v>
      </c>
      <c r="D83" s="22">
        <f ca="1">IFERROR(__xludf.DUMMYFUNCTION("""COMPUTED_VALUE"""),44571)</f>
        <v>44571</v>
      </c>
      <c r="E83" s="22">
        <f ca="1">IFERROR(__xludf.DUMMYFUNCTION("""COMPUTED_VALUE"""),44574)</f>
        <v>44574</v>
      </c>
      <c r="F83" s="20"/>
      <c r="G83" s="20" t="str">
        <f ca="1">IFERROR(__xludf.DUMMYFUNCTION("""COMPUTED_VALUE"""),"CUNY in the Heights")</f>
        <v>CUNY in the Heights</v>
      </c>
      <c r="H83" s="20" t="str">
        <f ca="1">IFERROR(__xludf.DUMMYFUNCTION("""COMPUTED_VALUE"""),"5030 Broadway")</f>
        <v>5030 Broadway</v>
      </c>
      <c r="I83" s="20" t="str">
        <f ca="1">IFERROR(__xludf.DUMMYFUNCTION("""COMPUTED_VALUE"""),"Manhattan")</f>
        <v>Manhattan</v>
      </c>
      <c r="J83" s="24">
        <f ca="1">IFERROR(__xludf.DUMMYFUNCTION("""COMPUTED_VALUE"""),10034)</f>
        <v>10034</v>
      </c>
      <c r="K83" s="20" t="str">
        <f ca="1">IFERROR(__xludf.DUMMYFUNCTION("""COMPUTED_VALUE"""),"8AM-6PM")</f>
        <v>8AM-6PM</v>
      </c>
    </row>
    <row r="84" spans="1:11" ht="12.75">
      <c r="A84" s="20" t="str">
        <f ca="1">IFERROR(__xludf.DUMMYFUNCTION("""COMPUTED_VALUE"""),"RRT")</f>
        <v>RRT</v>
      </c>
      <c r="B84" s="20" t="str">
        <f ca="1">IFERROR(__xludf.DUMMYFUNCTION("""COMPUTED_VALUE"""),"PCR + Rapid Antigen")</f>
        <v>PCR + Rapid Antigen</v>
      </c>
      <c r="C84" s="20" t="str">
        <f ca="1">IFERROR(__xludf.DUMMYFUNCTION("""COMPUTED_VALUE"""),"4+")</f>
        <v>4+</v>
      </c>
      <c r="D84" s="22">
        <f ca="1">IFERROR(__xludf.DUMMYFUNCTION("""COMPUTED_VALUE"""),44576)</f>
        <v>44576</v>
      </c>
      <c r="E84" s="22">
        <f ca="1">IFERROR(__xludf.DUMMYFUNCTION("""COMPUTED_VALUE"""),44577)</f>
        <v>44577</v>
      </c>
      <c r="F84" s="20"/>
      <c r="G84" s="20" t="str">
        <f ca="1">IFERROR(__xludf.DUMMYFUNCTION("""COMPUTED_VALUE"""),"Blink @ Crown Heights")</f>
        <v>Blink @ Crown Heights</v>
      </c>
      <c r="H84" s="20" t="str">
        <f ca="1">IFERROR(__xludf.DUMMYFUNCTION("""COMPUTED_VALUE"""),"257 Utica Avenue")</f>
        <v>257 Utica Avenue</v>
      </c>
      <c r="I84" s="20" t="str">
        <f ca="1">IFERROR(__xludf.DUMMYFUNCTION("""COMPUTED_VALUE"""),"Brooklyn")</f>
        <v>Brooklyn</v>
      </c>
      <c r="J84" s="24">
        <f ca="1">IFERROR(__xludf.DUMMYFUNCTION("""COMPUTED_VALUE"""),11213)</f>
        <v>11213</v>
      </c>
      <c r="K84" s="20" t="str">
        <f ca="1">IFERROR(__xludf.DUMMYFUNCTION("""COMPUTED_VALUE"""),"8am-6pm")</f>
        <v>8am-6pm</v>
      </c>
    </row>
    <row r="85" spans="1:11" ht="12.75">
      <c r="A85" s="20" t="str">
        <f ca="1">IFERROR(__xludf.DUMMYFUNCTION("""COMPUTED_VALUE"""),"RRT")</f>
        <v>RRT</v>
      </c>
      <c r="B85" s="20" t="str">
        <f ca="1">IFERROR(__xludf.DUMMYFUNCTION("""COMPUTED_VALUE"""),"PCR + Rapid Antigen")</f>
        <v>PCR + Rapid Antigen</v>
      </c>
      <c r="C85" s="20" t="str">
        <f ca="1">IFERROR(__xludf.DUMMYFUNCTION("""COMPUTED_VALUE"""),"4+")</f>
        <v>4+</v>
      </c>
      <c r="D85" s="22">
        <f ca="1">IFERROR(__xludf.DUMMYFUNCTION("""COMPUTED_VALUE"""),44571)</f>
        <v>44571</v>
      </c>
      <c r="E85" s="22">
        <f ca="1">IFERROR(__xludf.DUMMYFUNCTION("""COMPUTED_VALUE"""),44577)</f>
        <v>44577</v>
      </c>
      <c r="F85" s="20"/>
      <c r="G85" s="20" t="str">
        <f ca="1">IFERROR(__xludf.DUMMYFUNCTION("""COMPUTED_VALUE"""),"Gotham Dyckman")</f>
        <v>Gotham Dyckman</v>
      </c>
      <c r="H85" s="20" t="str">
        <f ca="1">IFERROR(__xludf.DUMMYFUNCTION("""COMPUTED_VALUE"""),"175 Nagle Ave, Manhattan, NY 10034")</f>
        <v>175 Nagle Ave, Manhattan, NY 10034</v>
      </c>
      <c r="I85" s="20" t="str">
        <f ca="1">IFERROR(__xludf.DUMMYFUNCTION("""COMPUTED_VALUE"""),"Manhattan")</f>
        <v>Manhattan</v>
      </c>
      <c r="J85" s="24">
        <f ca="1">IFERROR(__xludf.DUMMYFUNCTION("""COMPUTED_VALUE"""),10034)</f>
        <v>10034</v>
      </c>
      <c r="K85" s="20" t="str">
        <f ca="1">IFERROR(__xludf.DUMMYFUNCTION("""COMPUTED_VALUE"""),"8am-6pm")</f>
        <v>8am-6pm</v>
      </c>
    </row>
    <row r="86" spans="1:11" ht="12.75">
      <c r="A86" s="20" t="str">
        <f ca="1">IFERROR(__xludf.DUMMYFUNCTION("""COMPUTED_VALUE"""),"RRT")</f>
        <v>RRT</v>
      </c>
      <c r="B86" s="20" t="str">
        <f ca="1">IFERROR(__xludf.DUMMYFUNCTION("""COMPUTED_VALUE"""),"PCR + Rapid Antigen")</f>
        <v>PCR + Rapid Antigen</v>
      </c>
      <c r="C86" s="20" t="str">
        <f ca="1">IFERROR(__xludf.DUMMYFUNCTION("""COMPUTED_VALUE"""),"4+")</f>
        <v>4+</v>
      </c>
      <c r="D86" s="22">
        <f ca="1">IFERROR(__xludf.DUMMYFUNCTION("""COMPUTED_VALUE"""),44571)</f>
        <v>44571</v>
      </c>
      <c r="E86" s="22">
        <f ca="1">IFERROR(__xludf.DUMMYFUNCTION("""COMPUTED_VALUE"""),44577)</f>
        <v>44577</v>
      </c>
      <c r="F86" s="20"/>
      <c r="G86" s="20" t="str">
        <f ca="1">IFERROR(__xludf.DUMMYFUNCTION("""COMPUTED_VALUE"""),"Children’s Aid College Prep Charter School - Pediatric")</f>
        <v>Children’s Aid College Prep Charter School - Pediatric</v>
      </c>
      <c r="H86" s="20" t="str">
        <f ca="1">IFERROR(__xludf.DUMMYFUNCTION("""COMPUTED_VALUE"""),"1232 Southern Boulevard")</f>
        <v>1232 Southern Boulevard</v>
      </c>
      <c r="I86" s="20" t="str">
        <f ca="1">IFERROR(__xludf.DUMMYFUNCTION("""COMPUTED_VALUE"""),"Bronx")</f>
        <v>Bronx</v>
      </c>
      <c r="J86" s="24">
        <f ca="1">IFERROR(__xludf.DUMMYFUNCTION("""COMPUTED_VALUE"""),10459)</f>
        <v>10459</v>
      </c>
      <c r="K86" s="20" t="str">
        <f ca="1">IFERROR(__xludf.DUMMYFUNCTION("""COMPUTED_VALUE"""),"8AM-5PM")</f>
        <v>8AM-5PM</v>
      </c>
    </row>
    <row r="87" spans="1:11" ht="12.75">
      <c r="A87" s="20" t="str">
        <f ca="1">IFERROR(__xludf.DUMMYFUNCTION("""COMPUTED_VALUE"""),"RRT")</f>
        <v>RRT</v>
      </c>
      <c r="B87" s="20" t="str">
        <f ca="1">IFERROR(__xludf.DUMMYFUNCTION("""COMPUTED_VALUE"""),"PCR + Rapid Antigen")</f>
        <v>PCR + Rapid Antigen</v>
      </c>
      <c r="C87" s="20" t="str">
        <f ca="1">IFERROR(__xludf.DUMMYFUNCTION("""COMPUTED_VALUE"""),"4+")</f>
        <v>4+</v>
      </c>
      <c r="D87" s="22">
        <f ca="1">IFERROR(__xludf.DUMMYFUNCTION("""COMPUTED_VALUE"""),44571)</f>
        <v>44571</v>
      </c>
      <c r="E87" s="22">
        <f ca="1">IFERROR(__xludf.DUMMYFUNCTION("""COMPUTED_VALUE"""),44577)</f>
        <v>44577</v>
      </c>
      <c r="F87" s="20"/>
      <c r="G87" s="20" t="str">
        <f ca="1">IFERROR(__xludf.DUMMYFUNCTION("""COMPUTED_VALUE"""),"Children’s Aid College Prep Charter School")</f>
        <v>Children’s Aid College Prep Charter School</v>
      </c>
      <c r="H87" s="20" t="str">
        <f ca="1">IFERROR(__xludf.DUMMYFUNCTION("""COMPUTED_VALUE"""),"1232 Southern Boulevard")</f>
        <v>1232 Southern Boulevard</v>
      </c>
      <c r="I87" s="20" t="str">
        <f ca="1">IFERROR(__xludf.DUMMYFUNCTION("""COMPUTED_VALUE"""),"Bronx")</f>
        <v>Bronx</v>
      </c>
      <c r="J87" s="24">
        <f ca="1">IFERROR(__xludf.DUMMYFUNCTION("""COMPUTED_VALUE"""),10459)</f>
        <v>10459</v>
      </c>
      <c r="K87" s="20" t="str">
        <f ca="1">IFERROR(__xludf.DUMMYFUNCTION("""COMPUTED_VALUE"""),"8AM-5PM")</f>
        <v>8AM-5PM</v>
      </c>
    </row>
    <row r="88" spans="1:11" ht="12.75">
      <c r="A88" s="20" t="str">
        <f ca="1">IFERROR(__xludf.DUMMYFUNCTION("""COMPUTED_VALUE"""),"RRT")</f>
        <v>RRT</v>
      </c>
      <c r="B88" s="20" t="str">
        <f ca="1">IFERROR(__xludf.DUMMYFUNCTION("""COMPUTED_VALUE"""),"PCR + Rapid Antigen")</f>
        <v>PCR + Rapid Antigen</v>
      </c>
      <c r="C88" s="20" t="str">
        <f ca="1">IFERROR(__xludf.DUMMYFUNCTION("""COMPUTED_VALUE"""),"4+")</f>
        <v>4+</v>
      </c>
      <c r="D88" s="22">
        <f ca="1">IFERROR(__xludf.DUMMYFUNCTION("""COMPUTED_VALUE"""),44571)</f>
        <v>44571</v>
      </c>
      <c r="E88" s="22">
        <f ca="1">IFERROR(__xludf.DUMMYFUNCTION("""COMPUTED_VALUE"""),44577)</f>
        <v>44577</v>
      </c>
      <c r="F88" s="20"/>
      <c r="G88" s="20" t="str">
        <f ca="1">IFERROR(__xludf.DUMMYFUNCTION("""COMPUTED_VALUE"""),"Children’s Aid College Prep Charter School - Whitney Young Jr. Campus")</f>
        <v>Children’s Aid College Prep Charter School - Whitney Young Jr. Campus</v>
      </c>
      <c r="H88" s="20" t="str">
        <f ca="1">IFERROR(__xludf.DUMMYFUNCTION("""COMPUTED_VALUE"""),"1919 Prospect Boulevard,")</f>
        <v>1919 Prospect Boulevard,</v>
      </c>
      <c r="I88" s="20" t="str">
        <f ca="1">IFERROR(__xludf.DUMMYFUNCTION("""COMPUTED_VALUE"""),"Bronx")</f>
        <v>Bronx</v>
      </c>
      <c r="J88" s="24">
        <f ca="1">IFERROR(__xludf.DUMMYFUNCTION("""COMPUTED_VALUE"""),10457)</f>
        <v>10457</v>
      </c>
      <c r="K88" s="20" t="str">
        <f ca="1">IFERROR(__xludf.DUMMYFUNCTION("""COMPUTED_VALUE"""),"8AM-5PM")</f>
        <v>8AM-5PM</v>
      </c>
    </row>
    <row r="89" spans="1:11" ht="12.75">
      <c r="A89" s="20" t="str">
        <f ca="1">IFERROR(__xludf.DUMMYFUNCTION("""COMPUTED_VALUE"""),"RRT")</f>
        <v>RRT</v>
      </c>
      <c r="B89" s="20" t="str">
        <f ca="1">IFERROR(__xludf.DUMMYFUNCTION("""COMPUTED_VALUE"""),"PCR + Rapid Antigen")</f>
        <v>PCR + Rapid Antigen</v>
      </c>
      <c r="C89" s="20" t="str">
        <f ca="1">IFERROR(__xludf.DUMMYFUNCTION("""COMPUTED_VALUE"""),"4+")</f>
        <v>4+</v>
      </c>
      <c r="D89" s="22">
        <f ca="1">IFERROR(__xludf.DUMMYFUNCTION("""COMPUTED_VALUE"""),44571)</f>
        <v>44571</v>
      </c>
      <c r="E89" s="22">
        <f ca="1">IFERROR(__xludf.DUMMYFUNCTION("""COMPUTED_VALUE"""),44574)</f>
        <v>44574</v>
      </c>
      <c r="F89" s="20"/>
      <c r="G89" s="20" t="str">
        <f ca="1">IFERROR(__xludf.DUMMYFUNCTION("""COMPUTED_VALUE"""),"Brooklyn Neighborhood Health Action Center")</f>
        <v>Brooklyn Neighborhood Health Action Center</v>
      </c>
      <c r="H89" s="20" t="str">
        <f ca="1">IFERROR(__xludf.DUMMYFUNCTION("""COMPUTED_VALUE"""),"485 Throop Ave")</f>
        <v>485 Throop Ave</v>
      </c>
      <c r="I89" s="20" t="str">
        <f ca="1">IFERROR(__xludf.DUMMYFUNCTION("""COMPUTED_VALUE"""),"Brooklyn")</f>
        <v>Brooklyn</v>
      </c>
      <c r="J89" s="24">
        <f ca="1">IFERROR(__xludf.DUMMYFUNCTION("""COMPUTED_VALUE"""),11221)</f>
        <v>11221</v>
      </c>
      <c r="K89" s="20" t="str">
        <f ca="1">IFERROR(__xludf.DUMMYFUNCTION("""COMPUTED_VALUE"""),"8am-6pm")</f>
        <v>8am-6pm</v>
      </c>
    </row>
    <row r="90" spans="1:11" ht="12.75">
      <c r="A90" s="20" t="str">
        <f ca="1">IFERROR(__xludf.DUMMYFUNCTION("""COMPUTED_VALUE"""),"RRT")</f>
        <v>RRT</v>
      </c>
      <c r="B90" s="20" t="str">
        <f ca="1">IFERROR(__xludf.DUMMYFUNCTION("""COMPUTED_VALUE"""),"PCR + Rapid Antigen")</f>
        <v>PCR + Rapid Antigen</v>
      </c>
      <c r="C90" s="20" t="str">
        <f ca="1">IFERROR(__xludf.DUMMYFUNCTION("""COMPUTED_VALUE"""),"4+")</f>
        <v>4+</v>
      </c>
      <c r="D90" s="22">
        <f ca="1">IFERROR(__xludf.DUMMYFUNCTION("""COMPUTED_VALUE"""),44575)</f>
        <v>44575</v>
      </c>
      <c r="E90" s="22">
        <f ca="1">IFERROR(__xludf.DUMMYFUNCTION("""COMPUTED_VALUE"""),44575)</f>
        <v>44575</v>
      </c>
      <c r="F90" s="20"/>
      <c r="G90" s="20" t="str">
        <f ca="1">IFERROR(__xludf.DUMMYFUNCTION("""COMPUTED_VALUE"""),"Dunkin - Prospect Ave")</f>
        <v>Dunkin - Prospect Ave</v>
      </c>
      <c r="H90" s="20" t="str">
        <f ca="1">IFERROR(__xludf.DUMMYFUNCTION("""COMPUTED_VALUE"""),"839 Prospect Ave")</f>
        <v>839 Prospect Ave</v>
      </c>
      <c r="I90" s="20" t="str">
        <f ca="1">IFERROR(__xludf.DUMMYFUNCTION("""COMPUTED_VALUE"""),"Bronx")</f>
        <v>Bronx</v>
      </c>
      <c r="J90" s="24">
        <f ca="1">IFERROR(__xludf.DUMMYFUNCTION("""COMPUTED_VALUE"""),10459)</f>
        <v>10459</v>
      </c>
      <c r="K90" s="20" t="str">
        <f ca="1">IFERROR(__xludf.DUMMYFUNCTION("""COMPUTED_VALUE"""),"8am-6pm")</f>
        <v>8am-6pm</v>
      </c>
    </row>
    <row r="91" spans="1:11" ht="12.75">
      <c r="A91" s="20" t="str">
        <f ca="1">IFERROR(__xludf.DUMMYFUNCTION("""COMPUTED_VALUE"""),"RRT")</f>
        <v>RRT</v>
      </c>
      <c r="B91" s="20" t="str">
        <f ca="1">IFERROR(__xludf.DUMMYFUNCTION("""COMPUTED_VALUE"""),"PCR + Rapid Antigen")</f>
        <v>PCR + Rapid Antigen</v>
      </c>
      <c r="C91" s="20" t="str">
        <f ca="1">IFERROR(__xludf.DUMMYFUNCTION("""COMPUTED_VALUE"""),"4+")</f>
        <v>4+</v>
      </c>
      <c r="D91" s="22">
        <f ca="1">IFERROR(__xludf.DUMMYFUNCTION("""COMPUTED_VALUE"""),44571)</f>
        <v>44571</v>
      </c>
      <c r="E91" s="22">
        <f ca="1">IFERROR(__xludf.DUMMYFUNCTION("""COMPUTED_VALUE"""),44571)</f>
        <v>44571</v>
      </c>
      <c r="F91" s="20"/>
      <c r="G91" s="20" t="str">
        <f ca="1">IFERROR(__xludf.DUMMYFUNCTION("""COMPUTED_VALUE"""),"Vision Urbana")</f>
        <v>Vision Urbana</v>
      </c>
      <c r="H91" s="20" t="str">
        <f ca="1">IFERROR(__xludf.DUMMYFUNCTION("""COMPUTED_VALUE"""),"6th Street and Ave D")</f>
        <v>6th Street and Ave D</v>
      </c>
      <c r="I91" s="20" t="str">
        <f ca="1">IFERROR(__xludf.DUMMYFUNCTION("""COMPUTED_VALUE"""),"Manhattan")</f>
        <v>Manhattan</v>
      </c>
      <c r="J91" s="24">
        <f ca="1">IFERROR(__xludf.DUMMYFUNCTION("""COMPUTED_VALUE"""),10009)</f>
        <v>10009</v>
      </c>
      <c r="K91" s="20" t="str">
        <f ca="1">IFERROR(__xludf.DUMMYFUNCTION("""COMPUTED_VALUE"""),"9am-5pm")</f>
        <v>9am-5pm</v>
      </c>
    </row>
    <row r="92" spans="1:11" ht="12.75">
      <c r="A92" s="20" t="str">
        <f ca="1">IFERROR(__xludf.DUMMYFUNCTION("""COMPUTED_VALUE"""),"RRT")</f>
        <v>RRT</v>
      </c>
      <c r="B92" s="20" t="str">
        <f ca="1">IFERROR(__xludf.DUMMYFUNCTION("""COMPUTED_VALUE"""),"PCR + Rapid Antigen")</f>
        <v>PCR + Rapid Antigen</v>
      </c>
      <c r="C92" s="20" t="str">
        <f ca="1">IFERROR(__xludf.DUMMYFUNCTION("""COMPUTED_VALUE"""),"4+")</f>
        <v>4+</v>
      </c>
      <c r="D92" s="22">
        <f ca="1">IFERROR(__xludf.DUMMYFUNCTION("""COMPUTED_VALUE"""),44573)</f>
        <v>44573</v>
      </c>
      <c r="E92" s="22">
        <f ca="1">IFERROR(__xludf.DUMMYFUNCTION("""COMPUTED_VALUE"""),44573)</f>
        <v>44573</v>
      </c>
      <c r="F92" s="20"/>
      <c r="G92" s="20" t="str">
        <f ca="1">IFERROR(__xludf.DUMMYFUNCTION("""COMPUTED_VALUE"""),"Sts. Joachim and Anne Parish")</f>
        <v>Sts. Joachim and Anne Parish</v>
      </c>
      <c r="H92" s="20" t="str">
        <f ca="1">IFERROR(__xludf.DUMMYFUNCTION("""COMPUTED_VALUE"""),"Robard Lane &amp; Hollis Ave")</f>
        <v>Robard Lane &amp; Hollis Ave</v>
      </c>
      <c r="I92" s="20" t="str">
        <f ca="1">IFERROR(__xludf.DUMMYFUNCTION("""COMPUTED_VALUE"""),"Queens")</f>
        <v>Queens</v>
      </c>
      <c r="J92" s="24">
        <f ca="1">IFERROR(__xludf.DUMMYFUNCTION("""COMPUTED_VALUE"""),11429)</f>
        <v>11429</v>
      </c>
      <c r="K92" s="20" t="str">
        <f ca="1">IFERROR(__xludf.DUMMYFUNCTION("""COMPUTED_VALUE"""),"9am-7pm")</f>
        <v>9am-7pm</v>
      </c>
    </row>
    <row r="93" spans="1:11" ht="12.75">
      <c r="A93" s="20" t="str">
        <f ca="1">IFERROR(__xludf.DUMMYFUNCTION("""COMPUTED_VALUE"""),"RRT")</f>
        <v>RRT</v>
      </c>
      <c r="B93" s="20" t="str">
        <f ca="1">IFERROR(__xludf.DUMMYFUNCTION("""COMPUTED_VALUE"""),"PCR + Rapid Antigen")</f>
        <v>PCR + Rapid Antigen</v>
      </c>
      <c r="C93" s="20" t="str">
        <f ca="1">IFERROR(__xludf.DUMMYFUNCTION("""COMPUTED_VALUE"""),"4+")</f>
        <v>4+</v>
      </c>
      <c r="D93" s="22">
        <f ca="1">IFERROR(__xludf.DUMMYFUNCTION("""COMPUTED_VALUE"""),44574)</f>
        <v>44574</v>
      </c>
      <c r="E93" s="22">
        <f ca="1">IFERROR(__xludf.DUMMYFUNCTION("""COMPUTED_VALUE"""),44574)</f>
        <v>44574</v>
      </c>
      <c r="F93" s="20"/>
      <c r="G93" s="20" t="str">
        <f ca="1">IFERROR(__xludf.DUMMYFUNCTION("""COMPUTED_VALUE"""),"Chefs Warehouse")</f>
        <v>Chefs Warehouse</v>
      </c>
      <c r="H93" s="20" t="str">
        <f ca="1">IFERROR(__xludf.DUMMYFUNCTION("""COMPUTED_VALUE"""),"240 Food Center Drive (parking lot)")</f>
        <v>240 Food Center Drive (parking lot)</v>
      </c>
      <c r="I93" s="20" t="str">
        <f ca="1">IFERROR(__xludf.DUMMYFUNCTION("""COMPUTED_VALUE"""),"Bronx")</f>
        <v>Bronx</v>
      </c>
      <c r="J93" s="24">
        <f ca="1">IFERROR(__xludf.DUMMYFUNCTION("""COMPUTED_VALUE"""),10474)</f>
        <v>10474</v>
      </c>
      <c r="K93" s="20" t="str">
        <f ca="1">IFERROR(__xludf.DUMMYFUNCTION("""COMPUTED_VALUE"""),"9am-7pm")</f>
        <v>9am-7pm</v>
      </c>
    </row>
    <row r="94" spans="1:11" ht="12.75">
      <c r="A94" s="20" t="str">
        <f ca="1">IFERROR(__xludf.DUMMYFUNCTION("""COMPUTED_VALUE"""),"RRT")</f>
        <v>RRT</v>
      </c>
      <c r="B94" s="20" t="str">
        <f ca="1">IFERROR(__xludf.DUMMYFUNCTION("""COMPUTED_VALUE"""),"PCR + Rapid Antigen")</f>
        <v>PCR + Rapid Antigen</v>
      </c>
      <c r="C94" s="20" t="str">
        <f ca="1">IFERROR(__xludf.DUMMYFUNCTION("""COMPUTED_VALUE"""),"4+")</f>
        <v>4+</v>
      </c>
      <c r="D94" s="22">
        <f ca="1">IFERROR(__xludf.DUMMYFUNCTION("""COMPUTED_VALUE"""),44575)</f>
        <v>44575</v>
      </c>
      <c r="E94" s="22">
        <f ca="1">IFERROR(__xludf.DUMMYFUNCTION("""COMPUTED_VALUE"""),44575)</f>
        <v>44575</v>
      </c>
      <c r="F94" s="20"/>
      <c r="G94" s="20" t="str">
        <f ca="1">IFERROR(__xludf.DUMMYFUNCTION("""COMPUTED_VALUE"""),"GrowNYC Farmstand")</f>
        <v>GrowNYC Farmstand</v>
      </c>
      <c r="H94" s="20" t="str">
        <f ca="1">IFERROR(__xludf.DUMMYFUNCTION("""COMPUTED_VALUE"""),"Nostrand Ave at Empire Blvd (b/t Empire and Montgomery St)")</f>
        <v>Nostrand Ave at Empire Blvd (b/t Empire and Montgomery St)</v>
      </c>
      <c r="I94" s="20" t="str">
        <f ca="1">IFERROR(__xludf.DUMMYFUNCTION("""COMPUTED_VALUE"""),"Brooklyn")</f>
        <v>Brooklyn</v>
      </c>
      <c r="J94" s="24">
        <f ca="1">IFERROR(__xludf.DUMMYFUNCTION("""COMPUTED_VALUE"""),11225)</f>
        <v>11225</v>
      </c>
      <c r="K94" s="20" t="str">
        <f ca="1">IFERROR(__xludf.DUMMYFUNCTION("""COMPUTED_VALUE"""),"8am-6pm")</f>
        <v>8am-6pm</v>
      </c>
    </row>
    <row r="95" spans="1:11" ht="12.75">
      <c r="A95" s="20" t="str">
        <f ca="1">IFERROR(__xludf.DUMMYFUNCTION("""COMPUTED_VALUE"""),"RRT")</f>
        <v>RRT</v>
      </c>
      <c r="B95" s="20" t="str">
        <f ca="1">IFERROR(__xludf.DUMMYFUNCTION("""COMPUTED_VALUE"""),"PCR + Rapid Antigen")</f>
        <v>PCR + Rapid Antigen</v>
      </c>
      <c r="C95" s="20" t="str">
        <f ca="1">IFERROR(__xludf.DUMMYFUNCTION("""COMPUTED_VALUE"""),"4+")</f>
        <v>4+</v>
      </c>
      <c r="D95" s="22">
        <f ca="1">IFERROR(__xludf.DUMMYFUNCTION("""COMPUTED_VALUE"""),44576)</f>
        <v>44576</v>
      </c>
      <c r="E95" s="22">
        <f ca="1">IFERROR(__xludf.DUMMYFUNCTION("""COMPUTED_VALUE"""),44576)</f>
        <v>44576</v>
      </c>
      <c r="F95" s="20"/>
      <c r="G95" s="20" t="str">
        <f ca="1">IFERROR(__xludf.DUMMYFUNCTION("""COMPUTED_VALUE"""),"Greater Sessions Cathedral United Pentecostal Church of God")</f>
        <v>Greater Sessions Cathedral United Pentecostal Church of God</v>
      </c>
      <c r="H95" s="20" t="str">
        <f ca="1">IFERROR(__xludf.DUMMYFUNCTION("""COMPUTED_VALUE"""),"102-40 Van Wyck Expressway")</f>
        <v>102-40 Van Wyck Expressway</v>
      </c>
      <c r="I95" s="20" t="str">
        <f ca="1">IFERROR(__xludf.DUMMYFUNCTION("""COMPUTED_VALUE"""),"Queens")</f>
        <v>Queens</v>
      </c>
      <c r="J95" s="24">
        <f ca="1">IFERROR(__xludf.DUMMYFUNCTION("""COMPUTED_VALUE"""),11419)</f>
        <v>11419</v>
      </c>
      <c r="K95" s="20" t="str">
        <f ca="1">IFERROR(__xludf.DUMMYFUNCTION("""COMPUTED_VALUE"""),"8am-6pm")</f>
        <v>8am-6pm</v>
      </c>
    </row>
    <row r="96" spans="1:11" ht="12.75">
      <c r="A96" s="20" t="str">
        <f ca="1">IFERROR(__xludf.DUMMYFUNCTION("""COMPUTED_VALUE"""),"RRT")</f>
        <v>RRT</v>
      </c>
      <c r="B96" s="20" t="str">
        <f ca="1">IFERROR(__xludf.DUMMYFUNCTION("""COMPUTED_VALUE"""),"PCR + Rapid Antigen")</f>
        <v>PCR + Rapid Antigen</v>
      </c>
      <c r="C96" s="20" t="str">
        <f ca="1">IFERROR(__xludf.DUMMYFUNCTION("""COMPUTED_VALUE"""),"4+")</f>
        <v>4+</v>
      </c>
      <c r="D96" s="22">
        <f ca="1">IFERROR(__xludf.DUMMYFUNCTION("""COMPUTED_VALUE"""),44577)</f>
        <v>44577</v>
      </c>
      <c r="E96" s="22">
        <f ca="1">IFERROR(__xludf.DUMMYFUNCTION("""COMPUTED_VALUE"""),44577)</f>
        <v>44577</v>
      </c>
      <c r="F96" s="20"/>
      <c r="G96" s="20" t="str">
        <f ca="1">IFERROR(__xludf.DUMMYFUNCTION("""COMPUTED_VALUE"""),"Sts. Joachim and Anne Parish")</f>
        <v>Sts. Joachim and Anne Parish</v>
      </c>
      <c r="H96" s="20" t="str">
        <f ca="1">IFERROR(__xludf.DUMMYFUNCTION("""COMPUTED_VALUE"""),"Robard Lane &amp; Hollis Ave")</f>
        <v>Robard Lane &amp; Hollis Ave</v>
      </c>
      <c r="I96" s="20" t="str">
        <f ca="1">IFERROR(__xludf.DUMMYFUNCTION("""COMPUTED_VALUE"""),"Queens")</f>
        <v>Queens</v>
      </c>
      <c r="J96" s="24">
        <f ca="1">IFERROR(__xludf.DUMMYFUNCTION("""COMPUTED_VALUE"""),11429)</f>
        <v>11429</v>
      </c>
      <c r="K96" s="20" t="str">
        <f ca="1">IFERROR(__xludf.DUMMYFUNCTION("""COMPUTED_VALUE"""),"8am-6pm")</f>
        <v>8am-6pm</v>
      </c>
    </row>
    <row r="97" spans="1:11" ht="12.75">
      <c r="A97" s="20" t="str">
        <f ca="1">IFERROR(__xludf.DUMMYFUNCTION("""COMPUTED_VALUE"""),"RRT")</f>
        <v>RRT</v>
      </c>
      <c r="B97" s="20" t="str">
        <f ca="1">IFERROR(__xludf.DUMMYFUNCTION("""COMPUTED_VALUE"""),"PCR + Rapid Antigen")</f>
        <v>PCR + Rapid Antigen</v>
      </c>
      <c r="C97" s="20" t="str">
        <f ca="1">IFERROR(__xludf.DUMMYFUNCTION("""COMPUTED_VALUE"""),"4+")</f>
        <v>4+</v>
      </c>
      <c r="D97" s="22">
        <f ca="1">IFERROR(__xludf.DUMMYFUNCTION("""COMPUTED_VALUE"""),44571)</f>
        <v>44571</v>
      </c>
      <c r="E97" s="22">
        <f ca="1">IFERROR(__xludf.DUMMYFUNCTION("""COMPUTED_VALUE"""),44577)</f>
        <v>44577</v>
      </c>
      <c r="F97" s="20"/>
      <c r="G97" s="20" t="str">
        <f ca="1">IFERROR(__xludf.DUMMYFUNCTION("""COMPUTED_VALUE"""),"NYCHA Manhattanville")</f>
        <v>NYCHA Manhattanville</v>
      </c>
      <c r="H97" s="20" t="str">
        <f ca="1">IFERROR(__xludf.DUMMYFUNCTION("""COMPUTED_VALUE"""),"Parking lot located at 549 W 126th St, New York, NY 10027")</f>
        <v>Parking lot located at 549 W 126th St, New York, NY 10027</v>
      </c>
      <c r="I97" s="20" t="str">
        <f ca="1">IFERROR(__xludf.DUMMYFUNCTION("""COMPUTED_VALUE"""),"Manhattan")</f>
        <v>Manhattan</v>
      </c>
      <c r="J97" s="24">
        <f ca="1">IFERROR(__xludf.DUMMYFUNCTION("""COMPUTED_VALUE"""),10027)</f>
        <v>10027</v>
      </c>
      <c r="K97" s="20" t="str">
        <f ca="1">IFERROR(__xludf.DUMMYFUNCTION("""COMPUTED_VALUE"""),"8AM - 7PM ")</f>
        <v xml:space="preserve">8AM - 7PM </v>
      </c>
    </row>
    <row r="98" spans="1:11" ht="12.75">
      <c r="A98" s="20" t="str">
        <f ca="1">IFERROR(__xludf.DUMMYFUNCTION("""COMPUTED_VALUE"""),"RRT")</f>
        <v>RRT</v>
      </c>
      <c r="B98" s="20" t="str">
        <f ca="1">IFERROR(__xludf.DUMMYFUNCTION("""COMPUTED_VALUE"""),"PCR + Rapid Antigen")</f>
        <v>PCR + Rapid Antigen</v>
      </c>
      <c r="C98" s="20" t="str">
        <f ca="1">IFERROR(__xludf.DUMMYFUNCTION("""COMPUTED_VALUE"""),"4+")</f>
        <v>4+</v>
      </c>
      <c r="D98" s="22">
        <f ca="1">IFERROR(__xludf.DUMMYFUNCTION("""COMPUTED_VALUE"""),44571)</f>
        <v>44571</v>
      </c>
      <c r="E98" s="22">
        <f ca="1">IFERROR(__xludf.DUMMYFUNCTION("""COMPUTED_VALUE"""),44577)</f>
        <v>44577</v>
      </c>
      <c r="F98" s="20"/>
      <c r="G98" s="20" t="str">
        <f ca="1">IFERROR(__xludf.DUMMYFUNCTION("""COMPUTED_VALUE"""),"NYCHA Manhattanville")</f>
        <v>NYCHA Manhattanville</v>
      </c>
      <c r="H98" s="20" t="str">
        <f ca="1">IFERROR(__xludf.DUMMYFUNCTION("""COMPUTED_VALUE"""),"Parking lot located at 549 W 126th St, New York, NY 10027")</f>
        <v>Parking lot located at 549 W 126th St, New York, NY 10027</v>
      </c>
      <c r="I98" s="20" t="str">
        <f ca="1">IFERROR(__xludf.DUMMYFUNCTION("""COMPUTED_VALUE"""),"Manhattan")</f>
        <v>Manhattan</v>
      </c>
      <c r="J98" s="24">
        <f ca="1">IFERROR(__xludf.DUMMYFUNCTION("""COMPUTED_VALUE"""),10027)</f>
        <v>10027</v>
      </c>
      <c r="K98" s="20" t="str">
        <f ca="1">IFERROR(__xludf.DUMMYFUNCTION("""COMPUTED_VALUE"""),"8AM - 7PM ")</f>
        <v xml:space="preserve">8AM - 7PM </v>
      </c>
    </row>
    <row r="99" spans="1:11" ht="12.75">
      <c r="A99" s="20" t="str">
        <f ca="1">IFERROR(__xludf.DUMMYFUNCTION("""COMPUTED_VALUE"""),"RRT")</f>
        <v>RRT</v>
      </c>
      <c r="B99" s="20" t="str">
        <f ca="1">IFERROR(__xludf.DUMMYFUNCTION("""COMPUTED_VALUE"""),"PCR + Rapid Antigen")</f>
        <v>PCR + Rapid Antigen</v>
      </c>
      <c r="C99" s="20" t="str">
        <f ca="1">IFERROR(__xludf.DUMMYFUNCTION("""COMPUTED_VALUE"""),"4+")</f>
        <v>4+</v>
      </c>
      <c r="D99" s="22">
        <f ca="1">IFERROR(__xludf.DUMMYFUNCTION("""COMPUTED_VALUE"""),44571)</f>
        <v>44571</v>
      </c>
      <c r="E99" s="22">
        <f ca="1">IFERROR(__xludf.DUMMYFUNCTION("""COMPUTED_VALUE"""),44577)</f>
        <v>44577</v>
      </c>
      <c r="F99" s="20"/>
      <c r="G99" s="20" t="str">
        <f ca="1">IFERROR(__xludf.DUMMYFUNCTION("""COMPUTED_VALUE"""),"Rockaway YMCA ")</f>
        <v xml:space="preserve">Rockaway YMCA </v>
      </c>
      <c r="H99" s="20" t="str">
        <f ca="1">IFERROR(__xludf.DUMMYFUNCTION("""COMPUTED_VALUE"""),"207 Beach 73rd Street, Arverne, NY 11692")</f>
        <v>207 Beach 73rd Street, Arverne, NY 11692</v>
      </c>
      <c r="I99" s="20" t="str">
        <f ca="1">IFERROR(__xludf.DUMMYFUNCTION("""COMPUTED_VALUE"""),"Queens")</f>
        <v>Queens</v>
      </c>
      <c r="J99" s="24">
        <f ca="1">IFERROR(__xludf.DUMMYFUNCTION("""COMPUTED_VALUE"""),11692)</f>
        <v>11692</v>
      </c>
      <c r="K99" s="20" t="str">
        <f ca="1">IFERROR(__xludf.DUMMYFUNCTION("""COMPUTED_VALUE"""),"8AM - 7PM ")</f>
        <v xml:space="preserve">8AM - 7PM </v>
      </c>
    </row>
    <row r="100" spans="1:11" ht="12.75">
      <c r="A100" s="20" t="str">
        <f ca="1">IFERROR(__xludf.DUMMYFUNCTION("""COMPUTED_VALUE"""),"RRT")</f>
        <v>RRT</v>
      </c>
      <c r="B100" s="20" t="str">
        <f ca="1">IFERROR(__xludf.DUMMYFUNCTION("""COMPUTED_VALUE"""),"PCR + Rapid Antigen")</f>
        <v>PCR + Rapid Antigen</v>
      </c>
      <c r="C100" s="20" t="str">
        <f ca="1">IFERROR(__xludf.DUMMYFUNCTION("""COMPUTED_VALUE"""),"4+")</f>
        <v>4+</v>
      </c>
      <c r="D100" s="22">
        <f ca="1">IFERROR(__xludf.DUMMYFUNCTION("""COMPUTED_VALUE"""),44571)</f>
        <v>44571</v>
      </c>
      <c r="E100" s="22">
        <f ca="1">IFERROR(__xludf.DUMMYFUNCTION("""COMPUTED_VALUE"""),44577)</f>
        <v>44577</v>
      </c>
      <c r="F100" s="20"/>
      <c r="G100" s="20" t="str">
        <f ca="1">IFERROR(__xludf.DUMMYFUNCTION("""COMPUTED_VALUE"""),"LaGuardia Airport")</f>
        <v>LaGuardia Airport</v>
      </c>
      <c r="H100" s="20" t="str">
        <f ca="1">IFERROR(__xludf.DUMMYFUNCTION("""COMPUTED_VALUE"""),"Terminal B Parking Lot, 1 Central Terminal Dr, Queens NY 11371")</f>
        <v>Terminal B Parking Lot, 1 Central Terminal Dr, Queens NY 11371</v>
      </c>
      <c r="I100" s="20" t="str">
        <f ca="1">IFERROR(__xludf.DUMMYFUNCTION("""COMPUTED_VALUE"""),"Queens")</f>
        <v>Queens</v>
      </c>
      <c r="J100" s="24">
        <f ca="1">IFERROR(__xludf.DUMMYFUNCTION("""COMPUTED_VALUE"""),11371)</f>
        <v>11371</v>
      </c>
      <c r="K100" s="20" t="str">
        <f ca="1">IFERROR(__xludf.DUMMYFUNCTION("""COMPUTED_VALUE"""),"8AM - 7PM ")</f>
        <v xml:space="preserve">8AM - 7PM </v>
      </c>
    </row>
    <row r="101" spans="1:11" ht="12.75">
      <c r="A101" s="20" t="str">
        <f ca="1">IFERROR(__xludf.DUMMYFUNCTION("""COMPUTED_VALUE"""),"RRT")</f>
        <v>RRT</v>
      </c>
      <c r="B101" s="20" t="str">
        <f ca="1">IFERROR(__xludf.DUMMYFUNCTION("""COMPUTED_VALUE"""),"PCR + Rapid Antigen")</f>
        <v>PCR + Rapid Antigen</v>
      </c>
      <c r="C101" s="20" t="str">
        <f ca="1">IFERROR(__xludf.DUMMYFUNCTION("""COMPUTED_VALUE"""),"4+")</f>
        <v>4+</v>
      </c>
      <c r="D101" s="22">
        <f ca="1">IFERROR(__xludf.DUMMYFUNCTION("""COMPUTED_VALUE"""),44571)</f>
        <v>44571</v>
      </c>
      <c r="E101" s="22">
        <f ca="1">IFERROR(__xludf.DUMMYFUNCTION("""COMPUTED_VALUE"""),44577)</f>
        <v>44577</v>
      </c>
      <c r="F101" s="20"/>
      <c r="G101" s="20" t="str">
        <f ca="1">IFERROR(__xludf.DUMMYFUNCTION("""COMPUTED_VALUE"""),"LaGuardia Airport")</f>
        <v>LaGuardia Airport</v>
      </c>
      <c r="H101" s="20" t="str">
        <f ca="1">IFERROR(__xludf.DUMMYFUNCTION("""COMPUTED_VALUE"""),"Terminal B Parking Lot, 1 Central Terminal Dr, Queens NY 11371")</f>
        <v>Terminal B Parking Lot, 1 Central Terminal Dr, Queens NY 11371</v>
      </c>
      <c r="I101" s="20" t="str">
        <f ca="1">IFERROR(__xludf.DUMMYFUNCTION("""COMPUTED_VALUE"""),"Queens")</f>
        <v>Queens</v>
      </c>
      <c r="J101" s="24">
        <f ca="1">IFERROR(__xludf.DUMMYFUNCTION("""COMPUTED_VALUE"""),11371)</f>
        <v>11371</v>
      </c>
      <c r="K101" s="20" t="str">
        <f ca="1">IFERROR(__xludf.DUMMYFUNCTION("""COMPUTED_VALUE"""),"8AM - 7PM ")</f>
        <v xml:space="preserve">8AM - 7PM </v>
      </c>
    </row>
    <row r="102" spans="1:11" ht="12.75">
      <c r="A102" s="20" t="str">
        <f ca="1">IFERROR(__xludf.DUMMYFUNCTION("""COMPUTED_VALUE"""),"RRT")</f>
        <v>RRT</v>
      </c>
      <c r="B102" s="20" t="str">
        <f ca="1">IFERROR(__xludf.DUMMYFUNCTION("""COMPUTED_VALUE"""),"PCR + Rapid Antigen")</f>
        <v>PCR + Rapid Antigen</v>
      </c>
      <c r="C102" s="20" t="str">
        <f ca="1">IFERROR(__xludf.DUMMYFUNCTION("""COMPUTED_VALUE"""),"4+")</f>
        <v>4+</v>
      </c>
      <c r="D102" s="22">
        <f ca="1">IFERROR(__xludf.DUMMYFUNCTION("""COMPUTED_VALUE"""),44571)</f>
        <v>44571</v>
      </c>
      <c r="E102" s="22">
        <f ca="1">IFERROR(__xludf.DUMMYFUNCTION("""COMPUTED_VALUE"""),44577)</f>
        <v>44577</v>
      </c>
      <c r="F102" s="20"/>
      <c r="G102" s="20" t="str">
        <f ca="1">IFERROR(__xludf.DUMMYFUNCTION("""COMPUTED_VALUE"""),"Stars and Stripes Playground")</f>
        <v>Stars and Stripes Playground</v>
      </c>
      <c r="H102" s="20" t="str">
        <f ca="1">IFERROR(__xludf.DUMMYFUNCTION("""COMPUTED_VALUE"""),"Baychester Ave &amp;, Crawford Ave, Bronx, NY 10466")</f>
        <v>Baychester Ave &amp;, Crawford Ave, Bronx, NY 10466</v>
      </c>
      <c r="I102" s="20" t="str">
        <f ca="1">IFERROR(__xludf.DUMMYFUNCTION("""COMPUTED_VALUE"""),"Bronx")</f>
        <v>Bronx</v>
      </c>
      <c r="J102" s="24">
        <f ca="1">IFERROR(__xludf.DUMMYFUNCTION("""COMPUTED_VALUE"""),10466)</f>
        <v>10466</v>
      </c>
      <c r="K102" s="20" t="str">
        <f ca="1">IFERROR(__xludf.DUMMYFUNCTION("""COMPUTED_VALUE"""),"8AM - 7PM ")</f>
        <v xml:space="preserve">8AM - 7PM </v>
      </c>
    </row>
    <row r="103" spans="1:11" ht="12.75">
      <c r="A103" s="20" t="str">
        <f ca="1">IFERROR(__xludf.DUMMYFUNCTION("""COMPUTED_VALUE"""),"RRT")</f>
        <v>RRT</v>
      </c>
      <c r="B103" s="20" t="str">
        <f ca="1">IFERROR(__xludf.DUMMYFUNCTION("""COMPUTED_VALUE"""),"PCR + Rapid Antigen")</f>
        <v>PCR + Rapid Antigen</v>
      </c>
      <c r="C103" s="20" t="str">
        <f ca="1">IFERROR(__xludf.DUMMYFUNCTION("""COMPUTED_VALUE"""),"4+")</f>
        <v>4+</v>
      </c>
      <c r="D103" s="22">
        <f ca="1">IFERROR(__xludf.DUMMYFUNCTION("""COMPUTED_VALUE"""),44571)</f>
        <v>44571</v>
      </c>
      <c r="E103" s="22">
        <f ca="1">IFERROR(__xludf.DUMMYFUNCTION("""COMPUTED_VALUE"""),44577)</f>
        <v>44577</v>
      </c>
      <c r="F103" s="20"/>
      <c r="G103" s="20" t="str">
        <f ca="1">IFERROR(__xludf.DUMMYFUNCTION("""COMPUTED_VALUE"""),"Elmhurst High School ")</f>
        <v xml:space="preserve">Elmhurst High School </v>
      </c>
      <c r="H103" s="20" t="str">
        <f ca="1">IFERROR(__xludf.DUMMYFUNCTION("""COMPUTED_VALUE"""),"48-01 90th Street, Queens, NY 11373")</f>
        <v>48-01 90th Street, Queens, NY 11373</v>
      </c>
      <c r="I103" s="20" t="str">
        <f ca="1">IFERROR(__xludf.DUMMYFUNCTION("""COMPUTED_VALUE"""),"Queens")</f>
        <v>Queens</v>
      </c>
      <c r="J103" s="24">
        <f ca="1">IFERROR(__xludf.DUMMYFUNCTION("""COMPUTED_VALUE"""),11373)</f>
        <v>11373</v>
      </c>
      <c r="K103" s="20" t="str">
        <f ca="1">IFERROR(__xludf.DUMMYFUNCTION("""COMPUTED_VALUE"""),"8AM - 7PM ")</f>
        <v xml:space="preserve">8AM - 7PM </v>
      </c>
    </row>
    <row r="104" spans="1:11" ht="12.75">
      <c r="A104" s="20" t="str">
        <f ca="1">IFERROR(__xludf.DUMMYFUNCTION("""COMPUTED_VALUE"""),"RRT")</f>
        <v>RRT</v>
      </c>
      <c r="B104" s="20" t="str">
        <f ca="1">IFERROR(__xludf.DUMMYFUNCTION("""COMPUTED_VALUE"""),"PCR + Rapid Antigen")</f>
        <v>PCR + Rapid Antigen</v>
      </c>
      <c r="C104" s="20" t="str">
        <f ca="1">IFERROR(__xludf.DUMMYFUNCTION("""COMPUTED_VALUE"""),"4+")</f>
        <v>4+</v>
      </c>
      <c r="D104" s="22">
        <f ca="1">IFERROR(__xludf.DUMMYFUNCTION("""COMPUTED_VALUE"""),44571)</f>
        <v>44571</v>
      </c>
      <c r="E104" s="22">
        <f ca="1">IFERROR(__xludf.DUMMYFUNCTION("""COMPUTED_VALUE"""),44577)</f>
        <v>44577</v>
      </c>
      <c r="F104" s="20"/>
      <c r="G104" s="20" t="str">
        <f ca="1">IFERROR(__xludf.DUMMYFUNCTION("""COMPUTED_VALUE"""),"Walton Educational School")</f>
        <v>Walton Educational School</v>
      </c>
      <c r="H104" s="20" t="str">
        <f ca="1">IFERROR(__xludf.DUMMYFUNCTION("""COMPUTED_VALUE"""),"2780 Reservoir AveBronx, NY 10468")</f>
        <v>2780 Reservoir AveBronx, NY 10468</v>
      </c>
      <c r="I104" s="20" t="str">
        <f ca="1">IFERROR(__xludf.DUMMYFUNCTION("""COMPUTED_VALUE"""),"Bronx")</f>
        <v>Bronx</v>
      </c>
      <c r="J104" s="24">
        <f ca="1">IFERROR(__xludf.DUMMYFUNCTION("""COMPUTED_VALUE"""),10468)</f>
        <v>10468</v>
      </c>
      <c r="K104" s="20" t="str">
        <f ca="1">IFERROR(__xludf.DUMMYFUNCTION("""COMPUTED_VALUE"""),"8AM - 7PM ")</f>
        <v xml:space="preserve">8AM - 7PM </v>
      </c>
    </row>
    <row r="105" spans="1:11" ht="12.75">
      <c r="A105" s="20" t="str">
        <f ca="1">IFERROR(__xludf.DUMMYFUNCTION("""COMPUTED_VALUE"""),"RRT")</f>
        <v>RRT</v>
      </c>
      <c r="B105" s="20" t="str">
        <f ca="1">IFERROR(__xludf.DUMMYFUNCTION("""COMPUTED_VALUE"""),"PCR + Rapid Antigen")</f>
        <v>PCR + Rapid Antigen</v>
      </c>
      <c r="C105" s="20" t="str">
        <f ca="1">IFERROR(__xludf.DUMMYFUNCTION("""COMPUTED_VALUE"""),"4+")</f>
        <v>4+</v>
      </c>
      <c r="D105" s="22">
        <f ca="1">IFERROR(__xludf.DUMMYFUNCTION("""COMPUTED_VALUE"""),44571)</f>
        <v>44571</v>
      </c>
      <c r="E105" s="22">
        <f ca="1">IFERROR(__xludf.DUMMYFUNCTION("""COMPUTED_VALUE"""),44577)</f>
        <v>44577</v>
      </c>
      <c r="F105" s="20"/>
      <c r="G105" s="20" t="str">
        <f ca="1">IFERROR(__xludf.DUMMYFUNCTION("""COMPUTED_VALUE"""),"Quisqueya Playground")</f>
        <v>Quisqueya Playground</v>
      </c>
      <c r="H105" s="20" t="str">
        <f ca="1">IFERROR(__xludf.DUMMYFUNCTION("""COMPUTED_VALUE"""),"2405 Amsterdam Ave, New York, NY 10033")</f>
        <v>2405 Amsterdam Ave, New York, NY 10033</v>
      </c>
      <c r="I105" s="20" t="str">
        <f ca="1">IFERROR(__xludf.DUMMYFUNCTION("""COMPUTED_VALUE"""),"Manhattan")</f>
        <v>Manhattan</v>
      </c>
      <c r="J105" s="24">
        <f ca="1">IFERROR(__xludf.DUMMYFUNCTION("""COMPUTED_VALUE"""),10033)</f>
        <v>10033</v>
      </c>
      <c r="K105" s="20" t="str">
        <f ca="1">IFERROR(__xludf.DUMMYFUNCTION("""COMPUTED_VALUE"""),"8AM - 7PM ")</f>
        <v xml:space="preserve">8AM - 7PM </v>
      </c>
    </row>
    <row r="106" spans="1:11" ht="12.75">
      <c r="A106" s="20" t="str">
        <f ca="1">IFERROR(__xludf.DUMMYFUNCTION("""COMPUTED_VALUE"""),"RRT")</f>
        <v>RRT</v>
      </c>
      <c r="B106" s="20" t="str">
        <f ca="1">IFERROR(__xludf.DUMMYFUNCTION("""COMPUTED_VALUE"""),"PCR + Rapid Antigen")</f>
        <v>PCR + Rapid Antigen</v>
      </c>
      <c r="C106" s="20" t="str">
        <f ca="1">IFERROR(__xludf.DUMMYFUNCTION("""COMPUTED_VALUE"""),"4+")</f>
        <v>4+</v>
      </c>
      <c r="D106" s="22">
        <f ca="1">IFERROR(__xludf.DUMMYFUNCTION("""COMPUTED_VALUE"""),44571)</f>
        <v>44571</v>
      </c>
      <c r="E106" s="22">
        <f ca="1">IFERROR(__xludf.DUMMYFUNCTION("""COMPUTED_VALUE"""),44577)</f>
        <v>44577</v>
      </c>
      <c r="F106" s="20"/>
      <c r="G106" s="20" t="str">
        <f ca="1">IFERROR(__xludf.DUMMYFUNCTION("""COMPUTED_VALUE"""),"Quisqueya Playground")</f>
        <v>Quisqueya Playground</v>
      </c>
      <c r="H106" s="20" t="str">
        <f ca="1">IFERROR(__xludf.DUMMYFUNCTION("""COMPUTED_VALUE"""),"2405 Amsterdam Ave, New York, NY 10033")</f>
        <v>2405 Amsterdam Ave, New York, NY 10033</v>
      </c>
      <c r="I106" s="20" t="str">
        <f ca="1">IFERROR(__xludf.DUMMYFUNCTION("""COMPUTED_VALUE"""),"Manhattan")</f>
        <v>Manhattan</v>
      </c>
      <c r="J106" s="24">
        <f ca="1">IFERROR(__xludf.DUMMYFUNCTION("""COMPUTED_VALUE"""),10033)</f>
        <v>10033</v>
      </c>
      <c r="K106" s="20" t="str">
        <f ca="1">IFERROR(__xludf.DUMMYFUNCTION("""COMPUTED_VALUE"""),"8AM - 7PM ")</f>
        <v xml:space="preserve">8AM - 7PM </v>
      </c>
    </row>
    <row r="107" spans="1:11" ht="12.75">
      <c r="A107" s="20" t="str">
        <f ca="1">IFERROR(__xludf.DUMMYFUNCTION("""COMPUTED_VALUE"""),"RRT")</f>
        <v>RRT</v>
      </c>
      <c r="B107" s="20" t="str">
        <f ca="1">IFERROR(__xludf.DUMMYFUNCTION("""COMPUTED_VALUE"""),"PCR + Rapid Antigen")</f>
        <v>PCR + Rapid Antigen</v>
      </c>
      <c r="C107" s="20" t="str">
        <f ca="1">IFERROR(__xludf.DUMMYFUNCTION("""COMPUTED_VALUE"""),"4+")</f>
        <v>4+</v>
      </c>
      <c r="D107" s="22">
        <f ca="1">IFERROR(__xludf.DUMMYFUNCTION("""COMPUTED_VALUE"""),44571)</f>
        <v>44571</v>
      </c>
      <c r="E107" s="22">
        <f ca="1">IFERROR(__xludf.DUMMYFUNCTION("""COMPUTED_VALUE"""),44577)</f>
        <v>44577</v>
      </c>
      <c r="F107" s="20"/>
      <c r="G107" s="20" t="str">
        <f ca="1">IFERROR(__xludf.DUMMYFUNCTION("""COMPUTED_VALUE"""),"Soundview Park")</f>
        <v>Soundview Park</v>
      </c>
      <c r="H107" s="20" t="str">
        <f ca="1">IFERROR(__xludf.DUMMYFUNCTION("""COMPUTED_VALUE"""),"Corner of Lafayette Avenue and Morrison Avenue, Bronx, 10473")</f>
        <v>Corner of Lafayette Avenue and Morrison Avenue, Bronx, 10473</v>
      </c>
      <c r="I107" s="20" t="str">
        <f ca="1">IFERROR(__xludf.DUMMYFUNCTION("""COMPUTED_VALUE"""),"Bronx")</f>
        <v>Bronx</v>
      </c>
      <c r="J107" s="24">
        <f ca="1">IFERROR(__xludf.DUMMYFUNCTION("""COMPUTED_VALUE"""),10473)</f>
        <v>10473</v>
      </c>
      <c r="K107" s="20" t="str">
        <f ca="1">IFERROR(__xludf.DUMMYFUNCTION("""COMPUTED_VALUE"""),"8AM - 7PM ")</f>
        <v xml:space="preserve">8AM - 7PM </v>
      </c>
    </row>
    <row r="108" spans="1:11" ht="12.75">
      <c r="A108" s="20" t="str">
        <f ca="1">IFERROR(__xludf.DUMMYFUNCTION("""COMPUTED_VALUE"""),"RRT")</f>
        <v>RRT</v>
      </c>
      <c r="B108" s="20" t="str">
        <f ca="1">IFERROR(__xludf.DUMMYFUNCTION("""COMPUTED_VALUE"""),"PCR + Rapid Antigen")</f>
        <v>PCR + Rapid Antigen</v>
      </c>
      <c r="C108" s="20" t="str">
        <f ca="1">IFERROR(__xludf.DUMMYFUNCTION("""COMPUTED_VALUE"""),"4+")</f>
        <v>4+</v>
      </c>
      <c r="D108" s="22">
        <f ca="1">IFERROR(__xludf.DUMMYFUNCTION("""COMPUTED_VALUE"""),44571)</f>
        <v>44571</v>
      </c>
      <c r="E108" s="22">
        <f ca="1">IFERROR(__xludf.DUMMYFUNCTION("""COMPUTED_VALUE"""),44577)</f>
        <v>44577</v>
      </c>
      <c r="F108" s="20"/>
      <c r="G108" s="20" t="str">
        <f ca="1">IFERROR(__xludf.DUMMYFUNCTION("""COMPUTED_VALUE"""),"Soundview Park")</f>
        <v>Soundview Park</v>
      </c>
      <c r="H108" s="20" t="str">
        <f ca="1">IFERROR(__xludf.DUMMYFUNCTION("""COMPUTED_VALUE"""),"Corner of Lafayette Avenue and Morrison Avenue, Bronx, 10473")</f>
        <v>Corner of Lafayette Avenue and Morrison Avenue, Bronx, 10473</v>
      </c>
      <c r="I108" s="20" t="str">
        <f ca="1">IFERROR(__xludf.DUMMYFUNCTION("""COMPUTED_VALUE"""),"Bronx")</f>
        <v>Bronx</v>
      </c>
      <c r="J108" s="24">
        <f ca="1">IFERROR(__xludf.DUMMYFUNCTION("""COMPUTED_VALUE"""),10473)</f>
        <v>10473</v>
      </c>
      <c r="K108" s="20" t="str">
        <f ca="1">IFERROR(__xludf.DUMMYFUNCTION("""COMPUTED_VALUE"""),"8AM - 7PM ")</f>
        <v xml:space="preserve">8AM - 7PM </v>
      </c>
    </row>
    <row r="109" spans="1:11" ht="12.75">
      <c r="A109" s="20" t="str">
        <f ca="1">IFERROR(__xludf.DUMMYFUNCTION("""COMPUTED_VALUE"""),"RRT")</f>
        <v>RRT</v>
      </c>
      <c r="B109" s="20" t="str">
        <f ca="1">IFERROR(__xludf.DUMMYFUNCTION("""COMPUTED_VALUE"""),"PCR + Rapid Antigen")</f>
        <v>PCR + Rapid Antigen</v>
      </c>
      <c r="C109" s="20" t="str">
        <f ca="1">IFERROR(__xludf.DUMMYFUNCTION("""COMPUTED_VALUE"""),"4+")</f>
        <v>4+</v>
      </c>
      <c r="D109" s="22">
        <f ca="1">IFERROR(__xludf.DUMMYFUNCTION("""COMPUTED_VALUE"""),44571)</f>
        <v>44571</v>
      </c>
      <c r="E109" s="22">
        <f ca="1">IFERROR(__xludf.DUMMYFUNCTION("""COMPUTED_VALUE"""),44577)</f>
        <v>44577</v>
      </c>
      <c r="F109" s="20"/>
      <c r="G109" s="20" t="str">
        <f ca="1">IFERROR(__xludf.DUMMYFUNCTION("""COMPUTED_VALUE"""),"Sunset Park")</f>
        <v>Sunset Park</v>
      </c>
      <c r="H109" s="20" t="str">
        <f ca="1">IFERROR(__xludf.DUMMYFUNCTION("""COMPUTED_VALUE"""),"Corner of 6th Avenue and 44th Street, Brooklyn, NY 11232")</f>
        <v>Corner of 6th Avenue and 44th Street, Brooklyn, NY 11232</v>
      </c>
      <c r="I109" s="20" t="str">
        <f ca="1">IFERROR(__xludf.DUMMYFUNCTION("""COMPUTED_VALUE"""),"Brooklyn")</f>
        <v>Brooklyn</v>
      </c>
      <c r="J109" s="24">
        <f ca="1">IFERROR(__xludf.DUMMYFUNCTION("""COMPUTED_VALUE"""),11232)</f>
        <v>11232</v>
      </c>
      <c r="K109" s="20" t="str">
        <f ca="1">IFERROR(__xludf.DUMMYFUNCTION("""COMPUTED_VALUE"""),"8AM - 7PM ")</f>
        <v xml:space="preserve">8AM - 7PM </v>
      </c>
    </row>
    <row r="110" spans="1:11" ht="12.75">
      <c r="A110" s="20" t="str">
        <f ca="1">IFERROR(__xludf.DUMMYFUNCTION("""COMPUTED_VALUE"""),"RRT")</f>
        <v>RRT</v>
      </c>
      <c r="B110" s="20" t="str">
        <f ca="1">IFERROR(__xludf.DUMMYFUNCTION("""COMPUTED_VALUE"""),"PCR + Rapid Antigen")</f>
        <v>PCR + Rapid Antigen</v>
      </c>
      <c r="C110" s="20" t="str">
        <f ca="1">IFERROR(__xludf.DUMMYFUNCTION("""COMPUTED_VALUE"""),"4+")</f>
        <v>4+</v>
      </c>
      <c r="D110" s="22">
        <f ca="1">IFERROR(__xludf.DUMMYFUNCTION("""COMPUTED_VALUE"""),44571)</f>
        <v>44571</v>
      </c>
      <c r="E110" s="22">
        <f ca="1">IFERROR(__xludf.DUMMYFUNCTION("""COMPUTED_VALUE"""),44577)</f>
        <v>44577</v>
      </c>
      <c r="F110" s="20"/>
      <c r="G110" s="20" t="str">
        <f ca="1">IFERROR(__xludf.DUMMYFUNCTION("""COMPUTED_VALUE"""),"Sunset Park")</f>
        <v>Sunset Park</v>
      </c>
      <c r="H110" s="20" t="str">
        <f ca="1">IFERROR(__xludf.DUMMYFUNCTION("""COMPUTED_VALUE"""),"Corner of 6th Avenue and 44th Street, Brooklyn, NY 11232")</f>
        <v>Corner of 6th Avenue and 44th Street, Brooklyn, NY 11232</v>
      </c>
      <c r="I110" s="20" t="str">
        <f ca="1">IFERROR(__xludf.DUMMYFUNCTION("""COMPUTED_VALUE"""),"Brooklyn")</f>
        <v>Brooklyn</v>
      </c>
      <c r="J110" s="24">
        <f ca="1">IFERROR(__xludf.DUMMYFUNCTION("""COMPUTED_VALUE"""),11232)</f>
        <v>11232</v>
      </c>
      <c r="K110" s="20" t="str">
        <f ca="1">IFERROR(__xludf.DUMMYFUNCTION("""COMPUTED_VALUE"""),"8AM - 7PM ")</f>
        <v xml:space="preserve">8AM - 7PM </v>
      </c>
    </row>
    <row r="111" spans="1:11" ht="12.75">
      <c r="A111" s="20" t="str">
        <f ca="1">IFERROR(__xludf.DUMMYFUNCTION("""COMPUTED_VALUE"""),"RRT")</f>
        <v>RRT</v>
      </c>
      <c r="B111" s="20" t="str">
        <f ca="1">IFERROR(__xludf.DUMMYFUNCTION("""COMPUTED_VALUE"""),"PCR + Rapid Antigen")</f>
        <v>PCR + Rapid Antigen</v>
      </c>
      <c r="C111" s="20" t="str">
        <f ca="1">IFERROR(__xludf.DUMMYFUNCTION("""COMPUTED_VALUE"""),"4+")</f>
        <v>4+</v>
      </c>
      <c r="D111" s="22">
        <f ca="1">IFERROR(__xludf.DUMMYFUNCTION("""COMPUTED_VALUE"""),44571)</f>
        <v>44571</v>
      </c>
      <c r="E111" s="22">
        <f ca="1">IFERROR(__xludf.DUMMYFUNCTION("""COMPUTED_VALUE"""),44577)</f>
        <v>44577</v>
      </c>
      <c r="F111" s="20"/>
      <c r="G111" s="20" t="str">
        <f ca="1">IFERROR(__xludf.DUMMYFUNCTION("""COMPUTED_VALUE"""),"St John's Park")</f>
        <v>St John's Park</v>
      </c>
      <c r="H111" s="20" t="str">
        <f ca="1">IFERROR(__xludf.DUMMYFUNCTION("""COMPUTED_VALUE"""),"Corner of Troy Ave &amp; Bergen St, Brooklyn, NY 11213")</f>
        <v>Corner of Troy Ave &amp; Bergen St, Brooklyn, NY 11213</v>
      </c>
      <c r="I111" s="20" t="str">
        <f ca="1">IFERROR(__xludf.DUMMYFUNCTION("""COMPUTED_VALUE"""),"Brooklyn")</f>
        <v>Brooklyn</v>
      </c>
      <c r="J111" s="24">
        <f ca="1">IFERROR(__xludf.DUMMYFUNCTION("""COMPUTED_VALUE"""),11213)</f>
        <v>11213</v>
      </c>
      <c r="K111" s="20" t="str">
        <f ca="1">IFERROR(__xludf.DUMMYFUNCTION("""COMPUTED_VALUE"""),"8AM - 7PM ")</f>
        <v xml:space="preserve">8AM - 7PM </v>
      </c>
    </row>
    <row r="112" spans="1:11" ht="12.75">
      <c r="A112" s="20" t="str">
        <f ca="1">IFERROR(__xludf.DUMMYFUNCTION("""COMPUTED_VALUE"""),"RRT")</f>
        <v>RRT</v>
      </c>
      <c r="B112" s="20" t="str">
        <f ca="1">IFERROR(__xludf.DUMMYFUNCTION("""COMPUTED_VALUE"""),"PCR + Rapid Antigen")</f>
        <v>PCR + Rapid Antigen</v>
      </c>
      <c r="C112" s="20" t="str">
        <f ca="1">IFERROR(__xludf.DUMMYFUNCTION("""COMPUTED_VALUE"""),"4+")</f>
        <v>4+</v>
      </c>
      <c r="D112" s="22">
        <f ca="1">IFERROR(__xludf.DUMMYFUNCTION("""COMPUTED_VALUE"""),44571)</f>
        <v>44571</v>
      </c>
      <c r="E112" s="22">
        <f ca="1">IFERROR(__xludf.DUMMYFUNCTION("""COMPUTED_VALUE"""),44577)</f>
        <v>44577</v>
      </c>
      <c r="F112" s="20"/>
      <c r="G112" s="20" t="str">
        <f ca="1">IFERROR(__xludf.DUMMYFUNCTION("""COMPUTED_VALUE"""),"St John's Park")</f>
        <v>St John's Park</v>
      </c>
      <c r="H112" s="20" t="str">
        <f ca="1">IFERROR(__xludf.DUMMYFUNCTION("""COMPUTED_VALUE"""),"Corner of Troy Ave &amp; Bergen St, Brooklyn, NY 11213")</f>
        <v>Corner of Troy Ave &amp; Bergen St, Brooklyn, NY 11213</v>
      </c>
      <c r="I112" s="20" t="str">
        <f ca="1">IFERROR(__xludf.DUMMYFUNCTION("""COMPUTED_VALUE"""),"Brooklyn")</f>
        <v>Brooklyn</v>
      </c>
      <c r="J112" s="24">
        <f ca="1">IFERROR(__xludf.DUMMYFUNCTION("""COMPUTED_VALUE"""),11213)</f>
        <v>11213</v>
      </c>
      <c r="K112" s="20" t="str">
        <f ca="1">IFERROR(__xludf.DUMMYFUNCTION("""COMPUTED_VALUE"""),"8AM - 7PM ")</f>
        <v xml:space="preserve">8AM - 7PM </v>
      </c>
    </row>
    <row r="113" spans="1:11" ht="12.75">
      <c r="A113" s="20" t="str">
        <f ca="1">IFERROR(__xludf.DUMMYFUNCTION("""COMPUTED_VALUE"""),"RRT")</f>
        <v>RRT</v>
      </c>
      <c r="B113" s="20" t="str">
        <f ca="1">IFERROR(__xludf.DUMMYFUNCTION("""COMPUTED_VALUE"""),"PCR + Rapid Antigen")</f>
        <v>PCR + Rapid Antigen</v>
      </c>
      <c r="C113" s="20" t="str">
        <f ca="1">IFERROR(__xludf.DUMMYFUNCTION("""COMPUTED_VALUE"""),"4+")</f>
        <v>4+</v>
      </c>
      <c r="D113" s="22">
        <f ca="1">IFERROR(__xludf.DUMMYFUNCTION("""COMPUTED_VALUE"""),44571)</f>
        <v>44571</v>
      </c>
      <c r="E113" s="22">
        <f ca="1">IFERROR(__xludf.DUMMYFUNCTION("""COMPUTED_VALUE"""),44573)</f>
        <v>44573</v>
      </c>
      <c r="F113" s="20"/>
      <c r="G113" s="20" t="str">
        <f ca="1">IFERROR(__xludf.DUMMYFUNCTION("""COMPUTED_VALUE"""),"Great Kills Park")</f>
        <v>Great Kills Park</v>
      </c>
      <c r="H113" s="20" t="str">
        <f ca="1">IFERROR(__xludf.DUMMYFUNCTION("""COMPUTED_VALUE"""),"Parking Lot next to  Hylan Blvd and Buffalo Road, Staten Island NY 10306")</f>
        <v>Parking Lot next to  Hylan Blvd and Buffalo Road, Staten Island NY 10306</v>
      </c>
      <c r="I113" s="20" t="str">
        <f ca="1">IFERROR(__xludf.DUMMYFUNCTION("""COMPUTED_VALUE"""),"Staten Island")</f>
        <v>Staten Island</v>
      </c>
      <c r="J113" s="24">
        <f ca="1">IFERROR(__xludf.DUMMYFUNCTION("""COMPUTED_VALUE"""),10306)</f>
        <v>10306</v>
      </c>
      <c r="K113" s="20" t="str">
        <f ca="1">IFERROR(__xludf.DUMMYFUNCTION("""COMPUTED_VALUE"""),"8AM - 7PM ")</f>
        <v xml:space="preserve">8AM - 7PM </v>
      </c>
    </row>
    <row r="114" spans="1:11" ht="12.75">
      <c r="A114" s="20" t="str">
        <f ca="1">IFERROR(__xludf.DUMMYFUNCTION("""COMPUTED_VALUE"""),"RRT")</f>
        <v>RRT</v>
      </c>
      <c r="B114" s="20" t="str">
        <f ca="1">IFERROR(__xludf.DUMMYFUNCTION("""COMPUTED_VALUE"""),"PCR + Rapid Antigen")</f>
        <v>PCR + Rapid Antigen</v>
      </c>
      <c r="C114" s="20" t="str">
        <f ca="1">IFERROR(__xludf.DUMMYFUNCTION("""COMPUTED_VALUE"""),"4+")</f>
        <v>4+</v>
      </c>
      <c r="D114" s="22">
        <f ca="1">IFERROR(__xludf.DUMMYFUNCTION("""COMPUTED_VALUE"""),44574)</f>
        <v>44574</v>
      </c>
      <c r="E114" s="22">
        <f ca="1">IFERROR(__xludf.DUMMYFUNCTION("""COMPUTED_VALUE"""),44577)</f>
        <v>44577</v>
      </c>
      <c r="F114" s="20"/>
      <c r="G114" s="20" t="str">
        <f ca="1">IFERROR(__xludf.DUMMYFUNCTION("""COMPUTED_VALUE"""),"Charleston Rec Center ")</f>
        <v xml:space="preserve">Charleston Rec Center </v>
      </c>
      <c r="H114" s="20" t="str">
        <f ca="1">IFERROR(__xludf.DUMMYFUNCTION("""COMPUTED_VALUE"""),"245 Bricktown Way, Staten Island NY, 10309  ")</f>
        <v xml:space="preserve">245 Bricktown Way, Staten Island NY, 10309  </v>
      </c>
      <c r="I114" s="20" t="str">
        <f ca="1">IFERROR(__xludf.DUMMYFUNCTION("""COMPUTED_VALUE"""),"Staten Island")</f>
        <v>Staten Island</v>
      </c>
      <c r="J114" s="24">
        <f ca="1">IFERROR(__xludf.DUMMYFUNCTION("""COMPUTED_VALUE"""),10309)</f>
        <v>10309</v>
      </c>
      <c r="K114" s="20" t="str">
        <f ca="1">IFERROR(__xludf.DUMMYFUNCTION("""COMPUTED_VALUE"""),"8AM - 7PM ")</f>
        <v xml:space="preserve">8AM - 7PM </v>
      </c>
    </row>
    <row r="115" spans="1:11" ht="12.75">
      <c r="A115" s="20" t="str">
        <f ca="1">IFERROR(__xludf.DUMMYFUNCTION("""COMPUTED_VALUE"""),"RRT")</f>
        <v>RRT</v>
      </c>
      <c r="B115" s="20" t="str">
        <f ca="1">IFERROR(__xludf.DUMMYFUNCTION("""COMPUTED_VALUE"""),"PCR + Rapid Antigen")</f>
        <v>PCR + Rapid Antigen</v>
      </c>
      <c r="C115" s="20" t="str">
        <f ca="1">IFERROR(__xludf.DUMMYFUNCTION("""COMPUTED_VALUE"""),"4+")</f>
        <v>4+</v>
      </c>
      <c r="D115" s="22">
        <f ca="1">IFERROR(__xludf.DUMMYFUNCTION("""COMPUTED_VALUE"""),44571)</f>
        <v>44571</v>
      </c>
      <c r="E115" s="22">
        <f ca="1">IFERROR(__xludf.DUMMYFUNCTION("""COMPUTED_VALUE"""),44577)</f>
        <v>44577</v>
      </c>
      <c r="F115" s="20"/>
      <c r="G115" s="20" t="str">
        <f ca="1">IFERROR(__xludf.DUMMYFUNCTION("""COMPUTED_VALUE"""),"NYCHA Pelham Parkway")</f>
        <v>NYCHA Pelham Parkway</v>
      </c>
      <c r="H115" s="20" t="str">
        <f ca="1">IFERROR(__xludf.DUMMYFUNCTION("""COMPUTED_VALUE"""),"Corner of Bronxwood Ave &amp; Mace Ave, Bronx NY 10469")</f>
        <v>Corner of Bronxwood Ave &amp; Mace Ave, Bronx NY 10469</v>
      </c>
      <c r="I115" s="20" t="str">
        <f ca="1">IFERROR(__xludf.DUMMYFUNCTION("""COMPUTED_VALUE"""),"Bronx")</f>
        <v>Bronx</v>
      </c>
      <c r="J115" s="24">
        <f ca="1">IFERROR(__xludf.DUMMYFUNCTION("""COMPUTED_VALUE"""),10469)</f>
        <v>10469</v>
      </c>
      <c r="K115" s="20" t="str">
        <f ca="1">IFERROR(__xludf.DUMMYFUNCTION("""COMPUTED_VALUE"""),"8AM - 7PM ")</f>
        <v xml:space="preserve">8AM - 7PM </v>
      </c>
    </row>
    <row r="116" spans="1:11" ht="12.75">
      <c r="A116" s="20" t="str">
        <f ca="1">IFERROR(__xludf.DUMMYFUNCTION("""COMPUTED_VALUE"""),"RRT")</f>
        <v>RRT</v>
      </c>
      <c r="B116" s="20" t="str">
        <f ca="1">IFERROR(__xludf.DUMMYFUNCTION("""COMPUTED_VALUE"""),"PCR + Rapid Antigen")</f>
        <v>PCR + Rapid Antigen</v>
      </c>
      <c r="C116" s="20" t="str">
        <f ca="1">IFERROR(__xludf.DUMMYFUNCTION("""COMPUTED_VALUE"""),"4+")</f>
        <v>4+</v>
      </c>
      <c r="D116" s="22">
        <f ca="1">IFERROR(__xludf.DUMMYFUNCTION("""COMPUTED_VALUE"""),44571)</f>
        <v>44571</v>
      </c>
      <c r="E116" s="22">
        <f ca="1">IFERROR(__xludf.DUMMYFUNCTION("""COMPUTED_VALUE"""),44577)</f>
        <v>44577</v>
      </c>
      <c r="F116" s="20"/>
      <c r="G116" s="20" t="str">
        <f ca="1">IFERROR(__xludf.DUMMYFUNCTION("""COMPUTED_VALUE"""),"NYCHA Pelham Parkway")</f>
        <v>NYCHA Pelham Parkway</v>
      </c>
      <c r="H116" s="20" t="str">
        <f ca="1">IFERROR(__xludf.DUMMYFUNCTION("""COMPUTED_VALUE"""),"Corner of Bronxwood Ave &amp; Mace Ave, Bronx NY 10469")</f>
        <v>Corner of Bronxwood Ave &amp; Mace Ave, Bronx NY 10469</v>
      </c>
      <c r="I116" s="20" t="str">
        <f ca="1">IFERROR(__xludf.DUMMYFUNCTION("""COMPUTED_VALUE"""),"Bronx")</f>
        <v>Bronx</v>
      </c>
      <c r="J116" s="24">
        <f ca="1">IFERROR(__xludf.DUMMYFUNCTION("""COMPUTED_VALUE"""),10469)</f>
        <v>10469</v>
      </c>
      <c r="K116" s="20" t="str">
        <f ca="1">IFERROR(__xludf.DUMMYFUNCTION("""COMPUTED_VALUE"""),"8AM - 7PM ")</f>
        <v xml:space="preserve">8AM - 7PM </v>
      </c>
    </row>
    <row r="117" spans="1:11" ht="12.75">
      <c r="A117" s="20" t="str">
        <f ca="1">IFERROR(__xludf.DUMMYFUNCTION("""COMPUTED_VALUE"""),"RRT")</f>
        <v>RRT</v>
      </c>
      <c r="B117" s="20" t="str">
        <f ca="1">IFERROR(__xludf.DUMMYFUNCTION("""COMPUTED_VALUE"""),"PCR + Rapid Antigen")</f>
        <v>PCR + Rapid Antigen</v>
      </c>
      <c r="C117" s="20" t="str">
        <f ca="1">IFERROR(__xludf.DUMMYFUNCTION("""COMPUTED_VALUE"""),"4+")</f>
        <v>4+</v>
      </c>
      <c r="D117" s="22">
        <f ca="1">IFERROR(__xludf.DUMMYFUNCTION("""COMPUTED_VALUE"""),44571)</f>
        <v>44571</v>
      </c>
      <c r="E117" s="22">
        <f ca="1">IFERROR(__xludf.DUMMYFUNCTION("""COMPUTED_VALUE"""),44577)</f>
        <v>44577</v>
      </c>
      <c r="F117" s="20"/>
      <c r="G117" s="20" t="str">
        <f ca="1">IFERROR(__xludf.DUMMYFUNCTION("""COMPUTED_VALUE"""),"Episcopal Church of St. Alban the Martyr")</f>
        <v>Episcopal Church of St. Alban the Martyr</v>
      </c>
      <c r="H117" s="20" t="str">
        <f ca="1">IFERROR(__xludf.DUMMYFUNCTION("""COMPUTED_VALUE"""),"116-42 Farmers Blvd. St. Albans, NY 11412")</f>
        <v>116-42 Farmers Blvd. St. Albans, NY 11412</v>
      </c>
      <c r="I117" s="20" t="str">
        <f ca="1">IFERROR(__xludf.DUMMYFUNCTION("""COMPUTED_VALUE"""),"Queens")</f>
        <v>Queens</v>
      </c>
      <c r="J117" s="24">
        <f ca="1">IFERROR(__xludf.DUMMYFUNCTION("""COMPUTED_VALUE"""),11412)</f>
        <v>11412</v>
      </c>
      <c r="K117" s="20" t="str">
        <f ca="1">IFERROR(__xludf.DUMMYFUNCTION("""COMPUTED_VALUE"""),"8AM - 7PM ")</f>
        <v xml:space="preserve">8AM - 7PM </v>
      </c>
    </row>
    <row r="118" spans="1:11" ht="12.75">
      <c r="A118" s="20" t="str">
        <f ca="1">IFERROR(__xludf.DUMMYFUNCTION("""COMPUTED_VALUE"""),"RRT")</f>
        <v>RRT</v>
      </c>
      <c r="B118" s="20" t="str">
        <f ca="1">IFERROR(__xludf.DUMMYFUNCTION("""COMPUTED_VALUE"""),"PCR + Rapid Antigen")</f>
        <v>PCR + Rapid Antigen</v>
      </c>
      <c r="C118" s="20" t="str">
        <f ca="1">IFERROR(__xludf.DUMMYFUNCTION("""COMPUTED_VALUE"""),"4+")</f>
        <v>4+</v>
      </c>
      <c r="D118" s="22">
        <f ca="1">IFERROR(__xludf.DUMMYFUNCTION("""COMPUTED_VALUE"""),44571)</f>
        <v>44571</v>
      </c>
      <c r="E118" s="22">
        <f ca="1">IFERROR(__xludf.DUMMYFUNCTION("""COMPUTED_VALUE"""),44577)</f>
        <v>44577</v>
      </c>
      <c r="F118" s="20"/>
      <c r="G118" s="20" t="str">
        <f ca="1">IFERROR(__xludf.DUMMYFUNCTION("""COMPUTED_VALUE"""),"Episcopal Church of St. Alban the Martyr")</f>
        <v>Episcopal Church of St. Alban the Martyr</v>
      </c>
      <c r="H118" s="20" t="str">
        <f ca="1">IFERROR(__xludf.DUMMYFUNCTION("""COMPUTED_VALUE"""),"116-42 Farmers Blvd. St. Albans, NY 11412")</f>
        <v>116-42 Farmers Blvd. St. Albans, NY 11412</v>
      </c>
      <c r="I118" s="20" t="str">
        <f ca="1">IFERROR(__xludf.DUMMYFUNCTION("""COMPUTED_VALUE"""),"Queens")</f>
        <v>Queens</v>
      </c>
      <c r="J118" s="24">
        <f ca="1">IFERROR(__xludf.DUMMYFUNCTION("""COMPUTED_VALUE"""),11412)</f>
        <v>11412</v>
      </c>
      <c r="K118" s="20" t="str">
        <f ca="1">IFERROR(__xludf.DUMMYFUNCTION("""COMPUTED_VALUE"""),"8AM - 7PM ")</f>
        <v xml:space="preserve">8AM - 7PM </v>
      </c>
    </row>
    <row r="119" spans="1:11" ht="12.75">
      <c r="A119" s="20" t="str">
        <f ca="1">IFERROR(__xludf.DUMMYFUNCTION("""COMPUTED_VALUE"""),"RRT")</f>
        <v>RRT</v>
      </c>
      <c r="B119" s="20" t="str">
        <f ca="1">IFERROR(__xludf.DUMMYFUNCTION("""COMPUTED_VALUE"""),"PCR + Rapid Antigen")</f>
        <v>PCR + Rapid Antigen</v>
      </c>
      <c r="C119" s="20" t="str">
        <f ca="1">IFERROR(__xludf.DUMMYFUNCTION("""COMPUTED_VALUE"""),"4+")</f>
        <v>4+</v>
      </c>
      <c r="D119" s="22">
        <f ca="1">IFERROR(__xludf.DUMMYFUNCTION("""COMPUTED_VALUE"""),44571)</f>
        <v>44571</v>
      </c>
      <c r="E119" s="22">
        <f ca="1">IFERROR(__xludf.DUMMYFUNCTION("""COMPUTED_VALUE"""),44577)</f>
        <v>44577</v>
      </c>
      <c r="F119" s="20"/>
      <c r="G119" s="20" t="str">
        <f ca="1">IFERROR(__xludf.DUMMYFUNCTION("""COMPUTED_VALUE"""),"Telephone Playground")</f>
        <v>Telephone Playground</v>
      </c>
      <c r="H119" s="20" t="str">
        <f ca="1">IFERROR(__xludf.DUMMYFUNCTION("""COMPUTED_VALUE"""),"216-0-216-98 75th Ave, Oakland Gardens, NY 11364")</f>
        <v>216-0-216-98 75th Ave, Oakland Gardens, NY 11364</v>
      </c>
      <c r="I119" s="20" t="str">
        <f ca="1">IFERROR(__xludf.DUMMYFUNCTION("""COMPUTED_VALUE"""),"Queens")</f>
        <v>Queens</v>
      </c>
      <c r="J119" s="24">
        <f ca="1">IFERROR(__xludf.DUMMYFUNCTION("""COMPUTED_VALUE"""),11364)</f>
        <v>11364</v>
      </c>
      <c r="K119" s="20" t="str">
        <f ca="1">IFERROR(__xludf.DUMMYFUNCTION("""COMPUTED_VALUE"""),"8AM - 7PM ")</f>
        <v xml:space="preserve">8AM - 7PM </v>
      </c>
    </row>
    <row r="120" spans="1:11" ht="12.75">
      <c r="A120" s="20" t="str">
        <f ca="1">IFERROR(__xludf.DUMMYFUNCTION("""COMPUTED_VALUE"""),"RRT")</f>
        <v>RRT</v>
      </c>
      <c r="B120" s="20" t="str">
        <f ca="1">IFERROR(__xludf.DUMMYFUNCTION("""COMPUTED_VALUE"""),"PCR + Rapid Antigen")</f>
        <v>PCR + Rapid Antigen</v>
      </c>
      <c r="C120" s="20" t="str">
        <f ca="1">IFERROR(__xludf.DUMMYFUNCTION("""COMPUTED_VALUE"""),"4+")</f>
        <v>4+</v>
      </c>
      <c r="D120" s="22">
        <f ca="1">IFERROR(__xludf.DUMMYFUNCTION("""COMPUTED_VALUE"""),44571)</f>
        <v>44571</v>
      </c>
      <c r="E120" s="22">
        <f ca="1">IFERROR(__xludf.DUMMYFUNCTION("""COMPUTED_VALUE"""),44577)</f>
        <v>44577</v>
      </c>
      <c r="F120" s="20"/>
      <c r="G120" s="20" t="str">
        <f ca="1">IFERROR(__xludf.DUMMYFUNCTION("""COMPUTED_VALUE"""),"Telephone Playground")</f>
        <v>Telephone Playground</v>
      </c>
      <c r="H120" s="20" t="str">
        <f ca="1">IFERROR(__xludf.DUMMYFUNCTION("""COMPUTED_VALUE"""),"216-0-216-98 75th Ave, Oakland Gardens, NY 11364")</f>
        <v>216-0-216-98 75th Ave, Oakland Gardens, NY 11364</v>
      </c>
      <c r="I120" s="20" t="str">
        <f ca="1">IFERROR(__xludf.DUMMYFUNCTION("""COMPUTED_VALUE"""),"Queens")</f>
        <v>Queens</v>
      </c>
      <c r="J120" s="24">
        <f ca="1">IFERROR(__xludf.DUMMYFUNCTION("""COMPUTED_VALUE"""),11364)</f>
        <v>11364</v>
      </c>
      <c r="K120" s="20" t="str">
        <f ca="1">IFERROR(__xludf.DUMMYFUNCTION("""COMPUTED_VALUE"""),"8AM - 7PM ")</f>
        <v xml:space="preserve">8AM - 7PM </v>
      </c>
    </row>
    <row r="121" spans="1:11" ht="12.75">
      <c r="A121" s="20" t="str">
        <f ca="1">IFERROR(__xludf.DUMMYFUNCTION("""COMPUTED_VALUE"""),"RRT")</f>
        <v>RRT</v>
      </c>
      <c r="B121" s="20" t="str">
        <f ca="1">IFERROR(__xludf.DUMMYFUNCTION("""COMPUTED_VALUE"""),"PCR + Rapid Antigen")</f>
        <v>PCR + Rapid Antigen</v>
      </c>
      <c r="C121" s="20" t="str">
        <f ca="1">IFERROR(__xludf.DUMMYFUNCTION("""COMPUTED_VALUE"""),"4+")</f>
        <v>4+</v>
      </c>
      <c r="D121" s="22">
        <f ca="1">IFERROR(__xludf.DUMMYFUNCTION("""COMPUTED_VALUE"""),44571)</f>
        <v>44571</v>
      </c>
      <c r="E121" s="22">
        <f ca="1">IFERROR(__xludf.DUMMYFUNCTION("""COMPUTED_VALUE"""),44577)</f>
        <v>44577</v>
      </c>
      <c r="F121" s="20"/>
      <c r="G121" s="20" t="str">
        <f ca="1">IFERROR(__xludf.DUMMYFUNCTION("""COMPUTED_VALUE"""),"Canarsie High School ")</f>
        <v xml:space="preserve">Canarsie High School </v>
      </c>
      <c r="H121" s="20" t="str">
        <f ca="1">IFERROR(__xludf.DUMMYFUNCTION("""COMPUTED_VALUE"""),"1600 Rockaway Parkway, Brooklyn, NY 11236")</f>
        <v>1600 Rockaway Parkway, Brooklyn, NY 11236</v>
      </c>
      <c r="I121" s="20" t="str">
        <f ca="1">IFERROR(__xludf.DUMMYFUNCTION("""COMPUTED_VALUE"""),"Brooklyn")</f>
        <v>Brooklyn</v>
      </c>
      <c r="J121" s="24">
        <f ca="1">IFERROR(__xludf.DUMMYFUNCTION("""COMPUTED_VALUE"""),11236)</f>
        <v>11236</v>
      </c>
      <c r="K121" s="20" t="str">
        <f ca="1">IFERROR(__xludf.DUMMYFUNCTION("""COMPUTED_VALUE"""),"8AM - 7PM ")</f>
        <v xml:space="preserve">8AM - 7PM </v>
      </c>
    </row>
    <row r="122" spans="1:11" ht="12.75">
      <c r="A122" s="20" t="str">
        <f ca="1">IFERROR(__xludf.DUMMYFUNCTION("""COMPUTED_VALUE"""),"RRT")</f>
        <v>RRT</v>
      </c>
      <c r="B122" s="20" t="str">
        <f ca="1">IFERROR(__xludf.DUMMYFUNCTION("""COMPUTED_VALUE"""),"PCR + Rapid Antigen")</f>
        <v>PCR + Rapid Antigen</v>
      </c>
      <c r="C122" s="20" t="str">
        <f ca="1">IFERROR(__xludf.DUMMYFUNCTION("""COMPUTED_VALUE"""),"4+")</f>
        <v>4+</v>
      </c>
      <c r="D122" s="22">
        <f ca="1">IFERROR(__xludf.DUMMYFUNCTION("""COMPUTED_VALUE"""),44571)</f>
        <v>44571</v>
      </c>
      <c r="E122" s="22">
        <f ca="1">IFERROR(__xludf.DUMMYFUNCTION("""COMPUTED_VALUE"""),44577)</f>
        <v>44577</v>
      </c>
      <c r="F122" s="20"/>
      <c r="G122" s="20" t="str">
        <f ca="1">IFERROR(__xludf.DUMMYFUNCTION("""COMPUTED_VALUE"""),"100% Playground")</f>
        <v>100% Playground</v>
      </c>
      <c r="H122" s="20" t="str">
        <f ca="1">IFERROR(__xludf.DUMMYFUNCTION("""COMPUTED_VALUE"""),"Corner of Glenwood Road &amp; East 100th Street, Brooklyn, NY 11236")</f>
        <v>Corner of Glenwood Road &amp; East 100th Street, Brooklyn, NY 11236</v>
      </c>
      <c r="I122" s="20" t="str">
        <f ca="1">IFERROR(__xludf.DUMMYFUNCTION("""COMPUTED_VALUE"""),"Brooklyn")</f>
        <v>Brooklyn</v>
      </c>
      <c r="J122" s="24">
        <f ca="1">IFERROR(__xludf.DUMMYFUNCTION("""COMPUTED_VALUE"""),11236)</f>
        <v>11236</v>
      </c>
      <c r="K122" s="20" t="str">
        <f ca="1">IFERROR(__xludf.DUMMYFUNCTION("""COMPUTED_VALUE"""),"8AM - 7PM ")</f>
        <v xml:space="preserve">8AM - 7PM </v>
      </c>
    </row>
    <row r="123" spans="1:11" ht="12.75">
      <c r="A123" s="20" t="str">
        <f ca="1">IFERROR(__xludf.DUMMYFUNCTION("""COMPUTED_VALUE"""),"RRT")</f>
        <v>RRT</v>
      </c>
      <c r="B123" s="20" t="str">
        <f ca="1">IFERROR(__xludf.DUMMYFUNCTION("""COMPUTED_VALUE"""),"PCR + Rapid Antigen")</f>
        <v>PCR + Rapid Antigen</v>
      </c>
      <c r="C123" s="20" t="str">
        <f ca="1">IFERROR(__xludf.DUMMYFUNCTION("""COMPUTED_VALUE"""),"4+")</f>
        <v>4+</v>
      </c>
      <c r="D123" s="22">
        <f ca="1">IFERROR(__xludf.DUMMYFUNCTION("""COMPUTED_VALUE"""),44571)</f>
        <v>44571</v>
      </c>
      <c r="E123" s="22">
        <f ca="1">IFERROR(__xludf.DUMMYFUNCTION("""COMPUTED_VALUE"""),44577)</f>
        <v>44577</v>
      </c>
      <c r="F123" s="20"/>
      <c r="G123" s="20" t="str">
        <f ca="1">IFERROR(__xludf.DUMMYFUNCTION("""COMPUTED_VALUE"""),"100% Playground")</f>
        <v>100% Playground</v>
      </c>
      <c r="H123" s="20" t="str">
        <f ca="1">IFERROR(__xludf.DUMMYFUNCTION("""COMPUTED_VALUE"""),"Corner of Glenwood Road &amp; East 100th Street, Brooklyn, NY 11236")</f>
        <v>Corner of Glenwood Road &amp; East 100th Street, Brooklyn, NY 11236</v>
      </c>
      <c r="I123" s="20" t="str">
        <f ca="1">IFERROR(__xludf.DUMMYFUNCTION("""COMPUTED_VALUE"""),"Brooklyn")</f>
        <v>Brooklyn</v>
      </c>
      <c r="J123" s="24">
        <f ca="1">IFERROR(__xludf.DUMMYFUNCTION("""COMPUTED_VALUE"""),11236)</f>
        <v>11236</v>
      </c>
      <c r="K123" s="20" t="str">
        <f ca="1">IFERROR(__xludf.DUMMYFUNCTION("""COMPUTED_VALUE"""),"8AM - 7PM ")</f>
        <v xml:space="preserve">8AM - 7PM </v>
      </c>
    </row>
    <row r="124" spans="1:11" ht="12.75">
      <c r="A124" s="20" t="str">
        <f ca="1">IFERROR(__xludf.DUMMYFUNCTION("""COMPUTED_VALUE"""),"RRT")</f>
        <v>RRT</v>
      </c>
      <c r="B124" s="20" t="str">
        <f ca="1">IFERROR(__xludf.DUMMYFUNCTION("""COMPUTED_VALUE"""),"PCR + Rapid Antigen")</f>
        <v>PCR + Rapid Antigen</v>
      </c>
      <c r="C124" s="20" t="str">
        <f ca="1">IFERROR(__xludf.DUMMYFUNCTION("""COMPUTED_VALUE"""),"4+")</f>
        <v>4+</v>
      </c>
      <c r="D124" s="22">
        <f ca="1">IFERROR(__xludf.DUMMYFUNCTION("""COMPUTED_VALUE"""),44571)</f>
        <v>44571</v>
      </c>
      <c r="E124" s="22">
        <f ca="1">IFERROR(__xludf.DUMMYFUNCTION("""COMPUTED_VALUE"""),44577)</f>
        <v>44577</v>
      </c>
      <c r="F124" s="20"/>
      <c r="G124" s="20" t="str">
        <f ca="1">IFERROR(__xludf.DUMMYFUNCTION("""COMPUTED_VALUE"""),"Office Of Council Member Selvena N.Brooks Powers")</f>
        <v>Office Of Council Member Selvena N.Brooks Powers</v>
      </c>
      <c r="H124" s="20" t="str">
        <f ca="1">IFERROR(__xludf.DUMMYFUNCTION("""COMPUTED_VALUE"""),"222-02 Merrick Blvd, Laurelton, NY 11413")</f>
        <v>222-02 Merrick Blvd, Laurelton, NY 11413</v>
      </c>
      <c r="I124" s="20" t="str">
        <f ca="1">IFERROR(__xludf.DUMMYFUNCTION("""COMPUTED_VALUE"""),"Queens")</f>
        <v>Queens</v>
      </c>
      <c r="J124" s="24">
        <f ca="1">IFERROR(__xludf.DUMMYFUNCTION("""COMPUTED_VALUE"""),11413)</f>
        <v>11413</v>
      </c>
      <c r="K124" s="20" t="str">
        <f ca="1">IFERROR(__xludf.DUMMYFUNCTION("""COMPUTED_VALUE"""),"8AM - 7PM ")</f>
        <v xml:space="preserve">8AM - 7PM </v>
      </c>
    </row>
    <row r="125" spans="1:11" ht="12.75">
      <c r="A125" s="20" t="str">
        <f ca="1">IFERROR(__xludf.DUMMYFUNCTION("""COMPUTED_VALUE"""),"RRT")</f>
        <v>RRT</v>
      </c>
      <c r="B125" s="20" t="str">
        <f ca="1">IFERROR(__xludf.DUMMYFUNCTION("""COMPUTED_VALUE"""),"PCR + Rapid Antigen")</f>
        <v>PCR + Rapid Antigen</v>
      </c>
      <c r="C125" s="20" t="str">
        <f ca="1">IFERROR(__xludf.DUMMYFUNCTION("""COMPUTED_VALUE"""),"4+")</f>
        <v>4+</v>
      </c>
      <c r="D125" s="22">
        <f ca="1">IFERROR(__xludf.DUMMYFUNCTION("""COMPUTED_VALUE"""),44571)</f>
        <v>44571</v>
      </c>
      <c r="E125" s="22">
        <f ca="1">IFERROR(__xludf.DUMMYFUNCTION("""COMPUTED_VALUE"""),44577)</f>
        <v>44577</v>
      </c>
      <c r="F125" s="20"/>
      <c r="G125" s="20" t="str">
        <f ca="1">IFERROR(__xludf.DUMMYFUNCTION("""COMPUTED_VALUE"""),"John F. Kennedy Airport")</f>
        <v>John F. Kennedy Airport</v>
      </c>
      <c r="H125" s="20" t="str">
        <f ca="1">IFERROR(__xludf.DUMMYFUNCTION("""COMPUTED_VALUE"""),"Terminal 8, Red Garage, Level 1")</f>
        <v>Terminal 8, Red Garage, Level 1</v>
      </c>
      <c r="I125" s="20" t="str">
        <f ca="1">IFERROR(__xludf.DUMMYFUNCTION("""COMPUTED_VALUE"""),"Queens")</f>
        <v>Queens</v>
      </c>
      <c r="J125" s="24">
        <f ca="1">IFERROR(__xludf.DUMMYFUNCTION("""COMPUTED_VALUE"""),11430)</f>
        <v>11430</v>
      </c>
      <c r="K125" s="20" t="str">
        <f ca="1">IFERROR(__xludf.DUMMYFUNCTION("""COMPUTED_VALUE"""),"8AM - 7PM ")</f>
        <v xml:space="preserve">8AM - 7PM </v>
      </c>
    </row>
    <row r="126" spans="1:11" ht="12.75">
      <c r="A126" s="20" t="str">
        <f ca="1">IFERROR(__xludf.DUMMYFUNCTION("""COMPUTED_VALUE"""),"RRT")</f>
        <v>RRT</v>
      </c>
      <c r="B126" s="20" t="str">
        <f ca="1">IFERROR(__xludf.DUMMYFUNCTION("""COMPUTED_VALUE"""),"PCR + Rapid Antigen")</f>
        <v>PCR + Rapid Antigen</v>
      </c>
      <c r="C126" s="20" t="str">
        <f ca="1">IFERROR(__xludf.DUMMYFUNCTION("""COMPUTED_VALUE"""),"4+")</f>
        <v>4+</v>
      </c>
      <c r="D126" s="22">
        <f ca="1">IFERROR(__xludf.DUMMYFUNCTION("""COMPUTED_VALUE"""),44571)</f>
        <v>44571</v>
      </c>
      <c r="E126" s="22">
        <f ca="1">IFERROR(__xludf.DUMMYFUNCTION("""COMPUTED_VALUE"""),44577)</f>
        <v>44577</v>
      </c>
      <c r="F126" s="20"/>
      <c r="G126" s="20" t="str">
        <f ca="1">IFERROR(__xludf.DUMMYFUNCTION("""COMPUTED_VALUE"""),"John F. Kennedy Airport")</f>
        <v>John F. Kennedy Airport</v>
      </c>
      <c r="H126" s="20" t="str">
        <f ca="1">IFERROR(__xludf.DUMMYFUNCTION("""COMPUTED_VALUE"""),"Terminal 8, Red Garage, Level 1")</f>
        <v>Terminal 8, Red Garage, Level 1</v>
      </c>
      <c r="I126" s="20" t="str">
        <f ca="1">IFERROR(__xludf.DUMMYFUNCTION("""COMPUTED_VALUE"""),"Queens")</f>
        <v>Queens</v>
      </c>
      <c r="J126" s="24">
        <f ca="1">IFERROR(__xludf.DUMMYFUNCTION("""COMPUTED_VALUE"""),11430)</f>
        <v>11430</v>
      </c>
      <c r="K126" s="20" t="str">
        <f ca="1">IFERROR(__xludf.DUMMYFUNCTION("""COMPUTED_VALUE"""),"8AM - 7PM ")</f>
        <v xml:space="preserve">8AM - 7PM </v>
      </c>
    </row>
    <row r="127" spans="1:11" ht="12.75">
      <c r="A127" s="20" t="str">
        <f ca="1">IFERROR(__xludf.DUMMYFUNCTION("""COMPUTED_VALUE"""),"RRT")</f>
        <v>RRT</v>
      </c>
      <c r="B127" s="20" t="str">
        <f ca="1">IFERROR(__xludf.DUMMYFUNCTION("""COMPUTED_VALUE"""),"PCR + Rapid Antigen")</f>
        <v>PCR + Rapid Antigen</v>
      </c>
      <c r="C127" s="20" t="str">
        <f ca="1">IFERROR(__xludf.DUMMYFUNCTION("""COMPUTED_VALUE"""),"4+")</f>
        <v>4+</v>
      </c>
      <c r="D127" s="22">
        <f ca="1">IFERROR(__xludf.DUMMYFUNCTION("""COMPUTED_VALUE"""),44571)</f>
        <v>44571</v>
      </c>
      <c r="E127" s="22">
        <f ca="1">IFERROR(__xludf.DUMMYFUNCTION("""COMPUTED_VALUE"""),44577)</f>
        <v>44577</v>
      </c>
      <c r="F127" s="20"/>
      <c r="G127" s="20" t="str">
        <f ca="1">IFERROR(__xludf.DUMMYFUNCTION("""COMPUTED_VALUE"""),"Greater Noakhali Society ")</f>
        <v xml:space="preserve">Greater Noakhali Society </v>
      </c>
      <c r="H127" s="20" t="str">
        <f ca="1">IFERROR(__xludf.DUMMYFUNCTION("""COMPUTED_VALUE"""),"118 Beverley Rd, Brooklyn, NY 11218 ")</f>
        <v xml:space="preserve">118 Beverley Rd, Brooklyn, NY 11218 </v>
      </c>
      <c r="I127" s="20" t="str">
        <f ca="1">IFERROR(__xludf.DUMMYFUNCTION("""COMPUTED_VALUE"""),"Brooklyn")</f>
        <v>Brooklyn</v>
      </c>
      <c r="J127" s="24">
        <f ca="1">IFERROR(__xludf.DUMMYFUNCTION("""COMPUTED_VALUE"""),11218)</f>
        <v>11218</v>
      </c>
      <c r="K127" s="20" t="str">
        <f ca="1">IFERROR(__xludf.DUMMYFUNCTION("""COMPUTED_VALUE"""),"8AM - 7PM ")</f>
        <v xml:space="preserve">8AM - 7PM </v>
      </c>
    </row>
    <row r="128" spans="1:11" ht="12.75">
      <c r="A128" s="20" t="str">
        <f ca="1">IFERROR(__xludf.DUMMYFUNCTION("""COMPUTED_VALUE"""),"RRT")</f>
        <v>RRT</v>
      </c>
      <c r="B128" s="20" t="str">
        <f ca="1">IFERROR(__xludf.DUMMYFUNCTION("""COMPUTED_VALUE"""),"PCR + Rapid Antigen")</f>
        <v>PCR + Rapid Antigen</v>
      </c>
      <c r="C128" s="20" t="str">
        <f ca="1">IFERROR(__xludf.DUMMYFUNCTION("""COMPUTED_VALUE"""),"4+")</f>
        <v>4+</v>
      </c>
      <c r="D128" s="22">
        <f ca="1">IFERROR(__xludf.DUMMYFUNCTION("""COMPUTED_VALUE"""),44571)</f>
        <v>44571</v>
      </c>
      <c r="E128" s="22">
        <f ca="1">IFERROR(__xludf.DUMMYFUNCTION("""COMPUTED_VALUE"""),44577)</f>
        <v>44577</v>
      </c>
      <c r="F128" s="20"/>
      <c r="G128" s="20" t="str">
        <f ca="1">IFERROR(__xludf.DUMMYFUNCTION("""COMPUTED_VALUE"""),"Masaryk Towers")</f>
        <v>Masaryk Towers</v>
      </c>
      <c r="H128" s="20" t="str">
        <f ca="1">IFERROR(__xludf.DUMMYFUNCTION("""COMPUTED_VALUE"""),"75 Columbia Street, New York, NY 10002")</f>
        <v>75 Columbia Street, New York, NY 10002</v>
      </c>
      <c r="I128" s="20" t="str">
        <f ca="1">IFERROR(__xludf.DUMMYFUNCTION("""COMPUTED_VALUE"""),"Manhattan")</f>
        <v>Manhattan</v>
      </c>
      <c r="J128" s="24">
        <f ca="1">IFERROR(__xludf.DUMMYFUNCTION("""COMPUTED_VALUE"""),10002)</f>
        <v>10002</v>
      </c>
      <c r="K128" s="20" t="str">
        <f ca="1">IFERROR(__xludf.DUMMYFUNCTION("""COMPUTED_VALUE"""),"8AM - 7PM ")</f>
        <v xml:space="preserve">8AM - 7PM </v>
      </c>
    </row>
    <row r="129" spans="1:11" ht="12.75">
      <c r="A129" s="20" t="str">
        <f ca="1">IFERROR(__xludf.DUMMYFUNCTION("""COMPUTED_VALUE"""),"RRT")</f>
        <v>RRT</v>
      </c>
      <c r="B129" s="20" t="str">
        <f ca="1">IFERROR(__xludf.DUMMYFUNCTION("""COMPUTED_VALUE"""),"PCR + Rapid Antigen")</f>
        <v>PCR + Rapid Antigen</v>
      </c>
      <c r="C129" s="20" t="str">
        <f ca="1">IFERROR(__xludf.DUMMYFUNCTION("""COMPUTED_VALUE"""),"4+")</f>
        <v>4+</v>
      </c>
      <c r="D129" s="22">
        <f ca="1">IFERROR(__xludf.DUMMYFUNCTION("""COMPUTED_VALUE"""),44571)</f>
        <v>44571</v>
      </c>
      <c r="E129" s="22">
        <f ca="1">IFERROR(__xludf.DUMMYFUNCTION("""COMPUTED_VALUE"""),44577)</f>
        <v>44577</v>
      </c>
      <c r="F129" s="20"/>
      <c r="G129" s="20" t="str">
        <f ca="1">IFERROR(__xludf.DUMMYFUNCTION("""COMPUTED_VALUE"""),"Phil ""Scooter"" Rizzuto Park
")</f>
        <v xml:space="preserve">Phil "Scooter" Rizzuto Park
</v>
      </c>
      <c r="H129" s="20" t="str">
        <f ca="1">IFERROR(__xludf.DUMMYFUNCTION("""COMPUTED_VALUE"""),"95 Avenue 125th St, South Richmond Hill, NY 11419")</f>
        <v>95 Avenue 125th St, South Richmond Hill, NY 11419</v>
      </c>
      <c r="I129" s="20" t="str">
        <f ca="1">IFERROR(__xludf.DUMMYFUNCTION("""COMPUTED_VALUE"""),"Queens")</f>
        <v>Queens</v>
      </c>
      <c r="J129" s="24">
        <f ca="1">IFERROR(__xludf.DUMMYFUNCTION("""COMPUTED_VALUE"""),11419)</f>
        <v>11419</v>
      </c>
      <c r="K129" s="20" t="str">
        <f ca="1">IFERROR(__xludf.DUMMYFUNCTION("""COMPUTED_VALUE"""),"8AM - 7PM ")</f>
        <v xml:space="preserve">8AM - 7PM </v>
      </c>
    </row>
    <row r="130" spans="1:11" ht="12.75">
      <c r="A130" s="20" t="str">
        <f ca="1">IFERROR(__xludf.DUMMYFUNCTION("""COMPUTED_VALUE"""),"RRT")</f>
        <v>RRT</v>
      </c>
      <c r="B130" s="20" t="str">
        <f ca="1">IFERROR(__xludf.DUMMYFUNCTION("""COMPUTED_VALUE"""),"PCR + Rapid Antigen")</f>
        <v>PCR + Rapid Antigen</v>
      </c>
      <c r="C130" s="20" t="str">
        <f ca="1">IFERROR(__xludf.DUMMYFUNCTION("""COMPUTED_VALUE"""),"4+")</f>
        <v>4+</v>
      </c>
      <c r="D130" s="22">
        <f ca="1">IFERROR(__xludf.DUMMYFUNCTION("""COMPUTED_VALUE"""),44571)</f>
        <v>44571</v>
      </c>
      <c r="E130" s="22">
        <f ca="1">IFERROR(__xludf.DUMMYFUNCTION("""COMPUTED_VALUE"""),44577)</f>
        <v>44577</v>
      </c>
      <c r="F130" s="20"/>
      <c r="G130" s="20" t="str">
        <f ca="1">IFERROR(__xludf.DUMMYFUNCTION("""COMPUTED_VALUE"""),"Phil ""Scooter"" Rizzuto Park
")</f>
        <v xml:space="preserve">Phil "Scooter" Rizzuto Park
</v>
      </c>
      <c r="H130" s="20" t="str">
        <f ca="1">IFERROR(__xludf.DUMMYFUNCTION("""COMPUTED_VALUE"""),"95 Avenue 125th St, South Richmond Hill, NY 11419")</f>
        <v>95 Avenue 125th St, South Richmond Hill, NY 11419</v>
      </c>
      <c r="I130" s="20" t="str">
        <f ca="1">IFERROR(__xludf.DUMMYFUNCTION("""COMPUTED_VALUE"""),"Queens")</f>
        <v>Queens</v>
      </c>
      <c r="J130" s="24">
        <f ca="1">IFERROR(__xludf.DUMMYFUNCTION("""COMPUTED_VALUE"""),11419)</f>
        <v>11419</v>
      </c>
      <c r="K130" s="20" t="str">
        <f ca="1">IFERROR(__xludf.DUMMYFUNCTION("""COMPUTED_VALUE"""),"8AM - 7PM ")</f>
        <v xml:space="preserve">8AM - 7PM </v>
      </c>
    </row>
    <row r="131" spans="1:11" ht="12.75">
      <c r="A131" s="20" t="str">
        <f ca="1">IFERROR(__xludf.DUMMYFUNCTION("""COMPUTED_VALUE"""),"RRT")</f>
        <v>RRT</v>
      </c>
      <c r="B131" s="20" t="str">
        <f ca="1">IFERROR(__xludf.DUMMYFUNCTION("""COMPUTED_VALUE"""),"PCR + Rapid Antigen")</f>
        <v>PCR + Rapid Antigen</v>
      </c>
      <c r="C131" s="20" t="str">
        <f ca="1">IFERROR(__xludf.DUMMYFUNCTION("""COMPUTED_VALUE"""),"4+")</f>
        <v>4+</v>
      </c>
      <c r="D131" s="22">
        <f ca="1">IFERROR(__xludf.DUMMYFUNCTION("""COMPUTED_VALUE"""),44571)</f>
        <v>44571</v>
      </c>
      <c r="E131" s="22">
        <f ca="1">IFERROR(__xludf.DUMMYFUNCTION("""COMPUTED_VALUE"""),44577)</f>
        <v>44577</v>
      </c>
      <c r="F131" s="20"/>
      <c r="G131" s="20" t="str">
        <f ca="1">IFERROR(__xludf.DUMMYFUNCTION("""COMPUTED_VALUE"""),"Far Rockaway (Mott Ave &amp; Beach Channel)")</f>
        <v>Far Rockaway (Mott Ave &amp; Beach Channel)</v>
      </c>
      <c r="H131" s="20" t="str">
        <f ca="1">IFERROR(__xludf.DUMMYFUNCTION("""COMPUTED_VALUE"""),"Corner of Mott Avenue and Beach Channel Drive, Far Rockaway, NY 11691")</f>
        <v>Corner of Mott Avenue and Beach Channel Drive, Far Rockaway, NY 11691</v>
      </c>
      <c r="I131" s="20" t="str">
        <f ca="1">IFERROR(__xludf.DUMMYFUNCTION("""COMPUTED_VALUE"""),"Queens")</f>
        <v>Queens</v>
      </c>
      <c r="J131" s="24">
        <f ca="1">IFERROR(__xludf.DUMMYFUNCTION("""COMPUTED_VALUE"""),11691)</f>
        <v>11691</v>
      </c>
      <c r="K131" s="20" t="str">
        <f ca="1">IFERROR(__xludf.DUMMYFUNCTION("""COMPUTED_VALUE"""),"8AM - 7PM ")</f>
        <v xml:space="preserve">8AM - 7PM </v>
      </c>
    </row>
    <row r="132" spans="1:11" ht="12.75">
      <c r="A132" s="20" t="str">
        <f ca="1">IFERROR(__xludf.DUMMYFUNCTION("""COMPUTED_VALUE"""),"RRT")</f>
        <v>RRT</v>
      </c>
      <c r="B132" s="20" t="str">
        <f ca="1">IFERROR(__xludf.DUMMYFUNCTION("""COMPUTED_VALUE"""),"PCR + Rapid Antigen")</f>
        <v>PCR + Rapid Antigen</v>
      </c>
      <c r="C132" s="20" t="str">
        <f ca="1">IFERROR(__xludf.DUMMYFUNCTION("""COMPUTED_VALUE"""),"4+")</f>
        <v>4+</v>
      </c>
      <c r="D132" s="22">
        <f ca="1">IFERROR(__xludf.DUMMYFUNCTION("""COMPUTED_VALUE"""),44571)</f>
        <v>44571</v>
      </c>
      <c r="E132" s="22">
        <f ca="1">IFERROR(__xludf.DUMMYFUNCTION("""COMPUTED_VALUE"""),44577)</f>
        <v>44577</v>
      </c>
      <c r="F132" s="20"/>
      <c r="G132" s="20" t="str">
        <f ca="1">IFERROR(__xludf.DUMMYFUNCTION("""COMPUTED_VALUE"""),"Marion Hopkinson Playground")</f>
        <v>Marion Hopkinson Playground</v>
      </c>
      <c r="H132" s="20" t="str">
        <f ca="1">IFERROR(__xludf.DUMMYFUNCTION("""COMPUTED_VALUE"""),"Corner of Thomas S. Boyland St. &amp; Marion St, Brooklyn, NY 11233")</f>
        <v>Corner of Thomas S. Boyland St. &amp; Marion St, Brooklyn, NY 11233</v>
      </c>
      <c r="I132" s="20" t="str">
        <f ca="1">IFERROR(__xludf.DUMMYFUNCTION("""COMPUTED_VALUE"""),"Brooklyn")</f>
        <v>Brooklyn</v>
      </c>
      <c r="J132" s="24">
        <f ca="1">IFERROR(__xludf.DUMMYFUNCTION("""COMPUTED_VALUE"""),11233)</f>
        <v>11233</v>
      </c>
      <c r="K132" s="20" t="str">
        <f ca="1">IFERROR(__xludf.DUMMYFUNCTION("""COMPUTED_VALUE"""),"8AM - 7PM ")</f>
        <v xml:space="preserve">8AM - 7PM </v>
      </c>
    </row>
    <row r="133" spans="1:11" ht="12.75">
      <c r="A133" s="20" t="str">
        <f ca="1">IFERROR(__xludf.DUMMYFUNCTION("""COMPUTED_VALUE"""),"RRT")</f>
        <v>RRT</v>
      </c>
      <c r="B133" s="20" t="str">
        <f ca="1">IFERROR(__xludf.DUMMYFUNCTION("""COMPUTED_VALUE"""),"PCR + Rapid Antigen")</f>
        <v>PCR + Rapid Antigen</v>
      </c>
      <c r="C133" s="20" t="str">
        <f ca="1">IFERROR(__xludf.DUMMYFUNCTION("""COMPUTED_VALUE"""),"4+")</f>
        <v>4+</v>
      </c>
      <c r="D133" s="22">
        <f ca="1">IFERROR(__xludf.DUMMYFUNCTION("""COMPUTED_VALUE"""),44571)</f>
        <v>44571</v>
      </c>
      <c r="E133" s="22">
        <f ca="1">IFERROR(__xludf.DUMMYFUNCTION("""COMPUTED_VALUE"""),44577)</f>
        <v>44577</v>
      </c>
      <c r="F133" s="20"/>
      <c r="G133" s="20" t="str">
        <f ca="1">IFERROR(__xludf.DUMMYFUNCTION("""COMPUTED_VALUE"""),"Marion Hopkinson Playground")</f>
        <v>Marion Hopkinson Playground</v>
      </c>
      <c r="H133" s="20" t="str">
        <f ca="1">IFERROR(__xludf.DUMMYFUNCTION("""COMPUTED_VALUE"""),"Corner of Thomas S. Boyland St. &amp; Marion St, Brooklyn, NY 11233")</f>
        <v>Corner of Thomas S. Boyland St. &amp; Marion St, Brooklyn, NY 11233</v>
      </c>
      <c r="I133" s="20" t="str">
        <f ca="1">IFERROR(__xludf.DUMMYFUNCTION("""COMPUTED_VALUE"""),"Brooklyn")</f>
        <v>Brooklyn</v>
      </c>
      <c r="J133" s="24">
        <f ca="1">IFERROR(__xludf.DUMMYFUNCTION("""COMPUTED_VALUE"""),11233)</f>
        <v>11233</v>
      </c>
      <c r="K133" s="20" t="str">
        <f ca="1">IFERROR(__xludf.DUMMYFUNCTION("""COMPUTED_VALUE"""),"8AM - 7PM ")</f>
        <v xml:space="preserve">8AM - 7PM </v>
      </c>
    </row>
    <row r="134" spans="1:11" ht="12.75">
      <c r="A134" s="20" t="str">
        <f ca="1">IFERROR(__xludf.DUMMYFUNCTION("""COMPUTED_VALUE"""),"RRT")</f>
        <v>RRT</v>
      </c>
      <c r="B134" s="20" t="str">
        <f ca="1">IFERROR(__xludf.DUMMYFUNCTION("""COMPUTED_VALUE"""),"PCR + Rapid Antigen")</f>
        <v>PCR + Rapid Antigen</v>
      </c>
      <c r="C134" s="20" t="str">
        <f ca="1">IFERROR(__xludf.DUMMYFUNCTION("""COMPUTED_VALUE"""),"4+")</f>
        <v>4+</v>
      </c>
      <c r="D134" s="22">
        <f ca="1">IFERROR(__xludf.DUMMYFUNCTION("""COMPUTED_VALUE"""),44571)</f>
        <v>44571</v>
      </c>
      <c r="E134" s="22">
        <f ca="1">IFERROR(__xludf.DUMMYFUNCTION("""COMPUTED_VALUE"""),44573)</f>
        <v>44573</v>
      </c>
      <c r="F134" s="20"/>
      <c r="G134" s="20" t="str">
        <f ca="1">IFERROR(__xludf.DUMMYFUNCTION("""COMPUTED_VALUE"""),"Conference House Park ")</f>
        <v xml:space="preserve">Conference House Park </v>
      </c>
      <c r="H134" s="20" t="str">
        <f ca="1">IFERROR(__xludf.DUMMYFUNCTION("""COMPUTED_VALUE"""),"7421 Hylan Blvd, Staten Island, NY 10307")</f>
        <v>7421 Hylan Blvd, Staten Island, NY 10307</v>
      </c>
      <c r="I134" s="20" t="str">
        <f ca="1">IFERROR(__xludf.DUMMYFUNCTION("""COMPUTED_VALUE"""),"Staten Island")</f>
        <v>Staten Island</v>
      </c>
      <c r="J134" s="24">
        <f ca="1">IFERROR(__xludf.DUMMYFUNCTION("""COMPUTED_VALUE"""),10307)</f>
        <v>10307</v>
      </c>
      <c r="K134" s="20" t="str">
        <f ca="1">IFERROR(__xludf.DUMMYFUNCTION("""COMPUTED_VALUE"""),"8AM - 7PM ")</f>
        <v xml:space="preserve">8AM - 7PM </v>
      </c>
    </row>
    <row r="135" spans="1:11" ht="12.75">
      <c r="A135" s="20" t="str">
        <f ca="1">IFERROR(__xludf.DUMMYFUNCTION("""COMPUTED_VALUE"""),"RRT")</f>
        <v>RRT</v>
      </c>
      <c r="B135" s="20" t="str">
        <f ca="1">IFERROR(__xludf.DUMMYFUNCTION("""COMPUTED_VALUE"""),"PCR + Rapid Antigen")</f>
        <v>PCR + Rapid Antigen</v>
      </c>
      <c r="C135" s="20" t="str">
        <f ca="1">IFERROR(__xludf.DUMMYFUNCTION("""COMPUTED_VALUE"""),"4+")</f>
        <v>4+</v>
      </c>
      <c r="D135" s="22">
        <f ca="1">IFERROR(__xludf.DUMMYFUNCTION("""COMPUTED_VALUE"""),44574)</f>
        <v>44574</v>
      </c>
      <c r="E135" s="22">
        <f ca="1">IFERROR(__xludf.DUMMYFUNCTION("""COMPUTED_VALUE"""),44577)</f>
        <v>44577</v>
      </c>
      <c r="F135" s="20"/>
      <c r="G135" s="20" t="str">
        <f ca="1">IFERROR(__xludf.DUMMYFUNCTION("""COMPUTED_VALUE"""),"Brookfield Park")</f>
        <v>Brookfield Park</v>
      </c>
      <c r="H135" s="20" t="str">
        <f ca="1">IFERROR(__xludf.DUMMYFUNCTION("""COMPUTED_VALUE"""),"Arthur Kill Rd &amp; Brookfield Ave, Staten Island, NY 10308")</f>
        <v>Arthur Kill Rd &amp; Brookfield Ave, Staten Island, NY 10308</v>
      </c>
      <c r="I135" s="20" t="str">
        <f ca="1">IFERROR(__xludf.DUMMYFUNCTION("""COMPUTED_VALUE"""),"Staten Island")</f>
        <v>Staten Island</v>
      </c>
      <c r="J135" s="24">
        <f ca="1">IFERROR(__xludf.DUMMYFUNCTION("""COMPUTED_VALUE"""),10308)</f>
        <v>10308</v>
      </c>
      <c r="K135" s="20" t="str">
        <f ca="1">IFERROR(__xludf.DUMMYFUNCTION("""COMPUTED_VALUE"""),"8AM - 7PM ")</f>
        <v xml:space="preserve">8AM - 7PM </v>
      </c>
    </row>
    <row r="136" spans="1:11" ht="12.75">
      <c r="A136" s="20" t="str">
        <f ca="1">IFERROR(__xludf.DUMMYFUNCTION("""COMPUTED_VALUE"""),"RRT")</f>
        <v>RRT</v>
      </c>
      <c r="B136" s="20" t="str">
        <f ca="1">IFERROR(__xludf.DUMMYFUNCTION("""COMPUTED_VALUE"""),"PCR + Rapid Antigen")</f>
        <v>PCR + Rapid Antigen</v>
      </c>
      <c r="C136" s="20" t="str">
        <f ca="1">IFERROR(__xludf.DUMMYFUNCTION("""COMPUTED_VALUE"""),"4+")</f>
        <v>4+</v>
      </c>
      <c r="D136" s="22">
        <f ca="1">IFERROR(__xludf.DUMMYFUNCTION("""COMPUTED_VALUE"""),44571)</f>
        <v>44571</v>
      </c>
      <c r="E136" s="22">
        <f ca="1">IFERROR(__xludf.DUMMYFUNCTION("""COMPUTED_VALUE"""),44575)</f>
        <v>44575</v>
      </c>
      <c r="F136" s="20"/>
      <c r="G136" s="20" t="str">
        <f ca="1">IFERROR(__xludf.DUMMYFUNCTION("""COMPUTED_VALUE"""),"New Hope Family ")</f>
        <v xml:space="preserve">New Hope Family </v>
      </c>
      <c r="H136" s="20" t="str">
        <f ca="1">IFERROR(__xludf.DUMMYFUNCTION("""COMPUTED_VALUE"""),"817 Livonia Avenue Brooklyn, NY 11207")</f>
        <v>817 Livonia Avenue Brooklyn, NY 11207</v>
      </c>
      <c r="I136" s="20" t="str">
        <f ca="1">IFERROR(__xludf.DUMMYFUNCTION("""COMPUTED_VALUE"""),"Brooklyn")</f>
        <v>Brooklyn</v>
      </c>
      <c r="J136" s="24">
        <f ca="1">IFERROR(__xludf.DUMMYFUNCTION("""COMPUTED_VALUE"""),11207)</f>
        <v>11207</v>
      </c>
      <c r="K136" s="20" t="str">
        <f ca="1">IFERROR(__xludf.DUMMYFUNCTION("""COMPUTED_VALUE"""),"8AM - 7PM ")</f>
        <v xml:space="preserve">8AM - 7PM </v>
      </c>
    </row>
    <row r="137" spans="1:11" ht="12.75">
      <c r="A137" s="20" t="str">
        <f ca="1">IFERROR(__xludf.DUMMYFUNCTION("""COMPUTED_VALUE"""),"RRT")</f>
        <v>RRT</v>
      </c>
      <c r="B137" s="20" t="str">
        <f ca="1">IFERROR(__xludf.DUMMYFUNCTION("""COMPUTED_VALUE"""),"PCR + Rapid Antigen")</f>
        <v>PCR + Rapid Antigen</v>
      </c>
      <c r="C137" s="20" t="str">
        <f ca="1">IFERROR(__xludf.DUMMYFUNCTION("""COMPUTED_VALUE"""),"4+")</f>
        <v>4+</v>
      </c>
      <c r="D137" s="22">
        <f ca="1">IFERROR(__xludf.DUMMYFUNCTION("""COMPUTED_VALUE"""),44576)</f>
        <v>44576</v>
      </c>
      <c r="E137" s="22">
        <f ca="1">IFERROR(__xludf.DUMMYFUNCTION("""COMPUTED_VALUE"""),44577)</f>
        <v>44577</v>
      </c>
      <c r="F137" s="20"/>
      <c r="G137" s="20" t="str">
        <f ca="1">IFERROR(__xludf.DUMMYFUNCTION("""COMPUTED_VALUE"""),"NYCHA South Beach")</f>
        <v>NYCHA South Beach</v>
      </c>
      <c r="H137" s="20" t="str">
        <f ca="1">IFERROR(__xludf.DUMMYFUNCTION("""COMPUTED_VALUE"""),"Parking Lot near corner of Norway Ave &amp; Kramer St, Staten Island NY 10305")</f>
        <v>Parking Lot near corner of Norway Ave &amp; Kramer St, Staten Island NY 10305</v>
      </c>
      <c r="I137" s="20" t="str">
        <f ca="1">IFERROR(__xludf.DUMMYFUNCTION("""COMPUTED_VALUE"""),"Staten Island")</f>
        <v>Staten Island</v>
      </c>
      <c r="J137" s="24">
        <f ca="1">IFERROR(__xludf.DUMMYFUNCTION("""COMPUTED_VALUE"""),10305)</f>
        <v>10305</v>
      </c>
      <c r="K137" s="20" t="str">
        <f ca="1">IFERROR(__xludf.DUMMYFUNCTION("""COMPUTED_VALUE"""),"8AM - 7PM ")</f>
        <v xml:space="preserve">8AM - 7PM </v>
      </c>
    </row>
    <row r="138" spans="1:11" ht="12.75">
      <c r="A138" s="20" t="str">
        <f ca="1">IFERROR(__xludf.DUMMYFUNCTION("""COMPUTED_VALUE"""),"RRT")</f>
        <v>RRT</v>
      </c>
      <c r="B138" s="20" t="str">
        <f ca="1">IFERROR(__xludf.DUMMYFUNCTION("""COMPUTED_VALUE"""),"PCR + Rapid Antigen")</f>
        <v>PCR + Rapid Antigen</v>
      </c>
      <c r="C138" s="20" t="str">
        <f ca="1">IFERROR(__xludf.DUMMYFUNCTION("""COMPUTED_VALUE"""),"4+")</f>
        <v>4+</v>
      </c>
      <c r="D138" s="22">
        <f ca="1">IFERROR(__xludf.DUMMYFUNCTION("""COMPUTED_VALUE"""),44571)</f>
        <v>44571</v>
      </c>
      <c r="E138" s="22">
        <f ca="1">IFERROR(__xludf.DUMMYFUNCTION("""COMPUTED_VALUE"""),44577)</f>
        <v>44577</v>
      </c>
      <c r="F138" s="20"/>
      <c r="G138" s="20" t="str">
        <f ca="1">IFERROR(__xludf.DUMMYFUNCTION("""COMPUTED_VALUE"""),"Wolfe's Pond Park (Parking Lot)")</f>
        <v>Wolfe's Pond Park (Parking Lot)</v>
      </c>
      <c r="H138" s="20" t="str">
        <f ca="1">IFERROR(__xludf.DUMMYFUNCTION("""COMPUTED_VALUE"""),"Wolfe's Pond Park Chester St, Staten Island, NY 10312")</f>
        <v>Wolfe's Pond Park Chester St, Staten Island, NY 10312</v>
      </c>
      <c r="I138" s="20" t="str">
        <f ca="1">IFERROR(__xludf.DUMMYFUNCTION("""COMPUTED_VALUE"""),"Staten Island")</f>
        <v>Staten Island</v>
      </c>
      <c r="J138" s="24">
        <f ca="1">IFERROR(__xludf.DUMMYFUNCTION("""COMPUTED_VALUE"""),10312)</f>
        <v>10312</v>
      </c>
      <c r="K138" s="20" t="str">
        <f ca="1">IFERROR(__xludf.DUMMYFUNCTION("""COMPUTED_VALUE"""),"8AM - 7PM ")</f>
        <v xml:space="preserve">8AM - 7PM </v>
      </c>
    </row>
    <row r="139" spans="1:11" ht="12.75">
      <c r="A139" s="20" t="str">
        <f ca="1">IFERROR(__xludf.DUMMYFUNCTION("""COMPUTED_VALUE"""),"RRT")</f>
        <v>RRT</v>
      </c>
      <c r="B139" s="20" t="str">
        <f ca="1">IFERROR(__xludf.DUMMYFUNCTION("""COMPUTED_VALUE"""),"PCR + Rapid Antigen")</f>
        <v>PCR + Rapid Antigen</v>
      </c>
      <c r="C139" s="20" t="str">
        <f ca="1">IFERROR(__xludf.DUMMYFUNCTION("""COMPUTED_VALUE"""),"4+")</f>
        <v>4+</v>
      </c>
      <c r="D139" s="22">
        <f ca="1">IFERROR(__xludf.DUMMYFUNCTION("""COMPUTED_VALUE"""),44571)</f>
        <v>44571</v>
      </c>
      <c r="E139" s="22">
        <f ca="1">IFERROR(__xludf.DUMMYFUNCTION("""COMPUTED_VALUE"""),44577)</f>
        <v>44577</v>
      </c>
      <c r="F139" s="20"/>
      <c r="G139" s="20" t="str">
        <f ca="1">IFERROR(__xludf.DUMMYFUNCTION("""COMPUTED_VALUE"""),"Port Richmond High School")</f>
        <v>Port Richmond High School</v>
      </c>
      <c r="H139" s="20" t="str">
        <f ca="1">IFERROR(__xludf.DUMMYFUNCTION("""COMPUTED_VALUE"""),"85 St. Joseph's Avenue, Staten Island, NY 10302")</f>
        <v>85 St. Joseph's Avenue, Staten Island, NY 10302</v>
      </c>
      <c r="I139" s="20" t="str">
        <f ca="1">IFERROR(__xludf.DUMMYFUNCTION("""COMPUTED_VALUE"""),"Staten Island")</f>
        <v>Staten Island</v>
      </c>
      <c r="J139" s="24">
        <f ca="1">IFERROR(__xludf.DUMMYFUNCTION("""COMPUTED_VALUE"""),10302)</f>
        <v>10302</v>
      </c>
      <c r="K139" s="20" t="str">
        <f ca="1">IFERROR(__xludf.DUMMYFUNCTION("""COMPUTED_VALUE"""),"8AM - 7PM ")</f>
        <v xml:space="preserve">8AM - 7PM </v>
      </c>
    </row>
    <row r="140" spans="1:11" ht="12.75">
      <c r="A140" s="20" t="str">
        <f ca="1">IFERROR(__xludf.DUMMYFUNCTION("""COMPUTED_VALUE"""),"RRT")</f>
        <v>RRT</v>
      </c>
      <c r="B140" s="20" t="str">
        <f ca="1">IFERROR(__xludf.DUMMYFUNCTION("""COMPUTED_VALUE"""),"PCR + Rapid Antigen")</f>
        <v>PCR + Rapid Antigen</v>
      </c>
      <c r="C140" s="20" t="str">
        <f ca="1">IFERROR(__xludf.DUMMYFUNCTION("""COMPUTED_VALUE"""),"4+")</f>
        <v>4+</v>
      </c>
      <c r="D140" s="22">
        <f ca="1">IFERROR(__xludf.DUMMYFUNCTION("""COMPUTED_VALUE"""),44571)</f>
        <v>44571</v>
      </c>
      <c r="E140" s="22">
        <f ca="1">IFERROR(__xludf.DUMMYFUNCTION("""COMPUTED_VALUE"""),44572)</f>
        <v>44572</v>
      </c>
      <c r="F140" s="20"/>
      <c r="G140" s="20" t="str">
        <f ca="1">IFERROR(__xludf.DUMMYFUNCTION("""COMPUTED_VALUE"""),"CO-OP City")</f>
        <v>CO-OP City</v>
      </c>
      <c r="H140" s="20" t="str">
        <f ca="1">IFERROR(__xludf.DUMMYFUNCTION("""COMPUTED_VALUE"""),"177 Dreiser Loop, Bronx NY 10475")</f>
        <v>177 Dreiser Loop, Bronx NY 10475</v>
      </c>
      <c r="I140" s="20" t="str">
        <f ca="1">IFERROR(__xludf.DUMMYFUNCTION("""COMPUTED_VALUE"""),"Bronx")</f>
        <v>Bronx</v>
      </c>
      <c r="J140" s="24">
        <f ca="1">IFERROR(__xludf.DUMMYFUNCTION("""COMPUTED_VALUE"""),10475)</f>
        <v>10475</v>
      </c>
      <c r="K140" s="20" t="str">
        <f ca="1">IFERROR(__xludf.DUMMYFUNCTION("""COMPUTED_VALUE"""),"8AM - 7PM ")</f>
        <v xml:space="preserve">8AM - 7PM </v>
      </c>
    </row>
    <row r="141" spans="1:11" ht="12.75">
      <c r="A141" s="20" t="str">
        <f ca="1">IFERROR(__xludf.DUMMYFUNCTION("""COMPUTED_VALUE"""),"RRT")</f>
        <v>RRT</v>
      </c>
      <c r="B141" s="20" t="str">
        <f ca="1">IFERROR(__xludf.DUMMYFUNCTION("""COMPUTED_VALUE"""),"PCR + Rapid Antigen")</f>
        <v>PCR + Rapid Antigen</v>
      </c>
      <c r="C141" s="20" t="str">
        <f ca="1">IFERROR(__xludf.DUMMYFUNCTION("""COMPUTED_VALUE"""),"4+")</f>
        <v>4+</v>
      </c>
      <c r="D141" s="22">
        <f ca="1">IFERROR(__xludf.DUMMYFUNCTION("""COMPUTED_VALUE"""),44573)</f>
        <v>44573</v>
      </c>
      <c r="E141" s="22">
        <f ca="1">IFERROR(__xludf.DUMMYFUNCTION("""COMPUTED_VALUE"""),44574)</f>
        <v>44574</v>
      </c>
      <c r="F141" s="20"/>
      <c r="G141" s="20" t="str">
        <f ca="1">IFERROR(__xludf.DUMMYFUNCTION("""COMPUTED_VALUE"""),"CO-OP City")</f>
        <v>CO-OP City</v>
      </c>
      <c r="H141" s="20" t="str">
        <f ca="1">IFERROR(__xludf.DUMMYFUNCTION("""COMPUTED_VALUE"""),"135 Einstein Loop N, Bronx NY 10475")</f>
        <v>135 Einstein Loop N, Bronx NY 10475</v>
      </c>
      <c r="I141" s="20" t="str">
        <f ca="1">IFERROR(__xludf.DUMMYFUNCTION("""COMPUTED_VALUE"""),"Bronx")</f>
        <v>Bronx</v>
      </c>
      <c r="J141" s="24">
        <f ca="1">IFERROR(__xludf.DUMMYFUNCTION("""COMPUTED_VALUE"""),10475)</f>
        <v>10475</v>
      </c>
      <c r="K141" s="20" t="str">
        <f ca="1">IFERROR(__xludf.DUMMYFUNCTION("""COMPUTED_VALUE"""),"8AM - 7PM ")</f>
        <v xml:space="preserve">8AM - 7PM </v>
      </c>
    </row>
    <row r="142" spans="1:11" ht="12.75">
      <c r="A142" s="20" t="str">
        <f ca="1">IFERROR(__xludf.DUMMYFUNCTION("""COMPUTED_VALUE"""),"RRT")</f>
        <v>RRT</v>
      </c>
      <c r="B142" s="20" t="str">
        <f ca="1">IFERROR(__xludf.DUMMYFUNCTION("""COMPUTED_VALUE"""),"PCR + Rapid Antigen")</f>
        <v>PCR + Rapid Antigen</v>
      </c>
      <c r="C142" s="20" t="str">
        <f ca="1">IFERROR(__xludf.DUMMYFUNCTION("""COMPUTED_VALUE"""),"4+")</f>
        <v>4+</v>
      </c>
      <c r="D142" s="22">
        <f ca="1">IFERROR(__xludf.DUMMYFUNCTION("""COMPUTED_VALUE"""),44575)</f>
        <v>44575</v>
      </c>
      <c r="E142" s="22">
        <f ca="1">IFERROR(__xludf.DUMMYFUNCTION("""COMPUTED_VALUE"""),44577)</f>
        <v>44577</v>
      </c>
      <c r="F142" s="20"/>
      <c r="G142" s="20" t="str">
        <f ca="1">IFERROR(__xludf.DUMMYFUNCTION("""COMPUTED_VALUE"""),"CO-OP City")</f>
        <v>CO-OP City</v>
      </c>
      <c r="H142" s="20" t="str">
        <f ca="1">IFERROR(__xludf.DUMMYFUNCTION("""COMPUTED_VALUE"""),"2049 Bartow Ave, Bronx NY 10475")</f>
        <v>2049 Bartow Ave, Bronx NY 10475</v>
      </c>
      <c r="I142" s="20" t="str">
        <f ca="1">IFERROR(__xludf.DUMMYFUNCTION("""COMPUTED_VALUE"""),"Bronx")</f>
        <v>Bronx</v>
      </c>
      <c r="J142" s="24">
        <f ca="1">IFERROR(__xludf.DUMMYFUNCTION("""COMPUTED_VALUE"""),10475)</f>
        <v>10475</v>
      </c>
      <c r="K142" s="20" t="str">
        <f ca="1">IFERROR(__xludf.DUMMYFUNCTION("""COMPUTED_VALUE"""),"8AM - 7PM ")</f>
        <v xml:space="preserve">8AM - 7PM </v>
      </c>
    </row>
    <row r="143" spans="1:11" ht="12.75">
      <c r="A143" s="20" t="str">
        <f ca="1">IFERROR(__xludf.DUMMYFUNCTION("""COMPUTED_VALUE"""),"RRT")</f>
        <v>RRT</v>
      </c>
      <c r="B143" s="20" t="str">
        <f ca="1">IFERROR(__xludf.DUMMYFUNCTION("""COMPUTED_VALUE"""),"PCR + Rapid Antigen")</f>
        <v>PCR + Rapid Antigen</v>
      </c>
      <c r="C143" s="20" t="str">
        <f ca="1">IFERROR(__xludf.DUMMYFUNCTION("""COMPUTED_VALUE"""),"4+")</f>
        <v>4+</v>
      </c>
      <c r="D143" s="22">
        <f ca="1">IFERROR(__xludf.DUMMYFUNCTION("""COMPUTED_VALUE"""),44571)</f>
        <v>44571</v>
      </c>
      <c r="E143" s="22">
        <f ca="1">IFERROR(__xludf.DUMMYFUNCTION("""COMPUTED_VALUE"""),44577)</f>
        <v>44577</v>
      </c>
      <c r="F143" s="20"/>
      <c r="G143" s="20" t="str">
        <f ca="1">IFERROR(__xludf.DUMMYFUNCTION("""COMPUTED_VALUE"""),"Marcy Plaza")</f>
        <v>Marcy Plaza</v>
      </c>
      <c r="H143" s="20" t="str">
        <f ca="1">IFERROR(__xludf.DUMMYFUNCTION("""COMPUTED_VALUE"""),"Marcy Plaza, Corner of Marcy Avenue and Fulton Street, Brooklyn, 11216")</f>
        <v>Marcy Plaza, Corner of Marcy Avenue and Fulton Street, Brooklyn, 11216</v>
      </c>
      <c r="I143" s="20" t="str">
        <f ca="1">IFERROR(__xludf.DUMMYFUNCTION("""COMPUTED_VALUE"""),"Brooklyn")</f>
        <v>Brooklyn</v>
      </c>
      <c r="J143" s="24">
        <f ca="1">IFERROR(__xludf.DUMMYFUNCTION("""COMPUTED_VALUE"""),11216)</f>
        <v>11216</v>
      </c>
      <c r="K143" s="20" t="str">
        <f ca="1">IFERROR(__xludf.DUMMYFUNCTION("""COMPUTED_VALUE"""),"8AM - 7PM ")</f>
        <v xml:space="preserve">8AM - 7PM </v>
      </c>
    </row>
    <row r="144" spans="1:11" ht="12.75">
      <c r="A144" s="20" t="str">
        <f ca="1">IFERROR(__xludf.DUMMYFUNCTION("""COMPUTED_VALUE"""),"RRT")</f>
        <v>RRT</v>
      </c>
      <c r="B144" s="20" t="str">
        <f ca="1">IFERROR(__xludf.DUMMYFUNCTION("""COMPUTED_VALUE"""),"PCR + Rapid Antigen")</f>
        <v>PCR + Rapid Antigen</v>
      </c>
      <c r="C144" s="20" t="str">
        <f ca="1">IFERROR(__xludf.DUMMYFUNCTION("""COMPUTED_VALUE"""),"4+")</f>
        <v>4+</v>
      </c>
      <c r="D144" s="22">
        <f ca="1">IFERROR(__xludf.DUMMYFUNCTION("""COMPUTED_VALUE"""),44571)</f>
        <v>44571</v>
      </c>
      <c r="E144" s="22">
        <f ca="1">IFERROR(__xludf.DUMMYFUNCTION("""COMPUTED_VALUE"""),44577)</f>
        <v>44577</v>
      </c>
      <c r="F144" s="20"/>
      <c r="G144" s="20" t="str">
        <f ca="1">IFERROR(__xludf.DUMMYFUNCTION("""COMPUTED_VALUE"""),"Marcy Plaza")</f>
        <v>Marcy Plaza</v>
      </c>
      <c r="H144" s="20" t="str">
        <f ca="1">IFERROR(__xludf.DUMMYFUNCTION("""COMPUTED_VALUE"""),"Marcy Plaza, Corner of Marcy Avenue and Fulton Street, Brooklyn, 11216")</f>
        <v>Marcy Plaza, Corner of Marcy Avenue and Fulton Street, Brooklyn, 11216</v>
      </c>
      <c r="I144" s="20" t="str">
        <f ca="1">IFERROR(__xludf.DUMMYFUNCTION("""COMPUTED_VALUE"""),"Brooklyn")</f>
        <v>Brooklyn</v>
      </c>
      <c r="J144" s="24">
        <f ca="1">IFERROR(__xludf.DUMMYFUNCTION("""COMPUTED_VALUE"""),11216)</f>
        <v>11216</v>
      </c>
      <c r="K144" s="20" t="str">
        <f ca="1">IFERROR(__xludf.DUMMYFUNCTION("""COMPUTED_VALUE"""),"8AM - 7PM ")</f>
        <v xml:space="preserve">8AM - 7PM </v>
      </c>
    </row>
    <row r="145" spans="1:11" ht="12.75">
      <c r="A145" s="20" t="str">
        <f ca="1">IFERROR(__xludf.DUMMYFUNCTION("""COMPUTED_VALUE"""),"RRT")</f>
        <v>RRT</v>
      </c>
      <c r="B145" s="20" t="str">
        <f ca="1">IFERROR(__xludf.DUMMYFUNCTION("""COMPUTED_VALUE"""),"PCR + Rapid Antigen")</f>
        <v>PCR + Rapid Antigen</v>
      </c>
      <c r="C145" s="20" t="str">
        <f ca="1">IFERROR(__xludf.DUMMYFUNCTION("""COMPUTED_VALUE"""),"4+")</f>
        <v>4+</v>
      </c>
      <c r="D145" s="22">
        <f ca="1">IFERROR(__xludf.DUMMYFUNCTION("""COMPUTED_VALUE"""),44571)</f>
        <v>44571</v>
      </c>
      <c r="E145" s="22">
        <f ca="1">IFERROR(__xludf.DUMMYFUNCTION("""COMPUTED_VALUE"""),44574)</f>
        <v>44574</v>
      </c>
      <c r="F145" s="20"/>
      <c r="G145" s="20" t="str">
        <f ca="1">IFERROR(__xludf.DUMMYFUNCTION("""COMPUTED_VALUE"""),"NYPL - Richmondtown Library")</f>
        <v>NYPL - Richmondtown Library</v>
      </c>
      <c r="H145" s="20" t="str">
        <f ca="1">IFERROR(__xludf.DUMMYFUNCTION("""COMPUTED_VALUE"""),"200 Clarke Ave, Staten Island, NY 10306")</f>
        <v>200 Clarke Ave, Staten Island, NY 10306</v>
      </c>
      <c r="I145" s="20" t="str">
        <f ca="1">IFERROR(__xludf.DUMMYFUNCTION("""COMPUTED_VALUE"""),"Staten Island")</f>
        <v>Staten Island</v>
      </c>
      <c r="J145" s="24">
        <f ca="1">IFERROR(__xludf.DUMMYFUNCTION("""COMPUTED_VALUE"""),10306)</f>
        <v>10306</v>
      </c>
      <c r="K145" s="20" t="str">
        <f ca="1">IFERROR(__xludf.DUMMYFUNCTION("""COMPUTED_VALUE"""),"8AM - 7PM ")</f>
        <v xml:space="preserve">8AM - 7PM </v>
      </c>
    </row>
    <row r="146" spans="1:11" ht="12.75">
      <c r="A146" s="20" t="str">
        <f ca="1">IFERROR(__xludf.DUMMYFUNCTION("""COMPUTED_VALUE"""),"RRT")</f>
        <v>RRT</v>
      </c>
      <c r="B146" s="20" t="str">
        <f ca="1">IFERROR(__xludf.DUMMYFUNCTION("""COMPUTED_VALUE"""),"PCR + Rapid Antigen")</f>
        <v>PCR + Rapid Antigen</v>
      </c>
      <c r="C146" s="20" t="str">
        <f ca="1">IFERROR(__xludf.DUMMYFUNCTION("""COMPUTED_VALUE"""),"4+")</f>
        <v>4+</v>
      </c>
      <c r="D146" s="22">
        <f ca="1">IFERROR(__xludf.DUMMYFUNCTION("""COMPUTED_VALUE"""),44575)</f>
        <v>44575</v>
      </c>
      <c r="E146" s="22">
        <f ca="1">IFERROR(__xludf.DUMMYFUNCTION("""COMPUTED_VALUE"""),44577)</f>
        <v>44577</v>
      </c>
      <c r="F146" s="20"/>
      <c r="G146" s="20" t="str">
        <f ca="1">IFERROR(__xludf.DUMMYFUNCTION("""COMPUTED_VALUE"""),"Gerard P. Dugan Playground")</f>
        <v>Gerard P. Dugan Playground</v>
      </c>
      <c r="H146" s="20" t="str">
        <f ca="1">IFERROR(__xludf.DUMMYFUNCTION("""COMPUTED_VALUE"""),"280 Mill Rd, Staten Island, NY 10306")</f>
        <v>280 Mill Rd, Staten Island, NY 10306</v>
      </c>
      <c r="I146" s="20" t="str">
        <f ca="1">IFERROR(__xludf.DUMMYFUNCTION("""COMPUTED_VALUE"""),"Staten Island")</f>
        <v>Staten Island</v>
      </c>
      <c r="J146" s="24">
        <f ca="1">IFERROR(__xludf.DUMMYFUNCTION("""COMPUTED_VALUE"""),10306)</f>
        <v>10306</v>
      </c>
      <c r="K146" s="20" t="str">
        <f ca="1">IFERROR(__xludf.DUMMYFUNCTION("""COMPUTED_VALUE"""),"8AM - 7PM ")</f>
        <v xml:space="preserve">8AM - 7PM </v>
      </c>
    </row>
    <row r="147" spans="1:11" ht="12.75">
      <c r="A147" s="20" t="str">
        <f ca="1">IFERROR(__xludf.DUMMYFUNCTION("""COMPUTED_VALUE"""),"RRT")</f>
        <v>RRT</v>
      </c>
      <c r="B147" s="20" t="str">
        <f ca="1">IFERROR(__xludf.DUMMYFUNCTION("""COMPUTED_VALUE"""),"PCR + Rapid Antigen")</f>
        <v>PCR + Rapid Antigen</v>
      </c>
      <c r="C147" s="20" t="str">
        <f ca="1">IFERROR(__xludf.DUMMYFUNCTION("""COMPUTED_VALUE"""),"4+")</f>
        <v>4+</v>
      </c>
      <c r="D147" s="22">
        <f ca="1">IFERROR(__xludf.DUMMYFUNCTION("""COMPUTED_VALUE"""),44571)</f>
        <v>44571</v>
      </c>
      <c r="E147" s="22">
        <f ca="1">IFERROR(__xludf.DUMMYFUNCTION("""COMPUTED_VALUE"""),44574)</f>
        <v>44574</v>
      </c>
      <c r="F147" s="20"/>
      <c r="G147" s="20" t="str">
        <f ca="1">IFERROR(__xludf.DUMMYFUNCTION("""COMPUTED_VALUE"""),"NYPL - Richmondtown Library")</f>
        <v>NYPL - Richmondtown Library</v>
      </c>
      <c r="H147" s="20" t="str">
        <f ca="1">IFERROR(__xludf.DUMMYFUNCTION("""COMPUTED_VALUE"""),"200 Clarke Ave, Staten Island, NY 10306")</f>
        <v>200 Clarke Ave, Staten Island, NY 10306</v>
      </c>
      <c r="I147" s="20" t="str">
        <f ca="1">IFERROR(__xludf.DUMMYFUNCTION("""COMPUTED_VALUE"""),"Staten Island")</f>
        <v>Staten Island</v>
      </c>
      <c r="J147" s="24">
        <f ca="1">IFERROR(__xludf.DUMMYFUNCTION("""COMPUTED_VALUE"""),10306)</f>
        <v>10306</v>
      </c>
      <c r="K147" s="20" t="str">
        <f ca="1">IFERROR(__xludf.DUMMYFUNCTION("""COMPUTED_VALUE"""),"8AM - 7PM ")</f>
        <v xml:space="preserve">8AM - 7PM </v>
      </c>
    </row>
    <row r="148" spans="1:11" ht="12.75">
      <c r="A148" s="20" t="str">
        <f ca="1">IFERROR(__xludf.DUMMYFUNCTION("""COMPUTED_VALUE"""),"RRT")</f>
        <v>RRT</v>
      </c>
      <c r="B148" s="20" t="str">
        <f ca="1">IFERROR(__xludf.DUMMYFUNCTION("""COMPUTED_VALUE"""),"PCR + Rapid Antigen")</f>
        <v>PCR + Rapid Antigen</v>
      </c>
      <c r="C148" s="20" t="str">
        <f ca="1">IFERROR(__xludf.DUMMYFUNCTION("""COMPUTED_VALUE"""),"4+")</f>
        <v>4+</v>
      </c>
      <c r="D148" s="22">
        <f ca="1">IFERROR(__xludf.DUMMYFUNCTION("""COMPUTED_VALUE"""),44575)</f>
        <v>44575</v>
      </c>
      <c r="E148" s="22">
        <f ca="1">IFERROR(__xludf.DUMMYFUNCTION("""COMPUTED_VALUE"""),44577)</f>
        <v>44577</v>
      </c>
      <c r="F148" s="20"/>
      <c r="G148" s="20" t="str">
        <f ca="1">IFERROR(__xludf.DUMMYFUNCTION("""COMPUTED_VALUE"""),"Gerard P. Dugan Playground")</f>
        <v>Gerard P. Dugan Playground</v>
      </c>
      <c r="H148" s="20" t="str">
        <f ca="1">IFERROR(__xludf.DUMMYFUNCTION("""COMPUTED_VALUE"""),"280 Mill Rd, Staten Island, NY 10306")</f>
        <v>280 Mill Rd, Staten Island, NY 10306</v>
      </c>
      <c r="I148" s="20" t="str">
        <f ca="1">IFERROR(__xludf.DUMMYFUNCTION("""COMPUTED_VALUE"""),"Staten Island")</f>
        <v>Staten Island</v>
      </c>
      <c r="J148" s="24">
        <f ca="1">IFERROR(__xludf.DUMMYFUNCTION("""COMPUTED_VALUE"""),10306)</f>
        <v>10306</v>
      </c>
      <c r="K148" s="20" t="str">
        <f ca="1">IFERROR(__xludf.DUMMYFUNCTION("""COMPUTED_VALUE"""),"8AM - 7PM ")</f>
        <v xml:space="preserve">8AM - 7PM </v>
      </c>
    </row>
    <row r="149" spans="1:11" ht="12.75">
      <c r="A149" s="20" t="str">
        <f ca="1">IFERROR(__xludf.DUMMYFUNCTION("""COMPUTED_VALUE"""),"RRT")</f>
        <v>RRT</v>
      </c>
      <c r="B149" s="20" t="str">
        <f ca="1">IFERROR(__xludf.DUMMYFUNCTION("""COMPUTED_VALUE"""),"PCR + Rapid Antigen")</f>
        <v>PCR + Rapid Antigen</v>
      </c>
      <c r="C149" s="20" t="str">
        <f ca="1">IFERROR(__xludf.DUMMYFUNCTION("""COMPUTED_VALUE"""),"4+")</f>
        <v>4+</v>
      </c>
      <c r="D149" s="22">
        <f ca="1">IFERROR(__xludf.DUMMYFUNCTION("""COMPUTED_VALUE"""),44571)</f>
        <v>44571</v>
      </c>
      <c r="E149" s="22">
        <f ca="1">IFERROR(__xludf.DUMMYFUNCTION("""COMPUTED_VALUE"""),44577)</f>
        <v>44577</v>
      </c>
      <c r="F149" s="20"/>
      <c r="G149" s="20" t="str">
        <f ca="1">IFERROR(__xludf.DUMMYFUNCTION("""COMPUTED_VALUE"""),"Life Camp INC")</f>
        <v>Life Camp INC</v>
      </c>
      <c r="H149" s="20" t="str">
        <f ca="1">IFERROR(__xludf.DUMMYFUNCTION("""COMPUTED_VALUE"""),"111-12 Sutphin Blvd Jamaica NY 11435")</f>
        <v>111-12 Sutphin Blvd Jamaica NY 11435</v>
      </c>
      <c r="I149" s="20" t="str">
        <f ca="1">IFERROR(__xludf.DUMMYFUNCTION("""COMPUTED_VALUE"""),"Queens")</f>
        <v>Queens</v>
      </c>
      <c r="J149" s="24">
        <f ca="1">IFERROR(__xludf.DUMMYFUNCTION("""COMPUTED_VALUE"""),11435)</f>
        <v>11435</v>
      </c>
      <c r="K149" s="20" t="str">
        <f ca="1">IFERROR(__xludf.DUMMYFUNCTION("""COMPUTED_VALUE"""),"8AM - 7PM ")</f>
        <v xml:space="preserve">8AM - 7PM </v>
      </c>
    </row>
    <row r="150" spans="1:11" ht="12.75">
      <c r="A150" s="20" t="str">
        <f ca="1">IFERROR(__xludf.DUMMYFUNCTION("""COMPUTED_VALUE"""),"RRT")</f>
        <v>RRT</v>
      </c>
      <c r="B150" s="20" t="str">
        <f ca="1">IFERROR(__xludf.DUMMYFUNCTION("""COMPUTED_VALUE"""),"PCR + Rapid Antigen")</f>
        <v>PCR + Rapid Antigen</v>
      </c>
      <c r="C150" s="20" t="str">
        <f ca="1">IFERROR(__xludf.DUMMYFUNCTION("""COMPUTED_VALUE"""),"4+")</f>
        <v>4+</v>
      </c>
      <c r="D150" s="22">
        <f ca="1">IFERROR(__xludf.DUMMYFUNCTION("""COMPUTED_VALUE"""),44571)</f>
        <v>44571</v>
      </c>
      <c r="E150" s="22">
        <f ca="1">IFERROR(__xludf.DUMMYFUNCTION("""COMPUTED_VALUE"""),44577)</f>
        <v>44577</v>
      </c>
      <c r="F150" s="20"/>
      <c r="G150" s="20" t="str">
        <f ca="1">IFERROR(__xludf.DUMMYFUNCTION("""COMPUTED_VALUE"""),"Beach Channel Educational Campus ")</f>
        <v xml:space="preserve">Beach Channel Educational Campus </v>
      </c>
      <c r="H150" s="20" t="str">
        <f ca="1">IFERROR(__xludf.DUMMYFUNCTION("""COMPUTED_VALUE"""),"100-00 Beach Channel Drive, Far Rockaway, NY 11694")</f>
        <v>100-00 Beach Channel Drive, Far Rockaway, NY 11694</v>
      </c>
      <c r="I150" s="20" t="str">
        <f ca="1">IFERROR(__xludf.DUMMYFUNCTION("""COMPUTED_VALUE"""),"Queens")</f>
        <v>Queens</v>
      </c>
      <c r="J150" s="24">
        <f ca="1">IFERROR(__xludf.DUMMYFUNCTION("""COMPUTED_VALUE"""),11694)</f>
        <v>11694</v>
      </c>
      <c r="K150" s="20" t="str">
        <f ca="1">IFERROR(__xludf.DUMMYFUNCTION("""COMPUTED_VALUE"""),"8AM - 7PM ")</f>
        <v xml:space="preserve">8AM - 7PM </v>
      </c>
    </row>
    <row r="151" spans="1:11" ht="12.75">
      <c r="A151" s="20" t="str">
        <f ca="1">IFERROR(__xludf.DUMMYFUNCTION("""COMPUTED_VALUE"""),"RRT")</f>
        <v>RRT</v>
      </c>
      <c r="B151" s="20" t="str">
        <f ca="1">IFERROR(__xludf.DUMMYFUNCTION("""COMPUTED_VALUE"""),"PCR + Rapid Antigen")</f>
        <v>PCR + Rapid Antigen</v>
      </c>
      <c r="C151" s="20" t="str">
        <f ca="1">IFERROR(__xludf.DUMMYFUNCTION("""COMPUTED_VALUE"""),"4+")</f>
        <v>4+</v>
      </c>
      <c r="D151" s="22">
        <f ca="1">IFERROR(__xludf.DUMMYFUNCTION("""COMPUTED_VALUE"""),44571)</f>
        <v>44571</v>
      </c>
      <c r="E151" s="22">
        <f ca="1">IFERROR(__xludf.DUMMYFUNCTION("""COMPUTED_VALUE"""),44577)</f>
        <v>44577</v>
      </c>
      <c r="F151" s="20"/>
      <c r="G151" s="20" t="str">
        <f ca="1">IFERROR(__xludf.DUMMYFUNCTION("""COMPUTED_VALUE"""),"Sports Barbershop ")</f>
        <v xml:space="preserve">Sports Barbershop </v>
      </c>
      <c r="H151" s="20" t="str">
        <f ca="1">IFERROR(__xludf.DUMMYFUNCTION("""COMPUTED_VALUE"""),"144-08 243rd Street, Queens, NY 11422")</f>
        <v>144-08 243rd Street, Queens, NY 11422</v>
      </c>
      <c r="I151" s="20" t="str">
        <f ca="1">IFERROR(__xludf.DUMMYFUNCTION("""COMPUTED_VALUE"""),"Queens")</f>
        <v>Queens</v>
      </c>
      <c r="J151" s="24">
        <f ca="1">IFERROR(__xludf.DUMMYFUNCTION("""COMPUTED_VALUE"""),11422)</f>
        <v>11422</v>
      </c>
      <c r="K151" s="20" t="str">
        <f ca="1">IFERROR(__xludf.DUMMYFUNCTION("""COMPUTED_VALUE"""),"8AM - 7PM ")</f>
        <v xml:space="preserve">8AM - 7PM </v>
      </c>
    </row>
    <row r="152" spans="1:11" ht="12.75">
      <c r="A152" s="20" t="str">
        <f ca="1">IFERROR(__xludf.DUMMYFUNCTION("""COMPUTED_VALUE"""),"RRT")</f>
        <v>RRT</v>
      </c>
      <c r="B152" s="20" t="str">
        <f ca="1">IFERROR(__xludf.DUMMYFUNCTION("""COMPUTED_VALUE"""),"PCR + Rapid Antigen")</f>
        <v>PCR + Rapid Antigen</v>
      </c>
      <c r="C152" s="20" t="str">
        <f ca="1">IFERROR(__xludf.DUMMYFUNCTION("""COMPUTED_VALUE"""),"4+")</f>
        <v>4+</v>
      </c>
      <c r="D152" s="22">
        <f ca="1">IFERROR(__xludf.DUMMYFUNCTION("""COMPUTED_VALUE"""),44571)</f>
        <v>44571</v>
      </c>
      <c r="E152" s="22">
        <f ca="1">IFERROR(__xludf.DUMMYFUNCTION("""COMPUTED_VALUE"""),44577)</f>
        <v>44577</v>
      </c>
      <c r="F152" s="20"/>
      <c r="G152" s="20" t="str">
        <f ca="1">IFERROR(__xludf.DUMMYFUNCTION("""COMPUTED_VALUE"""),"Our Lady of Sorrows Church")</f>
        <v>Our Lady of Sorrows Church</v>
      </c>
      <c r="H152" s="20" t="str">
        <f ca="1">IFERROR(__xludf.DUMMYFUNCTION("""COMPUTED_VALUE"""),"Corner of 37th Ave &amp; 104th Street (streetside parking directly in front of church), Queens NY 11368")</f>
        <v>Corner of 37th Ave &amp; 104th Street (streetside parking directly in front of church), Queens NY 11368</v>
      </c>
      <c r="I152" s="20" t="str">
        <f ca="1">IFERROR(__xludf.DUMMYFUNCTION("""COMPUTED_VALUE"""),"Queens")</f>
        <v>Queens</v>
      </c>
      <c r="J152" s="24">
        <f ca="1">IFERROR(__xludf.DUMMYFUNCTION("""COMPUTED_VALUE"""),11368)</f>
        <v>11368</v>
      </c>
      <c r="K152" s="20" t="str">
        <f ca="1">IFERROR(__xludf.DUMMYFUNCTION("""COMPUTED_VALUE"""),"8AM - 7PM ")</f>
        <v xml:space="preserve">8AM - 7PM </v>
      </c>
    </row>
    <row r="153" spans="1:11" ht="12.75">
      <c r="A153" s="20" t="str">
        <f ca="1">IFERROR(__xludf.DUMMYFUNCTION("""COMPUTED_VALUE"""),"RRT")</f>
        <v>RRT</v>
      </c>
      <c r="B153" s="20" t="str">
        <f ca="1">IFERROR(__xludf.DUMMYFUNCTION("""COMPUTED_VALUE"""),"PCR + Rapid Antigen")</f>
        <v>PCR + Rapid Antigen</v>
      </c>
      <c r="C153" s="20" t="str">
        <f ca="1">IFERROR(__xludf.DUMMYFUNCTION("""COMPUTED_VALUE"""),"4+")</f>
        <v>4+</v>
      </c>
      <c r="D153" s="22">
        <f ca="1">IFERROR(__xludf.DUMMYFUNCTION("""COMPUTED_VALUE"""),44571)</f>
        <v>44571</v>
      </c>
      <c r="E153" s="22">
        <f ca="1">IFERROR(__xludf.DUMMYFUNCTION("""COMPUTED_VALUE"""),44577)</f>
        <v>44577</v>
      </c>
      <c r="F153" s="20"/>
      <c r="G153" s="20" t="str">
        <f ca="1">IFERROR(__xludf.DUMMYFUNCTION("""COMPUTED_VALUE"""),"Our Lady of Sorrows Church")</f>
        <v>Our Lady of Sorrows Church</v>
      </c>
      <c r="H153" s="20" t="str">
        <f ca="1">IFERROR(__xludf.DUMMYFUNCTION("""COMPUTED_VALUE"""),"Corner of 37th Ave &amp; 104th Street (streetside parking directly in front of church), Queens NY 11368")</f>
        <v>Corner of 37th Ave &amp; 104th Street (streetside parking directly in front of church), Queens NY 11368</v>
      </c>
      <c r="I153" s="20" t="str">
        <f ca="1">IFERROR(__xludf.DUMMYFUNCTION("""COMPUTED_VALUE"""),"Queens")</f>
        <v>Queens</v>
      </c>
      <c r="J153" s="24">
        <f ca="1">IFERROR(__xludf.DUMMYFUNCTION("""COMPUTED_VALUE"""),11368)</f>
        <v>11368</v>
      </c>
      <c r="K153" s="20" t="str">
        <f ca="1">IFERROR(__xludf.DUMMYFUNCTION("""COMPUTED_VALUE"""),"8AM - 7PM ")</f>
        <v xml:space="preserve">8AM - 7PM </v>
      </c>
    </row>
    <row r="154" spans="1:11" ht="12.75">
      <c r="A154" s="20" t="str">
        <f ca="1">IFERROR(__xludf.DUMMYFUNCTION("""COMPUTED_VALUE"""),"RRT")</f>
        <v>RRT</v>
      </c>
      <c r="B154" s="20" t="str">
        <f ca="1">IFERROR(__xludf.DUMMYFUNCTION("""COMPUTED_VALUE"""),"PCR + Rapid Antigen")</f>
        <v>PCR + Rapid Antigen</v>
      </c>
      <c r="C154" s="20" t="str">
        <f ca="1">IFERROR(__xludf.DUMMYFUNCTION("""COMPUTED_VALUE"""),"4+")</f>
        <v>4+</v>
      </c>
      <c r="D154" s="22">
        <f ca="1">IFERROR(__xludf.DUMMYFUNCTION("""COMPUTED_VALUE"""),44571)</f>
        <v>44571</v>
      </c>
      <c r="E154" s="22">
        <f ca="1">IFERROR(__xludf.DUMMYFUNCTION("""COMPUTED_VALUE"""),44577)</f>
        <v>44577</v>
      </c>
      <c r="F154" s="20"/>
      <c r="G154" s="20" t="str">
        <f ca="1">IFERROR(__xludf.DUMMYFUNCTION("""COMPUTED_VALUE"""),"Park of the Americas")</f>
        <v>Park of the Americas</v>
      </c>
      <c r="H154" s="20" t="str">
        <f ca="1">IFERROR(__xludf.DUMMYFUNCTION("""COMPUTED_VALUE"""),"Corner of 104th Street and 41st Street, Corona, NY 11368")</f>
        <v>Corner of 104th Street and 41st Street, Corona, NY 11368</v>
      </c>
      <c r="I154" s="20" t="str">
        <f ca="1">IFERROR(__xludf.DUMMYFUNCTION("""COMPUTED_VALUE"""),"Queens")</f>
        <v>Queens</v>
      </c>
      <c r="J154" s="24">
        <f ca="1">IFERROR(__xludf.DUMMYFUNCTION("""COMPUTED_VALUE"""),11368)</f>
        <v>11368</v>
      </c>
      <c r="K154" s="20" t="str">
        <f ca="1">IFERROR(__xludf.DUMMYFUNCTION("""COMPUTED_VALUE"""),"8AM - 7PM ")</f>
        <v xml:space="preserve">8AM - 7PM </v>
      </c>
    </row>
    <row r="155" spans="1:11" ht="12.75">
      <c r="A155" s="20" t="str">
        <f ca="1">IFERROR(__xludf.DUMMYFUNCTION("""COMPUTED_VALUE"""),"RRT")</f>
        <v>RRT</v>
      </c>
      <c r="B155" s="20" t="str">
        <f ca="1">IFERROR(__xludf.DUMMYFUNCTION("""COMPUTED_VALUE"""),"PCR + Rapid Antigen")</f>
        <v>PCR + Rapid Antigen</v>
      </c>
      <c r="C155" s="20" t="str">
        <f ca="1">IFERROR(__xludf.DUMMYFUNCTION("""COMPUTED_VALUE"""),"4+")</f>
        <v>4+</v>
      </c>
      <c r="D155" s="22">
        <f ca="1">IFERROR(__xludf.DUMMYFUNCTION("""COMPUTED_VALUE"""),44571)</f>
        <v>44571</v>
      </c>
      <c r="E155" s="22">
        <f ca="1">IFERROR(__xludf.DUMMYFUNCTION("""COMPUTED_VALUE"""),44577)</f>
        <v>44577</v>
      </c>
      <c r="F155" s="20"/>
      <c r="G155" s="20" t="str">
        <f ca="1">IFERROR(__xludf.DUMMYFUNCTION("""COMPUTED_VALUE"""),"Park of the Americas")</f>
        <v>Park of the Americas</v>
      </c>
      <c r="H155" s="20" t="str">
        <f ca="1">IFERROR(__xludf.DUMMYFUNCTION("""COMPUTED_VALUE"""),"Corner of 104th Street and 41st Street, Corona, NY 11368")</f>
        <v>Corner of 104th Street and 41st Street, Corona, NY 11368</v>
      </c>
      <c r="I155" s="20" t="str">
        <f ca="1">IFERROR(__xludf.DUMMYFUNCTION("""COMPUTED_VALUE"""),"Queens")</f>
        <v>Queens</v>
      </c>
      <c r="J155" s="24">
        <f ca="1">IFERROR(__xludf.DUMMYFUNCTION("""COMPUTED_VALUE"""),11368)</f>
        <v>11368</v>
      </c>
      <c r="K155" s="20" t="str">
        <f ca="1">IFERROR(__xludf.DUMMYFUNCTION("""COMPUTED_VALUE"""),"8AM - 7PM ")</f>
        <v xml:space="preserve">8AM - 7PM </v>
      </c>
    </row>
    <row r="156" spans="1:11" ht="12.75">
      <c r="A156" s="20" t="str">
        <f ca="1">IFERROR(__xludf.DUMMYFUNCTION("""COMPUTED_VALUE"""),"RRT")</f>
        <v>RRT</v>
      </c>
      <c r="B156" s="20" t="str">
        <f ca="1">IFERROR(__xludf.DUMMYFUNCTION("""COMPUTED_VALUE"""),"PCR + Rapid Antigen")</f>
        <v>PCR + Rapid Antigen</v>
      </c>
      <c r="C156" s="20" t="str">
        <f ca="1">IFERROR(__xludf.DUMMYFUNCTION("""COMPUTED_VALUE"""),"4+")</f>
        <v>4+</v>
      </c>
      <c r="D156" s="22">
        <f ca="1">IFERROR(__xludf.DUMMYFUNCTION("""COMPUTED_VALUE"""),44571)</f>
        <v>44571</v>
      </c>
      <c r="E156" s="22">
        <f ca="1">IFERROR(__xludf.DUMMYFUNCTION("""COMPUTED_VALUE"""),44575)</f>
        <v>44575</v>
      </c>
      <c r="F156" s="20"/>
      <c r="G156" s="20" t="str">
        <f ca="1">IFERROR(__xludf.DUMMYFUNCTION("""COMPUTED_VALUE"""),"Sea Gate Association")</f>
        <v>Sea Gate Association</v>
      </c>
      <c r="H156" s="20" t="str">
        <f ca="1">IFERROR(__xludf.DUMMYFUNCTION("""COMPUTED_VALUE"""),"SGA Parking Lot, 3700 Surf Ave
Brooklyn, NY 11224")</f>
        <v>SGA Parking Lot, 3700 Surf Ave
Brooklyn, NY 11224</v>
      </c>
      <c r="I156" s="20" t="str">
        <f ca="1">IFERROR(__xludf.DUMMYFUNCTION("""COMPUTED_VALUE"""),"Brooklyn")</f>
        <v>Brooklyn</v>
      </c>
      <c r="J156" s="24">
        <f ca="1">IFERROR(__xludf.DUMMYFUNCTION("""COMPUTED_VALUE"""),11224)</f>
        <v>11224</v>
      </c>
      <c r="K156" s="20" t="str">
        <f ca="1">IFERROR(__xludf.DUMMYFUNCTION("""COMPUTED_VALUE"""),"8AM - 7PM ")</f>
        <v xml:space="preserve">8AM - 7PM </v>
      </c>
    </row>
    <row r="157" spans="1:11" ht="12.75">
      <c r="A157" s="20" t="str">
        <f ca="1">IFERROR(__xludf.DUMMYFUNCTION("""COMPUTED_VALUE"""),"RRT")</f>
        <v>RRT</v>
      </c>
      <c r="B157" s="20" t="str">
        <f ca="1">IFERROR(__xludf.DUMMYFUNCTION("""COMPUTED_VALUE"""),"PCR + Rapid Antigen")</f>
        <v>PCR + Rapid Antigen</v>
      </c>
      <c r="C157" s="20" t="str">
        <f ca="1">IFERROR(__xludf.DUMMYFUNCTION("""COMPUTED_VALUE"""),"4+")</f>
        <v>4+</v>
      </c>
      <c r="D157" s="22">
        <f ca="1">IFERROR(__xludf.DUMMYFUNCTION("""COMPUTED_VALUE"""),44576)</f>
        <v>44576</v>
      </c>
      <c r="E157" s="22">
        <f ca="1">IFERROR(__xludf.DUMMYFUNCTION("""COMPUTED_VALUE"""),44577)</f>
        <v>44577</v>
      </c>
      <c r="F157" s="20"/>
      <c r="G157" s="20" t="str">
        <f ca="1">IFERROR(__xludf.DUMMYFUNCTION("""COMPUTED_VALUE"""),"Assemblymember Charles D. Fall's Office ")</f>
        <v xml:space="preserve">Assemblymember Charles D. Fall's Office </v>
      </c>
      <c r="H157" s="20" t="str">
        <f ca="1">IFERROR(__xludf.DUMMYFUNCTION("""COMPUTED_VALUE"""),"853 Forest Avenue Staten Island, NY 10310
")</f>
        <v xml:space="preserve">853 Forest Avenue Staten Island, NY 10310
</v>
      </c>
      <c r="I157" s="20" t="str">
        <f ca="1">IFERROR(__xludf.DUMMYFUNCTION("""COMPUTED_VALUE"""),"Staten Island")</f>
        <v>Staten Island</v>
      </c>
      <c r="J157" s="24">
        <f ca="1">IFERROR(__xludf.DUMMYFUNCTION("""COMPUTED_VALUE"""),10310)</f>
        <v>10310</v>
      </c>
      <c r="K157" s="20" t="str">
        <f ca="1">IFERROR(__xludf.DUMMYFUNCTION("""COMPUTED_VALUE"""),"8AM - 7PM ")</f>
        <v xml:space="preserve">8AM - 7PM </v>
      </c>
    </row>
    <row r="158" spans="1:11" ht="12.75">
      <c r="A158" s="20" t="str">
        <f ca="1">IFERROR(__xludf.DUMMYFUNCTION("""COMPUTED_VALUE"""),"RRT")</f>
        <v>RRT</v>
      </c>
      <c r="B158" s="20" t="str">
        <f ca="1">IFERROR(__xludf.DUMMYFUNCTION("""COMPUTED_VALUE"""),"PCR + Rapid Antigen")</f>
        <v>PCR + Rapid Antigen</v>
      </c>
      <c r="C158" s="20" t="str">
        <f ca="1">IFERROR(__xludf.DUMMYFUNCTION("""COMPUTED_VALUE"""),"4+")</f>
        <v>4+</v>
      </c>
      <c r="D158" s="22">
        <f ca="1">IFERROR(__xludf.DUMMYFUNCTION("""COMPUTED_VALUE"""),44571)</f>
        <v>44571</v>
      </c>
      <c r="E158" s="22">
        <f ca="1">IFERROR(__xludf.DUMMYFUNCTION("""COMPUTED_VALUE"""),44577)</f>
        <v>44577</v>
      </c>
      <c r="F158" s="20"/>
      <c r="G158" s="20" t="str">
        <f ca="1">IFERROR(__xludf.DUMMYFUNCTION("""COMPUTED_VALUE"""),"NYCHA Woodside")</f>
        <v>NYCHA Woodside</v>
      </c>
      <c r="H158" s="20" t="str">
        <f ca="1">IFERROR(__xludf.DUMMYFUNCTION("""COMPUTED_VALUE"""),"Streetside Parking at 50-37 Newtown Road, Queens NY 11377")</f>
        <v>Streetside Parking at 50-37 Newtown Road, Queens NY 11377</v>
      </c>
      <c r="I158" s="20" t="str">
        <f ca="1">IFERROR(__xludf.DUMMYFUNCTION("""COMPUTED_VALUE"""),"Queens")</f>
        <v>Queens</v>
      </c>
      <c r="J158" s="24">
        <f ca="1">IFERROR(__xludf.DUMMYFUNCTION("""COMPUTED_VALUE"""),11377)</f>
        <v>11377</v>
      </c>
      <c r="K158" s="20" t="str">
        <f ca="1">IFERROR(__xludf.DUMMYFUNCTION("""COMPUTED_VALUE"""),"8AM - 7PM ")</f>
        <v xml:space="preserve">8AM - 7PM </v>
      </c>
    </row>
    <row r="159" spans="1:11" ht="12.75">
      <c r="A159" s="20" t="str">
        <f ca="1">IFERROR(__xludf.DUMMYFUNCTION("""COMPUTED_VALUE"""),"RRT")</f>
        <v>RRT</v>
      </c>
      <c r="B159" s="20" t="str">
        <f ca="1">IFERROR(__xludf.DUMMYFUNCTION("""COMPUTED_VALUE"""),"PCR + Rapid Antigen")</f>
        <v>PCR + Rapid Antigen</v>
      </c>
      <c r="C159" s="20" t="str">
        <f ca="1">IFERROR(__xludf.DUMMYFUNCTION("""COMPUTED_VALUE"""),"4+")</f>
        <v>4+</v>
      </c>
      <c r="D159" s="22">
        <f ca="1">IFERROR(__xludf.DUMMYFUNCTION("""COMPUTED_VALUE"""),44571)</f>
        <v>44571</v>
      </c>
      <c r="E159" s="22">
        <f ca="1">IFERROR(__xludf.DUMMYFUNCTION("""COMPUTED_VALUE"""),44577)</f>
        <v>44577</v>
      </c>
      <c r="F159" s="20"/>
      <c r="G159" s="20" t="str">
        <f ca="1">IFERROR(__xludf.DUMMYFUNCTION("""COMPUTED_VALUE"""),"NYCHA Woodside")</f>
        <v>NYCHA Woodside</v>
      </c>
      <c r="H159" s="20" t="str">
        <f ca="1">IFERROR(__xludf.DUMMYFUNCTION("""COMPUTED_VALUE"""),"Streetside Parking at 50-37 Newtown Road, Queens NY 11377")</f>
        <v>Streetside Parking at 50-37 Newtown Road, Queens NY 11377</v>
      </c>
      <c r="I159" s="20" t="str">
        <f ca="1">IFERROR(__xludf.DUMMYFUNCTION("""COMPUTED_VALUE"""),"Queens")</f>
        <v>Queens</v>
      </c>
      <c r="J159" s="24">
        <f ca="1">IFERROR(__xludf.DUMMYFUNCTION("""COMPUTED_VALUE"""),11377)</f>
        <v>11377</v>
      </c>
      <c r="K159" s="20" t="str">
        <f ca="1">IFERROR(__xludf.DUMMYFUNCTION("""COMPUTED_VALUE"""),"8AM - 7PM ")</f>
        <v xml:space="preserve">8AM - 7PM </v>
      </c>
    </row>
    <row r="160" spans="1:11" ht="12.75">
      <c r="A160" s="20" t="str">
        <f ca="1">IFERROR(__xludf.DUMMYFUNCTION("""COMPUTED_VALUE"""),"RRT")</f>
        <v>RRT</v>
      </c>
      <c r="B160" s="20" t="str">
        <f ca="1">IFERROR(__xludf.DUMMYFUNCTION("""COMPUTED_VALUE"""),"PCR + Rapid Antigen")</f>
        <v>PCR + Rapid Antigen</v>
      </c>
      <c r="C160" s="20" t="str">
        <f ca="1">IFERROR(__xludf.DUMMYFUNCTION("""COMPUTED_VALUE"""),"4+")</f>
        <v>4+</v>
      </c>
      <c r="D160" s="22">
        <f ca="1">IFERROR(__xludf.DUMMYFUNCTION("""COMPUTED_VALUE"""),44571)</f>
        <v>44571</v>
      </c>
      <c r="E160" s="22">
        <f ca="1">IFERROR(__xludf.DUMMYFUNCTION("""COMPUTED_VALUE"""),44573)</f>
        <v>44573</v>
      </c>
      <c r="F160" s="20"/>
      <c r="G160" s="20" t="str">
        <f ca="1">IFERROR(__xludf.DUMMYFUNCTION("""COMPUTED_VALUE"""),"Red Hook Park")</f>
        <v>Red Hook Park</v>
      </c>
      <c r="H160" s="20" t="str">
        <f ca="1">IFERROR(__xludf.DUMMYFUNCTION("""COMPUTED_VALUE"""),"Corner of Bay St &amp; Clinton St, Brooklyn, NY 11231")</f>
        <v>Corner of Bay St &amp; Clinton St, Brooklyn, NY 11231</v>
      </c>
      <c r="I160" s="20" t="str">
        <f ca="1">IFERROR(__xludf.DUMMYFUNCTION("""COMPUTED_VALUE"""),"Brooklyn")</f>
        <v>Brooklyn</v>
      </c>
      <c r="J160" s="24">
        <f ca="1">IFERROR(__xludf.DUMMYFUNCTION("""COMPUTED_VALUE"""),11231)</f>
        <v>11231</v>
      </c>
      <c r="K160" s="20" t="str">
        <f ca="1">IFERROR(__xludf.DUMMYFUNCTION("""COMPUTED_VALUE"""),"8AM - 7PM ")</f>
        <v xml:space="preserve">8AM - 7PM </v>
      </c>
    </row>
    <row r="161" spans="1:11" ht="12.75">
      <c r="A161" s="20" t="str">
        <f ca="1">IFERROR(__xludf.DUMMYFUNCTION("""COMPUTED_VALUE"""),"RRT")</f>
        <v>RRT</v>
      </c>
      <c r="B161" s="20" t="str">
        <f ca="1">IFERROR(__xludf.DUMMYFUNCTION("""COMPUTED_VALUE"""),"PCR + Rapid Antigen")</f>
        <v>PCR + Rapid Antigen</v>
      </c>
      <c r="C161" s="20" t="str">
        <f ca="1">IFERROR(__xludf.DUMMYFUNCTION("""COMPUTED_VALUE"""),"4+")</f>
        <v>4+</v>
      </c>
      <c r="D161" s="22">
        <f ca="1">IFERROR(__xludf.DUMMYFUNCTION("""COMPUTED_VALUE"""),44574)</f>
        <v>44574</v>
      </c>
      <c r="E161" s="22">
        <f ca="1">IFERROR(__xludf.DUMMYFUNCTION("""COMPUTED_VALUE"""),44574)</f>
        <v>44574</v>
      </c>
      <c r="F161" s="20"/>
      <c r="G161" s="20" t="str">
        <f ca="1">IFERROR(__xludf.DUMMYFUNCTION("""COMPUTED_VALUE"""),"Red Hook Initiative")</f>
        <v>Red Hook Initiative</v>
      </c>
      <c r="H161" s="20" t="str">
        <f ca="1">IFERROR(__xludf.DUMMYFUNCTION("""COMPUTED_VALUE"""),"767 Hicks St, Brooklyn, NY 11231")</f>
        <v>767 Hicks St, Brooklyn, NY 11231</v>
      </c>
      <c r="I161" s="20" t="str">
        <f ca="1">IFERROR(__xludf.DUMMYFUNCTION("""COMPUTED_VALUE"""),"Brooklyn")</f>
        <v>Brooklyn</v>
      </c>
      <c r="J161" s="24">
        <f ca="1">IFERROR(__xludf.DUMMYFUNCTION("""COMPUTED_VALUE"""),11231)</f>
        <v>11231</v>
      </c>
      <c r="K161" s="20" t="str">
        <f ca="1">IFERROR(__xludf.DUMMYFUNCTION("""COMPUTED_VALUE"""),"8AM - 7PM ")</f>
        <v xml:space="preserve">8AM - 7PM </v>
      </c>
    </row>
    <row r="162" spans="1:11" ht="12.75">
      <c r="A162" s="20" t="str">
        <f ca="1">IFERROR(__xludf.DUMMYFUNCTION("""COMPUTED_VALUE"""),"RRT")</f>
        <v>RRT</v>
      </c>
      <c r="B162" s="20" t="str">
        <f ca="1">IFERROR(__xludf.DUMMYFUNCTION("""COMPUTED_VALUE"""),"PCR + Rapid Antigen")</f>
        <v>PCR + Rapid Antigen</v>
      </c>
      <c r="C162" s="20" t="str">
        <f ca="1">IFERROR(__xludf.DUMMYFUNCTION("""COMPUTED_VALUE"""),"4+")</f>
        <v>4+</v>
      </c>
      <c r="D162" s="22">
        <f ca="1">IFERROR(__xludf.DUMMYFUNCTION("""COMPUTED_VALUE"""),44575)</f>
        <v>44575</v>
      </c>
      <c r="E162" s="22">
        <f ca="1">IFERROR(__xludf.DUMMYFUNCTION("""COMPUTED_VALUE"""),44577)</f>
        <v>44577</v>
      </c>
      <c r="F162" s="20"/>
      <c r="G162" s="20" t="str">
        <f ca="1">IFERROR(__xludf.DUMMYFUNCTION("""COMPUTED_VALUE"""),"Red Hook Park")</f>
        <v>Red Hook Park</v>
      </c>
      <c r="H162" s="20" t="str">
        <f ca="1">IFERROR(__xludf.DUMMYFUNCTION("""COMPUTED_VALUE"""),"Corner of Bay St &amp; Clinton St, Brooklyn, NY 11231")</f>
        <v>Corner of Bay St &amp; Clinton St, Brooklyn, NY 11231</v>
      </c>
      <c r="I162" s="20" t="str">
        <f ca="1">IFERROR(__xludf.DUMMYFUNCTION("""COMPUTED_VALUE"""),"Brooklyn")</f>
        <v>Brooklyn</v>
      </c>
      <c r="J162" s="24">
        <f ca="1">IFERROR(__xludf.DUMMYFUNCTION("""COMPUTED_VALUE"""),11231)</f>
        <v>11231</v>
      </c>
      <c r="K162" s="20" t="str">
        <f ca="1">IFERROR(__xludf.DUMMYFUNCTION("""COMPUTED_VALUE"""),"8AM - 7PM ")</f>
        <v xml:space="preserve">8AM - 7PM </v>
      </c>
    </row>
    <row r="163" spans="1:11" ht="12.75">
      <c r="A163" s="20" t="str">
        <f ca="1">IFERROR(__xludf.DUMMYFUNCTION("""COMPUTED_VALUE"""),"RRT")</f>
        <v>RRT</v>
      </c>
      <c r="B163" s="20" t="str">
        <f ca="1">IFERROR(__xludf.DUMMYFUNCTION("""COMPUTED_VALUE"""),"PCR + Rapid Antigen")</f>
        <v>PCR + Rapid Antigen</v>
      </c>
      <c r="C163" s="20" t="str">
        <f ca="1">IFERROR(__xludf.DUMMYFUNCTION("""COMPUTED_VALUE"""),"4+")</f>
        <v>4+</v>
      </c>
      <c r="D163" s="22">
        <f ca="1">IFERROR(__xludf.DUMMYFUNCTION("""COMPUTED_VALUE"""),44571)</f>
        <v>44571</v>
      </c>
      <c r="E163" s="22">
        <f ca="1">IFERROR(__xludf.DUMMYFUNCTION("""COMPUTED_VALUE"""),44577)</f>
        <v>44577</v>
      </c>
      <c r="F163" s="20"/>
      <c r="G163" s="20" t="str">
        <f ca="1">IFERROR(__xludf.DUMMYFUNCTION("""COMPUTED_VALUE"""),"Red Hook Park")</f>
        <v>Red Hook Park</v>
      </c>
      <c r="H163" s="20" t="str">
        <f ca="1">IFERROR(__xludf.DUMMYFUNCTION("""COMPUTED_VALUE"""),"Corner of Bay St &amp; Clinton St, Brooklyn, NY 11231")</f>
        <v>Corner of Bay St &amp; Clinton St, Brooklyn, NY 11231</v>
      </c>
      <c r="I163" s="20" t="str">
        <f ca="1">IFERROR(__xludf.DUMMYFUNCTION("""COMPUTED_VALUE"""),"Brooklyn")</f>
        <v>Brooklyn</v>
      </c>
      <c r="J163" s="24">
        <f ca="1">IFERROR(__xludf.DUMMYFUNCTION("""COMPUTED_VALUE"""),11231)</f>
        <v>11231</v>
      </c>
      <c r="K163" s="20" t="str">
        <f ca="1">IFERROR(__xludf.DUMMYFUNCTION("""COMPUTED_VALUE"""),"8AM - 7PM ")</f>
        <v xml:space="preserve">8AM - 7PM </v>
      </c>
    </row>
    <row r="164" spans="1:11" ht="12.75">
      <c r="A164" s="20" t="str">
        <f ca="1">IFERROR(__xludf.DUMMYFUNCTION("""COMPUTED_VALUE"""),"Acuity")</f>
        <v>Acuity</v>
      </c>
      <c r="B164" s="20" t="str">
        <f ca="1">IFERROR(__xludf.DUMMYFUNCTION("""COMPUTED_VALUE"""),"Rapid Antigen")</f>
        <v>Rapid Antigen</v>
      </c>
      <c r="C164" s="20" t="str">
        <f ca="1">IFERROR(__xludf.DUMMYFUNCTION("""COMPUTED_VALUE"""),"2+")</f>
        <v>2+</v>
      </c>
      <c r="D164" s="22">
        <f ca="1">IFERROR(__xludf.DUMMYFUNCTION("""COMPUTED_VALUE"""),44571)</f>
        <v>44571</v>
      </c>
      <c r="E164" s="22">
        <f ca="1">IFERROR(__xludf.DUMMYFUNCTION("""COMPUTED_VALUE"""),44577)</f>
        <v>44577</v>
      </c>
      <c r="F164" s="20"/>
      <c r="G164" s="20" t="str">
        <f ca="1">IFERROR(__xludf.DUMMYFUNCTION("""COMPUTED_VALUE"""),"Pomonok Playground")</f>
        <v>Pomonok Playground</v>
      </c>
      <c r="H164" s="20" t="str">
        <f ca="1">IFERROR(__xludf.DUMMYFUNCTION("""COMPUTED_VALUE"""),"Kissena Blvd. &amp;, 65th Ave, Flushing, NY 11367")</f>
        <v>Kissena Blvd. &amp;, 65th Ave, Flushing, NY 11367</v>
      </c>
      <c r="I164" s="20" t="str">
        <f ca="1">IFERROR(__xludf.DUMMYFUNCTION("""COMPUTED_VALUE"""),"Queens")</f>
        <v>Queens</v>
      </c>
      <c r="J164" s="24"/>
      <c r="K164" s="20" t="str">
        <f ca="1">IFERROR(__xludf.DUMMYFUNCTION("""COMPUTED_VALUE"""),"9AM - 6PM")</f>
        <v>9AM - 6PM</v>
      </c>
    </row>
    <row r="165" spans="1:11" ht="12.75">
      <c r="A165" s="20" t="str">
        <f ca="1">IFERROR(__xludf.DUMMYFUNCTION("""COMPUTED_VALUE"""),"Acuity")</f>
        <v>Acuity</v>
      </c>
      <c r="B165" s="20" t="str">
        <f ca="1">IFERROR(__xludf.DUMMYFUNCTION("""COMPUTED_VALUE"""),"Rapid Antigen")</f>
        <v>Rapid Antigen</v>
      </c>
      <c r="C165" s="20" t="str">
        <f ca="1">IFERROR(__xludf.DUMMYFUNCTION("""COMPUTED_VALUE"""),"2+")</f>
        <v>2+</v>
      </c>
      <c r="D165" s="22">
        <f ca="1">IFERROR(__xludf.DUMMYFUNCTION("""COMPUTED_VALUE"""),44571)</f>
        <v>44571</v>
      </c>
      <c r="E165" s="22">
        <f ca="1">IFERROR(__xludf.DUMMYFUNCTION("""COMPUTED_VALUE"""),44577)</f>
        <v>44577</v>
      </c>
      <c r="F165" s="20"/>
      <c r="G165" s="20" t="str">
        <f ca="1">IFERROR(__xludf.DUMMYFUNCTION("""COMPUTED_VALUE"""),"Raymond O'Connor Park")</f>
        <v>Raymond O'Connor Park</v>
      </c>
      <c r="H165" s="20" t="str">
        <f ca="1">IFERROR(__xludf.DUMMYFUNCTION("""COMPUTED_VALUE"""),"209-1 32nd Ave, Bayside, NY 11360")</f>
        <v>209-1 32nd Ave, Bayside, NY 11360</v>
      </c>
      <c r="I165" s="20" t="str">
        <f ca="1">IFERROR(__xludf.DUMMYFUNCTION("""COMPUTED_VALUE"""),"Queens")</f>
        <v>Queens</v>
      </c>
      <c r="J165" s="24"/>
      <c r="K165" s="20" t="str">
        <f ca="1">IFERROR(__xludf.DUMMYFUNCTION("""COMPUTED_VALUE"""),"9AM - 6PM")</f>
        <v>9AM - 6PM</v>
      </c>
    </row>
    <row r="166" spans="1:11" ht="12.75">
      <c r="A166" s="20" t="str">
        <f ca="1">IFERROR(__xludf.DUMMYFUNCTION("""COMPUTED_VALUE"""),"Acuity")</f>
        <v>Acuity</v>
      </c>
      <c r="B166" s="20" t="str">
        <f ca="1">IFERROR(__xludf.DUMMYFUNCTION("""COMPUTED_VALUE"""),"Rapid Antigen")</f>
        <v>Rapid Antigen</v>
      </c>
      <c r="C166" s="20" t="str">
        <f ca="1">IFERROR(__xludf.DUMMYFUNCTION("""COMPUTED_VALUE"""),"2+")</f>
        <v>2+</v>
      </c>
      <c r="D166" s="22">
        <f ca="1">IFERROR(__xludf.DUMMYFUNCTION("""COMPUTED_VALUE"""),44571)</f>
        <v>44571</v>
      </c>
      <c r="E166" s="22">
        <f ca="1">IFERROR(__xludf.DUMMYFUNCTION("""COMPUTED_VALUE"""),44577)</f>
        <v>44577</v>
      </c>
      <c r="F166" s="20"/>
      <c r="G166" s="20" t="str">
        <f ca="1">IFERROR(__xludf.DUMMYFUNCTION("""COMPUTED_VALUE"""),"St. Mary's Playground West ")</f>
        <v xml:space="preserve">St. Mary's Playground West </v>
      </c>
      <c r="H166" s="20" t="str">
        <f ca="1">IFERROR(__xludf.DUMMYFUNCTION("""COMPUTED_VALUE"""),"519 St Ann's Ave, Bronx, NY 10455")</f>
        <v>519 St Ann's Ave, Bronx, NY 10455</v>
      </c>
      <c r="I166" s="20" t="str">
        <f ca="1">IFERROR(__xludf.DUMMYFUNCTION("""COMPUTED_VALUE"""),"Bronx")</f>
        <v>Bronx</v>
      </c>
      <c r="J166" s="24"/>
      <c r="K166" s="20" t="str">
        <f ca="1">IFERROR(__xludf.DUMMYFUNCTION("""COMPUTED_VALUE"""),"9AM - 6PM")</f>
        <v>9AM - 6PM</v>
      </c>
    </row>
    <row r="167" spans="1:11" ht="12.75">
      <c r="A167" s="20" t="str">
        <f ca="1">IFERROR(__xludf.DUMMYFUNCTION("""COMPUTED_VALUE"""),"Acuity")</f>
        <v>Acuity</v>
      </c>
      <c r="B167" s="20" t="str">
        <f ca="1">IFERROR(__xludf.DUMMYFUNCTION("""COMPUTED_VALUE"""),"Rapid Antigen")</f>
        <v>Rapid Antigen</v>
      </c>
      <c r="C167" s="20" t="str">
        <f ca="1">IFERROR(__xludf.DUMMYFUNCTION("""COMPUTED_VALUE"""),"2+")</f>
        <v>2+</v>
      </c>
      <c r="D167" s="22">
        <f ca="1">IFERROR(__xludf.DUMMYFUNCTION("""COMPUTED_VALUE"""),44571)</f>
        <v>44571</v>
      </c>
      <c r="E167" s="22">
        <f ca="1">IFERROR(__xludf.DUMMYFUNCTION("""COMPUTED_VALUE"""),44577)</f>
        <v>44577</v>
      </c>
      <c r="F167" s="20"/>
      <c r="G167" s="20" t="str">
        <f ca="1">IFERROR(__xludf.DUMMYFUNCTION("""COMPUTED_VALUE"""),"Tilden Playground")</f>
        <v>Tilden Playground</v>
      </c>
      <c r="H167" s="20" t="str">
        <f ca="1">IFERROR(__xludf.DUMMYFUNCTION("""COMPUTED_VALUE"""),"Tilden Ave. between E. 48 St. and E. 49 St.")</f>
        <v>Tilden Ave. between E. 48 St. and E. 49 St.</v>
      </c>
      <c r="I167" s="20" t="str">
        <f ca="1">IFERROR(__xludf.DUMMYFUNCTION("""COMPUTED_VALUE"""),"Brooklyn")</f>
        <v>Brooklyn</v>
      </c>
      <c r="J167" s="24">
        <f ca="1">IFERROR(__xludf.DUMMYFUNCTION("""COMPUTED_VALUE"""),11203)</f>
        <v>11203</v>
      </c>
      <c r="K167" s="20" t="str">
        <f ca="1">IFERROR(__xludf.DUMMYFUNCTION("""COMPUTED_VALUE"""),"9AM - 6PM")</f>
        <v>9AM - 6PM</v>
      </c>
    </row>
    <row r="168" spans="1:11" ht="12.75">
      <c r="A168" s="20" t="str">
        <f ca="1">IFERROR(__xludf.DUMMYFUNCTION("""COMPUTED_VALUE"""),"Acuity")</f>
        <v>Acuity</v>
      </c>
      <c r="B168" s="20" t="str">
        <f ca="1">IFERROR(__xludf.DUMMYFUNCTION("""COMPUTED_VALUE"""),"Rapid Antigen")</f>
        <v>Rapid Antigen</v>
      </c>
      <c r="C168" s="20" t="str">
        <f ca="1">IFERROR(__xludf.DUMMYFUNCTION("""COMPUTED_VALUE"""),"2+")</f>
        <v>2+</v>
      </c>
      <c r="D168" s="22">
        <f ca="1">IFERROR(__xludf.DUMMYFUNCTION("""COMPUTED_VALUE"""),44571)</f>
        <v>44571</v>
      </c>
      <c r="E168" s="22">
        <f ca="1">IFERROR(__xludf.DUMMYFUNCTION("""COMPUTED_VALUE"""),44577)</f>
        <v>44577</v>
      </c>
      <c r="F168" s="20"/>
      <c r="G168" s="20" t="str">
        <f ca="1">IFERROR(__xludf.DUMMYFUNCTION("""COMPUTED_VALUE"""),"L/CPL Thomas P. Noonan Jr. Playground")</f>
        <v>L/CPL Thomas P. Noonan Jr. Playground</v>
      </c>
      <c r="H168" s="20" t="str">
        <f ca="1">IFERROR(__xludf.DUMMYFUNCTION("""COMPUTED_VALUE"""),"42nd St &amp;, Greenpoint Ave, Woodside, NY 11377")</f>
        <v>42nd St &amp;, Greenpoint Ave, Woodside, NY 11377</v>
      </c>
      <c r="I168" s="20" t="str">
        <f ca="1">IFERROR(__xludf.DUMMYFUNCTION("""COMPUTED_VALUE"""),"Queens")</f>
        <v>Queens</v>
      </c>
      <c r="J168" s="24">
        <f ca="1">IFERROR(__xludf.DUMMYFUNCTION("""COMPUTED_VALUE"""),11377)</f>
        <v>11377</v>
      </c>
      <c r="K168" s="20" t="str">
        <f ca="1">IFERROR(__xludf.DUMMYFUNCTION("""COMPUTED_VALUE"""),"9AM - 6PM")</f>
        <v>9AM - 6PM</v>
      </c>
    </row>
    <row r="169" spans="1:11" ht="12.75">
      <c r="A169" s="20" t="str">
        <f ca="1">IFERROR(__xludf.DUMMYFUNCTION("""COMPUTED_VALUE"""),"Acuity")</f>
        <v>Acuity</v>
      </c>
      <c r="B169" s="20" t="str">
        <f ca="1">IFERROR(__xludf.DUMMYFUNCTION("""COMPUTED_VALUE"""),"Rapid Antigen")</f>
        <v>Rapid Antigen</v>
      </c>
      <c r="C169" s="20" t="str">
        <f ca="1">IFERROR(__xludf.DUMMYFUNCTION("""COMPUTED_VALUE"""),"2+")</f>
        <v>2+</v>
      </c>
      <c r="D169" s="22">
        <f ca="1">IFERROR(__xludf.DUMMYFUNCTION("""COMPUTED_VALUE"""),44571)</f>
        <v>44571</v>
      </c>
      <c r="E169" s="22">
        <f ca="1">IFERROR(__xludf.DUMMYFUNCTION("""COMPUTED_VALUE"""),44577)</f>
        <v>44577</v>
      </c>
      <c r="F169" s="20"/>
      <c r="G169" s="20" t="str">
        <f ca="1">IFERROR(__xludf.DUMMYFUNCTION("""COMPUTED_VALUE"""),"Sorrentino Rec Center")</f>
        <v>Sorrentino Rec Center</v>
      </c>
      <c r="H169" s="20" t="str">
        <f ca="1">IFERROR(__xludf.DUMMYFUNCTION("""COMPUTED_VALUE"""),"18-48 Cornaga Avenue")</f>
        <v>18-48 Cornaga Avenue</v>
      </c>
      <c r="I169" s="20" t="str">
        <f ca="1">IFERROR(__xludf.DUMMYFUNCTION("""COMPUTED_VALUE"""),"Queens")</f>
        <v>Queens</v>
      </c>
      <c r="J169" s="24">
        <f ca="1">IFERROR(__xludf.DUMMYFUNCTION("""COMPUTED_VALUE"""),11691)</f>
        <v>11691</v>
      </c>
      <c r="K169" s="20" t="str">
        <f ca="1">IFERROR(__xludf.DUMMYFUNCTION("""COMPUTED_VALUE"""),"9AM - 6PM")</f>
        <v>9AM - 6PM</v>
      </c>
    </row>
    <row r="170" spans="1:11" ht="12.75">
      <c r="A170" s="20" t="str">
        <f ca="1">IFERROR(__xludf.DUMMYFUNCTION("""COMPUTED_VALUE"""),"Acuity")</f>
        <v>Acuity</v>
      </c>
      <c r="B170" s="20" t="str">
        <f ca="1">IFERROR(__xludf.DUMMYFUNCTION("""COMPUTED_VALUE"""),"Rapid Antigen")</f>
        <v>Rapid Antigen</v>
      </c>
      <c r="C170" s="20" t="str">
        <f ca="1">IFERROR(__xludf.DUMMYFUNCTION("""COMPUTED_VALUE"""),"2+")</f>
        <v>2+</v>
      </c>
      <c r="D170" s="22">
        <f ca="1">IFERROR(__xludf.DUMMYFUNCTION("""COMPUTED_VALUE"""),44571)</f>
        <v>44571</v>
      </c>
      <c r="E170" s="22">
        <f ca="1">IFERROR(__xludf.DUMMYFUNCTION("""COMPUTED_VALUE"""),44577)</f>
        <v>44577</v>
      </c>
      <c r="F170" s="20"/>
      <c r="G170" s="20" t="str">
        <f ca="1">IFERROR(__xludf.DUMMYFUNCTION("""COMPUTED_VALUE"""),"Bay Ridge 5th Ave")</f>
        <v>Bay Ridge 5th Ave</v>
      </c>
      <c r="H170" s="20" t="str">
        <f ca="1">IFERROR(__xludf.DUMMYFUNCTION("""COMPUTED_VALUE"""),"8511 and 8515 5th Avenue")</f>
        <v>8511 and 8515 5th Avenue</v>
      </c>
      <c r="I170" s="20" t="str">
        <f ca="1">IFERROR(__xludf.DUMMYFUNCTION("""COMPUTED_VALUE"""),"Brooklyn")</f>
        <v>Brooklyn</v>
      </c>
      <c r="J170" s="24">
        <f ca="1">IFERROR(__xludf.DUMMYFUNCTION("""COMPUTED_VALUE"""),11209)</f>
        <v>11209</v>
      </c>
      <c r="K170" s="20" t="str">
        <f ca="1">IFERROR(__xludf.DUMMYFUNCTION("""COMPUTED_VALUE"""),"9AM - 6PM")</f>
        <v>9AM - 6PM</v>
      </c>
    </row>
    <row r="171" spans="1:11" ht="12.75">
      <c r="A171" s="20" t="str">
        <f ca="1">IFERROR(__xludf.DUMMYFUNCTION("""COMPUTED_VALUE"""),"Acuity")</f>
        <v>Acuity</v>
      </c>
      <c r="B171" s="20" t="str">
        <f ca="1">IFERROR(__xludf.DUMMYFUNCTION("""COMPUTED_VALUE"""),"Rapid Antigen")</f>
        <v>Rapid Antigen</v>
      </c>
      <c r="C171" s="20" t="str">
        <f ca="1">IFERROR(__xludf.DUMMYFUNCTION("""COMPUTED_VALUE"""),"2+")</f>
        <v>2+</v>
      </c>
      <c r="D171" s="22">
        <f ca="1">IFERROR(__xludf.DUMMYFUNCTION("""COMPUTED_VALUE"""),44571)</f>
        <v>44571</v>
      </c>
      <c r="E171" s="22">
        <f ca="1">IFERROR(__xludf.DUMMYFUNCTION("""COMPUTED_VALUE"""),44577)</f>
        <v>44577</v>
      </c>
      <c r="F171" s="20"/>
      <c r="G171" s="20" t="str">
        <f ca="1">IFERROR(__xludf.DUMMYFUNCTION("""COMPUTED_VALUE"""),"Starrett City")</f>
        <v>Starrett City</v>
      </c>
      <c r="H171" s="20" t="str">
        <f ca="1">IFERROR(__xludf.DUMMYFUNCTION("""COMPUTED_VALUE"""),"1279 Pennsylvania Ave")</f>
        <v>1279 Pennsylvania Ave</v>
      </c>
      <c r="I171" s="20" t="str">
        <f ca="1">IFERROR(__xludf.DUMMYFUNCTION("""COMPUTED_VALUE"""),"Brooklyn")</f>
        <v>Brooklyn</v>
      </c>
      <c r="J171" s="24">
        <f ca="1">IFERROR(__xludf.DUMMYFUNCTION("""COMPUTED_VALUE"""),11239)</f>
        <v>11239</v>
      </c>
      <c r="K171" s="20" t="str">
        <f ca="1">IFERROR(__xludf.DUMMYFUNCTION("""COMPUTED_VALUE"""),"9AM - 6PM")</f>
        <v>9AM - 6PM</v>
      </c>
    </row>
    <row r="172" spans="1:11" ht="12.75">
      <c r="A172" s="20" t="str">
        <f ca="1">IFERROR(__xludf.DUMMYFUNCTION("""COMPUTED_VALUE"""),"Acuity")</f>
        <v>Acuity</v>
      </c>
      <c r="B172" s="20" t="str">
        <f ca="1">IFERROR(__xludf.DUMMYFUNCTION("""COMPUTED_VALUE"""),"Rapid Antigen")</f>
        <v>Rapid Antigen</v>
      </c>
      <c r="C172" s="20" t="str">
        <f ca="1">IFERROR(__xludf.DUMMYFUNCTION("""COMPUTED_VALUE"""),"2+")</f>
        <v>2+</v>
      </c>
      <c r="D172" s="22">
        <f ca="1">IFERROR(__xludf.DUMMYFUNCTION("""COMPUTED_VALUE"""),44571)</f>
        <v>44571</v>
      </c>
      <c r="E172" s="22">
        <f ca="1">IFERROR(__xludf.DUMMYFUNCTION("""COMPUTED_VALUE"""),44577)</f>
        <v>44577</v>
      </c>
      <c r="F172" s="20" t="str">
        <f ca="1">IFERROR(__xludf.DUMMYFUNCTION("""COMPUTED_VALUE""")," ")</f>
        <v xml:space="preserve"> </v>
      </c>
      <c r="G172" s="20" t="str">
        <f ca="1">IFERROR(__xludf.DUMMYFUNCTION("""COMPUTED_VALUE"""),"Former St. Johns Villa HS")</f>
        <v>Former St. Johns Villa HS</v>
      </c>
      <c r="H172" s="20" t="str">
        <f ca="1">IFERROR(__xludf.DUMMYFUNCTION("""COMPUTED_VALUE"""),"57 Cleveland Place")</f>
        <v>57 Cleveland Place</v>
      </c>
      <c r="I172" s="20" t="str">
        <f ca="1">IFERROR(__xludf.DUMMYFUNCTION("""COMPUTED_VALUE"""),"Staten Island")</f>
        <v>Staten Island</v>
      </c>
      <c r="J172" s="24">
        <f ca="1">IFERROR(__xludf.DUMMYFUNCTION("""COMPUTED_VALUE"""),10305)</f>
        <v>10305</v>
      </c>
      <c r="K172" s="20" t="str">
        <f ca="1">IFERROR(__xludf.DUMMYFUNCTION("""COMPUTED_VALUE"""),"9AM - 6PM")</f>
        <v>9AM - 6PM</v>
      </c>
    </row>
    <row r="173" spans="1:11" ht="12.75">
      <c r="A173" s="20" t="str">
        <f ca="1">IFERROR(__xludf.DUMMYFUNCTION("""COMPUTED_VALUE"""),"Acuity")</f>
        <v>Acuity</v>
      </c>
      <c r="B173" s="20" t="str">
        <f ca="1">IFERROR(__xludf.DUMMYFUNCTION("""COMPUTED_VALUE"""),"Rapid Antigen")</f>
        <v>Rapid Antigen</v>
      </c>
      <c r="C173" s="20" t="str">
        <f ca="1">IFERROR(__xludf.DUMMYFUNCTION("""COMPUTED_VALUE"""),"2+")</f>
        <v>2+</v>
      </c>
      <c r="D173" s="22">
        <f ca="1">IFERROR(__xludf.DUMMYFUNCTION("""COMPUTED_VALUE"""),44571)</f>
        <v>44571</v>
      </c>
      <c r="E173" s="22">
        <f ca="1">IFERROR(__xludf.DUMMYFUNCTION("""COMPUTED_VALUE"""),44577)</f>
        <v>44577</v>
      </c>
      <c r="F173" s="20"/>
      <c r="G173" s="20" t="str">
        <f ca="1">IFERROR(__xludf.DUMMYFUNCTION("""COMPUTED_VALUE"""),"Highbridge Park - North End")</f>
        <v>Highbridge Park - North End</v>
      </c>
      <c r="H173" s="20" t="str">
        <f ca="1">IFERROR(__xludf.DUMMYFUNCTION("""COMPUTED_VALUE"""),"On Dyckman St. across from 175 Nagle Ave.")</f>
        <v>On Dyckman St. across from 175 Nagle Ave.</v>
      </c>
      <c r="I173" s="20" t="str">
        <f ca="1">IFERROR(__xludf.DUMMYFUNCTION("""COMPUTED_VALUE"""),"Manhattan")</f>
        <v>Manhattan</v>
      </c>
      <c r="J173" s="24">
        <f ca="1">IFERROR(__xludf.DUMMYFUNCTION("""COMPUTED_VALUE"""),10034)</f>
        <v>10034</v>
      </c>
      <c r="K173" s="20" t="str">
        <f ca="1">IFERROR(__xludf.DUMMYFUNCTION("""COMPUTED_VALUE"""),"9AM - 6PM")</f>
        <v>9AM - 6PM</v>
      </c>
    </row>
    <row r="174" spans="1:11" ht="12.75">
      <c r="A174" s="20" t="str">
        <f ca="1">IFERROR(__xludf.DUMMYFUNCTION("""COMPUTED_VALUE"""),"Acuity")</f>
        <v>Acuity</v>
      </c>
      <c r="B174" s="20" t="str">
        <f ca="1">IFERROR(__xludf.DUMMYFUNCTION("""COMPUTED_VALUE"""),"Rapid Antigen")</f>
        <v>Rapid Antigen</v>
      </c>
      <c r="C174" s="20" t="str">
        <f ca="1">IFERROR(__xludf.DUMMYFUNCTION("""COMPUTED_VALUE"""),"2+")</f>
        <v>2+</v>
      </c>
      <c r="D174" s="22">
        <f ca="1">IFERROR(__xludf.DUMMYFUNCTION("""COMPUTED_VALUE"""),44571)</f>
        <v>44571</v>
      </c>
      <c r="E174" s="22">
        <f ca="1">IFERROR(__xludf.DUMMYFUNCTION("""COMPUTED_VALUE"""),44577)</f>
        <v>44577</v>
      </c>
      <c r="F174" s="20"/>
      <c r="G174" s="20" t="str">
        <f ca="1">IFERROR(__xludf.DUMMYFUNCTION("""COMPUTED_VALUE"""),"Maple Playground")</f>
        <v>Maple Playground</v>
      </c>
      <c r="H174" s="20" t="str">
        <f ca="1">IFERROR(__xludf.DUMMYFUNCTION("""COMPUTED_VALUE"""),"136-50 Maple Ave, Flushing, NY 11355")</f>
        <v>136-50 Maple Ave, Flushing, NY 11355</v>
      </c>
      <c r="I174" s="20" t="str">
        <f ca="1">IFERROR(__xludf.DUMMYFUNCTION("""COMPUTED_VALUE"""),"Queens")</f>
        <v>Queens</v>
      </c>
      <c r="J174" s="24">
        <f ca="1">IFERROR(__xludf.DUMMYFUNCTION("""COMPUTED_VALUE"""),11355)</f>
        <v>11355</v>
      </c>
      <c r="K174" s="20" t="str">
        <f ca="1">IFERROR(__xludf.DUMMYFUNCTION("""COMPUTED_VALUE"""),"9AM - 6PM")</f>
        <v>9AM - 6PM</v>
      </c>
    </row>
    <row r="175" spans="1:11" ht="12.75">
      <c r="A175" s="20" t="str">
        <f ca="1">IFERROR(__xludf.DUMMYFUNCTION("""COMPUTED_VALUE"""),"Acuity")</f>
        <v>Acuity</v>
      </c>
      <c r="B175" s="20" t="str">
        <f ca="1">IFERROR(__xludf.DUMMYFUNCTION("""COMPUTED_VALUE"""),"Rapid Antigen")</f>
        <v>Rapid Antigen</v>
      </c>
      <c r="C175" s="20" t="str">
        <f ca="1">IFERROR(__xludf.DUMMYFUNCTION("""COMPUTED_VALUE"""),"2+")</f>
        <v>2+</v>
      </c>
      <c r="D175" s="22">
        <f ca="1">IFERROR(__xludf.DUMMYFUNCTION("""COMPUTED_VALUE"""),44571)</f>
        <v>44571</v>
      </c>
      <c r="E175" s="22">
        <f ca="1">IFERROR(__xludf.DUMMYFUNCTION("""COMPUTED_VALUE"""),44577)</f>
        <v>44577</v>
      </c>
      <c r="F175" s="20"/>
      <c r="G175" s="20" t="str">
        <f ca="1">IFERROR(__xludf.DUMMYFUNCTION("""COMPUTED_VALUE"""),"Tappen Park")</f>
        <v>Tappen Park</v>
      </c>
      <c r="H175" s="20" t="str">
        <f ca="1">IFERROR(__xludf.DUMMYFUNCTION("""COMPUTED_VALUE"""),"Bay St. and Water St.")</f>
        <v>Bay St. and Water St.</v>
      </c>
      <c r="I175" s="20" t="str">
        <f ca="1">IFERROR(__xludf.DUMMYFUNCTION("""COMPUTED_VALUE"""),"Staten Island")</f>
        <v>Staten Island</v>
      </c>
      <c r="J175" s="24">
        <f ca="1">IFERROR(__xludf.DUMMYFUNCTION("""COMPUTED_VALUE"""),10304)</f>
        <v>10304</v>
      </c>
      <c r="K175" s="20" t="str">
        <f ca="1">IFERROR(__xludf.DUMMYFUNCTION("""COMPUTED_VALUE"""),"9AM - 6PM")</f>
        <v>9AM - 6PM</v>
      </c>
    </row>
    <row r="176" spans="1:11" ht="12.75">
      <c r="A176" s="20" t="str">
        <f ca="1">IFERROR(__xludf.DUMMYFUNCTION("""COMPUTED_VALUE"""),"Acuity")</f>
        <v>Acuity</v>
      </c>
      <c r="B176" s="20" t="str">
        <f ca="1">IFERROR(__xludf.DUMMYFUNCTION("""COMPUTED_VALUE"""),"Rapid Antigen")</f>
        <v>Rapid Antigen</v>
      </c>
      <c r="C176" s="20" t="str">
        <f ca="1">IFERROR(__xludf.DUMMYFUNCTION("""COMPUTED_VALUE"""),"2+")</f>
        <v>2+</v>
      </c>
      <c r="D176" s="22">
        <f ca="1">IFERROR(__xludf.DUMMYFUNCTION("""COMPUTED_VALUE"""),44571)</f>
        <v>44571</v>
      </c>
      <c r="E176" s="22">
        <f ca="1">IFERROR(__xludf.DUMMYFUNCTION("""COMPUTED_VALUE"""),44576)</f>
        <v>44576</v>
      </c>
      <c r="F176" s="20"/>
      <c r="G176" s="20" t="str">
        <f ca="1">IFERROR(__xludf.DUMMYFUNCTION("""COMPUTED_VALUE"""),"St. Teresa of Avila")</f>
        <v>St. Teresa of Avila</v>
      </c>
      <c r="H176" s="20" t="str">
        <f ca="1">IFERROR(__xludf.DUMMYFUNCTION("""COMPUTED_VALUE"""),"109-55 128th St.")</f>
        <v>109-55 128th St.</v>
      </c>
      <c r="I176" s="20" t="str">
        <f ca="1">IFERROR(__xludf.DUMMYFUNCTION("""COMPUTED_VALUE"""),"Queens")</f>
        <v>Queens</v>
      </c>
      <c r="J176" s="24">
        <f ca="1">IFERROR(__xludf.DUMMYFUNCTION("""COMPUTED_VALUE"""),11420)</f>
        <v>11420</v>
      </c>
      <c r="K176" s="20" t="str">
        <f ca="1">IFERROR(__xludf.DUMMYFUNCTION("""COMPUTED_VALUE"""),"9AM - 6PM")</f>
        <v>9AM - 6PM</v>
      </c>
    </row>
    <row r="177" spans="1:11" ht="12.75">
      <c r="A177" s="20" t="str">
        <f ca="1">IFERROR(__xludf.DUMMYFUNCTION("""COMPUTED_VALUE"""),"Acuity")</f>
        <v>Acuity</v>
      </c>
      <c r="B177" s="20" t="str">
        <f ca="1">IFERROR(__xludf.DUMMYFUNCTION("""COMPUTED_VALUE"""),"Rapid Antigen")</f>
        <v>Rapid Antigen</v>
      </c>
      <c r="C177" s="20" t="str">
        <f ca="1">IFERROR(__xludf.DUMMYFUNCTION("""COMPUTED_VALUE"""),"2+")</f>
        <v>2+</v>
      </c>
      <c r="D177" s="22">
        <f ca="1">IFERROR(__xludf.DUMMYFUNCTION("""COMPUTED_VALUE"""),44571)</f>
        <v>44571</v>
      </c>
      <c r="E177" s="22">
        <f ca="1">IFERROR(__xludf.DUMMYFUNCTION("""COMPUTED_VALUE"""),44577)</f>
        <v>44577</v>
      </c>
      <c r="F177" s="20"/>
      <c r="G177" s="20" t="str">
        <f ca="1">IFERROR(__xludf.DUMMYFUNCTION("""COMPUTED_VALUE"""),"Poe Park")</f>
        <v>Poe Park</v>
      </c>
      <c r="H177" s="20" t="str">
        <f ca="1">IFERROR(__xludf.DUMMYFUNCTION("""COMPUTED_VALUE"""),"E. Kingsbridge Rd and Grand Concourse")</f>
        <v>E. Kingsbridge Rd and Grand Concourse</v>
      </c>
      <c r="I177" s="20" t="str">
        <f ca="1">IFERROR(__xludf.DUMMYFUNCTION("""COMPUTED_VALUE"""),"Bronx")</f>
        <v>Bronx</v>
      </c>
      <c r="J177" s="24">
        <f ca="1">IFERROR(__xludf.DUMMYFUNCTION("""COMPUTED_VALUE"""),10458)</f>
        <v>10458</v>
      </c>
      <c r="K177" s="20" t="str">
        <f ca="1">IFERROR(__xludf.DUMMYFUNCTION("""COMPUTED_VALUE"""),"9AM - 6PM")</f>
        <v>9AM - 6PM</v>
      </c>
    </row>
    <row r="178" spans="1:11" ht="12.75">
      <c r="A178" s="20" t="str">
        <f ca="1">IFERROR(__xludf.DUMMYFUNCTION("""COMPUTED_VALUE"""),"Acuity")</f>
        <v>Acuity</v>
      </c>
      <c r="B178" s="20" t="str">
        <f ca="1">IFERROR(__xludf.DUMMYFUNCTION("""COMPUTED_VALUE"""),"Rapid Antigen")</f>
        <v>Rapid Antigen</v>
      </c>
      <c r="C178" s="20" t="str">
        <f ca="1">IFERROR(__xludf.DUMMYFUNCTION("""COMPUTED_VALUE"""),"2+")</f>
        <v>2+</v>
      </c>
      <c r="D178" s="22">
        <f ca="1">IFERROR(__xludf.DUMMYFUNCTION("""COMPUTED_VALUE"""),44571)</f>
        <v>44571</v>
      </c>
      <c r="E178" s="22">
        <f ca="1">IFERROR(__xludf.DUMMYFUNCTION("""COMPUTED_VALUE"""),44577)</f>
        <v>44577</v>
      </c>
      <c r="F178" s="20"/>
      <c r="G178" s="20" t="str">
        <f ca="1">IFERROR(__xludf.DUMMYFUNCTION("""COMPUTED_VALUE"""),"Brower Park")</f>
        <v>Brower Park</v>
      </c>
      <c r="H178" s="20" t="str">
        <f ca="1">IFERROR(__xludf.DUMMYFUNCTION("""COMPUTED_VALUE"""),"Kingston Ave. and Park Pl.")</f>
        <v>Kingston Ave. and Park Pl.</v>
      </c>
      <c r="I178" s="20" t="str">
        <f ca="1">IFERROR(__xludf.DUMMYFUNCTION("""COMPUTED_VALUE"""),"Brooklyn")</f>
        <v>Brooklyn</v>
      </c>
      <c r="J178" s="24">
        <f ca="1">IFERROR(__xludf.DUMMYFUNCTION("""COMPUTED_VALUE"""),11213)</f>
        <v>11213</v>
      </c>
      <c r="K178" s="20" t="str">
        <f ca="1">IFERROR(__xludf.DUMMYFUNCTION("""COMPUTED_VALUE"""),"9AM - 6PM")</f>
        <v>9AM - 6PM</v>
      </c>
    </row>
    <row r="179" spans="1:11" ht="12.75">
      <c r="A179" s="20" t="str">
        <f ca="1">IFERROR(__xludf.DUMMYFUNCTION("""COMPUTED_VALUE"""),"Acuity")</f>
        <v>Acuity</v>
      </c>
      <c r="B179" s="20" t="str">
        <f ca="1">IFERROR(__xludf.DUMMYFUNCTION("""COMPUTED_VALUE"""),"Rapid Antigen")</f>
        <v>Rapid Antigen</v>
      </c>
      <c r="C179" s="20" t="str">
        <f ca="1">IFERROR(__xludf.DUMMYFUNCTION("""COMPUTED_VALUE"""),"2+")</f>
        <v>2+</v>
      </c>
      <c r="D179" s="22">
        <f ca="1">IFERROR(__xludf.DUMMYFUNCTION("""COMPUTED_VALUE"""),44571)</f>
        <v>44571</v>
      </c>
      <c r="E179" s="22">
        <f ca="1">IFERROR(__xludf.DUMMYFUNCTION("""COMPUTED_VALUE"""),44577)</f>
        <v>44577</v>
      </c>
      <c r="F179" s="20"/>
      <c r="G179" s="20" t="str">
        <f ca="1">IFERROR(__xludf.DUMMYFUNCTION("""COMPUTED_VALUE"""),"Samuel N. Bennerson 2nd Playground")</f>
        <v>Samuel N. Bennerson 2nd Playground</v>
      </c>
      <c r="H179" s="20" t="str">
        <f ca="1">IFERROR(__xludf.DUMMYFUNCTION("""COMPUTED_VALUE"""),"200 W 64th St.")</f>
        <v>200 W 64th St.</v>
      </c>
      <c r="I179" s="20" t="str">
        <f ca="1">IFERROR(__xludf.DUMMYFUNCTION("""COMPUTED_VALUE"""),"Manhattan")</f>
        <v>Manhattan</v>
      </c>
      <c r="J179" s="24">
        <f ca="1">IFERROR(__xludf.DUMMYFUNCTION("""COMPUTED_VALUE"""),10023)</f>
        <v>10023</v>
      </c>
      <c r="K179" s="20" t="str">
        <f ca="1">IFERROR(__xludf.DUMMYFUNCTION("""COMPUTED_VALUE"""),"Two Days, 9am to 6pm")</f>
        <v>Two Days, 9am to 6pm</v>
      </c>
    </row>
    <row r="180" spans="1:11" ht="12.75">
      <c r="A180" s="20" t="str">
        <f ca="1">IFERROR(__xludf.DUMMYFUNCTION("""COMPUTED_VALUE"""),"Acuity")</f>
        <v>Acuity</v>
      </c>
      <c r="B180" s="20" t="str">
        <f ca="1">IFERROR(__xludf.DUMMYFUNCTION("""COMPUTED_VALUE"""),"Rapid Antigen")</f>
        <v>Rapid Antigen</v>
      </c>
      <c r="C180" s="20" t="str">
        <f ca="1">IFERROR(__xludf.DUMMYFUNCTION("""COMPUTED_VALUE"""),"2+")</f>
        <v>2+</v>
      </c>
      <c r="D180" s="22">
        <f ca="1">IFERROR(__xludf.DUMMYFUNCTION("""COMPUTED_VALUE"""),44571)</f>
        <v>44571</v>
      </c>
      <c r="E180" s="22">
        <f ca="1">IFERROR(__xludf.DUMMYFUNCTION("""COMPUTED_VALUE"""),44577)</f>
        <v>44577</v>
      </c>
      <c r="F180" s="20"/>
      <c r="G180" s="20" t="str">
        <f ca="1">IFERROR(__xludf.DUMMYFUNCTION("""COMPUTED_VALUE"""),"Lt. Jospeh Petrosino Playground")</f>
        <v>Lt. Jospeh Petrosino Playground</v>
      </c>
      <c r="H180" s="20" t="str">
        <f ca="1">IFERROR(__xludf.DUMMYFUNCTION("""COMPUTED_VALUE"""),"Intersection of 70th St. and New Utrecht Ave.")</f>
        <v>Intersection of 70th St. and New Utrecht Ave.</v>
      </c>
      <c r="I180" s="20" t="str">
        <f ca="1">IFERROR(__xludf.DUMMYFUNCTION("""COMPUTED_VALUE"""),"Brooklyn")</f>
        <v>Brooklyn</v>
      </c>
      <c r="J180" s="24">
        <f ca="1">IFERROR(__xludf.DUMMYFUNCTION("""COMPUTED_VALUE"""),11228)</f>
        <v>11228</v>
      </c>
      <c r="K180" s="20" t="str">
        <f ca="1">IFERROR(__xludf.DUMMYFUNCTION("""COMPUTED_VALUE"""),"9am - 6pm")</f>
        <v>9am - 6pm</v>
      </c>
    </row>
    <row r="181" spans="1:11" ht="12.75">
      <c r="A181" s="20" t="str">
        <f ca="1">IFERROR(__xludf.DUMMYFUNCTION("""COMPUTED_VALUE"""),"Acuity")</f>
        <v>Acuity</v>
      </c>
      <c r="B181" s="20" t="str">
        <f ca="1">IFERROR(__xludf.DUMMYFUNCTION("""COMPUTED_VALUE"""),"Rapid Antigen")</f>
        <v>Rapid Antigen</v>
      </c>
      <c r="C181" s="20" t="str">
        <f ca="1">IFERROR(__xludf.DUMMYFUNCTION("""COMPUTED_VALUE"""),"2+")</f>
        <v>2+</v>
      </c>
      <c r="D181" s="22">
        <f ca="1">IFERROR(__xludf.DUMMYFUNCTION("""COMPUTED_VALUE"""),44571)</f>
        <v>44571</v>
      </c>
      <c r="E181" s="22">
        <f ca="1">IFERROR(__xludf.DUMMYFUNCTION("""COMPUTED_VALUE"""),44577)</f>
        <v>44577</v>
      </c>
      <c r="F181" s="20"/>
      <c r="G181" s="20" t="str">
        <f ca="1">IFERROR(__xludf.DUMMYFUNCTION("""COMPUTED_VALUE"""),"Rappaport Playground")</f>
        <v>Rappaport Playground</v>
      </c>
      <c r="H181" s="20" t="str">
        <f ca="1">IFERROR(__xludf.DUMMYFUNCTION("""COMPUTED_VALUE"""),"Intersection of 53rd St. and Fort Hamilton Pkwy")</f>
        <v>Intersection of 53rd St. and Fort Hamilton Pkwy</v>
      </c>
      <c r="I181" s="20" t="str">
        <f ca="1">IFERROR(__xludf.DUMMYFUNCTION("""COMPUTED_VALUE"""),"Brooklyn")</f>
        <v>Brooklyn</v>
      </c>
      <c r="J181" s="24">
        <f ca="1">IFERROR(__xludf.DUMMYFUNCTION("""COMPUTED_VALUE"""),11219)</f>
        <v>11219</v>
      </c>
      <c r="K181" s="20" t="str">
        <f ca="1">IFERROR(__xludf.DUMMYFUNCTION("""COMPUTED_VALUE"""),"9am - 6pm")</f>
        <v>9am - 6pm</v>
      </c>
    </row>
    <row r="182" spans="1:11" ht="12.75">
      <c r="A182" s="20" t="str">
        <f ca="1">IFERROR(__xludf.DUMMYFUNCTION("""COMPUTED_VALUE"""),"Acuity")</f>
        <v>Acuity</v>
      </c>
      <c r="B182" s="20" t="str">
        <f ca="1">IFERROR(__xludf.DUMMYFUNCTION("""COMPUTED_VALUE"""),"Rapid Antigen")</f>
        <v>Rapid Antigen</v>
      </c>
      <c r="C182" s="20" t="str">
        <f ca="1">IFERROR(__xludf.DUMMYFUNCTION("""COMPUTED_VALUE"""),"2+")</f>
        <v>2+</v>
      </c>
      <c r="D182" s="22">
        <f ca="1">IFERROR(__xludf.DUMMYFUNCTION("""COMPUTED_VALUE"""),44571)</f>
        <v>44571</v>
      </c>
      <c r="E182" s="22">
        <f ca="1">IFERROR(__xludf.DUMMYFUNCTION("""COMPUTED_VALUE"""),44577)</f>
        <v>44577</v>
      </c>
      <c r="F182" s="20"/>
      <c r="G182" s="20" t="str">
        <f ca="1">IFERROR(__xludf.DUMMYFUNCTION("""COMPUTED_VALUE"""),"Slattery Playground")</f>
        <v>Slattery Playground</v>
      </c>
      <c r="H182" s="20" t="str">
        <f ca="1">IFERROR(__xludf.DUMMYFUNCTION("""COMPUTED_VALUE"""),"E 183rd and Ryer ave.")</f>
        <v>E 183rd and Ryer ave.</v>
      </c>
      <c r="I182" s="20" t="str">
        <f ca="1">IFERROR(__xludf.DUMMYFUNCTION("""COMPUTED_VALUE"""),"Bronx")</f>
        <v>Bronx</v>
      </c>
      <c r="J182" s="24">
        <f ca="1">IFERROR(__xludf.DUMMYFUNCTION("""COMPUTED_VALUE"""),10458)</f>
        <v>10458</v>
      </c>
      <c r="K182" s="20" t="str">
        <f ca="1">IFERROR(__xludf.DUMMYFUNCTION("""COMPUTED_VALUE"""),"9AM - 6PM")</f>
        <v>9AM - 6PM</v>
      </c>
    </row>
    <row r="183" spans="1:11" ht="12.75">
      <c r="A183" s="20" t="str">
        <f ca="1">IFERROR(__xludf.DUMMYFUNCTION("""COMPUTED_VALUE"""),"Acuity")</f>
        <v>Acuity</v>
      </c>
      <c r="B183" s="20" t="str">
        <f ca="1">IFERROR(__xludf.DUMMYFUNCTION("""COMPUTED_VALUE"""),"Rapid Antigen")</f>
        <v>Rapid Antigen</v>
      </c>
      <c r="C183" s="20" t="str">
        <f ca="1">IFERROR(__xludf.DUMMYFUNCTION("""COMPUTED_VALUE"""),"2+")</f>
        <v>2+</v>
      </c>
      <c r="D183" s="22">
        <f ca="1">IFERROR(__xludf.DUMMYFUNCTION("""COMPUTED_VALUE"""),44571)</f>
        <v>44571</v>
      </c>
      <c r="E183" s="22">
        <f ca="1">IFERROR(__xludf.DUMMYFUNCTION("""COMPUTED_VALUE"""),44577)</f>
        <v>44577</v>
      </c>
      <c r="F183" s="20"/>
      <c r="G183" s="20" t="str">
        <f ca="1">IFERROR(__xludf.DUMMYFUNCTION("""COMPUTED_VALUE"""),"North Rochdale Playground")</f>
        <v>North Rochdale Playground</v>
      </c>
      <c r="H183" s="20" t="str">
        <f ca="1">IFERROR(__xludf.DUMMYFUNCTION("""COMPUTED_VALUE"""),"Bedell St. and Baisley Blvd")</f>
        <v>Bedell St. and Baisley Blvd</v>
      </c>
      <c r="I183" s="20" t="str">
        <f ca="1">IFERROR(__xludf.DUMMYFUNCTION("""COMPUTED_VALUE"""),"Queens")</f>
        <v>Queens</v>
      </c>
      <c r="J183" s="24">
        <f ca="1">IFERROR(__xludf.DUMMYFUNCTION("""COMPUTED_VALUE"""),11434)</f>
        <v>11434</v>
      </c>
      <c r="K183" s="20" t="str">
        <f ca="1">IFERROR(__xludf.DUMMYFUNCTION("""COMPUTED_VALUE"""),"9AM - 6PM")</f>
        <v>9AM - 6PM</v>
      </c>
    </row>
    <row r="184" spans="1:11" ht="12.75">
      <c r="A184" s="20" t="str">
        <f ca="1">IFERROR(__xludf.DUMMYFUNCTION("""COMPUTED_VALUE"""),"Acuity")</f>
        <v>Acuity</v>
      </c>
      <c r="B184" s="20" t="str">
        <f ca="1">IFERROR(__xludf.DUMMYFUNCTION("""COMPUTED_VALUE"""),"Rapid Antigen")</f>
        <v>Rapid Antigen</v>
      </c>
      <c r="C184" s="20" t="str">
        <f ca="1">IFERROR(__xludf.DUMMYFUNCTION("""COMPUTED_VALUE"""),"2+")</f>
        <v>2+</v>
      </c>
      <c r="D184" s="22">
        <f ca="1">IFERROR(__xludf.DUMMYFUNCTION("""COMPUTED_VALUE"""),44571)</f>
        <v>44571</v>
      </c>
      <c r="E184" s="22">
        <f ca="1">IFERROR(__xludf.DUMMYFUNCTION("""COMPUTED_VALUE"""),44577)</f>
        <v>44577</v>
      </c>
      <c r="F184" s="20"/>
      <c r="G184" s="20" t="str">
        <f ca="1">IFERROR(__xludf.DUMMYFUNCTION("""COMPUTED_VALUE"""),"J.Hood Wright Park")</f>
        <v>J.Hood Wright Park</v>
      </c>
      <c r="H184" s="20" t="str">
        <f ca="1">IFERROR(__xludf.DUMMYFUNCTION("""COMPUTED_VALUE"""),"W. 174th St. and Fort Washington Ave.")</f>
        <v>W. 174th St. and Fort Washington Ave.</v>
      </c>
      <c r="I184" s="20" t="str">
        <f ca="1">IFERROR(__xludf.DUMMYFUNCTION("""COMPUTED_VALUE"""),"Manhattan")</f>
        <v>Manhattan</v>
      </c>
      <c r="J184" s="24"/>
      <c r="K184" s="20" t="str">
        <f ca="1">IFERROR(__xludf.DUMMYFUNCTION("""COMPUTED_VALUE"""),"9AM - 6PM")</f>
        <v>9AM - 6PM</v>
      </c>
    </row>
    <row r="185" spans="1:11" ht="12.75">
      <c r="A185" s="20" t="str">
        <f ca="1">IFERROR(__xludf.DUMMYFUNCTION("""COMPUTED_VALUE"""),"Acuity")</f>
        <v>Acuity</v>
      </c>
      <c r="B185" s="20" t="str">
        <f ca="1">IFERROR(__xludf.DUMMYFUNCTION("""COMPUTED_VALUE"""),"Rapid Antigen")</f>
        <v>Rapid Antigen</v>
      </c>
      <c r="C185" s="20" t="str">
        <f ca="1">IFERROR(__xludf.DUMMYFUNCTION("""COMPUTED_VALUE"""),"2+")</f>
        <v>2+</v>
      </c>
      <c r="D185" s="22">
        <f ca="1">IFERROR(__xludf.DUMMYFUNCTION("""COMPUTED_VALUE"""),44571)</f>
        <v>44571</v>
      </c>
      <c r="E185" s="22">
        <f ca="1">IFERROR(__xludf.DUMMYFUNCTION("""COMPUTED_VALUE"""),44577)</f>
        <v>44577</v>
      </c>
      <c r="F185" s="20"/>
      <c r="G185" s="20" t="str">
        <f ca="1">IFERROR(__xludf.DUMMYFUNCTION("""COMPUTED_VALUE"""),"St Nicholas Park")</f>
        <v>St Nicholas Park</v>
      </c>
      <c r="H185" s="20" t="str">
        <f ca="1">IFERROR(__xludf.DUMMYFUNCTION("""COMPUTED_VALUE"""),"W. 129th St. and St. Nicholas Terrace")</f>
        <v>W. 129th St. and St. Nicholas Terrace</v>
      </c>
      <c r="I185" s="20" t="str">
        <f ca="1">IFERROR(__xludf.DUMMYFUNCTION("""COMPUTED_VALUE"""),"Manhattan")</f>
        <v>Manhattan</v>
      </c>
      <c r="J185" s="24"/>
      <c r="K185" s="20" t="str">
        <f ca="1">IFERROR(__xludf.DUMMYFUNCTION("""COMPUTED_VALUE"""),"9AM - 6PM")</f>
        <v>9AM - 6PM</v>
      </c>
    </row>
    <row r="186" spans="1:11" ht="12.75">
      <c r="A186" s="20" t="str">
        <f ca="1">IFERROR(__xludf.DUMMYFUNCTION("""COMPUTED_VALUE"""),"Acuity")</f>
        <v>Acuity</v>
      </c>
      <c r="B186" s="20" t="str">
        <f ca="1">IFERROR(__xludf.DUMMYFUNCTION("""COMPUTED_VALUE"""),"Rapid Antigen")</f>
        <v>Rapid Antigen</v>
      </c>
      <c r="C186" s="20" t="str">
        <f ca="1">IFERROR(__xludf.DUMMYFUNCTION("""COMPUTED_VALUE"""),"2+")</f>
        <v>2+</v>
      </c>
      <c r="D186" s="22">
        <f ca="1">IFERROR(__xludf.DUMMYFUNCTION("""COMPUTED_VALUE"""),44571)</f>
        <v>44571</v>
      </c>
      <c r="E186" s="22">
        <f ca="1">IFERROR(__xludf.DUMMYFUNCTION("""COMPUTED_VALUE"""),44577)</f>
        <v>44577</v>
      </c>
      <c r="F186" s="20"/>
      <c r="G186" s="20" t="str">
        <f ca="1">IFERROR(__xludf.DUMMYFUNCTION("""COMPUTED_VALUE"""),"Martin Luther King Jr. Playground")</f>
        <v>Martin Luther King Jr. Playground</v>
      </c>
      <c r="H186" s="20" t="str">
        <f ca="1">IFERROR(__xludf.DUMMYFUNCTION("""COMPUTED_VALUE"""),"Dumont Ave. and Miller Ave.")</f>
        <v>Dumont Ave. and Miller Ave.</v>
      </c>
      <c r="I186" s="20" t="str">
        <f ca="1">IFERROR(__xludf.DUMMYFUNCTION("""COMPUTED_VALUE"""),"Brooklyn")</f>
        <v>Brooklyn</v>
      </c>
      <c r="J186" s="24">
        <f ca="1">IFERROR(__xludf.DUMMYFUNCTION("""COMPUTED_VALUE"""),11207)</f>
        <v>11207</v>
      </c>
      <c r="K186" s="20" t="str">
        <f ca="1">IFERROR(__xludf.DUMMYFUNCTION("""COMPUTED_VALUE"""),"9AM - 6PM")</f>
        <v>9AM - 6PM</v>
      </c>
    </row>
    <row r="187" spans="1:11" ht="12.75">
      <c r="A187" s="20" t="str">
        <f ca="1">IFERROR(__xludf.DUMMYFUNCTION("""COMPUTED_VALUE"""),"Acuity")</f>
        <v>Acuity</v>
      </c>
      <c r="B187" s="20" t="str">
        <f ca="1">IFERROR(__xludf.DUMMYFUNCTION("""COMPUTED_VALUE"""),"Rapid Antigen")</f>
        <v>Rapid Antigen</v>
      </c>
      <c r="C187" s="20" t="str">
        <f ca="1">IFERROR(__xludf.DUMMYFUNCTION("""COMPUTED_VALUE"""),"2+")</f>
        <v>2+</v>
      </c>
      <c r="D187" s="22">
        <f ca="1">IFERROR(__xludf.DUMMYFUNCTION("""COMPUTED_VALUE"""),44571)</f>
        <v>44571</v>
      </c>
      <c r="E187" s="22">
        <f ca="1">IFERROR(__xludf.DUMMYFUNCTION("""COMPUTED_VALUE"""),44577)</f>
        <v>44577</v>
      </c>
      <c r="F187" s="20"/>
      <c r="G187" s="20" t="str">
        <f ca="1">IFERROR(__xludf.DUMMYFUNCTION("""COMPUTED_VALUE"""),"Clarkson Ave. Hub")</f>
        <v>Clarkson Ave. Hub</v>
      </c>
      <c r="H187" s="20" t="str">
        <f ca="1">IFERROR(__xludf.DUMMYFUNCTION("""COMPUTED_VALUE"""),"490 Clarkson Ave.")</f>
        <v>490 Clarkson Ave.</v>
      </c>
      <c r="I187" s="20" t="str">
        <f ca="1">IFERROR(__xludf.DUMMYFUNCTION("""COMPUTED_VALUE"""),"Brooklyn")</f>
        <v>Brooklyn</v>
      </c>
      <c r="J187" s="24"/>
      <c r="K187" s="20" t="str">
        <f ca="1">IFERROR(__xludf.DUMMYFUNCTION("""COMPUTED_VALUE"""),"9AM - 6PM")</f>
        <v>9AM - 6PM</v>
      </c>
    </row>
    <row r="188" spans="1:11" ht="12.75">
      <c r="A188" s="20" t="str">
        <f ca="1">IFERROR(__xludf.DUMMYFUNCTION("""COMPUTED_VALUE"""),"Acuity")</f>
        <v>Acuity</v>
      </c>
      <c r="B188" s="20" t="str">
        <f ca="1">IFERROR(__xludf.DUMMYFUNCTION("""COMPUTED_VALUE"""),"Rapid Antigen")</f>
        <v>Rapid Antigen</v>
      </c>
      <c r="C188" s="20" t="str">
        <f ca="1">IFERROR(__xludf.DUMMYFUNCTION("""COMPUTED_VALUE"""),"2+")</f>
        <v>2+</v>
      </c>
      <c r="D188" s="22">
        <f ca="1">IFERROR(__xludf.DUMMYFUNCTION("""COMPUTED_VALUE"""),44571)</f>
        <v>44571</v>
      </c>
      <c r="E188" s="22">
        <f ca="1">IFERROR(__xludf.DUMMYFUNCTION("""COMPUTED_VALUE"""),44577)</f>
        <v>44577</v>
      </c>
      <c r="F188" s="20"/>
      <c r="G188" s="20" t="str">
        <f ca="1">IFERROR(__xludf.DUMMYFUNCTION("""COMPUTED_VALUE"""),"Van Alst Playground")</f>
        <v>Van Alst Playground</v>
      </c>
      <c r="H188" s="20" t="str">
        <f ca="1">IFERROR(__xludf.DUMMYFUNCTION("""COMPUTED_VALUE"""),"Intersction of 30th Ave. and 21st St..")</f>
        <v>Intersction of 30th Ave. and 21st St..</v>
      </c>
      <c r="I188" s="20" t="str">
        <f ca="1">IFERROR(__xludf.DUMMYFUNCTION("""COMPUTED_VALUE"""),"Queens")</f>
        <v>Queens</v>
      </c>
      <c r="J188" s="24">
        <f ca="1">IFERROR(__xludf.DUMMYFUNCTION("""COMPUTED_VALUE"""),11102)</f>
        <v>11102</v>
      </c>
      <c r="K188" s="20" t="str">
        <f ca="1">IFERROR(__xludf.DUMMYFUNCTION("""COMPUTED_VALUE"""),"9am - 6pm")</f>
        <v>9am - 6pm</v>
      </c>
    </row>
    <row r="189" spans="1:11" ht="12.75">
      <c r="A189" s="20" t="str">
        <f ca="1">IFERROR(__xludf.DUMMYFUNCTION("""COMPUTED_VALUE"""),"Acuity")</f>
        <v>Acuity</v>
      </c>
      <c r="B189" s="20" t="str">
        <f ca="1">IFERROR(__xludf.DUMMYFUNCTION("""COMPUTED_VALUE"""),"Rapid Antigen")</f>
        <v>Rapid Antigen</v>
      </c>
      <c r="C189" s="20" t="str">
        <f ca="1">IFERROR(__xludf.DUMMYFUNCTION("""COMPUTED_VALUE"""),"2+")</f>
        <v>2+</v>
      </c>
      <c r="D189" s="22">
        <f ca="1">IFERROR(__xludf.DUMMYFUNCTION("""COMPUTED_VALUE"""),44571)</f>
        <v>44571</v>
      </c>
      <c r="E189" s="22">
        <f ca="1">IFERROR(__xludf.DUMMYFUNCTION("""COMPUTED_VALUE"""),44577)</f>
        <v>44577</v>
      </c>
      <c r="F189" s="20"/>
      <c r="G189" s="20" t="str">
        <f ca="1">IFERROR(__xludf.DUMMYFUNCTION("""COMPUTED_VALUE"""),"Harmony Park")</f>
        <v>Harmony Park</v>
      </c>
      <c r="H189" s="20" t="str">
        <f ca="1">IFERROR(__xludf.DUMMYFUNCTION("""COMPUTED_VALUE"""),"Intersection of Troy Ave. and Atlantic Ave.")</f>
        <v>Intersection of Troy Ave. and Atlantic Ave.</v>
      </c>
      <c r="I189" s="20" t="str">
        <f ca="1">IFERROR(__xludf.DUMMYFUNCTION("""COMPUTED_VALUE"""),"Brooklyn")</f>
        <v>Brooklyn</v>
      </c>
      <c r="J189" s="24">
        <f ca="1">IFERROR(__xludf.DUMMYFUNCTION("""COMPUTED_VALUE"""),11213)</f>
        <v>11213</v>
      </c>
      <c r="K189" s="20" t="str">
        <f ca="1">IFERROR(__xludf.DUMMYFUNCTION("""COMPUTED_VALUE"""),"9am - 6pm")</f>
        <v>9am - 6pm</v>
      </c>
    </row>
    <row r="190" spans="1:11" ht="12.75">
      <c r="A190" s="20" t="str">
        <f ca="1">IFERROR(__xludf.DUMMYFUNCTION("""COMPUTED_VALUE"""),"Acuity")</f>
        <v>Acuity</v>
      </c>
      <c r="B190" s="20" t="str">
        <f ca="1">IFERROR(__xludf.DUMMYFUNCTION("""COMPUTED_VALUE"""),"Rapid Antigen")</f>
        <v>Rapid Antigen</v>
      </c>
      <c r="C190" s="20" t="str">
        <f ca="1">IFERROR(__xludf.DUMMYFUNCTION("""COMPUTED_VALUE"""),"2+")</f>
        <v>2+</v>
      </c>
      <c r="D190" s="22">
        <f ca="1">IFERROR(__xludf.DUMMYFUNCTION("""COMPUTED_VALUE"""),44571)</f>
        <v>44571</v>
      </c>
      <c r="E190" s="22">
        <f ca="1">IFERROR(__xludf.DUMMYFUNCTION("""COMPUTED_VALUE"""),44577)</f>
        <v>44577</v>
      </c>
      <c r="F190" s="20"/>
      <c r="G190" s="20" t="str">
        <f ca="1">IFERROR(__xludf.DUMMYFUNCTION("""COMPUTED_VALUE"""),"Maria Hernandez Park")</f>
        <v>Maria Hernandez Park</v>
      </c>
      <c r="H190" s="20" t="str">
        <f ca="1">IFERROR(__xludf.DUMMYFUNCTION("""COMPUTED_VALUE"""),"Intersection of Suydam St. and Irving Ave.")</f>
        <v>Intersection of Suydam St. and Irving Ave.</v>
      </c>
      <c r="I190" s="20" t="str">
        <f ca="1">IFERROR(__xludf.DUMMYFUNCTION("""COMPUTED_VALUE"""),"Brooklyn")</f>
        <v>Brooklyn</v>
      </c>
      <c r="J190" s="24">
        <f ca="1">IFERROR(__xludf.DUMMYFUNCTION("""COMPUTED_VALUE"""),11237)</f>
        <v>11237</v>
      </c>
      <c r="K190" s="20" t="str">
        <f ca="1">IFERROR(__xludf.DUMMYFUNCTION("""COMPUTED_VALUE"""),"9am - 6pm")</f>
        <v>9am - 6pm</v>
      </c>
    </row>
    <row r="191" spans="1:11" ht="12.75">
      <c r="A191" s="20" t="str">
        <f ca="1">IFERROR(__xludf.DUMMYFUNCTION("""COMPUTED_VALUE"""),"Acuity")</f>
        <v>Acuity</v>
      </c>
      <c r="B191" s="20" t="str">
        <f ca="1">IFERROR(__xludf.DUMMYFUNCTION("""COMPUTED_VALUE"""),"Rapid Antigen")</f>
        <v>Rapid Antigen</v>
      </c>
      <c r="C191" s="20" t="str">
        <f ca="1">IFERROR(__xludf.DUMMYFUNCTION("""COMPUTED_VALUE"""),"2+")</f>
        <v>2+</v>
      </c>
      <c r="D191" s="22">
        <f ca="1">IFERROR(__xludf.DUMMYFUNCTION("""COMPUTED_VALUE"""),44571)</f>
        <v>44571</v>
      </c>
      <c r="E191" s="22">
        <f ca="1">IFERROR(__xludf.DUMMYFUNCTION("""COMPUTED_VALUE"""),44577)</f>
        <v>44577</v>
      </c>
      <c r="F191" s="20"/>
      <c r="G191" s="20" t="str">
        <f ca="1">IFERROR(__xludf.DUMMYFUNCTION("""COMPUTED_VALUE"""),"Morningside Park")</f>
        <v>Morningside Park</v>
      </c>
      <c r="H191" s="20" t="str">
        <f ca="1">IFERROR(__xludf.DUMMYFUNCTION("""COMPUTED_VALUE"""),"Intersction of 113th and Morningside Drive")</f>
        <v>Intersction of 113th and Morningside Drive</v>
      </c>
      <c r="I191" s="20" t="str">
        <f ca="1">IFERROR(__xludf.DUMMYFUNCTION("""COMPUTED_VALUE"""),"Manhattan")</f>
        <v>Manhattan</v>
      </c>
      <c r="J191" s="24">
        <f ca="1">IFERROR(__xludf.DUMMYFUNCTION("""COMPUTED_VALUE"""),10026)</f>
        <v>10026</v>
      </c>
      <c r="K191" s="20" t="str">
        <f ca="1">IFERROR(__xludf.DUMMYFUNCTION("""COMPUTED_VALUE"""),"9am - 6pm")</f>
        <v>9am - 6pm</v>
      </c>
    </row>
    <row r="192" spans="1:11" ht="12.75">
      <c r="A192" s="20" t="str">
        <f ca="1">IFERROR(__xludf.DUMMYFUNCTION("""COMPUTED_VALUE"""),"Acuity")</f>
        <v>Acuity</v>
      </c>
      <c r="B192" s="20" t="str">
        <f ca="1">IFERROR(__xludf.DUMMYFUNCTION("""COMPUTED_VALUE"""),"Rapid Antigen")</f>
        <v>Rapid Antigen</v>
      </c>
      <c r="C192" s="20" t="str">
        <f ca="1">IFERROR(__xludf.DUMMYFUNCTION("""COMPUTED_VALUE"""),"2+")</f>
        <v>2+</v>
      </c>
      <c r="D192" s="22">
        <f ca="1">IFERROR(__xludf.DUMMYFUNCTION("""COMPUTED_VALUE"""),44571)</f>
        <v>44571</v>
      </c>
      <c r="E192" s="22">
        <f ca="1">IFERROR(__xludf.DUMMYFUNCTION("""COMPUTED_VALUE"""),44577)</f>
        <v>44577</v>
      </c>
      <c r="F192" s="20"/>
      <c r="G192" s="20" t="str">
        <f ca="1">IFERROR(__xludf.DUMMYFUNCTION("""COMPUTED_VALUE"""),"Bridge Builders Community Partnership @ Childrens Village")</f>
        <v>Bridge Builders Community Partnership @ Childrens Village</v>
      </c>
      <c r="H192" s="20" t="str">
        <f ca="1">IFERROR(__xludf.DUMMYFUNCTION("""COMPUTED_VALUE"""),"156 W. 164th St.")</f>
        <v>156 W. 164th St.</v>
      </c>
      <c r="I192" s="20" t="str">
        <f ca="1">IFERROR(__xludf.DUMMYFUNCTION("""COMPUTED_VALUE"""),"Bronx")</f>
        <v>Bronx</v>
      </c>
      <c r="J192" s="24"/>
      <c r="K192" s="20" t="str">
        <f ca="1">IFERROR(__xludf.DUMMYFUNCTION("""COMPUTED_VALUE"""),"9AM - 6PM")</f>
        <v>9AM - 6PM</v>
      </c>
    </row>
    <row r="193" spans="1:11" ht="12.75">
      <c r="A193" s="20" t="str">
        <f ca="1">IFERROR(__xludf.DUMMYFUNCTION("""COMPUTED_VALUE"""),"Acuity")</f>
        <v>Acuity</v>
      </c>
      <c r="B193" s="20" t="str">
        <f ca="1">IFERROR(__xludf.DUMMYFUNCTION("""COMPUTED_VALUE"""),"Rapid Antigen")</f>
        <v>Rapid Antigen</v>
      </c>
      <c r="C193" s="20" t="str">
        <f ca="1">IFERROR(__xludf.DUMMYFUNCTION("""COMPUTED_VALUE"""),"2+")</f>
        <v>2+</v>
      </c>
      <c r="D193" s="22">
        <f ca="1">IFERROR(__xludf.DUMMYFUNCTION("""COMPUTED_VALUE"""),44571)</f>
        <v>44571</v>
      </c>
      <c r="E193" s="22">
        <f ca="1">IFERROR(__xludf.DUMMYFUNCTION("""COMPUTED_VALUE"""),44577)</f>
        <v>44577</v>
      </c>
      <c r="F193" s="20"/>
      <c r="G193" s="20" t="str">
        <f ca="1">IFERROR(__xludf.DUMMYFUNCTION("""COMPUTED_VALUE"""),"Benjamin Gladstone Square")</f>
        <v>Benjamin Gladstone Square</v>
      </c>
      <c r="H193" s="20" t="str">
        <f ca="1">IFERROR(__xludf.DUMMYFUNCTION("""COMPUTED_VALUE"""),"1070 Southern Blvd")</f>
        <v>1070 Southern Blvd</v>
      </c>
      <c r="I193" s="20" t="str">
        <f ca="1">IFERROR(__xludf.DUMMYFUNCTION("""COMPUTED_VALUE"""),"Bronx")</f>
        <v>Bronx</v>
      </c>
      <c r="J193" s="24">
        <f ca="1">IFERROR(__xludf.DUMMYFUNCTION("""COMPUTED_VALUE"""),10459)</f>
        <v>10459</v>
      </c>
      <c r="K193" s="20" t="str">
        <f ca="1">IFERROR(__xludf.DUMMYFUNCTION("""COMPUTED_VALUE"""),"9am - 6pm")</f>
        <v>9am - 6pm</v>
      </c>
    </row>
    <row r="194" spans="1:11" ht="12.75">
      <c r="A194" s="20" t="str">
        <f ca="1">IFERROR(__xludf.DUMMYFUNCTION("""COMPUTED_VALUE"""),"Acuity")</f>
        <v>Acuity</v>
      </c>
      <c r="B194" s="20" t="str">
        <f ca="1">IFERROR(__xludf.DUMMYFUNCTION("""COMPUTED_VALUE"""),"Rapid Antigen")</f>
        <v>Rapid Antigen</v>
      </c>
      <c r="C194" s="20" t="str">
        <f ca="1">IFERROR(__xludf.DUMMYFUNCTION("""COMPUTED_VALUE"""),"2+")</f>
        <v>2+</v>
      </c>
      <c r="D194" s="22">
        <f ca="1">IFERROR(__xludf.DUMMYFUNCTION("""COMPUTED_VALUE"""),44571)</f>
        <v>44571</v>
      </c>
      <c r="E194" s="22">
        <f ca="1">IFERROR(__xludf.DUMMYFUNCTION("""COMPUTED_VALUE"""),44577)</f>
        <v>44577</v>
      </c>
      <c r="F194" s="20"/>
      <c r="G194" s="20" t="str">
        <f ca="1">IFERROR(__xludf.DUMMYFUNCTION("""COMPUTED_VALUE"""),"Melrose Playground")</f>
        <v>Melrose Playground</v>
      </c>
      <c r="H194" s="20" t="str">
        <f ca="1">IFERROR(__xludf.DUMMYFUNCTION("""COMPUTED_VALUE"""),"705 Courtlandt Ave.")</f>
        <v>705 Courtlandt Ave.</v>
      </c>
      <c r="I194" s="20" t="str">
        <f ca="1">IFERROR(__xludf.DUMMYFUNCTION("""COMPUTED_VALUE"""),"Bronx")</f>
        <v>Bronx</v>
      </c>
      <c r="J194" s="24">
        <f ca="1">IFERROR(__xludf.DUMMYFUNCTION("""COMPUTED_VALUE"""),10451)</f>
        <v>10451</v>
      </c>
      <c r="K194" s="20" t="str">
        <f ca="1">IFERROR(__xludf.DUMMYFUNCTION("""COMPUTED_VALUE"""),"9am - 6pm")</f>
        <v>9am - 6pm</v>
      </c>
    </row>
    <row r="195" spans="1:11" ht="12.75">
      <c r="A195" s="20" t="str">
        <f ca="1">IFERROR(__xludf.DUMMYFUNCTION("""COMPUTED_VALUE"""),"Acuity")</f>
        <v>Acuity</v>
      </c>
      <c r="B195" s="20" t="str">
        <f ca="1">IFERROR(__xludf.DUMMYFUNCTION("""COMPUTED_VALUE"""),"Rapid Antigen")</f>
        <v>Rapid Antigen</v>
      </c>
      <c r="C195" s="20" t="str">
        <f ca="1">IFERROR(__xludf.DUMMYFUNCTION("""COMPUTED_VALUE"""),"2+")</f>
        <v>2+</v>
      </c>
      <c r="D195" s="22">
        <f ca="1">IFERROR(__xludf.DUMMYFUNCTION("""COMPUTED_VALUE"""),44571)</f>
        <v>44571</v>
      </c>
      <c r="E195" s="22">
        <f ca="1">IFERROR(__xludf.DUMMYFUNCTION("""COMPUTED_VALUE"""),44577)</f>
        <v>44577</v>
      </c>
      <c r="F195" s="20"/>
      <c r="G195" s="20" t="str">
        <f ca="1">IFERROR(__xludf.DUMMYFUNCTION("""COMPUTED_VALUE"""),"Aqueduct Walk")</f>
        <v>Aqueduct Walk</v>
      </c>
      <c r="H195" s="20" t="str">
        <f ca="1">IFERROR(__xludf.DUMMYFUNCTION("""COMPUTED_VALUE"""),"Intersection of Aqueduct Ave and W 181st")</f>
        <v>Intersection of Aqueduct Ave and W 181st</v>
      </c>
      <c r="I195" s="20" t="str">
        <f ca="1">IFERROR(__xludf.DUMMYFUNCTION("""COMPUTED_VALUE"""),"Bronx")</f>
        <v>Bronx</v>
      </c>
      <c r="J195" s="24">
        <f ca="1">IFERROR(__xludf.DUMMYFUNCTION("""COMPUTED_VALUE"""),10453)</f>
        <v>10453</v>
      </c>
      <c r="K195" s="20" t="str">
        <f ca="1">IFERROR(__xludf.DUMMYFUNCTION("""COMPUTED_VALUE"""),"9am - 6pm")</f>
        <v>9am - 6pm</v>
      </c>
    </row>
    <row r="196" spans="1:11" ht="12.75">
      <c r="A196" s="20" t="str">
        <f ca="1">IFERROR(__xludf.DUMMYFUNCTION("""COMPUTED_VALUE"""),"Acuity")</f>
        <v>Acuity</v>
      </c>
      <c r="B196" s="20" t="str">
        <f ca="1">IFERROR(__xludf.DUMMYFUNCTION("""COMPUTED_VALUE"""),"Rapid Antigen")</f>
        <v>Rapid Antigen</v>
      </c>
      <c r="C196" s="20" t="str">
        <f ca="1">IFERROR(__xludf.DUMMYFUNCTION("""COMPUTED_VALUE"""),"2+")</f>
        <v>2+</v>
      </c>
      <c r="D196" s="22">
        <f ca="1">IFERROR(__xludf.DUMMYFUNCTION("""COMPUTED_VALUE"""),44571)</f>
        <v>44571</v>
      </c>
      <c r="E196" s="22">
        <f ca="1">IFERROR(__xludf.DUMMYFUNCTION("""COMPUTED_VALUE"""),44577)</f>
        <v>44577</v>
      </c>
      <c r="F196" s="20"/>
      <c r="G196" s="20" t="str">
        <f ca="1">IFERROR(__xludf.DUMMYFUNCTION("""COMPUTED_VALUE"""),"Morgan Playground")</f>
        <v>Morgan Playground</v>
      </c>
      <c r="H196" s="20" t="str">
        <f ca="1">IFERROR(__xludf.DUMMYFUNCTION("""COMPUTED_VALUE"""),"Intersection of 168th and Park Ave.")</f>
        <v>Intersection of 168th and Park Ave.</v>
      </c>
      <c r="I196" s="20" t="str">
        <f ca="1">IFERROR(__xludf.DUMMYFUNCTION("""COMPUTED_VALUE"""),"Bronx")</f>
        <v>Bronx</v>
      </c>
      <c r="J196" s="24">
        <f ca="1">IFERROR(__xludf.DUMMYFUNCTION("""COMPUTED_VALUE"""),10456)</f>
        <v>10456</v>
      </c>
      <c r="K196" s="20" t="str">
        <f ca="1">IFERROR(__xludf.DUMMYFUNCTION("""COMPUTED_VALUE"""),"9am - 6pm")</f>
        <v>9am - 6pm</v>
      </c>
    </row>
    <row r="197" spans="1:11" ht="12.75">
      <c r="A197" s="20" t="str">
        <f ca="1">IFERROR(__xludf.DUMMYFUNCTION("""COMPUTED_VALUE"""),"Acuity")</f>
        <v>Acuity</v>
      </c>
      <c r="B197" s="20" t="str">
        <f ca="1">IFERROR(__xludf.DUMMYFUNCTION("""COMPUTED_VALUE"""),"Rapid Antigen")</f>
        <v>Rapid Antigen</v>
      </c>
      <c r="C197" s="20" t="str">
        <f ca="1">IFERROR(__xludf.DUMMYFUNCTION("""COMPUTED_VALUE"""),"2+")</f>
        <v>2+</v>
      </c>
      <c r="D197" s="22">
        <f ca="1">IFERROR(__xludf.DUMMYFUNCTION("""COMPUTED_VALUE"""),44571)</f>
        <v>44571</v>
      </c>
      <c r="E197" s="22">
        <f ca="1">IFERROR(__xludf.DUMMYFUNCTION("""COMPUTED_VALUE"""),44577)</f>
        <v>44577</v>
      </c>
      <c r="F197" s="20"/>
      <c r="G197" s="20" t="str">
        <f ca="1">IFERROR(__xludf.DUMMYFUNCTION("""COMPUTED_VALUE"""),"Corona Golf Playground")</f>
        <v>Corona Golf Playground</v>
      </c>
      <c r="H197" s="20" t="str">
        <f ca="1">IFERROR(__xludf.DUMMYFUNCTION("""COMPUTED_VALUE"""),"Intersection of 46th Ave. and 109th St.")</f>
        <v>Intersection of 46th Ave. and 109th St.</v>
      </c>
      <c r="I197" s="20" t="str">
        <f ca="1">IFERROR(__xludf.DUMMYFUNCTION("""COMPUTED_VALUE"""),"Queens")</f>
        <v>Queens</v>
      </c>
      <c r="J197" s="24">
        <f ca="1">IFERROR(__xludf.DUMMYFUNCTION("""COMPUTED_VALUE"""),11368)</f>
        <v>11368</v>
      </c>
      <c r="K197" s="20" t="str">
        <f ca="1">IFERROR(__xludf.DUMMYFUNCTION("""COMPUTED_VALUE"""),"9am - 6pm")</f>
        <v>9am - 6pm</v>
      </c>
    </row>
    <row r="198" spans="1:11" ht="12.75">
      <c r="A198" s="20" t="str">
        <f ca="1">IFERROR(__xludf.DUMMYFUNCTION("""COMPUTED_VALUE"""),"Acuity")</f>
        <v>Acuity</v>
      </c>
      <c r="B198" s="20" t="str">
        <f ca="1">IFERROR(__xludf.DUMMYFUNCTION("""COMPUTED_VALUE"""),"Rapid Antigen")</f>
        <v>Rapid Antigen</v>
      </c>
      <c r="C198" s="20" t="str">
        <f ca="1">IFERROR(__xludf.DUMMYFUNCTION("""COMPUTED_VALUE"""),"2+")</f>
        <v>2+</v>
      </c>
      <c r="D198" s="22">
        <f ca="1">IFERROR(__xludf.DUMMYFUNCTION("""COMPUTED_VALUE"""),44571)</f>
        <v>44571</v>
      </c>
      <c r="E198" s="22">
        <f ca="1">IFERROR(__xludf.DUMMYFUNCTION("""COMPUTED_VALUE"""),44577)</f>
        <v>44577</v>
      </c>
      <c r="F198" s="20"/>
      <c r="G198" s="20" t="str">
        <f ca="1">IFERROR(__xludf.DUMMYFUNCTION("""COMPUTED_VALUE"""),"St. Catherine's Park")</f>
        <v>St. Catherine's Park</v>
      </c>
      <c r="H198" s="20" t="str">
        <f ca="1">IFERROR(__xludf.DUMMYFUNCTION("""COMPUTED_VALUE"""),"Intersection of 68th and 1st Ave.")</f>
        <v>Intersection of 68th and 1st Ave.</v>
      </c>
      <c r="I198" s="20" t="str">
        <f ca="1">IFERROR(__xludf.DUMMYFUNCTION("""COMPUTED_VALUE"""),"Manhattan")</f>
        <v>Manhattan</v>
      </c>
      <c r="J198" s="24">
        <f ca="1">IFERROR(__xludf.DUMMYFUNCTION("""COMPUTED_VALUE"""),10065)</f>
        <v>10065</v>
      </c>
      <c r="K198" s="20" t="str">
        <f ca="1">IFERROR(__xludf.DUMMYFUNCTION("""COMPUTED_VALUE"""),"9am - 6pm")</f>
        <v>9am - 6pm</v>
      </c>
    </row>
    <row r="199" spans="1:11" ht="12.75">
      <c r="A199" s="20" t="str">
        <f ca="1">IFERROR(__xludf.DUMMYFUNCTION("""COMPUTED_VALUE"""),"Acuity")</f>
        <v>Acuity</v>
      </c>
      <c r="B199" s="20" t="str">
        <f ca="1">IFERROR(__xludf.DUMMYFUNCTION("""COMPUTED_VALUE"""),"Rapid Antigen")</f>
        <v>Rapid Antigen</v>
      </c>
      <c r="C199" s="20" t="str">
        <f ca="1">IFERROR(__xludf.DUMMYFUNCTION("""COMPUTED_VALUE"""),"2+")</f>
        <v>2+</v>
      </c>
      <c r="D199" s="22">
        <f ca="1">IFERROR(__xludf.DUMMYFUNCTION("""COMPUTED_VALUE"""),44571)</f>
        <v>44571</v>
      </c>
      <c r="E199" s="22">
        <f ca="1">IFERROR(__xludf.DUMMYFUNCTION("""COMPUTED_VALUE"""),44577)</f>
        <v>44577</v>
      </c>
      <c r="F199" s="20"/>
      <c r="G199" s="20" t="str">
        <f ca="1">IFERROR(__xludf.DUMMYFUNCTION("""COMPUTED_VALUE"""),"Kissena Corridor Park")</f>
        <v>Kissena Corridor Park</v>
      </c>
      <c r="H199" s="20" t="str">
        <f ca="1">IFERROR(__xludf.DUMMYFUNCTION("""COMPUTED_VALUE"""),"Intersection of 56th Ave. and 141st.")</f>
        <v>Intersection of 56th Ave. and 141st.</v>
      </c>
      <c r="I199" s="20" t="str">
        <f ca="1">IFERROR(__xludf.DUMMYFUNCTION("""COMPUTED_VALUE"""),"Queens")</f>
        <v>Queens</v>
      </c>
      <c r="J199" s="24">
        <f ca="1">IFERROR(__xludf.DUMMYFUNCTION("""COMPUTED_VALUE"""),11355)</f>
        <v>11355</v>
      </c>
      <c r="K199" s="20" t="str">
        <f ca="1">IFERROR(__xludf.DUMMYFUNCTION("""COMPUTED_VALUE"""),"9am - 6pm")</f>
        <v>9am - 6pm</v>
      </c>
    </row>
    <row r="200" spans="1:11" ht="12.75">
      <c r="A200" s="20" t="str">
        <f ca="1">IFERROR(__xludf.DUMMYFUNCTION("""COMPUTED_VALUE"""),"Acuity")</f>
        <v>Acuity</v>
      </c>
      <c r="B200" s="20" t="str">
        <f ca="1">IFERROR(__xludf.DUMMYFUNCTION("""COMPUTED_VALUE"""),"Rapid Antigen")</f>
        <v>Rapid Antigen</v>
      </c>
      <c r="C200" s="20" t="str">
        <f ca="1">IFERROR(__xludf.DUMMYFUNCTION("""COMPUTED_VALUE"""),"2+")</f>
        <v>2+</v>
      </c>
      <c r="D200" s="22">
        <f ca="1">IFERROR(__xludf.DUMMYFUNCTION("""COMPUTED_VALUE"""),44571)</f>
        <v>44571</v>
      </c>
      <c r="E200" s="22">
        <f ca="1">IFERROR(__xludf.DUMMYFUNCTION("""COMPUTED_VALUE"""),44577)</f>
        <v>44577</v>
      </c>
      <c r="F200" s="20"/>
      <c r="G200" s="20" t="str">
        <f ca="1">IFERROR(__xludf.DUMMYFUNCTION("""COMPUTED_VALUE"""),"Prospect Park")</f>
        <v>Prospect Park</v>
      </c>
      <c r="H200" s="20" t="str">
        <f ca="1">IFERROR(__xludf.DUMMYFUNCTION("""COMPUTED_VALUE"""),"Intersection of 9th St. and Prospect Park West")</f>
        <v>Intersection of 9th St. and Prospect Park West</v>
      </c>
      <c r="I200" s="20" t="str">
        <f ca="1">IFERROR(__xludf.DUMMYFUNCTION("""COMPUTED_VALUE"""),"Brooklyn")</f>
        <v>Brooklyn</v>
      </c>
      <c r="J200" s="24">
        <f ca="1">IFERROR(__xludf.DUMMYFUNCTION("""COMPUTED_VALUE"""),11215)</f>
        <v>11215</v>
      </c>
      <c r="K200" s="20" t="str">
        <f ca="1">IFERROR(__xludf.DUMMYFUNCTION("""COMPUTED_VALUE"""),"9am - 6pm")</f>
        <v>9am - 6pm</v>
      </c>
    </row>
    <row r="201" spans="1:11" ht="12.75">
      <c r="A201" s="20" t="str">
        <f ca="1">IFERROR(__xludf.DUMMYFUNCTION("""COMPUTED_VALUE"""),"Acuity")</f>
        <v>Acuity</v>
      </c>
      <c r="B201" s="20" t="str">
        <f ca="1">IFERROR(__xludf.DUMMYFUNCTION("""COMPUTED_VALUE"""),"Rapid Antigen")</f>
        <v>Rapid Antigen</v>
      </c>
      <c r="C201" s="20" t="str">
        <f ca="1">IFERROR(__xludf.DUMMYFUNCTION("""COMPUTED_VALUE"""),"2+")</f>
        <v>2+</v>
      </c>
      <c r="D201" s="22">
        <f ca="1">IFERROR(__xludf.DUMMYFUNCTION("""COMPUTED_VALUE"""),44571)</f>
        <v>44571</v>
      </c>
      <c r="E201" s="22">
        <f ca="1">IFERROR(__xludf.DUMMYFUNCTION("""COMPUTED_VALUE"""),44577)</f>
        <v>44577</v>
      </c>
      <c r="F201" s="20"/>
      <c r="G201" s="20" t="str">
        <f ca="1">IFERROR(__xludf.DUMMYFUNCTION("""COMPUTED_VALUE"""),"Mitchel Square")</f>
        <v>Mitchel Square</v>
      </c>
      <c r="H201" s="20" t="str">
        <f ca="1">IFERROR(__xludf.DUMMYFUNCTION("""COMPUTED_VALUE"""),"Intersection of W. 167th St. and Broadway")</f>
        <v>Intersection of W. 167th St. and Broadway</v>
      </c>
      <c r="I201" s="20" t="str">
        <f ca="1">IFERROR(__xludf.DUMMYFUNCTION("""COMPUTED_VALUE"""),"Manhattan")</f>
        <v>Manhattan</v>
      </c>
      <c r="J201" s="24">
        <f ca="1">IFERROR(__xludf.DUMMYFUNCTION("""COMPUTED_VALUE"""),10032)</f>
        <v>10032</v>
      </c>
      <c r="K201" s="20" t="str">
        <f ca="1">IFERROR(__xludf.DUMMYFUNCTION("""COMPUTED_VALUE"""),"9am - 6pm")</f>
        <v>9am - 6pm</v>
      </c>
    </row>
    <row r="202" spans="1:11" ht="12.75">
      <c r="A202" s="20" t="str">
        <f ca="1">IFERROR(__xludf.DUMMYFUNCTION("""COMPUTED_VALUE"""),"Acuity")</f>
        <v>Acuity</v>
      </c>
      <c r="B202" s="20" t="str">
        <f ca="1">IFERROR(__xludf.DUMMYFUNCTION("""COMPUTED_VALUE"""),"Rapid Antigen")</f>
        <v>Rapid Antigen</v>
      </c>
      <c r="C202" s="20" t="str">
        <f ca="1">IFERROR(__xludf.DUMMYFUNCTION("""COMPUTED_VALUE"""),"2+")</f>
        <v>2+</v>
      </c>
      <c r="D202" s="22">
        <f ca="1">IFERROR(__xludf.DUMMYFUNCTION("""COMPUTED_VALUE"""),44571)</f>
        <v>44571</v>
      </c>
      <c r="E202" s="22">
        <f ca="1">IFERROR(__xludf.DUMMYFUNCTION("""COMPUTED_VALUE"""),44577)</f>
        <v>44577</v>
      </c>
      <c r="F202" s="20"/>
      <c r="G202" s="20" t="str">
        <f ca="1">IFERROR(__xludf.DUMMYFUNCTION("""COMPUTED_VALUE"""),"D'Auria-Murphy Triangle")</f>
        <v>D'Auria-Murphy Triangle</v>
      </c>
      <c r="H202" s="20" t="str">
        <f ca="1">IFERROR(__xludf.DUMMYFUNCTION("""COMPUTED_VALUE"""),"Intersection of Aruther Ave. and Crescent Ave.")</f>
        <v>Intersection of Aruther Ave. and Crescent Ave.</v>
      </c>
      <c r="I202" s="20" t="str">
        <f ca="1">IFERROR(__xludf.DUMMYFUNCTION("""COMPUTED_VALUE"""),"Bronx")</f>
        <v>Bronx</v>
      </c>
      <c r="J202" s="24">
        <f ca="1">IFERROR(__xludf.DUMMYFUNCTION("""COMPUTED_VALUE"""),10458)</f>
        <v>10458</v>
      </c>
      <c r="K202" s="20" t="str">
        <f ca="1">IFERROR(__xludf.DUMMYFUNCTION("""COMPUTED_VALUE"""),"9am - 6pm")</f>
        <v>9am - 6pm</v>
      </c>
    </row>
    <row r="203" spans="1:11" ht="12.75">
      <c r="A203" s="20" t="str">
        <f ca="1">IFERROR(__xludf.DUMMYFUNCTION("""COMPUTED_VALUE"""),"Acuity")</f>
        <v>Acuity</v>
      </c>
      <c r="B203" s="20" t="str">
        <f ca="1">IFERROR(__xludf.DUMMYFUNCTION("""COMPUTED_VALUE"""),"Rapid Antigen")</f>
        <v>Rapid Antigen</v>
      </c>
      <c r="C203" s="20" t="str">
        <f ca="1">IFERROR(__xludf.DUMMYFUNCTION("""COMPUTED_VALUE"""),"2+")</f>
        <v>2+</v>
      </c>
      <c r="D203" s="22">
        <f ca="1">IFERROR(__xludf.DUMMYFUNCTION("""COMPUTED_VALUE"""),44571)</f>
        <v>44571</v>
      </c>
      <c r="E203" s="22">
        <f ca="1">IFERROR(__xludf.DUMMYFUNCTION("""COMPUTED_VALUE"""),44577)</f>
        <v>44577</v>
      </c>
      <c r="F203" s="20"/>
      <c r="G203" s="20" t="str">
        <f ca="1">IFERROR(__xludf.DUMMYFUNCTION("""COMPUTED_VALUE"""),"Bufano Park")</f>
        <v>Bufano Park</v>
      </c>
      <c r="H203" s="20" t="str">
        <f ca="1">IFERROR(__xludf.DUMMYFUNCTION("""COMPUTED_VALUE"""),"Intersection of Waterbury and Bradford")</f>
        <v>Intersection of Waterbury and Bradford</v>
      </c>
      <c r="I203" s="20" t="str">
        <f ca="1">IFERROR(__xludf.DUMMYFUNCTION("""COMPUTED_VALUE"""),"Bronx")</f>
        <v>Bronx</v>
      </c>
      <c r="J203" s="24">
        <f ca="1">IFERROR(__xludf.DUMMYFUNCTION("""COMPUTED_VALUE"""),10461)</f>
        <v>10461</v>
      </c>
      <c r="K203" s="20" t="str">
        <f ca="1">IFERROR(__xludf.DUMMYFUNCTION("""COMPUTED_VALUE"""),"9am to 6pm")</f>
        <v>9am to 6pm</v>
      </c>
    </row>
    <row r="204" spans="1:11" ht="12.75">
      <c r="A204" s="20" t="str">
        <f ca="1">IFERROR(__xludf.DUMMYFUNCTION("""COMPUTED_VALUE"""),"Acuity")</f>
        <v>Acuity</v>
      </c>
      <c r="B204" s="20" t="str">
        <f ca="1">IFERROR(__xludf.DUMMYFUNCTION("""COMPUTED_VALUE"""),"Rapid Antigen")</f>
        <v>Rapid Antigen</v>
      </c>
      <c r="C204" s="20" t="str">
        <f ca="1">IFERROR(__xludf.DUMMYFUNCTION("""COMPUTED_VALUE"""),"2+")</f>
        <v>2+</v>
      </c>
      <c r="D204" s="22">
        <f ca="1">IFERROR(__xludf.DUMMYFUNCTION("""COMPUTED_VALUE"""),44571)</f>
        <v>44571</v>
      </c>
      <c r="E204" s="22">
        <f ca="1">IFERROR(__xludf.DUMMYFUNCTION("""COMPUTED_VALUE"""),44577)</f>
        <v>44577</v>
      </c>
      <c r="F204" s="20"/>
      <c r="G204" s="20" t="str">
        <f ca="1">IFERROR(__xludf.DUMMYFUNCTION("""COMPUTED_VALUE"""),"Randalls Island")</f>
        <v>Randalls Island</v>
      </c>
      <c r="H204" s="20" t="str">
        <f ca="1">IFERROR(__xludf.DUMMYFUNCTION("""COMPUTED_VALUE"""),"Icahn Stadium Parking Lot")</f>
        <v>Icahn Stadium Parking Lot</v>
      </c>
      <c r="I204" s="20" t="str">
        <f ca="1">IFERROR(__xludf.DUMMYFUNCTION("""COMPUTED_VALUE"""),"Manhattan")</f>
        <v>Manhattan</v>
      </c>
      <c r="J204" s="24">
        <f ca="1">IFERROR(__xludf.DUMMYFUNCTION("""COMPUTED_VALUE"""),10035)</f>
        <v>10035</v>
      </c>
      <c r="K204" s="20" t="str">
        <f ca="1">IFERROR(__xludf.DUMMYFUNCTION("""COMPUTED_VALUE"""),"Mon, Wed, Fri, Sat 9am to 6pm")</f>
        <v>Mon, Wed, Fri, Sat 9am to 6pm</v>
      </c>
    </row>
    <row r="205" spans="1:11" ht="12.75">
      <c r="A205" s="20" t="str">
        <f ca="1">IFERROR(__xludf.DUMMYFUNCTION("""COMPUTED_VALUE"""),"Acuity")</f>
        <v>Acuity</v>
      </c>
      <c r="B205" s="20" t="str">
        <f ca="1">IFERROR(__xludf.DUMMYFUNCTION("""COMPUTED_VALUE"""),"Rapid Antigen")</f>
        <v>Rapid Antigen</v>
      </c>
      <c r="C205" s="20" t="str">
        <f ca="1">IFERROR(__xludf.DUMMYFUNCTION("""COMPUTED_VALUE"""),"2+")</f>
        <v>2+</v>
      </c>
      <c r="D205" s="22">
        <f ca="1">IFERROR(__xludf.DUMMYFUNCTION("""COMPUTED_VALUE"""),44571)</f>
        <v>44571</v>
      </c>
      <c r="E205" s="22">
        <f ca="1">IFERROR(__xludf.DUMMYFUNCTION("""COMPUTED_VALUE"""),44577)</f>
        <v>44577</v>
      </c>
      <c r="F205" s="20"/>
      <c r="G205" s="20" t="str">
        <f ca="1">IFERROR(__xludf.DUMMYFUNCTION("""COMPUTED_VALUE"""),"Owen Dolen Square")</f>
        <v>Owen Dolen Square</v>
      </c>
      <c r="H205" s="20" t="str">
        <f ca="1">IFERROR(__xludf.DUMMYFUNCTION("""COMPUTED_VALUE"""),"Intersection of Lane Ave. and Westchester Ave.")</f>
        <v>Intersection of Lane Ave. and Westchester Ave.</v>
      </c>
      <c r="I205" s="20" t="str">
        <f ca="1">IFERROR(__xludf.DUMMYFUNCTION("""COMPUTED_VALUE"""),"Bronx")</f>
        <v>Bronx</v>
      </c>
      <c r="J205" s="24">
        <f ca="1">IFERROR(__xludf.DUMMYFUNCTION("""COMPUTED_VALUE"""),10461)</f>
        <v>10461</v>
      </c>
      <c r="K205" s="20" t="str">
        <f ca="1">IFERROR(__xludf.DUMMYFUNCTION("""COMPUTED_VALUE"""),"9am to 6pm")</f>
        <v>9am to 6pm</v>
      </c>
    </row>
    <row r="206" spans="1:11" ht="12.75">
      <c r="A206" s="20" t="str">
        <f ca="1">IFERROR(__xludf.DUMMYFUNCTION("""COMPUTED_VALUE"""),"Acuity")</f>
        <v>Acuity</v>
      </c>
      <c r="B206" s="20" t="str">
        <f ca="1">IFERROR(__xludf.DUMMYFUNCTION("""COMPUTED_VALUE"""),"Rapid Antigen")</f>
        <v>Rapid Antigen</v>
      </c>
      <c r="C206" s="20" t="str">
        <f ca="1">IFERROR(__xludf.DUMMYFUNCTION("""COMPUTED_VALUE"""),"2+")</f>
        <v>2+</v>
      </c>
      <c r="D206" s="22">
        <f ca="1">IFERROR(__xludf.DUMMYFUNCTION("""COMPUTED_VALUE"""),44571)</f>
        <v>44571</v>
      </c>
      <c r="E206" s="22">
        <f ca="1">IFERROR(__xludf.DUMMYFUNCTION("""COMPUTED_VALUE"""),44577)</f>
        <v>44577</v>
      </c>
      <c r="F206" s="20"/>
      <c r="G206" s="20" t="str">
        <f ca="1">IFERROR(__xludf.DUMMYFUNCTION("""COMPUTED_VALUE"""),"Howard Van Dohlen Skate Park")</f>
        <v>Howard Van Dohlen Skate Park</v>
      </c>
      <c r="H206" s="20" t="str">
        <f ca="1">IFERROR(__xludf.DUMMYFUNCTION("""COMPUTED_VALUE"""),"Intersection of 91st Ave. and 138th St.")</f>
        <v>Intersection of 91st Ave. and 138th St.</v>
      </c>
      <c r="I206" s="20" t="str">
        <f ca="1">IFERROR(__xludf.DUMMYFUNCTION("""COMPUTED_VALUE"""),"Queens")</f>
        <v>Queens</v>
      </c>
      <c r="J206" s="24">
        <f ca="1">IFERROR(__xludf.DUMMYFUNCTION("""COMPUTED_VALUE"""),11435)</f>
        <v>11435</v>
      </c>
      <c r="K206" s="20" t="str">
        <f ca="1">IFERROR(__xludf.DUMMYFUNCTION("""COMPUTED_VALUE"""),"9am to 6pm")</f>
        <v>9am to 6pm</v>
      </c>
    </row>
    <row r="207" spans="1:11" ht="12.75">
      <c r="A207" s="20" t="str">
        <f ca="1">IFERROR(__xludf.DUMMYFUNCTION("""COMPUTED_VALUE"""),"Acuity")</f>
        <v>Acuity</v>
      </c>
      <c r="B207" s="20" t="str">
        <f ca="1">IFERROR(__xludf.DUMMYFUNCTION("""COMPUTED_VALUE"""),"Rapid Antigen")</f>
        <v>Rapid Antigen</v>
      </c>
      <c r="C207" s="20" t="str">
        <f ca="1">IFERROR(__xludf.DUMMYFUNCTION("""COMPUTED_VALUE"""),"2+")</f>
        <v>2+</v>
      </c>
      <c r="D207" s="22">
        <f ca="1">IFERROR(__xludf.DUMMYFUNCTION("""COMPUTED_VALUE"""),44571)</f>
        <v>44571</v>
      </c>
      <c r="E207" s="22">
        <f ca="1">IFERROR(__xludf.DUMMYFUNCTION("""COMPUTED_VALUE"""),44577)</f>
        <v>44577</v>
      </c>
      <c r="F207" s="20"/>
      <c r="G207" s="20" t="str">
        <f ca="1">IFERROR(__xludf.DUMMYFUNCTION("""COMPUTED_VALUE"""),"Osborn Playground")</f>
        <v>Osborn Playground</v>
      </c>
      <c r="H207" s="20" t="str">
        <f ca="1">IFERROR(__xludf.DUMMYFUNCTION("""COMPUTED_VALUE"""),"Intersection of Hegeman Ave. and Osborn St.")</f>
        <v>Intersection of Hegeman Ave. and Osborn St.</v>
      </c>
      <c r="I207" s="20" t="str">
        <f ca="1">IFERROR(__xludf.DUMMYFUNCTION("""COMPUTED_VALUE"""),"Brooklyn")</f>
        <v>Brooklyn</v>
      </c>
      <c r="J207" s="24">
        <f ca="1">IFERROR(__xludf.DUMMYFUNCTION("""COMPUTED_VALUE"""),11212)</f>
        <v>11212</v>
      </c>
      <c r="K207" s="20" t="str">
        <f ca="1">IFERROR(__xludf.DUMMYFUNCTION("""COMPUTED_VALUE"""),"9am to 6pm")</f>
        <v>9am to 6pm</v>
      </c>
    </row>
    <row r="208" spans="1:11" ht="12.75">
      <c r="A208" s="20" t="str">
        <f ca="1">IFERROR(__xludf.DUMMYFUNCTION("""COMPUTED_VALUE"""),"Acuity")</f>
        <v>Acuity</v>
      </c>
      <c r="B208" s="20" t="str">
        <f ca="1">IFERROR(__xludf.DUMMYFUNCTION("""COMPUTED_VALUE"""),"Rapid Antigen")</f>
        <v>Rapid Antigen</v>
      </c>
      <c r="C208" s="20" t="str">
        <f ca="1">IFERROR(__xludf.DUMMYFUNCTION("""COMPUTED_VALUE"""),"2+")</f>
        <v>2+</v>
      </c>
      <c r="D208" s="22">
        <f ca="1">IFERROR(__xludf.DUMMYFUNCTION("""COMPUTED_VALUE"""),44571)</f>
        <v>44571</v>
      </c>
      <c r="E208" s="22">
        <f ca="1">IFERROR(__xludf.DUMMYFUNCTION("""COMPUTED_VALUE"""),44577)</f>
        <v>44577</v>
      </c>
      <c r="F208" s="20"/>
      <c r="G208" s="20" t="str">
        <f ca="1">IFERROR(__xludf.DUMMYFUNCTION("""COMPUTED_VALUE"""),"PFC Norton Playground")</f>
        <v>PFC Norton Playground</v>
      </c>
      <c r="H208" s="20" t="str">
        <f ca="1">IFERROR(__xludf.DUMMYFUNCTION("""COMPUTED_VALUE"""),"Intersection Nostrand Ave. and Marine Pkwy")</f>
        <v>Intersection Nostrand Ave. and Marine Pkwy</v>
      </c>
      <c r="I208" s="20" t="str">
        <f ca="1">IFERROR(__xludf.DUMMYFUNCTION("""COMPUTED_VALUE"""),"Brooklyn")</f>
        <v>Brooklyn</v>
      </c>
      <c r="J208" s="24">
        <f ca="1">IFERROR(__xludf.DUMMYFUNCTION("""COMPUTED_VALUE"""),11229)</f>
        <v>11229</v>
      </c>
      <c r="K208" s="20" t="str">
        <f ca="1">IFERROR(__xludf.DUMMYFUNCTION("""COMPUTED_VALUE"""),"9am to 6pm")</f>
        <v>9am to 6pm</v>
      </c>
    </row>
    <row r="209" spans="1:11" ht="12.75">
      <c r="A209" s="20" t="str">
        <f ca="1">IFERROR(__xludf.DUMMYFUNCTION("""COMPUTED_VALUE"""),"Acuity")</f>
        <v>Acuity</v>
      </c>
      <c r="B209" s="20" t="str">
        <f ca="1">IFERROR(__xludf.DUMMYFUNCTION("""COMPUTED_VALUE"""),"Rapid Antigen")</f>
        <v>Rapid Antigen</v>
      </c>
      <c r="C209" s="20" t="str">
        <f ca="1">IFERROR(__xludf.DUMMYFUNCTION("""COMPUTED_VALUE"""),"2+")</f>
        <v>2+</v>
      </c>
      <c r="D209" s="22">
        <f ca="1">IFERROR(__xludf.DUMMYFUNCTION("""COMPUTED_VALUE"""),44571)</f>
        <v>44571</v>
      </c>
      <c r="E209" s="22">
        <f ca="1">IFERROR(__xludf.DUMMYFUNCTION("""COMPUTED_VALUE"""),44577)</f>
        <v>44577</v>
      </c>
      <c r="F209" s="20"/>
      <c r="G209" s="20" t="str">
        <f ca="1">IFERROR(__xludf.DUMMYFUNCTION("""COMPUTED_VALUE"""),"Forrest Park - Sobelsohn Playground")</f>
        <v>Forrest Park - Sobelsohn Playground</v>
      </c>
      <c r="H209" s="20" t="str">
        <f ca="1">IFERROR(__xludf.DUMMYFUNCTION("""COMPUTED_VALUE"""),"Intersection of Union Turnpike and Park Lane South")</f>
        <v>Intersection of Union Turnpike and Park Lane South</v>
      </c>
      <c r="I209" s="20" t="str">
        <f ca="1">IFERROR(__xludf.DUMMYFUNCTION("""COMPUTED_VALUE"""),"Queens")</f>
        <v>Queens</v>
      </c>
      <c r="J209" s="24">
        <f ca="1">IFERROR(__xludf.DUMMYFUNCTION("""COMPUTED_VALUE"""),11418)</f>
        <v>11418</v>
      </c>
      <c r="K209" s="20" t="str">
        <f ca="1">IFERROR(__xludf.DUMMYFUNCTION("""COMPUTED_VALUE"""),"9am to 6pm")</f>
        <v>9am to 6pm</v>
      </c>
    </row>
    <row r="210" spans="1:11" ht="12.75">
      <c r="A210" s="20" t="str">
        <f ca="1">IFERROR(__xludf.DUMMYFUNCTION("""COMPUTED_VALUE"""),"Acuity")</f>
        <v>Acuity</v>
      </c>
      <c r="B210" s="20" t="str">
        <f ca="1">IFERROR(__xludf.DUMMYFUNCTION("""COMPUTED_VALUE"""),"Rapid Antigen")</f>
        <v>Rapid Antigen</v>
      </c>
      <c r="C210" s="20" t="str">
        <f ca="1">IFERROR(__xludf.DUMMYFUNCTION("""COMPUTED_VALUE"""),"2+")</f>
        <v>2+</v>
      </c>
      <c r="D210" s="22">
        <f ca="1">IFERROR(__xludf.DUMMYFUNCTION("""COMPUTED_VALUE"""),44571)</f>
        <v>44571</v>
      </c>
      <c r="E210" s="22">
        <f ca="1">IFERROR(__xludf.DUMMYFUNCTION("""COMPUTED_VALUE"""),44577)</f>
        <v>44577</v>
      </c>
      <c r="F210" s="20"/>
      <c r="G210" s="20" t="str">
        <f ca="1">IFERROR(__xludf.DUMMYFUNCTION("""COMPUTED_VALUE"""),"Naples Playground")</f>
        <v>Naples Playground</v>
      </c>
      <c r="H210" s="20" t="str">
        <f ca="1">IFERROR(__xludf.DUMMYFUNCTION("""COMPUTED_VALUE"""),"Intersection of Naples St. and Stanwich St.")</f>
        <v>Intersection of Naples St. and Stanwich St.</v>
      </c>
      <c r="I210" s="20" t="str">
        <f ca="1">IFERROR(__xludf.DUMMYFUNCTION("""COMPUTED_VALUE"""),"Staten Island")</f>
        <v>Staten Island</v>
      </c>
      <c r="J210" s="24">
        <f ca="1">IFERROR(__xludf.DUMMYFUNCTION("""COMPUTED_VALUE"""),10304)</f>
        <v>10304</v>
      </c>
      <c r="K210" s="20" t="str">
        <f ca="1">IFERROR(__xludf.DUMMYFUNCTION("""COMPUTED_VALUE"""),"9am to 6pm")</f>
        <v>9am to 6pm</v>
      </c>
    </row>
    <row r="211" spans="1:11" ht="12.75">
      <c r="A211" s="20" t="str">
        <f ca="1">IFERROR(__xludf.DUMMYFUNCTION("""COMPUTED_VALUE"""),"Acuity")</f>
        <v>Acuity</v>
      </c>
      <c r="B211" s="20" t="str">
        <f ca="1">IFERROR(__xludf.DUMMYFUNCTION("""COMPUTED_VALUE"""),"Rapid Antigen")</f>
        <v>Rapid Antigen</v>
      </c>
      <c r="C211" s="20" t="str">
        <f ca="1">IFERROR(__xludf.DUMMYFUNCTION("""COMPUTED_VALUE"""),"2+")</f>
        <v>2+</v>
      </c>
      <c r="D211" s="22">
        <f ca="1">IFERROR(__xludf.DUMMYFUNCTION("""COMPUTED_VALUE"""),44571)</f>
        <v>44571</v>
      </c>
      <c r="E211" s="22">
        <f ca="1">IFERROR(__xludf.DUMMYFUNCTION("""COMPUTED_VALUE"""),44577)</f>
        <v>44577</v>
      </c>
      <c r="F211" s="20"/>
      <c r="G211" s="20" t="str">
        <f ca="1">IFERROR(__xludf.DUMMYFUNCTION("""COMPUTED_VALUE"""),"Joyce Kilmer Park")</f>
        <v>Joyce Kilmer Park</v>
      </c>
      <c r="H211" s="20" t="str">
        <f ca="1">IFERROR(__xludf.DUMMYFUNCTION("""COMPUTED_VALUE"""),"Intersection of Grand Concourse and E 161st")</f>
        <v>Intersection of Grand Concourse and E 161st</v>
      </c>
      <c r="I211" s="20" t="str">
        <f ca="1">IFERROR(__xludf.DUMMYFUNCTION("""COMPUTED_VALUE"""),"Bronx")</f>
        <v>Bronx</v>
      </c>
      <c r="J211" s="24">
        <f ca="1">IFERROR(__xludf.DUMMYFUNCTION("""COMPUTED_VALUE"""),10452)</f>
        <v>10452</v>
      </c>
      <c r="K211" s="20" t="str">
        <f ca="1">IFERROR(__xludf.DUMMYFUNCTION("""COMPUTED_VALUE"""),"9am to 6pm")</f>
        <v>9am to 6pm</v>
      </c>
    </row>
    <row r="212" spans="1:11" ht="12.75">
      <c r="A212" s="20" t="str">
        <f ca="1">IFERROR(__xludf.DUMMYFUNCTION("""COMPUTED_VALUE"""),"Acuity")</f>
        <v>Acuity</v>
      </c>
      <c r="B212" s="20" t="str">
        <f ca="1">IFERROR(__xludf.DUMMYFUNCTION("""COMPUTED_VALUE"""),"Rapid Antigen")</f>
        <v>Rapid Antigen</v>
      </c>
      <c r="C212" s="20" t="str">
        <f ca="1">IFERROR(__xludf.DUMMYFUNCTION("""COMPUTED_VALUE"""),"2+")</f>
        <v>2+</v>
      </c>
      <c r="D212" s="22">
        <f ca="1">IFERROR(__xludf.DUMMYFUNCTION("""COMPUTED_VALUE"""),44571)</f>
        <v>44571</v>
      </c>
      <c r="E212" s="22">
        <f ca="1">IFERROR(__xludf.DUMMYFUNCTION("""COMPUTED_VALUE"""),44577)</f>
        <v>44577</v>
      </c>
      <c r="F212" s="20"/>
      <c r="G212" s="20" t="str">
        <f ca="1">IFERROR(__xludf.DUMMYFUNCTION("""COMPUTED_VALUE"""),"Stroud Playground")</f>
        <v>Stroud Playground</v>
      </c>
      <c r="H212" s="20" t="str">
        <f ca="1">IFERROR(__xludf.DUMMYFUNCTION("""COMPUTED_VALUE"""),"On Park Pl, between Grand and Glasson Ave.")</f>
        <v>On Park Pl, between Grand and Glasson Ave.</v>
      </c>
      <c r="I212" s="20" t="str">
        <f ca="1">IFERROR(__xludf.DUMMYFUNCTION("""COMPUTED_VALUE"""),"Brooklyn")</f>
        <v>Brooklyn</v>
      </c>
      <c r="J212" s="24">
        <f ca="1">IFERROR(__xludf.DUMMYFUNCTION("""COMPUTED_VALUE"""),11238)</f>
        <v>11238</v>
      </c>
      <c r="K212" s="20" t="str">
        <f ca="1">IFERROR(__xludf.DUMMYFUNCTION("""COMPUTED_VALUE"""),"9am to 6pm")</f>
        <v>9am to 6pm</v>
      </c>
    </row>
    <row r="213" spans="1:11" ht="12.75">
      <c r="A213" s="20" t="str">
        <f ca="1">IFERROR(__xludf.DUMMYFUNCTION("""COMPUTED_VALUE"""),"Acuity")</f>
        <v>Acuity</v>
      </c>
      <c r="B213" s="20" t="str">
        <f ca="1">IFERROR(__xludf.DUMMYFUNCTION("""COMPUTED_VALUE"""),"Rapid Antigen")</f>
        <v>Rapid Antigen</v>
      </c>
      <c r="C213" s="20" t="str">
        <f ca="1">IFERROR(__xludf.DUMMYFUNCTION("""COMPUTED_VALUE"""),"2+")</f>
        <v>2+</v>
      </c>
      <c r="D213" s="22">
        <f ca="1">IFERROR(__xludf.DUMMYFUNCTION("""COMPUTED_VALUE"""),44571)</f>
        <v>44571</v>
      </c>
      <c r="E213" s="22">
        <f ca="1">IFERROR(__xludf.DUMMYFUNCTION("""COMPUTED_VALUE"""),44577)</f>
        <v>44577</v>
      </c>
      <c r="F213" s="20"/>
      <c r="G213" s="20" t="str">
        <f ca="1">IFERROR(__xludf.DUMMYFUNCTION("""COMPUTED_VALUE"""),"Howard Bennett Playground")</f>
        <v>Howard Bennett Playground</v>
      </c>
      <c r="H213" s="20" t="str">
        <f ca="1">IFERROR(__xludf.DUMMYFUNCTION("""COMPUTED_VALUE"""),"On W. 135th between 5th ave. and Malcolm X Blvd")</f>
        <v>On W. 135th between 5th ave. and Malcolm X Blvd</v>
      </c>
      <c r="I213" s="20" t="str">
        <f ca="1">IFERROR(__xludf.DUMMYFUNCTION("""COMPUTED_VALUE"""),"Manhattan")</f>
        <v>Manhattan</v>
      </c>
      <c r="J213" s="24">
        <f ca="1">IFERROR(__xludf.DUMMYFUNCTION("""COMPUTED_VALUE"""),10037)</f>
        <v>10037</v>
      </c>
      <c r="K213" s="20" t="str">
        <f ca="1">IFERROR(__xludf.DUMMYFUNCTION("""COMPUTED_VALUE"""),"9am to 6pm")</f>
        <v>9am to 6pm</v>
      </c>
    </row>
    <row r="214" spans="1:11" ht="12.75">
      <c r="A214" s="20" t="str">
        <f ca="1">IFERROR(__xludf.DUMMYFUNCTION("""COMPUTED_VALUE"""),"Acuity")</f>
        <v>Acuity</v>
      </c>
      <c r="B214" s="20" t="str">
        <f ca="1">IFERROR(__xludf.DUMMYFUNCTION("""COMPUTED_VALUE"""),"Rapid Antigen")</f>
        <v>Rapid Antigen</v>
      </c>
      <c r="C214" s="20" t="str">
        <f ca="1">IFERROR(__xludf.DUMMYFUNCTION("""COMPUTED_VALUE"""),"2+")</f>
        <v>2+</v>
      </c>
      <c r="D214" s="22">
        <f ca="1">IFERROR(__xludf.DUMMYFUNCTION("""COMPUTED_VALUE"""),44571)</f>
        <v>44571</v>
      </c>
      <c r="E214" s="22">
        <f ca="1">IFERROR(__xludf.DUMMYFUNCTION("""COMPUTED_VALUE"""),44577)</f>
        <v>44577</v>
      </c>
      <c r="F214" s="20"/>
      <c r="G214" s="20" t="str">
        <f ca="1">IFERROR(__xludf.DUMMYFUNCTION("""COMPUTED_VALUE"""),"Mae Grant Playground")</f>
        <v>Mae Grant Playground</v>
      </c>
      <c r="H214" s="20" t="str">
        <f ca="1">IFERROR(__xludf.DUMMYFUNCTION("""COMPUTED_VALUE"""),"On E. 104th St. between Madison and Park Ave.")</f>
        <v>On E. 104th St. between Madison and Park Ave.</v>
      </c>
      <c r="I214" s="20" t="str">
        <f ca="1">IFERROR(__xludf.DUMMYFUNCTION("""COMPUTED_VALUE"""),"Manhattan")</f>
        <v>Manhattan</v>
      </c>
      <c r="J214" s="24">
        <f ca="1">IFERROR(__xludf.DUMMYFUNCTION("""COMPUTED_VALUE"""),10029)</f>
        <v>10029</v>
      </c>
      <c r="K214" s="20" t="str">
        <f ca="1">IFERROR(__xludf.DUMMYFUNCTION("""COMPUTED_VALUE"""),"9am to 6pm")</f>
        <v>9am to 6pm</v>
      </c>
    </row>
    <row r="215" spans="1:11" ht="12.75">
      <c r="A215" s="20" t="str">
        <f ca="1">IFERROR(__xludf.DUMMYFUNCTION("""COMPUTED_VALUE"""),"Acuity")</f>
        <v>Acuity</v>
      </c>
      <c r="B215" s="20" t="str">
        <f ca="1">IFERROR(__xludf.DUMMYFUNCTION("""COMPUTED_VALUE"""),"Rapid Antigen")</f>
        <v>Rapid Antigen</v>
      </c>
      <c r="C215" s="20" t="str">
        <f ca="1">IFERROR(__xludf.DUMMYFUNCTION("""COMPUTED_VALUE"""),"2+")</f>
        <v>2+</v>
      </c>
      <c r="D215" s="22">
        <f ca="1">IFERROR(__xludf.DUMMYFUNCTION("""COMPUTED_VALUE"""),44571)</f>
        <v>44571</v>
      </c>
      <c r="E215" s="22">
        <f ca="1">IFERROR(__xludf.DUMMYFUNCTION("""COMPUTED_VALUE"""),44577)</f>
        <v>44577</v>
      </c>
      <c r="F215" s="20"/>
      <c r="G215" s="20" t="str">
        <f ca="1">IFERROR(__xludf.DUMMYFUNCTION("""COMPUTED_VALUE"""),"Loreto Playground")</f>
        <v>Loreto Playground</v>
      </c>
      <c r="H215" s="20" t="str">
        <f ca="1">IFERROR(__xludf.DUMMYFUNCTION("""COMPUTED_VALUE"""),"Intersection of Morris Park Ave. and Tomlinson Ave.")</f>
        <v>Intersection of Morris Park Ave. and Tomlinson Ave.</v>
      </c>
      <c r="I215" s="20" t="str">
        <f ca="1">IFERROR(__xludf.DUMMYFUNCTION("""COMPUTED_VALUE"""),"Bronx")</f>
        <v>Bronx</v>
      </c>
      <c r="J215" s="24">
        <f ca="1">IFERROR(__xludf.DUMMYFUNCTION("""COMPUTED_VALUE"""),10461)</f>
        <v>10461</v>
      </c>
      <c r="K215" s="20" t="str">
        <f ca="1">IFERROR(__xludf.DUMMYFUNCTION("""COMPUTED_VALUE"""),"9am to 6pm")</f>
        <v>9am to 6pm</v>
      </c>
    </row>
    <row r="216" spans="1:11" ht="12.75">
      <c r="A216" s="20" t="str">
        <f ca="1">IFERROR(__xludf.DUMMYFUNCTION("""COMPUTED_VALUE"""),"Acuity")</f>
        <v>Acuity</v>
      </c>
      <c r="B216" s="20" t="str">
        <f ca="1">IFERROR(__xludf.DUMMYFUNCTION("""COMPUTED_VALUE"""),"Rapid Antigen")</f>
        <v>Rapid Antigen</v>
      </c>
      <c r="C216" s="20" t="str">
        <f ca="1">IFERROR(__xludf.DUMMYFUNCTION("""COMPUTED_VALUE"""),"2+")</f>
        <v>2+</v>
      </c>
      <c r="D216" s="22">
        <f ca="1">IFERROR(__xludf.DUMMYFUNCTION("""COMPUTED_VALUE"""),44571)</f>
        <v>44571</v>
      </c>
      <c r="E216" s="22">
        <f ca="1">IFERROR(__xludf.DUMMYFUNCTION("""COMPUTED_VALUE"""),44577)</f>
        <v>44577</v>
      </c>
      <c r="F216" s="20"/>
      <c r="G216" s="20" t="str">
        <f ca="1">IFERROR(__xludf.DUMMYFUNCTION("""COMPUTED_VALUE"""),"St. Vartan Park")</f>
        <v>St. Vartan Park</v>
      </c>
      <c r="H216" s="20" t="str">
        <f ca="1">IFERROR(__xludf.DUMMYFUNCTION("""COMPUTED_VALUE"""),"Intersection of E. 35th and 1st Ave.")</f>
        <v>Intersection of E. 35th and 1st Ave.</v>
      </c>
      <c r="I216" s="20" t="str">
        <f ca="1">IFERROR(__xludf.DUMMYFUNCTION("""COMPUTED_VALUE"""),"Manhattan")</f>
        <v>Manhattan</v>
      </c>
      <c r="J216" s="24">
        <f ca="1">IFERROR(__xludf.DUMMYFUNCTION("""COMPUTED_VALUE"""),10016)</f>
        <v>10016</v>
      </c>
      <c r="K216" s="20" t="str">
        <f ca="1">IFERROR(__xludf.DUMMYFUNCTION("""COMPUTED_VALUE"""),"9am to 6pm")</f>
        <v>9am to 6pm</v>
      </c>
    </row>
    <row r="217" spans="1:11" ht="12.75">
      <c r="A217" s="20" t="str">
        <f ca="1">IFERROR(__xludf.DUMMYFUNCTION("""COMPUTED_VALUE"""),"Acuity")</f>
        <v>Acuity</v>
      </c>
      <c r="B217" s="20" t="str">
        <f ca="1">IFERROR(__xludf.DUMMYFUNCTION("""COMPUTED_VALUE"""),"Rapid Antigen")</f>
        <v>Rapid Antigen</v>
      </c>
      <c r="C217" s="20" t="str">
        <f ca="1">IFERROR(__xludf.DUMMYFUNCTION("""COMPUTED_VALUE"""),"2+")</f>
        <v>2+</v>
      </c>
      <c r="D217" s="22">
        <f ca="1">IFERROR(__xludf.DUMMYFUNCTION("""COMPUTED_VALUE"""),44571)</f>
        <v>44571</v>
      </c>
      <c r="E217" s="22">
        <f ca="1">IFERROR(__xludf.DUMMYFUNCTION("""COMPUTED_VALUE"""),44577)</f>
        <v>44577</v>
      </c>
      <c r="F217" s="20"/>
      <c r="G217" s="20" t="str">
        <f ca="1">IFERROR(__xludf.DUMMYFUNCTION("""COMPUTED_VALUE"""),"Claremont Park")</f>
        <v>Claremont Park</v>
      </c>
      <c r="H217" s="20" t="str">
        <f ca="1">IFERROR(__xludf.DUMMYFUNCTION("""COMPUTED_VALUE"""),"Intersection of Morris Ave. and E. Mt. Eden Ave.")</f>
        <v>Intersection of Morris Ave. and E. Mt. Eden Ave.</v>
      </c>
      <c r="I217" s="20" t="str">
        <f ca="1">IFERROR(__xludf.DUMMYFUNCTION("""COMPUTED_VALUE"""),"Manhattan")</f>
        <v>Manhattan</v>
      </c>
      <c r="J217" s="24">
        <f ca="1">IFERROR(__xludf.DUMMYFUNCTION("""COMPUTED_VALUE"""),10456)</f>
        <v>10456</v>
      </c>
      <c r="K217" s="20" t="str">
        <f ca="1">IFERROR(__xludf.DUMMYFUNCTION("""COMPUTED_VALUE"""),"9am to 6pm")</f>
        <v>9am to 6pm</v>
      </c>
    </row>
    <row r="218" spans="1:11" ht="12.75">
      <c r="A218" s="20" t="str">
        <f ca="1">IFERROR(__xludf.DUMMYFUNCTION("""COMPUTED_VALUE"""),"Acuity")</f>
        <v>Acuity</v>
      </c>
      <c r="B218" s="20" t="str">
        <f ca="1">IFERROR(__xludf.DUMMYFUNCTION("""COMPUTED_VALUE"""),"Rapid Antigen")</f>
        <v>Rapid Antigen</v>
      </c>
      <c r="C218" s="20" t="str">
        <f ca="1">IFERROR(__xludf.DUMMYFUNCTION("""COMPUTED_VALUE"""),"2+")</f>
        <v>2+</v>
      </c>
      <c r="D218" s="22">
        <f ca="1">IFERROR(__xludf.DUMMYFUNCTION("""COMPUTED_VALUE"""),44571)</f>
        <v>44571</v>
      </c>
      <c r="E218" s="22">
        <f ca="1">IFERROR(__xludf.DUMMYFUNCTION("""COMPUTED_VALUE"""),44577)</f>
        <v>44577</v>
      </c>
      <c r="F218" s="20"/>
      <c r="G218" s="20" t="str">
        <f ca="1">IFERROR(__xludf.DUMMYFUNCTION("""COMPUTED_VALUE"""),"Stuyvesant Square Park")</f>
        <v>Stuyvesant Square Park</v>
      </c>
      <c r="H218" s="20" t="str">
        <f ca="1">IFERROR(__xludf.DUMMYFUNCTION("""COMPUTED_VALUE"""),"Intersection of E 16th St. and Nathan D. Perlman Pl")</f>
        <v>Intersection of E 16th St. and Nathan D. Perlman Pl</v>
      </c>
      <c r="I218" s="20" t="str">
        <f ca="1">IFERROR(__xludf.DUMMYFUNCTION("""COMPUTED_VALUE"""),"Manhattan")</f>
        <v>Manhattan</v>
      </c>
      <c r="J218" s="24">
        <f ca="1">IFERROR(__xludf.DUMMYFUNCTION("""COMPUTED_VALUE"""),10016)</f>
        <v>10016</v>
      </c>
      <c r="K218" s="20" t="str">
        <f ca="1">IFERROR(__xludf.DUMMYFUNCTION("""COMPUTED_VALUE"""),"9am to 6pm")</f>
        <v>9am to 6pm</v>
      </c>
    </row>
    <row r="219" spans="1:11" ht="12.75">
      <c r="A219" s="20" t="str">
        <f ca="1">IFERROR(__xludf.DUMMYFUNCTION("""COMPUTED_VALUE"""),"Acuity")</f>
        <v>Acuity</v>
      </c>
      <c r="B219" s="20" t="str">
        <f ca="1">IFERROR(__xludf.DUMMYFUNCTION("""COMPUTED_VALUE"""),"Rapid Antigen")</f>
        <v>Rapid Antigen</v>
      </c>
      <c r="C219" s="20" t="str">
        <f ca="1">IFERROR(__xludf.DUMMYFUNCTION("""COMPUTED_VALUE"""),"2+")</f>
        <v>2+</v>
      </c>
      <c r="D219" s="22">
        <f ca="1">IFERROR(__xludf.DUMMYFUNCTION("""COMPUTED_VALUE"""),44571)</f>
        <v>44571</v>
      </c>
      <c r="E219" s="22">
        <f ca="1">IFERROR(__xludf.DUMMYFUNCTION("""COMPUTED_VALUE"""),44577)</f>
        <v>44577</v>
      </c>
      <c r="F219" s="20"/>
      <c r="G219" s="20" t="str">
        <f ca="1">IFERROR(__xludf.DUMMYFUNCTION("""COMPUTED_VALUE"""),"Bronx River Park")</f>
        <v>Bronx River Park</v>
      </c>
      <c r="H219" s="20" t="str">
        <f ca="1">IFERROR(__xludf.DUMMYFUNCTION("""COMPUTED_VALUE"""),"South Western Corner of Bronx Blvd and E233rd St.")</f>
        <v>South Western Corner of Bronx Blvd and E233rd St.</v>
      </c>
      <c r="I219" s="20" t="str">
        <f ca="1">IFERROR(__xludf.DUMMYFUNCTION("""COMPUTED_VALUE"""),"Bronx")</f>
        <v>Bronx</v>
      </c>
      <c r="J219" s="24">
        <f ca="1">IFERROR(__xludf.DUMMYFUNCTION("""COMPUTED_VALUE"""),10466)</f>
        <v>10466</v>
      </c>
      <c r="K219" s="20" t="str">
        <f ca="1">IFERROR(__xludf.DUMMYFUNCTION("""COMPUTED_VALUE"""),"9am to 6pm")</f>
        <v>9am to 6pm</v>
      </c>
    </row>
    <row r="220" spans="1:11" ht="12.75">
      <c r="A220" s="20" t="str">
        <f ca="1">IFERROR(__xludf.DUMMYFUNCTION("""COMPUTED_VALUE"""),"Acuity")</f>
        <v>Acuity</v>
      </c>
      <c r="B220" s="20" t="str">
        <f ca="1">IFERROR(__xludf.DUMMYFUNCTION("""COMPUTED_VALUE"""),"Rapid Antigen")</f>
        <v>Rapid Antigen</v>
      </c>
      <c r="C220" s="20" t="str">
        <f ca="1">IFERROR(__xludf.DUMMYFUNCTION("""COMPUTED_VALUE"""),"2+")</f>
        <v>2+</v>
      </c>
      <c r="D220" s="22">
        <f ca="1">IFERROR(__xludf.DUMMYFUNCTION("""COMPUTED_VALUE"""),44571)</f>
        <v>44571</v>
      </c>
      <c r="E220" s="22">
        <f ca="1">IFERROR(__xludf.DUMMYFUNCTION("""COMPUTED_VALUE"""),44577)</f>
        <v>44577</v>
      </c>
      <c r="F220" s="20"/>
      <c r="G220" s="20" t="str">
        <f ca="1">IFERROR(__xludf.DUMMYFUNCTION("""COMPUTED_VALUE"""),"Canarise Parking")</f>
        <v>Canarise Parking</v>
      </c>
      <c r="H220" s="20" t="str">
        <f ca="1">IFERROR(__xludf.DUMMYFUNCTION("""COMPUTED_VALUE"""),"Adjacent to 620 E. 99th St.")</f>
        <v>Adjacent to 620 E. 99th St.</v>
      </c>
      <c r="I220" s="20" t="str">
        <f ca="1">IFERROR(__xludf.DUMMYFUNCTION("""COMPUTED_VALUE"""),"Brooklyn")</f>
        <v>Brooklyn</v>
      </c>
      <c r="J220" s="24">
        <f ca="1">IFERROR(__xludf.DUMMYFUNCTION("""COMPUTED_VALUE"""),11236)</f>
        <v>11236</v>
      </c>
      <c r="K220" s="20" t="str">
        <f ca="1">IFERROR(__xludf.DUMMYFUNCTION("""COMPUTED_VALUE"""),"9am to 6pm")</f>
        <v>9am to 6pm</v>
      </c>
    </row>
    <row r="221" spans="1:11" ht="12.75">
      <c r="A221" s="20" t="str">
        <f ca="1">IFERROR(__xludf.DUMMYFUNCTION("""COMPUTED_VALUE"""),"Acuity")</f>
        <v>Acuity</v>
      </c>
      <c r="B221" s="20" t="str">
        <f ca="1">IFERROR(__xludf.DUMMYFUNCTION("""COMPUTED_VALUE"""),"Rapid Antigen")</f>
        <v>Rapid Antigen</v>
      </c>
      <c r="C221" s="20" t="str">
        <f ca="1">IFERROR(__xludf.DUMMYFUNCTION("""COMPUTED_VALUE"""),"2+")</f>
        <v>2+</v>
      </c>
      <c r="D221" s="22">
        <f ca="1">IFERROR(__xludf.DUMMYFUNCTION("""COMPUTED_VALUE"""),44571)</f>
        <v>44571</v>
      </c>
      <c r="E221" s="22">
        <f ca="1">IFERROR(__xludf.DUMMYFUNCTION("""COMPUTED_VALUE"""),44577)</f>
        <v>44577</v>
      </c>
      <c r="F221" s="20"/>
      <c r="G221" s="20" t="str">
        <f ca="1">IFERROR(__xludf.DUMMYFUNCTION("""COMPUTED_VALUE"""),"Pugsley Creek Park")</f>
        <v>Pugsley Creek Park</v>
      </c>
      <c r="H221" s="20" t="str">
        <f ca="1">IFERROR(__xludf.DUMMYFUNCTION("""COMPUTED_VALUE"""),"Intersection of White Plains Rd. and Patterson Ave.")</f>
        <v>Intersection of White Plains Rd. and Patterson Ave.</v>
      </c>
      <c r="I221" s="20" t="str">
        <f ca="1">IFERROR(__xludf.DUMMYFUNCTION("""COMPUTED_VALUE"""),"Bronx")</f>
        <v>Bronx</v>
      </c>
      <c r="J221" s="24">
        <f ca="1">IFERROR(__xludf.DUMMYFUNCTION("""COMPUTED_VALUE"""),10473)</f>
        <v>10473</v>
      </c>
      <c r="K221" s="20" t="str">
        <f ca="1">IFERROR(__xludf.DUMMYFUNCTION("""COMPUTED_VALUE"""),"9am to 6pm")</f>
        <v>9am to 6pm</v>
      </c>
    </row>
    <row r="222" spans="1:11" ht="12.75">
      <c r="A222" s="20" t="str">
        <f ca="1">IFERROR(__xludf.DUMMYFUNCTION("""COMPUTED_VALUE"""),"eTrueNorth")</f>
        <v>eTrueNorth</v>
      </c>
      <c r="B222" s="20" t="str">
        <f ca="1">IFERROR(__xludf.DUMMYFUNCTION("""COMPUTED_VALUE"""),"PCR")</f>
        <v>PCR</v>
      </c>
      <c r="C222" s="20" t="str">
        <f ca="1">IFERROR(__xludf.DUMMYFUNCTION("""COMPUTED_VALUE"""),"All Ages")</f>
        <v>All Ages</v>
      </c>
      <c r="D222" s="22">
        <f ca="1">IFERROR(__xludf.DUMMYFUNCTION("""COMPUTED_VALUE"""),44571)</f>
        <v>44571</v>
      </c>
      <c r="E222" s="22">
        <f ca="1">IFERROR(__xludf.DUMMYFUNCTION("""COMPUTED_VALUE"""),44577)</f>
        <v>44577</v>
      </c>
      <c r="F222" s="20"/>
      <c r="G222" s="20" t="str">
        <f ca="1">IFERROR(__xludf.DUMMYFUNCTION("""COMPUTED_VALUE"""),"Travers Park")</f>
        <v>Travers Park</v>
      </c>
      <c r="H222" s="20" t="str">
        <f ca="1">IFERROR(__xludf.DUMMYFUNCTION("""COMPUTED_VALUE"""),"76-9 34th Ave, Queens, NY 11372")</f>
        <v>76-9 34th Ave, Queens, NY 11372</v>
      </c>
      <c r="I222" s="20" t="str">
        <f ca="1">IFERROR(__xludf.DUMMYFUNCTION("""COMPUTED_VALUE"""),"Queens")</f>
        <v>Queens</v>
      </c>
      <c r="J222" s="24">
        <f ca="1">IFERROR(__xludf.DUMMYFUNCTION("""COMPUTED_VALUE"""),11372)</f>
        <v>11372</v>
      </c>
      <c r="K222" s="20" t="str">
        <f ca="1">IFERROR(__xludf.DUMMYFUNCTION("""COMPUTED_VALUE"""),"7AM - 5PM")</f>
        <v>7AM - 5PM</v>
      </c>
    </row>
    <row r="223" spans="1:11" ht="12.75">
      <c r="A223" s="20" t="str">
        <f ca="1">IFERROR(__xludf.DUMMYFUNCTION("""COMPUTED_VALUE"""),"eTrueNorth")</f>
        <v>eTrueNorth</v>
      </c>
      <c r="B223" s="20" t="str">
        <f ca="1">IFERROR(__xludf.DUMMYFUNCTION("""COMPUTED_VALUE"""),"PCR")</f>
        <v>PCR</v>
      </c>
      <c r="C223" s="20" t="str">
        <f ca="1">IFERROR(__xludf.DUMMYFUNCTION("""COMPUTED_VALUE"""),"All Ages")</f>
        <v>All Ages</v>
      </c>
      <c r="D223" s="22">
        <f ca="1">IFERROR(__xludf.DUMMYFUNCTION("""COMPUTED_VALUE"""),44571)</f>
        <v>44571</v>
      </c>
      <c r="E223" s="22">
        <f ca="1">IFERROR(__xludf.DUMMYFUNCTION("""COMPUTED_VALUE"""),44577)</f>
        <v>44577</v>
      </c>
      <c r="F223" s="20"/>
      <c r="G223" s="20" t="str">
        <f ca="1">IFERROR(__xludf.DUMMYFUNCTION("""COMPUTED_VALUE"""),"Travers Park")</f>
        <v>Travers Park</v>
      </c>
      <c r="H223" s="20" t="str">
        <f ca="1">IFERROR(__xludf.DUMMYFUNCTION("""COMPUTED_VALUE"""),"76-9 34th Ave, Queens, NY 11372")</f>
        <v>76-9 34th Ave, Queens, NY 11372</v>
      </c>
      <c r="I223" s="20" t="str">
        <f ca="1">IFERROR(__xludf.DUMMYFUNCTION("""COMPUTED_VALUE"""),"Queens")</f>
        <v>Queens</v>
      </c>
      <c r="J223" s="24">
        <f ca="1">IFERROR(__xludf.DUMMYFUNCTION("""COMPUTED_VALUE"""),11372)</f>
        <v>11372</v>
      </c>
      <c r="K223" s="20" t="str">
        <f ca="1">IFERROR(__xludf.DUMMYFUNCTION("""COMPUTED_VALUE"""),"7AM - 5PM")</f>
        <v>7AM - 5PM</v>
      </c>
    </row>
    <row r="224" spans="1:11" ht="12.75">
      <c r="A224" s="20" t="str">
        <f ca="1">IFERROR(__xludf.DUMMYFUNCTION("""COMPUTED_VALUE"""),"eTrueNorth")</f>
        <v>eTrueNorth</v>
      </c>
      <c r="B224" s="20" t="str">
        <f ca="1">IFERROR(__xludf.DUMMYFUNCTION("""COMPUTED_VALUE"""),"PCR")</f>
        <v>PCR</v>
      </c>
      <c r="C224" s="20" t="str">
        <f ca="1">IFERROR(__xludf.DUMMYFUNCTION("""COMPUTED_VALUE"""),"All Ages")</f>
        <v>All Ages</v>
      </c>
      <c r="D224" s="22">
        <f ca="1">IFERROR(__xludf.DUMMYFUNCTION("""COMPUTED_VALUE"""),44571)</f>
        <v>44571</v>
      </c>
      <c r="E224" s="22">
        <f ca="1">IFERROR(__xludf.DUMMYFUNCTION("""COMPUTED_VALUE"""),44577)</f>
        <v>44577</v>
      </c>
      <c r="F224" s="20"/>
      <c r="G224" s="20" t="str">
        <f ca="1">IFERROR(__xludf.DUMMYFUNCTION("""COMPUTED_VALUE"""),"Queens Valley Playground")</f>
        <v>Queens Valley Playground</v>
      </c>
      <c r="H224" s="20" t="str">
        <f ca="1">IFERROR(__xludf.DUMMYFUNCTION("""COMPUTED_VALUE"""),"Corner of 137 Street &amp; 77 Avenue, Flushing NY 11367")</f>
        <v>Corner of 137 Street &amp; 77 Avenue, Flushing NY 11367</v>
      </c>
      <c r="I224" s="20" t="str">
        <f ca="1">IFERROR(__xludf.DUMMYFUNCTION("""COMPUTED_VALUE"""),"Queens")</f>
        <v>Queens</v>
      </c>
      <c r="J224" s="24">
        <f ca="1">IFERROR(__xludf.DUMMYFUNCTION("""COMPUTED_VALUE"""),11367)</f>
        <v>11367</v>
      </c>
      <c r="K224" s="20" t="str">
        <f ca="1">IFERROR(__xludf.DUMMYFUNCTION("""COMPUTED_VALUE"""),"7AM - 5PM")</f>
        <v>7AM - 5PM</v>
      </c>
    </row>
    <row r="225" spans="1:11" ht="12.75">
      <c r="A225" s="20" t="str">
        <f ca="1">IFERROR(__xludf.DUMMYFUNCTION("""COMPUTED_VALUE"""),"eTrueNorth")</f>
        <v>eTrueNorth</v>
      </c>
      <c r="B225" s="20" t="str">
        <f ca="1">IFERROR(__xludf.DUMMYFUNCTION("""COMPUTED_VALUE"""),"PCR")</f>
        <v>PCR</v>
      </c>
      <c r="C225" s="20" t="str">
        <f ca="1">IFERROR(__xludf.DUMMYFUNCTION("""COMPUTED_VALUE"""),"All Ages")</f>
        <v>All Ages</v>
      </c>
      <c r="D225" s="22">
        <f ca="1">IFERROR(__xludf.DUMMYFUNCTION("""COMPUTED_VALUE"""),44571)</f>
        <v>44571</v>
      </c>
      <c r="E225" s="22">
        <f ca="1">IFERROR(__xludf.DUMMYFUNCTION("""COMPUTED_VALUE"""),44577)</f>
        <v>44577</v>
      </c>
      <c r="F225" s="20"/>
      <c r="G225" s="20" t="str">
        <f ca="1">IFERROR(__xludf.DUMMYFUNCTION("""COMPUTED_VALUE"""),"Queens Valley Playground")</f>
        <v>Queens Valley Playground</v>
      </c>
      <c r="H225" s="20" t="str">
        <f ca="1">IFERROR(__xludf.DUMMYFUNCTION("""COMPUTED_VALUE"""),"Corner of 137 Street &amp; 77 Avenue, Flushing NY 11367")</f>
        <v>Corner of 137 Street &amp; 77 Avenue, Flushing NY 11367</v>
      </c>
      <c r="I225" s="20" t="str">
        <f ca="1">IFERROR(__xludf.DUMMYFUNCTION("""COMPUTED_VALUE"""),"Queens")</f>
        <v>Queens</v>
      </c>
      <c r="J225" s="24">
        <f ca="1">IFERROR(__xludf.DUMMYFUNCTION("""COMPUTED_VALUE"""),11367)</f>
        <v>11367</v>
      </c>
      <c r="K225" s="20" t="str">
        <f ca="1">IFERROR(__xludf.DUMMYFUNCTION("""COMPUTED_VALUE"""),"7AM - 5PM")</f>
        <v>7AM - 5PM</v>
      </c>
    </row>
    <row r="226" spans="1:11" ht="12.75">
      <c r="A226" s="20" t="str">
        <f ca="1">IFERROR(__xludf.DUMMYFUNCTION("""COMPUTED_VALUE"""),"eTrueNorth")</f>
        <v>eTrueNorth</v>
      </c>
      <c r="B226" s="20" t="str">
        <f ca="1">IFERROR(__xludf.DUMMYFUNCTION("""COMPUTED_VALUE"""),"PCR")</f>
        <v>PCR</v>
      </c>
      <c r="C226" s="20" t="str">
        <f ca="1">IFERROR(__xludf.DUMMYFUNCTION("""COMPUTED_VALUE"""),"All Ages")</f>
        <v>All Ages</v>
      </c>
      <c r="D226" s="22">
        <f ca="1">IFERROR(__xludf.DUMMYFUNCTION("""COMPUTED_VALUE"""),44571)</f>
        <v>44571</v>
      </c>
      <c r="E226" s="22">
        <f ca="1">IFERROR(__xludf.DUMMYFUNCTION("""COMPUTED_VALUE"""),44577)</f>
        <v>44577</v>
      </c>
      <c r="F226" s="20"/>
      <c r="G226" s="20" t="str">
        <f ca="1">IFERROR(__xludf.DUMMYFUNCTION("""COMPUTED_VALUE"""),"Helen Marshall Playground")</f>
        <v>Helen Marshall Playground</v>
      </c>
      <c r="H226" s="20" t="str">
        <f ca="1">IFERROR(__xludf.DUMMYFUNCTION("""COMPUTED_VALUE"""),"100 St &amp; 24th Ave, East Elmhurst, NY 11369")</f>
        <v>100 St &amp; 24th Ave, East Elmhurst, NY 11369</v>
      </c>
      <c r="I226" s="20" t="str">
        <f ca="1">IFERROR(__xludf.DUMMYFUNCTION("""COMPUTED_VALUE"""),"Queens")</f>
        <v>Queens</v>
      </c>
      <c r="J226" s="24">
        <f ca="1">IFERROR(__xludf.DUMMYFUNCTION("""COMPUTED_VALUE"""),11369)</f>
        <v>11369</v>
      </c>
      <c r="K226" s="20" t="str">
        <f ca="1">IFERROR(__xludf.DUMMYFUNCTION("""COMPUTED_VALUE"""),"7AM - 5PM")</f>
        <v>7AM - 5PM</v>
      </c>
    </row>
    <row r="227" spans="1:11" ht="12.75">
      <c r="A227" s="20" t="str">
        <f ca="1">IFERROR(__xludf.DUMMYFUNCTION("""COMPUTED_VALUE"""),"eTrueNorth")</f>
        <v>eTrueNorth</v>
      </c>
      <c r="B227" s="20" t="str">
        <f ca="1">IFERROR(__xludf.DUMMYFUNCTION("""COMPUTED_VALUE"""),"PCR")</f>
        <v>PCR</v>
      </c>
      <c r="C227" s="20" t="str">
        <f ca="1">IFERROR(__xludf.DUMMYFUNCTION("""COMPUTED_VALUE"""),"All Ages")</f>
        <v>All Ages</v>
      </c>
      <c r="D227" s="22">
        <f ca="1">IFERROR(__xludf.DUMMYFUNCTION("""COMPUTED_VALUE"""),44571)</f>
        <v>44571</v>
      </c>
      <c r="E227" s="22">
        <f ca="1">IFERROR(__xludf.DUMMYFUNCTION("""COMPUTED_VALUE"""),44577)</f>
        <v>44577</v>
      </c>
      <c r="F227" s="20"/>
      <c r="G227" s="20" t="str">
        <f ca="1">IFERROR(__xludf.DUMMYFUNCTION("""COMPUTED_VALUE"""),"Helen Marshall Playground")</f>
        <v>Helen Marshall Playground</v>
      </c>
      <c r="H227" s="20" t="str">
        <f ca="1">IFERROR(__xludf.DUMMYFUNCTION("""COMPUTED_VALUE"""),"100 St &amp; 24th Ave, East Elmhurst, NY 11369")</f>
        <v>100 St &amp; 24th Ave, East Elmhurst, NY 11369</v>
      </c>
      <c r="I227" s="20" t="str">
        <f ca="1">IFERROR(__xludf.DUMMYFUNCTION("""COMPUTED_VALUE"""),"Queens")</f>
        <v>Queens</v>
      </c>
      <c r="J227" s="24">
        <f ca="1">IFERROR(__xludf.DUMMYFUNCTION("""COMPUTED_VALUE"""),11369)</f>
        <v>11369</v>
      </c>
      <c r="K227" s="20" t="str">
        <f ca="1">IFERROR(__xludf.DUMMYFUNCTION("""COMPUTED_VALUE"""),"7AM - 5PM")</f>
        <v>7AM - 5PM</v>
      </c>
    </row>
    <row r="228" spans="1:11" ht="12.75">
      <c r="A228" s="20" t="str">
        <f ca="1">IFERROR(__xludf.DUMMYFUNCTION("""COMPUTED_VALUE"""),"eTrueNorth")</f>
        <v>eTrueNorth</v>
      </c>
      <c r="B228" s="20" t="str">
        <f ca="1">IFERROR(__xludf.DUMMYFUNCTION("""COMPUTED_VALUE"""),"PCR")</f>
        <v>PCR</v>
      </c>
      <c r="C228" s="20" t="str">
        <f ca="1">IFERROR(__xludf.DUMMYFUNCTION("""COMPUTED_VALUE"""),"All Ages")</f>
        <v>All Ages</v>
      </c>
      <c r="D228" s="22">
        <f ca="1">IFERROR(__xludf.DUMMYFUNCTION("""COMPUTED_VALUE"""),44571)</f>
        <v>44571</v>
      </c>
      <c r="E228" s="22">
        <f ca="1">IFERROR(__xludf.DUMMYFUNCTION("""COMPUTED_VALUE"""),44577)</f>
        <v>44577</v>
      </c>
      <c r="F228" s="20"/>
      <c r="G228" s="20" t="str">
        <f ca="1">IFERROR(__xludf.DUMMYFUNCTION("""COMPUTED_VALUE"""),"Hart Playground")</f>
        <v>Hart Playground</v>
      </c>
      <c r="H228" s="20" t="str">
        <f ca="1">IFERROR(__xludf.DUMMYFUNCTION("""COMPUTED_VALUE"""),"Corner of 65th Street &amp; Broadway, Queens NY 11377")</f>
        <v>Corner of 65th Street &amp; Broadway, Queens NY 11377</v>
      </c>
      <c r="I228" s="20" t="str">
        <f ca="1">IFERROR(__xludf.DUMMYFUNCTION("""COMPUTED_VALUE"""),"Queens")</f>
        <v>Queens</v>
      </c>
      <c r="J228" s="24">
        <f ca="1">IFERROR(__xludf.DUMMYFUNCTION("""COMPUTED_VALUE"""),11377)</f>
        <v>11377</v>
      </c>
      <c r="K228" s="20" t="str">
        <f ca="1">IFERROR(__xludf.DUMMYFUNCTION("""COMPUTED_VALUE"""),"7AM - 5PM")</f>
        <v>7AM - 5PM</v>
      </c>
    </row>
    <row r="229" spans="1:11" ht="12.75">
      <c r="A229" s="20" t="str">
        <f ca="1">IFERROR(__xludf.DUMMYFUNCTION("""COMPUTED_VALUE"""),"eTrueNorth")</f>
        <v>eTrueNorth</v>
      </c>
      <c r="B229" s="20" t="str">
        <f ca="1">IFERROR(__xludf.DUMMYFUNCTION("""COMPUTED_VALUE"""),"PCR")</f>
        <v>PCR</v>
      </c>
      <c r="C229" s="20" t="str">
        <f ca="1">IFERROR(__xludf.DUMMYFUNCTION("""COMPUTED_VALUE"""),"All Ages")</f>
        <v>All Ages</v>
      </c>
      <c r="D229" s="22">
        <f ca="1">IFERROR(__xludf.DUMMYFUNCTION("""COMPUTED_VALUE"""),44571)</f>
        <v>44571</v>
      </c>
      <c r="E229" s="22">
        <f ca="1">IFERROR(__xludf.DUMMYFUNCTION("""COMPUTED_VALUE"""),44577)</f>
        <v>44577</v>
      </c>
      <c r="F229" s="20"/>
      <c r="G229" s="20" t="str">
        <f ca="1">IFERROR(__xludf.DUMMYFUNCTION("""COMPUTED_VALUE"""),"Hart Playground")</f>
        <v>Hart Playground</v>
      </c>
      <c r="H229" s="20" t="str">
        <f ca="1">IFERROR(__xludf.DUMMYFUNCTION("""COMPUTED_VALUE"""),"Corner of 65th Street &amp; Broadway, Queens NY 11377")</f>
        <v>Corner of 65th Street &amp; Broadway, Queens NY 11377</v>
      </c>
      <c r="I229" s="20" t="str">
        <f ca="1">IFERROR(__xludf.DUMMYFUNCTION("""COMPUTED_VALUE"""),"Queens")</f>
        <v>Queens</v>
      </c>
      <c r="J229" s="24">
        <f ca="1">IFERROR(__xludf.DUMMYFUNCTION("""COMPUTED_VALUE"""),11377)</f>
        <v>11377</v>
      </c>
      <c r="K229" s="20" t="str">
        <f ca="1">IFERROR(__xludf.DUMMYFUNCTION("""COMPUTED_VALUE"""),"7AM - 5PM")</f>
        <v>7AM - 5PM</v>
      </c>
    </row>
    <row r="230" spans="1:11" ht="12.75">
      <c r="A230" s="20" t="str">
        <f ca="1">IFERROR(__xludf.DUMMYFUNCTION("""COMPUTED_VALUE"""),"eTrueNorth")</f>
        <v>eTrueNorth</v>
      </c>
      <c r="B230" s="20" t="str">
        <f ca="1">IFERROR(__xludf.DUMMYFUNCTION("""COMPUTED_VALUE"""),"PCR")</f>
        <v>PCR</v>
      </c>
      <c r="C230" s="20" t="str">
        <f ca="1">IFERROR(__xludf.DUMMYFUNCTION("""COMPUTED_VALUE"""),"All Ages")</f>
        <v>All Ages</v>
      </c>
      <c r="D230" s="22">
        <f ca="1">IFERROR(__xludf.DUMMYFUNCTION("""COMPUTED_VALUE"""),44571)</f>
        <v>44571</v>
      </c>
      <c r="E230" s="22">
        <f ca="1">IFERROR(__xludf.DUMMYFUNCTION("""COMPUTED_VALUE"""),44577)</f>
        <v>44577</v>
      </c>
      <c r="F230" s="20"/>
      <c r="G230" s="20" t="str">
        <f ca="1">IFERROR(__xludf.DUMMYFUNCTION("""COMPUTED_VALUE"""),"St. James Park")</f>
        <v>St. James Park</v>
      </c>
      <c r="H230" s="20" t="str">
        <f ca="1">IFERROR(__xludf.DUMMYFUNCTION("""COMPUTED_VALUE"""),"2550 Jerome Ave, Bronx, NY 10468")</f>
        <v>2550 Jerome Ave, Bronx, NY 10468</v>
      </c>
      <c r="I230" s="20" t="str">
        <f ca="1">IFERROR(__xludf.DUMMYFUNCTION("""COMPUTED_VALUE"""),"Bronx")</f>
        <v>Bronx</v>
      </c>
      <c r="J230" s="24">
        <f ca="1">IFERROR(__xludf.DUMMYFUNCTION("""COMPUTED_VALUE"""),10468)</f>
        <v>10468</v>
      </c>
      <c r="K230" s="20" t="str">
        <f ca="1">IFERROR(__xludf.DUMMYFUNCTION("""COMPUTED_VALUE"""),"7AM - 5PM")</f>
        <v>7AM - 5PM</v>
      </c>
    </row>
    <row r="231" spans="1:11" ht="12.75">
      <c r="A231" s="20" t="str">
        <f ca="1">IFERROR(__xludf.DUMMYFUNCTION("""COMPUTED_VALUE"""),"eTrueNorth")</f>
        <v>eTrueNorth</v>
      </c>
      <c r="B231" s="20" t="str">
        <f ca="1">IFERROR(__xludf.DUMMYFUNCTION("""COMPUTED_VALUE"""),"PCR")</f>
        <v>PCR</v>
      </c>
      <c r="C231" s="20" t="str">
        <f ca="1">IFERROR(__xludf.DUMMYFUNCTION("""COMPUTED_VALUE"""),"All Ages")</f>
        <v>All Ages</v>
      </c>
      <c r="D231" s="22">
        <f ca="1">IFERROR(__xludf.DUMMYFUNCTION("""COMPUTED_VALUE"""),44571)</f>
        <v>44571</v>
      </c>
      <c r="E231" s="22">
        <f ca="1">IFERROR(__xludf.DUMMYFUNCTION("""COMPUTED_VALUE"""),44577)</f>
        <v>44577</v>
      </c>
      <c r="F231" s="20"/>
      <c r="G231" s="20" t="str">
        <f ca="1">IFERROR(__xludf.DUMMYFUNCTION("""COMPUTED_VALUE"""),"St. James Park")</f>
        <v>St. James Park</v>
      </c>
      <c r="H231" s="20" t="str">
        <f ca="1">IFERROR(__xludf.DUMMYFUNCTION("""COMPUTED_VALUE"""),"2550 Jerome Ave, Bronx, NY 10468")</f>
        <v>2550 Jerome Ave, Bronx, NY 10468</v>
      </c>
      <c r="I231" s="20" t="str">
        <f ca="1">IFERROR(__xludf.DUMMYFUNCTION("""COMPUTED_VALUE"""),"Bronx")</f>
        <v>Bronx</v>
      </c>
      <c r="J231" s="24">
        <f ca="1">IFERROR(__xludf.DUMMYFUNCTION("""COMPUTED_VALUE"""),10468)</f>
        <v>10468</v>
      </c>
      <c r="K231" s="20" t="str">
        <f ca="1">IFERROR(__xludf.DUMMYFUNCTION("""COMPUTED_VALUE"""),"7AM - 5PM")</f>
        <v>7AM - 5PM</v>
      </c>
    </row>
    <row r="232" spans="1:11" ht="12.75">
      <c r="A232" s="20" t="str">
        <f ca="1">IFERROR(__xludf.DUMMYFUNCTION("""COMPUTED_VALUE"""),"eTrueNorth")</f>
        <v>eTrueNorth</v>
      </c>
      <c r="B232" s="20" t="str">
        <f ca="1">IFERROR(__xludf.DUMMYFUNCTION("""COMPUTED_VALUE"""),"PCR")</f>
        <v>PCR</v>
      </c>
      <c r="C232" s="20" t="str">
        <f ca="1">IFERROR(__xludf.DUMMYFUNCTION("""COMPUTED_VALUE"""),"All Ages")</f>
        <v>All Ages</v>
      </c>
      <c r="D232" s="22">
        <f ca="1">IFERROR(__xludf.DUMMYFUNCTION("""COMPUTED_VALUE"""),44571)</f>
        <v>44571</v>
      </c>
      <c r="E232" s="22">
        <f ca="1">IFERROR(__xludf.DUMMYFUNCTION("""COMPUTED_VALUE"""),44577)</f>
        <v>44577</v>
      </c>
      <c r="F232" s="20"/>
      <c r="G232" s="20" t="str">
        <f ca="1">IFERROR(__xludf.DUMMYFUNCTION("""COMPUTED_VALUE"""),"Crotona Pool")</f>
        <v>Crotona Pool</v>
      </c>
      <c r="H232" s="20" t="str">
        <f ca="1">IFERROR(__xludf.DUMMYFUNCTION("""COMPUTED_VALUE"""),"Corner of Fulton Ave and East 173rd St, Bronx, NY 10457")</f>
        <v>Corner of Fulton Ave and East 173rd St, Bronx, NY 10457</v>
      </c>
      <c r="I232" s="20" t="str">
        <f ca="1">IFERROR(__xludf.DUMMYFUNCTION("""COMPUTED_VALUE"""),"Bronx")</f>
        <v>Bronx</v>
      </c>
      <c r="J232" s="24">
        <f ca="1">IFERROR(__xludf.DUMMYFUNCTION("""COMPUTED_VALUE"""),10457)</f>
        <v>10457</v>
      </c>
      <c r="K232" s="20" t="str">
        <f ca="1">IFERROR(__xludf.DUMMYFUNCTION("""COMPUTED_VALUE"""),"7AM - 5PM")</f>
        <v>7AM - 5PM</v>
      </c>
    </row>
    <row r="233" spans="1:11" ht="12.75">
      <c r="A233" s="20" t="str">
        <f ca="1">IFERROR(__xludf.DUMMYFUNCTION("""COMPUTED_VALUE"""),"eTrueNorth")</f>
        <v>eTrueNorth</v>
      </c>
      <c r="B233" s="20" t="str">
        <f ca="1">IFERROR(__xludf.DUMMYFUNCTION("""COMPUTED_VALUE"""),"PCR")</f>
        <v>PCR</v>
      </c>
      <c r="C233" s="20" t="str">
        <f ca="1">IFERROR(__xludf.DUMMYFUNCTION("""COMPUTED_VALUE"""),"All Ages")</f>
        <v>All Ages</v>
      </c>
      <c r="D233" s="22">
        <f ca="1">IFERROR(__xludf.DUMMYFUNCTION("""COMPUTED_VALUE"""),44571)</f>
        <v>44571</v>
      </c>
      <c r="E233" s="22">
        <f ca="1">IFERROR(__xludf.DUMMYFUNCTION("""COMPUTED_VALUE"""),44577)</f>
        <v>44577</v>
      </c>
      <c r="F233" s="20"/>
      <c r="G233" s="20" t="str">
        <f ca="1">IFERROR(__xludf.DUMMYFUNCTION("""COMPUTED_VALUE"""),"Crotona Pool")</f>
        <v>Crotona Pool</v>
      </c>
      <c r="H233" s="20" t="str">
        <f ca="1">IFERROR(__xludf.DUMMYFUNCTION("""COMPUTED_VALUE"""),"Corner of Fulton Ave and East 173rd St, Bronx, NY 10457")</f>
        <v>Corner of Fulton Ave and East 173rd St, Bronx, NY 10457</v>
      </c>
      <c r="I233" s="20" t="str">
        <f ca="1">IFERROR(__xludf.DUMMYFUNCTION("""COMPUTED_VALUE"""),"Bronx")</f>
        <v>Bronx</v>
      </c>
      <c r="J233" s="24">
        <f ca="1">IFERROR(__xludf.DUMMYFUNCTION("""COMPUTED_VALUE"""),10457)</f>
        <v>10457</v>
      </c>
      <c r="K233" s="20" t="str">
        <f ca="1">IFERROR(__xludf.DUMMYFUNCTION("""COMPUTED_VALUE"""),"7AM - 5PM")</f>
        <v>7AM - 5PM</v>
      </c>
    </row>
    <row r="234" spans="1:11" ht="12.75">
      <c r="A234" s="20" t="str">
        <f ca="1">IFERROR(__xludf.DUMMYFUNCTION("""COMPUTED_VALUE"""),"Mt. Sinai")</f>
        <v>Mt. Sinai</v>
      </c>
      <c r="B234" s="20" t="str">
        <f ca="1">IFERROR(__xludf.DUMMYFUNCTION("""COMPUTED_VALUE"""),"Saliva PCR")</f>
        <v>Saliva PCR</v>
      </c>
      <c r="C234" s="20" t="str">
        <f ca="1">IFERROR(__xludf.DUMMYFUNCTION("""COMPUTED_VALUE"""),"4+")</f>
        <v>4+</v>
      </c>
      <c r="D234" s="22">
        <f ca="1">IFERROR(__xludf.DUMMYFUNCTION("""COMPUTED_VALUE"""),44571)</f>
        <v>44571</v>
      </c>
      <c r="E234" s="22">
        <f ca="1">IFERROR(__xludf.DUMMYFUNCTION("""COMPUTED_VALUE"""),44571)</f>
        <v>44571</v>
      </c>
      <c r="F234" s="20"/>
      <c r="G234" s="20" t="str">
        <f ca="1">IFERROR(__xludf.DUMMYFUNCTION("""COMPUTED_VALUE"""),"Harlem Congregations for Community Improvement, Inc. (Petioni)
")</f>
        <v xml:space="preserve">Harlem Congregations for Community Improvement, Inc. (Petioni)
</v>
      </c>
      <c r="H234" s="20" t="str">
        <f ca="1">IFERROR(__xludf.DUMMYFUNCTION("""COMPUTED_VALUE"""),"203 West 146th Street, Manhattan, NY 10039")</f>
        <v>203 West 146th Street, Manhattan, NY 10039</v>
      </c>
      <c r="I234" s="20" t="str">
        <f ca="1">IFERROR(__xludf.DUMMYFUNCTION("""COMPUTED_VALUE"""),"Manhattan")</f>
        <v>Manhattan</v>
      </c>
      <c r="J234" s="24">
        <f ca="1">IFERROR(__xludf.DUMMYFUNCTION("""COMPUTED_VALUE"""),10039)</f>
        <v>10039</v>
      </c>
      <c r="K234" s="20" t="str">
        <f ca="1">IFERROR(__xludf.DUMMYFUNCTION("""COMPUTED_VALUE"""),"10:00am-6:00pm")</f>
        <v>10:00am-6:00pm</v>
      </c>
    </row>
    <row r="235" spans="1:11" ht="12.75">
      <c r="A235" s="20" t="str">
        <f ca="1">IFERROR(__xludf.DUMMYFUNCTION("""COMPUTED_VALUE"""),"Mt. Sinai")</f>
        <v>Mt. Sinai</v>
      </c>
      <c r="B235" s="20" t="str">
        <f ca="1">IFERROR(__xludf.DUMMYFUNCTION("""COMPUTED_VALUE"""),"Saliva PCR")</f>
        <v>Saliva PCR</v>
      </c>
      <c r="C235" s="20" t="str">
        <f ca="1">IFERROR(__xludf.DUMMYFUNCTION("""COMPUTED_VALUE"""),"4+")</f>
        <v>4+</v>
      </c>
      <c r="D235" s="22">
        <f ca="1">IFERROR(__xludf.DUMMYFUNCTION("""COMPUTED_VALUE"""),44571)</f>
        <v>44571</v>
      </c>
      <c r="E235" s="22">
        <f ca="1">IFERROR(__xludf.DUMMYFUNCTION("""COMPUTED_VALUE"""),44571)</f>
        <v>44571</v>
      </c>
      <c r="F235" s="20"/>
      <c r="G235" s="20" t="str">
        <f ca="1">IFERROR(__xludf.DUMMYFUNCTION("""COMPUTED_VALUE"""),"Community Health Action of Staten Island (CHASI) Harm Reduction Center
")</f>
        <v xml:space="preserve">Community Health Action of Staten Island (CHASI) Harm Reduction Center
</v>
      </c>
      <c r="H235" s="20" t="str">
        <f ca="1">IFERROR(__xludf.DUMMYFUNCTION("""COMPUTED_VALUE"""),"166 Port Richmond Ave, Staten Island, NY 10302")</f>
        <v>166 Port Richmond Ave, Staten Island, NY 10302</v>
      </c>
      <c r="I235" s="20" t="str">
        <f ca="1">IFERROR(__xludf.DUMMYFUNCTION("""COMPUTED_VALUE"""),"Staten Island")</f>
        <v>Staten Island</v>
      </c>
      <c r="J235" s="24">
        <f ca="1">IFERROR(__xludf.DUMMYFUNCTION("""COMPUTED_VALUE"""),10302)</f>
        <v>10302</v>
      </c>
      <c r="K235" s="20" t="str">
        <f ca="1">IFERROR(__xludf.DUMMYFUNCTION("""COMPUTED_VALUE"""),"9:30am-3:30pm")</f>
        <v>9:30am-3:30pm</v>
      </c>
    </row>
    <row r="236" spans="1:11" ht="12.75">
      <c r="A236" s="20" t="str">
        <f ca="1">IFERROR(__xludf.DUMMYFUNCTION("""COMPUTED_VALUE"""),"Mt. Sinai")</f>
        <v>Mt. Sinai</v>
      </c>
      <c r="B236" s="20" t="str">
        <f ca="1">IFERROR(__xludf.DUMMYFUNCTION("""COMPUTED_VALUE"""),"Saliva PCR")</f>
        <v>Saliva PCR</v>
      </c>
      <c r="C236" s="20" t="str">
        <f ca="1">IFERROR(__xludf.DUMMYFUNCTION("""COMPUTED_VALUE"""),"4+")</f>
        <v>4+</v>
      </c>
      <c r="D236" s="22">
        <f ca="1">IFERROR(__xludf.DUMMYFUNCTION("""COMPUTED_VALUE"""),44571)</f>
        <v>44571</v>
      </c>
      <c r="E236" s="22">
        <f ca="1">IFERROR(__xludf.DUMMYFUNCTION("""COMPUTED_VALUE"""),44571)</f>
        <v>44571</v>
      </c>
      <c r="F236" s="20"/>
      <c r="G236" s="20" t="str">
        <f ca="1">IFERROR(__xludf.DUMMYFUNCTION("""COMPUTED_VALUE"""),"Bathgate")</f>
        <v>Bathgate</v>
      </c>
      <c r="H236" s="20" t="str">
        <f ca="1">IFERROR(__xludf.DUMMYFUNCTION("""COMPUTED_VALUE"""),"4006 3rd Ave, Bronx, NY 10457")</f>
        <v>4006 3rd Ave, Bronx, NY 10457</v>
      </c>
      <c r="I236" s="20" t="str">
        <f ca="1">IFERROR(__xludf.DUMMYFUNCTION("""COMPUTED_VALUE"""),"Bronx")</f>
        <v>Bronx</v>
      </c>
      <c r="J236" s="24">
        <f ca="1">IFERROR(__xludf.DUMMYFUNCTION("""COMPUTED_VALUE"""),10457)</f>
        <v>10457</v>
      </c>
      <c r="K236" s="20" t="str">
        <f ca="1">IFERROR(__xludf.DUMMYFUNCTION("""COMPUTED_VALUE"""),"10:00am-5:00pm")</f>
        <v>10:00am-5:00pm</v>
      </c>
    </row>
    <row r="237" spans="1:11" ht="12.75">
      <c r="A237" s="20" t="str">
        <f ca="1">IFERROR(__xludf.DUMMYFUNCTION("""COMPUTED_VALUE"""),"Mt. Sinai")</f>
        <v>Mt. Sinai</v>
      </c>
      <c r="B237" s="20" t="str">
        <f ca="1">IFERROR(__xludf.DUMMYFUNCTION("""COMPUTED_VALUE"""),"Saliva PCR")</f>
        <v>Saliva PCR</v>
      </c>
      <c r="C237" s="20" t="str">
        <f ca="1">IFERROR(__xludf.DUMMYFUNCTION("""COMPUTED_VALUE"""),"4+")</f>
        <v>4+</v>
      </c>
      <c r="D237" s="22">
        <f ca="1">IFERROR(__xludf.DUMMYFUNCTION("""COMPUTED_VALUE"""),44571)</f>
        <v>44571</v>
      </c>
      <c r="E237" s="22">
        <f ca="1">IFERROR(__xludf.DUMMYFUNCTION("""COMPUTED_VALUE"""),44571)</f>
        <v>44571</v>
      </c>
      <c r="F237" s="20"/>
      <c r="G237" s="20" t="str">
        <f ca="1">IFERROR(__xludf.DUMMYFUNCTION("""COMPUTED_VALUE"""),"Sunnyside Community Services")</f>
        <v>Sunnyside Community Services</v>
      </c>
      <c r="H237" s="20" t="str">
        <f ca="1">IFERROR(__xludf.DUMMYFUNCTION("""COMPUTED_VALUE"""),"43-31 39th Street, Queens, NY 11104")</f>
        <v>43-31 39th Street, Queens, NY 11104</v>
      </c>
      <c r="I237" s="20" t="str">
        <f ca="1">IFERROR(__xludf.DUMMYFUNCTION("""COMPUTED_VALUE"""),"Queens")</f>
        <v>Queens</v>
      </c>
      <c r="J237" s="24">
        <f ca="1">IFERROR(__xludf.DUMMYFUNCTION("""COMPUTED_VALUE"""),11104)</f>
        <v>11104</v>
      </c>
      <c r="K237" s="20" t="str">
        <f ca="1">IFERROR(__xludf.DUMMYFUNCTION("""COMPUTED_VALUE"""),"1:30pm-7:30pm")</f>
        <v>1:30pm-7:30pm</v>
      </c>
    </row>
    <row r="238" spans="1:11" ht="12.75">
      <c r="A238" s="20" t="str">
        <f ca="1">IFERROR(__xludf.DUMMYFUNCTION("""COMPUTED_VALUE"""),"Mt. Sinai")</f>
        <v>Mt. Sinai</v>
      </c>
      <c r="B238" s="20" t="str">
        <f ca="1">IFERROR(__xludf.DUMMYFUNCTION("""COMPUTED_VALUE"""),"Saliva PCR")</f>
        <v>Saliva PCR</v>
      </c>
      <c r="C238" s="20" t="str">
        <f ca="1">IFERROR(__xludf.DUMMYFUNCTION("""COMPUTED_VALUE"""),"4+")</f>
        <v>4+</v>
      </c>
      <c r="D238" s="22">
        <f ca="1">IFERROR(__xludf.DUMMYFUNCTION("""COMPUTED_VALUE"""),44571)</f>
        <v>44571</v>
      </c>
      <c r="E238" s="22">
        <f ca="1">IFERROR(__xludf.DUMMYFUNCTION("""COMPUTED_VALUE"""),44571)</f>
        <v>44571</v>
      </c>
      <c r="F238" s="20"/>
      <c r="G238" s="20" t="str">
        <f ca="1">IFERROR(__xludf.DUMMYFUNCTION("""COMPUTED_VALUE"""),"Brooklyn Navy Yard")</f>
        <v>Brooklyn Navy Yard</v>
      </c>
      <c r="H238" s="20" t="str">
        <f ca="1">IFERROR(__xludf.DUMMYFUNCTION("""COMPUTED_VALUE"""),"63 Flushing Ave, building 92, Brooklyn, NY 11205")</f>
        <v>63 Flushing Ave, building 92, Brooklyn, NY 11205</v>
      </c>
      <c r="I238" s="20" t="str">
        <f ca="1">IFERROR(__xludf.DUMMYFUNCTION("""COMPUTED_VALUE"""),"Brooklyn")</f>
        <v>Brooklyn</v>
      </c>
      <c r="J238" s="24">
        <f ca="1">IFERROR(__xludf.DUMMYFUNCTION("""COMPUTED_VALUE"""),11205)</f>
        <v>11205</v>
      </c>
      <c r="K238" s="20" t="str">
        <f ca="1">IFERROR(__xludf.DUMMYFUNCTION("""COMPUTED_VALUE"""),"8:30am-4:30pm")</f>
        <v>8:30am-4:30pm</v>
      </c>
    </row>
    <row r="239" spans="1:11" ht="12.75">
      <c r="A239" s="20" t="str">
        <f ca="1">IFERROR(__xludf.DUMMYFUNCTION("""COMPUTED_VALUE"""),"Mt. Sinai")</f>
        <v>Mt. Sinai</v>
      </c>
      <c r="B239" s="20" t="str">
        <f ca="1">IFERROR(__xludf.DUMMYFUNCTION("""COMPUTED_VALUE"""),"Saliva PCR")</f>
        <v>Saliva PCR</v>
      </c>
      <c r="C239" s="20" t="str">
        <f ca="1">IFERROR(__xludf.DUMMYFUNCTION("""COMPUTED_VALUE"""),"4+")</f>
        <v>4+</v>
      </c>
      <c r="D239" s="22">
        <f ca="1">IFERROR(__xludf.DUMMYFUNCTION("""COMPUTED_VALUE"""),44571)</f>
        <v>44571</v>
      </c>
      <c r="E239" s="22">
        <f ca="1">IFERROR(__xludf.DUMMYFUNCTION("""COMPUTED_VALUE"""),44571)</f>
        <v>44571</v>
      </c>
      <c r="F239" s="20"/>
      <c r="G239" s="20" t="str">
        <f ca="1">IFERROR(__xludf.DUMMYFUNCTION("""COMPUTED_VALUE"""),"Family Services Network of New York Access Center")</f>
        <v>Family Services Network of New York Access Center</v>
      </c>
      <c r="H239" s="20" t="str">
        <f ca="1">IFERROR(__xludf.DUMMYFUNCTION("""COMPUTED_VALUE"""),"1721 Pitkin Ave, Brooklyn, NY 11212")</f>
        <v>1721 Pitkin Ave, Brooklyn, NY 11212</v>
      </c>
      <c r="I239" s="20" t="str">
        <f ca="1">IFERROR(__xludf.DUMMYFUNCTION("""COMPUTED_VALUE"""),"Brooklyn")</f>
        <v>Brooklyn</v>
      </c>
      <c r="J239" s="24">
        <f ca="1">IFERROR(__xludf.DUMMYFUNCTION("""COMPUTED_VALUE"""),11212)</f>
        <v>11212</v>
      </c>
      <c r="K239" s="20" t="str">
        <f ca="1">IFERROR(__xludf.DUMMYFUNCTION("""COMPUTED_VALUE"""),"11:30am-7:30pm")</f>
        <v>11:30am-7:30pm</v>
      </c>
    </row>
    <row r="240" spans="1:11" ht="12.75">
      <c r="A240" s="20" t="str">
        <f ca="1">IFERROR(__xludf.DUMMYFUNCTION("""COMPUTED_VALUE"""),"Mt. Sinai")</f>
        <v>Mt. Sinai</v>
      </c>
      <c r="B240" s="20" t="str">
        <f ca="1">IFERROR(__xludf.DUMMYFUNCTION("""COMPUTED_VALUE"""),"Saliva PCR")</f>
        <v>Saliva PCR</v>
      </c>
      <c r="C240" s="20" t="str">
        <f ca="1">IFERROR(__xludf.DUMMYFUNCTION("""COMPUTED_VALUE"""),"4+")</f>
        <v>4+</v>
      </c>
      <c r="D240" s="22">
        <f ca="1">IFERROR(__xludf.DUMMYFUNCTION("""COMPUTED_VALUE"""),44571)</f>
        <v>44571</v>
      </c>
      <c r="E240" s="22">
        <f ca="1">IFERROR(__xludf.DUMMYFUNCTION("""COMPUTED_VALUE"""),44571)</f>
        <v>44571</v>
      </c>
      <c r="F240" s="20"/>
      <c r="G240" s="20" t="str">
        <f ca="1">IFERROR(__xludf.DUMMYFUNCTION("""COMPUTED_VALUE"""),"Brooklyn Army Terminal (BAT)")</f>
        <v>Brooklyn Army Terminal (BAT)</v>
      </c>
      <c r="H240" s="20" t="str">
        <f ca="1">IFERROR(__xludf.DUMMYFUNCTION("""COMPUTED_VALUE"""),"140 58th Street, Brooklyn, NY 11220")</f>
        <v>140 58th Street, Brooklyn, NY 11220</v>
      </c>
      <c r="I240" s="20" t="str">
        <f ca="1">IFERROR(__xludf.DUMMYFUNCTION("""COMPUTED_VALUE"""),"Brooklyn")</f>
        <v>Brooklyn</v>
      </c>
      <c r="J240" s="24">
        <f ca="1">IFERROR(__xludf.DUMMYFUNCTION("""COMPUTED_VALUE"""),11220)</f>
        <v>11220</v>
      </c>
      <c r="K240" s="20" t="str">
        <f ca="1">IFERROR(__xludf.DUMMYFUNCTION("""COMPUTED_VALUE"""),"10:00am-5:00pm")</f>
        <v>10:00am-5:00pm</v>
      </c>
    </row>
    <row r="241" spans="1:11" ht="12.75">
      <c r="A241" s="20" t="str">
        <f ca="1">IFERROR(__xludf.DUMMYFUNCTION("""COMPUTED_VALUE"""),"Mt. Sinai")</f>
        <v>Mt. Sinai</v>
      </c>
      <c r="B241" s="20" t="str">
        <f ca="1">IFERROR(__xludf.DUMMYFUNCTION("""COMPUTED_VALUE"""),"Saliva PCR")</f>
        <v>Saliva PCR</v>
      </c>
      <c r="C241" s="20" t="str">
        <f ca="1">IFERROR(__xludf.DUMMYFUNCTION("""COMPUTED_VALUE"""),"4+")</f>
        <v>4+</v>
      </c>
      <c r="D241" s="22">
        <f ca="1">IFERROR(__xludf.DUMMYFUNCTION("""COMPUTED_VALUE"""),44571)</f>
        <v>44571</v>
      </c>
      <c r="E241" s="22">
        <f ca="1">IFERROR(__xludf.DUMMYFUNCTION("""COMPUTED_VALUE"""),44571)</f>
        <v>44571</v>
      </c>
      <c r="F241" s="20"/>
      <c r="G241" s="20" t="str">
        <f ca="1">IFERROR(__xludf.DUMMYFUNCTION("""COMPUTED_VALUE"""),"Ida G. Israel Health Center")</f>
        <v>Ida G. Israel Health Center</v>
      </c>
      <c r="H241" s="20" t="str">
        <f ca="1">IFERROR(__xludf.DUMMYFUNCTION("""COMPUTED_VALUE"""),"2925 W 19th St, Brooklyn, NY 11224")</f>
        <v>2925 W 19th St, Brooklyn, NY 11224</v>
      </c>
      <c r="I241" s="20" t="str">
        <f ca="1">IFERROR(__xludf.DUMMYFUNCTION("""COMPUTED_VALUE"""),"Brooklyn")</f>
        <v>Brooklyn</v>
      </c>
      <c r="J241" s="24">
        <f ca="1">IFERROR(__xludf.DUMMYFUNCTION("""COMPUTED_VALUE"""),11224)</f>
        <v>11224</v>
      </c>
      <c r="K241" s="20" t="str">
        <f ca="1">IFERROR(__xludf.DUMMYFUNCTION("""COMPUTED_VALUE"""),"8:00am-4:00pm")</f>
        <v>8:00am-4:00pm</v>
      </c>
    </row>
    <row r="242" spans="1:11" ht="12.75">
      <c r="A242" s="20" t="str">
        <f ca="1">IFERROR(__xludf.DUMMYFUNCTION("""COMPUTED_VALUE"""),"Mt. Sinai")</f>
        <v>Mt. Sinai</v>
      </c>
      <c r="B242" s="20" t="str">
        <f ca="1">IFERROR(__xludf.DUMMYFUNCTION("""COMPUTED_VALUE"""),"Saliva PCR")</f>
        <v>Saliva PCR</v>
      </c>
      <c r="C242" s="20" t="str">
        <f ca="1">IFERROR(__xludf.DUMMYFUNCTION("""COMPUTED_VALUE"""),"4+")</f>
        <v>4+</v>
      </c>
      <c r="D242" s="22">
        <f ca="1">IFERROR(__xludf.DUMMYFUNCTION("""COMPUTED_VALUE"""),44571)</f>
        <v>44571</v>
      </c>
      <c r="E242" s="22">
        <f ca="1">IFERROR(__xludf.DUMMYFUNCTION("""COMPUTED_VALUE"""),44571)</f>
        <v>44571</v>
      </c>
      <c r="F242" s="20"/>
      <c r="G242" s="20" t="str">
        <f ca="1">IFERROR(__xludf.DUMMYFUNCTION("""COMPUTED_VALUE"""),"Queens College Student Union")</f>
        <v>Queens College Student Union</v>
      </c>
      <c r="H242" s="20" t="str">
        <f ca="1">IFERROR(__xludf.DUMMYFUNCTION("""COMPUTED_VALUE"""),"65-30 Kissena Blvd., Queens, NY 11367")</f>
        <v>65-30 Kissena Blvd., Queens, NY 11367</v>
      </c>
      <c r="I242" s="20" t="str">
        <f ca="1">IFERROR(__xludf.DUMMYFUNCTION("""COMPUTED_VALUE"""),"Queens")</f>
        <v>Queens</v>
      </c>
      <c r="J242" s="24">
        <f ca="1">IFERROR(__xludf.DUMMYFUNCTION("""COMPUTED_VALUE"""),11367)</f>
        <v>11367</v>
      </c>
      <c r="K242" s="20" t="str">
        <f ca="1">IFERROR(__xludf.DUMMYFUNCTION("""COMPUTED_VALUE"""),"10:00am-5:00pm")</f>
        <v>10:00am-5:00pm</v>
      </c>
    </row>
    <row r="243" spans="1:11" ht="12.75">
      <c r="A243" s="20" t="str">
        <f ca="1">IFERROR(__xludf.DUMMYFUNCTION("""COMPUTED_VALUE"""),"Mt. Sinai")</f>
        <v>Mt. Sinai</v>
      </c>
      <c r="B243" s="20" t="str">
        <f ca="1">IFERROR(__xludf.DUMMYFUNCTION("""COMPUTED_VALUE"""),"Saliva PCR")</f>
        <v>Saliva PCR</v>
      </c>
      <c r="C243" s="20" t="str">
        <f ca="1">IFERROR(__xludf.DUMMYFUNCTION("""COMPUTED_VALUE"""),"4+")</f>
        <v>4+</v>
      </c>
      <c r="D243" s="22">
        <f ca="1">IFERROR(__xludf.DUMMYFUNCTION("""COMPUTED_VALUE"""),44571)</f>
        <v>44571</v>
      </c>
      <c r="E243" s="22">
        <f ca="1">IFERROR(__xludf.DUMMYFUNCTION("""COMPUTED_VALUE"""),44571)</f>
        <v>44571</v>
      </c>
      <c r="F243" s="20"/>
      <c r="G243" s="20" t="str">
        <f ca="1">IFERROR(__xludf.DUMMYFUNCTION("""COMPUTED_VALUE"""),"New Life United Methodist Church")</f>
        <v>New Life United Methodist Church</v>
      </c>
      <c r="H243" s="20" t="str">
        <f ca="1">IFERROR(__xludf.DUMMYFUNCTION("""COMPUTED_VALUE"""),"8840 80th Street, Queens, NY 11421")</f>
        <v>8840 80th Street, Queens, NY 11421</v>
      </c>
      <c r="I243" s="20" t="str">
        <f ca="1">IFERROR(__xludf.DUMMYFUNCTION("""COMPUTED_VALUE"""),"Queens")</f>
        <v>Queens</v>
      </c>
      <c r="J243" s="24">
        <f ca="1">IFERROR(__xludf.DUMMYFUNCTION("""COMPUTED_VALUE"""),11421)</f>
        <v>11421</v>
      </c>
      <c r="K243" s="20" t="str">
        <f ca="1">IFERROR(__xludf.DUMMYFUNCTION("""COMPUTED_VALUE"""),"11:30am-6:30pm")</f>
        <v>11:30am-6:30pm</v>
      </c>
    </row>
    <row r="244" spans="1:11" ht="12.75">
      <c r="A244" s="20" t="str">
        <f ca="1">IFERROR(__xludf.DUMMYFUNCTION("""COMPUTED_VALUE"""),"Mt. Sinai")</f>
        <v>Mt. Sinai</v>
      </c>
      <c r="B244" s="20" t="str">
        <f ca="1">IFERROR(__xludf.DUMMYFUNCTION("""COMPUTED_VALUE"""),"Saliva PCR")</f>
        <v>Saliva PCR</v>
      </c>
      <c r="C244" s="20" t="str">
        <f ca="1">IFERROR(__xludf.DUMMYFUNCTION("""COMPUTED_VALUE"""),"4+")</f>
        <v>4+</v>
      </c>
      <c r="D244" s="22">
        <f ca="1">IFERROR(__xludf.DUMMYFUNCTION("""COMPUTED_VALUE"""),44571)</f>
        <v>44571</v>
      </c>
      <c r="E244" s="22">
        <f ca="1">IFERROR(__xludf.DUMMYFUNCTION("""COMPUTED_VALUE"""),44571)</f>
        <v>44571</v>
      </c>
      <c r="F244" s="20"/>
      <c r="G244" s="20" t="str">
        <f ca="1">IFERROR(__xludf.DUMMYFUNCTION("""COMPUTED_VALUE"""),"Greater Allen Cathedral of NY")</f>
        <v>Greater Allen Cathedral of NY</v>
      </c>
      <c r="H244" s="20" t="str">
        <f ca="1">IFERROR(__xludf.DUMMYFUNCTION("""COMPUTED_VALUE"""),"110-31 Merrick Blvd, Queens, NY 11433")</f>
        <v>110-31 Merrick Blvd, Queens, NY 11433</v>
      </c>
      <c r="I244" s="20" t="str">
        <f ca="1">IFERROR(__xludf.DUMMYFUNCTION("""COMPUTED_VALUE"""),"Queens")</f>
        <v>Queens</v>
      </c>
      <c r="J244" s="24">
        <f ca="1">IFERROR(__xludf.DUMMYFUNCTION("""COMPUTED_VALUE"""),11433)</f>
        <v>11433</v>
      </c>
      <c r="K244" s="20" t="str">
        <f ca="1">IFERROR(__xludf.DUMMYFUNCTION("""COMPUTED_VALUE"""),"9:00am-5:00pm")</f>
        <v>9:00am-5:00pm</v>
      </c>
    </row>
    <row r="245" spans="1:11" ht="12.75">
      <c r="A245" s="20" t="str">
        <f ca="1">IFERROR(__xludf.DUMMYFUNCTION("""COMPUTED_VALUE"""),"Mt. Sinai")</f>
        <v>Mt. Sinai</v>
      </c>
      <c r="B245" s="20" t="str">
        <f ca="1">IFERROR(__xludf.DUMMYFUNCTION("""COMPUTED_VALUE"""),"Saliva PCR")</f>
        <v>Saliva PCR</v>
      </c>
      <c r="C245" s="20" t="str">
        <f ca="1">IFERROR(__xludf.DUMMYFUNCTION("""COMPUTED_VALUE"""),"4+")</f>
        <v>4+</v>
      </c>
      <c r="D245" s="22">
        <f ca="1">IFERROR(__xludf.DUMMYFUNCTION("""COMPUTED_VALUE"""),44571)</f>
        <v>44571</v>
      </c>
      <c r="E245" s="22">
        <f ca="1">IFERROR(__xludf.DUMMYFUNCTION("""COMPUTED_VALUE"""),44571)</f>
        <v>44571</v>
      </c>
      <c r="F245" s="20"/>
      <c r="G245" s="20" t="str">
        <f ca="1">IFERROR(__xludf.DUMMYFUNCTION("""COMPUTED_VALUE"""),"Robert Ross Johnson Family Life Center (St. Albans Congregational Church)")</f>
        <v>Robert Ross Johnson Family Life Center (St. Albans Congregational Church)</v>
      </c>
      <c r="H245" s="20" t="str">
        <f ca="1">IFERROR(__xludf.DUMMYFUNCTION("""COMPUTED_VALUE"""),"172-17 Linden Blvd, Queens, NY 11434")</f>
        <v>172-17 Linden Blvd, Queens, NY 11434</v>
      </c>
      <c r="I245" s="20" t="str">
        <f ca="1">IFERROR(__xludf.DUMMYFUNCTION("""COMPUTED_VALUE"""),"Queens")</f>
        <v>Queens</v>
      </c>
      <c r="J245" s="24">
        <f ca="1">IFERROR(__xludf.DUMMYFUNCTION("""COMPUTED_VALUE"""),11434)</f>
        <v>11434</v>
      </c>
      <c r="K245" s="20" t="str">
        <f ca="1">IFERROR(__xludf.DUMMYFUNCTION("""COMPUTED_VALUE"""),"8:30am-3:30pm")</f>
        <v>8:30am-3:30pm</v>
      </c>
    </row>
    <row r="246" spans="1:11" ht="12.75">
      <c r="A246" s="20" t="str">
        <f ca="1">IFERROR(__xludf.DUMMYFUNCTION("""COMPUTED_VALUE"""),"Mt. Sinai")</f>
        <v>Mt. Sinai</v>
      </c>
      <c r="B246" s="20" t="str">
        <f ca="1">IFERROR(__xludf.DUMMYFUNCTION("""COMPUTED_VALUE"""),"Saliva PCR")</f>
        <v>Saliva PCR</v>
      </c>
      <c r="C246" s="20" t="str">
        <f ca="1">IFERROR(__xludf.DUMMYFUNCTION("""COMPUTED_VALUE"""),"4+")</f>
        <v>4+</v>
      </c>
      <c r="D246" s="22">
        <f ca="1">IFERROR(__xludf.DUMMYFUNCTION("""COMPUTED_VALUE"""),44571)</f>
        <v>44571</v>
      </c>
      <c r="E246" s="22">
        <f ca="1">IFERROR(__xludf.DUMMYFUNCTION("""COMPUTED_VALUE"""),44571)</f>
        <v>44571</v>
      </c>
      <c r="F246" s="20"/>
      <c r="G246" s="20" t="str">
        <f ca="1">IFERROR(__xludf.DUMMYFUNCTION("""COMPUTED_VALUE"""),"Youth Referral &amp; Placement Unit (YRPU)")</f>
        <v>Youth Referral &amp; Placement Unit (YRPU)</v>
      </c>
      <c r="H246" s="20" t="str">
        <f ca="1">IFERROR(__xludf.DUMMYFUNCTION("""COMPUTED_VALUE"""),"141-03 Lakewood Ave, Queens, NY 11435")</f>
        <v>141-03 Lakewood Ave, Queens, NY 11435</v>
      </c>
      <c r="I246" s="20" t="str">
        <f ca="1">IFERROR(__xludf.DUMMYFUNCTION("""COMPUTED_VALUE"""),"Queens")</f>
        <v>Queens</v>
      </c>
      <c r="J246" s="24">
        <f ca="1">IFERROR(__xludf.DUMMYFUNCTION("""COMPUTED_VALUE"""),11435)</f>
        <v>11435</v>
      </c>
      <c r="K246" s="20" t="str">
        <f ca="1">IFERROR(__xludf.DUMMYFUNCTION("""COMPUTED_VALUE"""),"10:00am-4:30pm")</f>
        <v>10:00am-4:30pm</v>
      </c>
    </row>
    <row r="247" spans="1:11" ht="12.75">
      <c r="A247" s="20" t="str">
        <f ca="1">IFERROR(__xludf.DUMMYFUNCTION("""COMPUTED_VALUE"""),"Mt. Sinai")</f>
        <v>Mt. Sinai</v>
      </c>
      <c r="B247" s="20" t="str">
        <f ca="1">IFERROR(__xludf.DUMMYFUNCTION("""COMPUTED_VALUE"""),"Saliva PCR")</f>
        <v>Saliva PCR</v>
      </c>
      <c r="C247" s="20" t="str">
        <f ca="1">IFERROR(__xludf.DUMMYFUNCTION("""COMPUTED_VALUE"""),"4+")</f>
        <v>4+</v>
      </c>
      <c r="D247" s="22">
        <f ca="1">IFERROR(__xludf.DUMMYFUNCTION("""COMPUTED_VALUE"""),44572)</f>
        <v>44572</v>
      </c>
      <c r="E247" s="22">
        <f ca="1">IFERROR(__xludf.DUMMYFUNCTION("""COMPUTED_VALUE"""),44572)</f>
        <v>44572</v>
      </c>
      <c r="F247" s="20"/>
      <c r="G247" s="20" t="str">
        <f ca="1">IFERROR(__xludf.DUMMYFUNCTION("""COMPUTED_VALUE"""),"Next Step Resources and Recovery Center")</f>
        <v>Next Step Resources and Recovery Center</v>
      </c>
      <c r="H247" s="20" t="str">
        <f ca="1">IFERROR(__xludf.DUMMYFUNCTION("""COMPUTED_VALUE"""),"56 Bay Street, Staten Island, NY 10301")</f>
        <v>56 Bay Street, Staten Island, NY 10301</v>
      </c>
      <c r="I247" s="20" t="str">
        <f ca="1">IFERROR(__xludf.DUMMYFUNCTION("""COMPUTED_VALUE"""),"Staten Island")</f>
        <v>Staten Island</v>
      </c>
      <c r="J247" s="24">
        <f ca="1">IFERROR(__xludf.DUMMYFUNCTION("""COMPUTED_VALUE"""),10301)</f>
        <v>10301</v>
      </c>
      <c r="K247" s="20" t="str">
        <f ca="1">IFERROR(__xludf.DUMMYFUNCTION("""COMPUTED_VALUE"""),"9:30am-3:30pm")</f>
        <v>9:30am-3:30pm</v>
      </c>
    </row>
    <row r="248" spans="1:11" ht="12.75">
      <c r="A248" s="20" t="str">
        <f ca="1">IFERROR(__xludf.DUMMYFUNCTION("""COMPUTED_VALUE"""),"Mt. Sinai")</f>
        <v>Mt. Sinai</v>
      </c>
      <c r="B248" s="20" t="str">
        <f ca="1">IFERROR(__xludf.DUMMYFUNCTION("""COMPUTED_VALUE"""),"Saliva PCR")</f>
        <v>Saliva PCR</v>
      </c>
      <c r="C248" s="20" t="str">
        <f ca="1">IFERROR(__xludf.DUMMYFUNCTION("""COMPUTED_VALUE"""),"4+")</f>
        <v>4+</v>
      </c>
      <c r="D248" s="22">
        <f ca="1">IFERROR(__xludf.DUMMYFUNCTION("""COMPUTED_VALUE"""),44572)</f>
        <v>44572</v>
      </c>
      <c r="E248" s="22">
        <f ca="1">IFERROR(__xludf.DUMMYFUNCTION("""COMPUTED_VALUE"""),44572)</f>
        <v>44572</v>
      </c>
      <c r="F248" s="20"/>
      <c r="G248" s="20" t="str">
        <f ca="1">IFERROR(__xludf.DUMMYFUNCTION("""COMPUTED_VALUE"""),"Community Health Action of Staten Island (CHASI) Harm Reduction Center
")</f>
        <v xml:space="preserve">Community Health Action of Staten Island (CHASI) Harm Reduction Center
</v>
      </c>
      <c r="H248" s="20" t="str">
        <f ca="1">IFERROR(__xludf.DUMMYFUNCTION("""COMPUTED_VALUE"""),"166 Port Richmond Ave, Staten Island, NY 10302")</f>
        <v>166 Port Richmond Ave, Staten Island, NY 10302</v>
      </c>
      <c r="I248" s="20" t="str">
        <f ca="1">IFERROR(__xludf.DUMMYFUNCTION("""COMPUTED_VALUE"""),"Staten Island")</f>
        <v>Staten Island</v>
      </c>
      <c r="J248" s="24">
        <f ca="1">IFERROR(__xludf.DUMMYFUNCTION("""COMPUTED_VALUE"""),10302)</f>
        <v>10302</v>
      </c>
      <c r="K248" s="20" t="str">
        <f ca="1">IFERROR(__xludf.DUMMYFUNCTION("""COMPUTED_VALUE"""),"9:30am-4:30pm")</f>
        <v>9:30am-4:30pm</v>
      </c>
    </row>
    <row r="249" spans="1:11" ht="12.75">
      <c r="A249" s="20" t="str">
        <f ca="1">IFERROR(__xludf.DUMMYFUNCTION("""COMPUTED_VALUE"""),"Mt. Sinai")</f>
        <v>Mt. Sinai</v>
      </c>
      <c r="B249" s="20" t="str">
        <f ca="1">IFERROR(__xludf.DUMMYFUNCTION("""COMPUTED_VALUE"""),"Saliva PCR")</f>
        <v>Saliva PCR</v>
      </c>
      <c r="C249" s="20" t="str">
        <f ca="1">IFERROR(__xludf.DUMMYFUNCTION("""COMPUTED_VALUE"""),"4+")</f>
        <v>4+</v>
      </c>
      <c r="D249" s="22">
        <f ca="1">IFERROR(__xludf.DUMMYFUNCTION("""COMPUTED_VALUE"""),44572)</f>
        <v>44572</v>
      </c>
      <c r="E249" s="22">
        <f ca="1">IFERROR(__xludf.DUMMYFUNCTION("""COMPUTED_VALUE"""),44572)</f>
        <v>44572</v>
      </c>
      <c r="F249" s="20"/>
      <c r="G249" s="20" t="str">
        <f ca="1">IFERROR(__xludf.DUMMYFUNCTION("""COMPUTED_VALUE"""),"New Covenant Christian Ministries (Morrisania)")</f>
        <v>New Covenant Christian Ministries (Morrisania)</v>
      </c>
      <c r="H249" s="20" t="str">
        <f ca="1">IFERROR(__xludf.DUMMYFUNCTION("""COMPUTED_VALUE"""),"1175 Boston Rd, Bronx, NY 10456")</f>
        <v>1175 Boston Rd, Bronx, NY 10456</v>
      </c>
      <c r="I249" s="20" t="str">
        <f ca="1">IFERROR(__xludf.DUMMYFUNCTION("""COMPUTED_VALUE"""),"Bronx")</f>
        <v>Bronx</v>
      </c>
      <c r="J249" s="24">
        <f ca="1">IFERROR(__xludf.DUMMYFUNCTION("""COMPUTED_VALUE"""),10456)</f>
        <v>10456</v>
      </c>
      <c r="K249" s="20" t="str">
        <f ca="1">IFERROR(__xludf.DUMMYFUNCTION("""COMPUTED_VALUE"""),"10:30am-5:30pm")</f>
        <v>10:30am-5:30pm</v>
      </c>
    </row>
    <row r="250" spans="1:11" ht="12.75">
      <c r="A250" s="20" t="str">
        <f ca="1">IFERROR(__xludf.DUMMYFUNCTION("""COMPUTED_VALUE"""),"Mt. Sinai")</f>
        <v>Mt. Sinai</v>
      </c>
      <c r="B250" s="20" t="str">
        <f ca="1">IFERROR(__xludf.DUMMYFUNCTION("""COMPUTED_VALUE"""),"Saliva PCR")</f>
        <v>Saliva PCR</v>
      </c>
      <c r="C250" s="20" t="str">
        <f ca="1">IFERROR(__xludf.DUMMYFUNCTION("""COMPUTED_VALUE"""),"4+")</f>
        <v>4+</v>
      </c>
      <c r="D250" s="22">
        <f ca="1">IFERROR(__xludf.DUMMYFUNCTION("""COMPUTED_VALUE"""),44572)</f>
        <v>44572</v>
      </c>
      <c r="E250" s="22">
        <f ca="1">IFERROR(__xludf.DUMMYFUNCTION("""COMPUTED_VALUE"""),44572)</f>
        <v>44572</v>
      </c>
      <c r="F250" s="20"/>
      <c r="G250" s="20" t="str">
        <f ca="1">IFERROR(__xludf.DUMMYFUNCTION("""COMPUTED_VALUE"""),"Bathgate")</f>
        <v>Bathgate</v>
      </c>
      <c r="H250" s="20" t="str">
        <f ca="1">IFERROR(__xludf.DUMMYFUNCTION("""COMPUTED_VALUE"""),"4006 3rd Ave, Bronx, NY 10457")</f>
        <v>4006 3rd Ave, Bronx, NY 10457</v>
      </c>
      <c r="I250" s="20" t="str">
        <f ca="1">IFERROR(__xludf.DUMMYFUNCTION("""COMPUTED_VALUE"""),"Bronx")</f>
        <v>Bronx</v>
      </c>
      <c r="J250" s="24">
        <f ca="1">IFERROR(__xludf.DUMMYFUNCTION("""COMPUTED_VALUE"""),10457)</f>
        <v>10457</v>
      </c>
      <c r="K250" s="20" t="str">
        <f ca="1">IFERROR(__xludf.DUMMYFUNCTION("""COMPUTED_VALUE"""),"10:00am-5:00pm")</f>
        <v>10:00am-5:00pm</v>
      </c>
    </row>
    <row r="251" spans="1:11" ht="12.75">
      <c r="A251" s="20" t="str">
        <f ca="1">IFERROR(__xludf.DUMMYFUNCTION("""COMPUTED_VALUE"""),"Mt. Sinai")</f>
        <v>Mt. Sinai</v>
      </c>
      <c r="B251" s="20" t="str">
        <f ca="1">IFERROR(__xludf.DUMMYFUNCTION("""COMPUTED_VALUE"""),"Saliva PCR")</f>
        <v>Saliva PCR</v>
      </c>
      <c r="C251" s="20" t="str">
        <f ca="1">IFERROR(__xludf.DUMMYFUNCTION("""COMPUTED_VALUE"""),"4+")</f>
        <v>4+</v>
      </c>
      <c r="D251" s="22">
        <f ca="1">IFERROR(__xludf.DUMMYFUNCTION("""COMPUTED_VALUE"""),44572)</f>
        <v>44572</v>
      </c>
      <c r="E251" s="22">
        <f ca="1">IFERROR(__xludf.DUMMYFUNCTION("""COMPUTED_VALUE"""),44572)</f>
        <v>44572</v>
      </c>
      <c r="F251" s="20"/>
      <c r="G251" s="20" t="str">
        <f ca="1">IFERROR(__xludf.DUMMYFUNCTION("""COMPUTED_VALUE"""),"Riverdale Neighborhood House")</f>
        <v>Riverdale Neighborhood House</v>
      </c>
      <c r="H251" s="20" t="str">
        <f ca="1">IFERROR(__xludf.DUMMYFUNCTION("""COMPUTED_VALUE"""),"5521 Mosholu Avenue, Bronx, NY 10471")</f>
        <v>5521 Mosholu Avenue, Bronx, NY 10471</v>
      </c>
      <c r="I251" s="20" t="str">
        <f ca="1">IFERROR(__xludf.DUMMYFUNCTION("""COMPUTED_VALUE"""),"Bronx")</f>
        <v>Bronx</v>
      </c>
      <c r="J251" s="24">
        <f ca="1">IFERROR(__xludf.DUMMYFUNCTION("""COMPUTED_VALUE"""),10471)</f>
        <v>10471</v>
      </c>
      <c r="K251" s="20" t="str">
        <f ca="1">IFERROR(__xludf.DUMMYFUNCTION("""COMPUTED_VALUE"""),"9:00am-2:00pm")</f>
        <v>9:00am-2:00pm</v>
      </c>
    </row>
    <row r="252" spans="1:11" ht="12.75">
      <c r="A252" s="20" t="str">
        <f ca="1">IFERROR(__xludf.DUMMYFUNCTION("""COMPUTED_VALUE"""),"Mt. Sinai")</f>
        <v>Mt. Sinai</v>
      </c>
      <c r="B252" s="20" t="str">
        <f ca="1">IFERROR(__xludf.DUMMYFUNCTION("""COMPUTED_VALUE"""),"Saliva PCR")</f>
        <v>Saliva PCR</v>
      </c>
      <c r="C252" s="20" t="str">
        <f ca="1">IFERROR(__xludf.DUMMYFUNCTION("""COMPUTED_VALUE"""),"4+")</f>
        <v>4+</v>
      </c>
      <c r="D252" s="22">
        <f ca="1">IFERROR(__xludf.DUMMYFUNCTION("""COMPUTED_VALUE"""),44572)</f>
        <v>44572</v>
      </c>
      <c r="E252" s="22">
        <f ca="1">IFERROR(__xludf.DUMMYFUNCTION("""COMPUTED_VALUE"""),44572)</f>
        <v>44572</v>
      </c>
      <c r="F252" s="20"/>
      <c r="G252" s="20" t="str">
        <f ca="1">IFERROR(__xludf.DUMMYFUNCTION("""COMPUTED_VALUE"""),"Brooklyn Navy Yard")</f>
        <v>Brooklyn Navy Yard</v>
      </c>
      <c r="H252" s="20" t="str">
        <f ca="1">IFERROR(__xludf.DUMMYFUNCTION("""COMPUTED_VALUE"""),"63 Flushing Ave, building 92, Brooklyn, NY 11205")</f>
        <v>63 Flushing Ave, building 92, Brooklyn, NY 11205</v>
      </c>
      <c r="I252" s="20" t="str">
        <f ca="1">IFERROR(__xludf.DUMMYFUNCTION("""COMPUTED_VALUE"""),"Brooklyn")</f>
        <v>Brooklyn</v>
      </c>
      <c r="J252" s="24">
        <f ca="1">IFERROR(__xludf.DUMMYFUNCTION("""COMPUTED_VALUE"""),11205)</f>
        <v>11205</v>
      </c>
      <c r="K252" s="20" t="str">
        <f ca="1">IFERROR(__xludf.DUMMYFUNCTION("""COMPUTED_VALUE"""),"8:30am-4:30pm")</f>
        <v>8:30am-4:30pm</v>
      </c>
    </row>
    <row r="253" spans="1:11" ht="12.75">
      <c r="A253" s="20" t="str">
        <f ca="1">IFERROR(__xludf.DUMMYFUNCTION("""COMPUTED_VALUE"""),"Mt. Sinai")</f>
        <v>Mt. Sinai</v>
      </c>
      <c r="B253" s="20" t="str">
        <f ca="1">IFERROR(__xludf.DUMMYFUNCTION("""COMPUTED_VALUE"""),"Saliva PCR")</f>
        <v>Saliva PCR</v>
      </c>
      <c r="C253" s="20" t="str">
        <f ca="1">IFERROR(__xludf.DUMMYFUNCTION("""COMPUTED_VALUE"""),"4+")</f>
        <v>4+</v>
      </c>
      <c r="D253" s="22">
        <f ca="1">IFERROR(__xludf.DUMMYFUNCTION("""COMPUTED_VALUE"""),44572)</f>
        <v>44572</v>
      </c>
      <c r="E253" s="22">
        <f ca="1">IFERROR(__xludf.DUMMYFUNCTION("""COMPUTED_VALUE"""),44572)</f>
        <v>44572</v>
      </c>
      <c r="F253" s="20"/>
      <c r="G253" s="20" t="str">
        <f ca="1">IFERROR(__xludf.DUMMYFUNCTION("""COMPUTED_VALUE"""),"Family Services Network of New York Access Center")</f>
        <v>Family Services Network of New York Access Center</v>
      </c>
      <c r="H253" s="20" t="str">
        <f ca="1">IFERROR(__xludf.DUMMYFUNCTION("""COMPUTED_VALUE"""),"1721 Pitkin Ave, Brooklyn, NY 11212")</f>
        <v>1721 Pitkin Ave, Brooklyn, NY 11212</v>
      </c>
      <c r="I253" s="20" t="str">
        <f ca="1">IFERROR(__xludf.DUMMYFUNCTION("""COMPUTED_VALUE"""),"Brooklyn")</f>
        <v>Brooklyn</v>
      </c>
      <c r="J253" s="24">
        <f ca="1">IFERROR(__xludf.DUMMYFUNCTION("""COMPUTED_VALUE"""),11212)</f>
        <v>11212</v>
      </c>
      <c r="K253" s="20" t="str">
        <f ca="1">IFERROR(__xludf.DUMMYFUNCTION("""COMPUTED_VALUE"""),"11:30am-7:30pm")</f>
        <v>11:30am-7:30pm</v>
      </c>
    </row>
    <row r="254" spans="1:11" ht="12.75">
      <c r="A254" s="20" t="str">
        <f ca="1">IFERROR(__xludf.DUMMYFUNCTION("""COMPUTED_VALUE"""),"Mt. Sinai")</f>
        <v>Mt. Sinai</v>
      </c>
      <c r="B254" s="20" t="str">
        <f ca="1">IFERROR(__xludf.DUMMYFUNCTION("""COMPUTED_VALUE"""),"Saliva PCR")</f>
        <v>Saliva PCR</v>
      </c>
      <c r="C254" s="20" t="str">
        <f ca="1">IFERROR(__xludf.DUMMYFUNCTION("""COMPUTED_VALUE"""),"4+")</f>
        <v>4+</v>
      </c>
      <c r="D254" s="22">
        <f ca="1">IFERROR(__xludf.DUMMYFUNCTION("""COMPUTED_VALUE"""),44572)</f>
        <v>44572</v>
      </c>
      <c r="E254" s="22">
        <f ca="1">IFERROR(__xludf.DUMMYFUNCTION("""COMPUTED_VALUE"""),44572)</f>
        <v>44572</v>
      </c>
      <c r="F254" s="20"/>
      <c r="G254" s="20" t="str">
        <f ca="1">IFERROR(__xludf.DUMMYFUNCTION("""COMPUTED_VALUE"""),"Brooklyn Army Terminal (BAT)")</f>
        <v>Brooklyn Army Terminal (BAT)</v>
      </c>
      <c r="H254" s="20" t="str">
        <f ca="1">IFERROR(__xludf.DUMMYFUNCTION("""COMPUTED_VALUE"""),"140 58th Street, Brooklyn, NY 11220")</f>
        <v>140 58th Street, Brooklyn, NY 11220</v>
      </c>
      <c r="I254" s="20" t="str">
        <f ca="1">IFERROR(__xludf.DUMMYFUNCTION("""COMPUTED_VALUE"""),"Brooklyn")</f>
        <v>Brooklyn</v>
      </c>
      <c r="J254" s="24">
        <f ca="1">IFERROR(__xludf.DUMMYFUNCTION("""COMPUTED_VALUE"""),11220)</f>
        <v>11220</v>
      </c>
      <c r="K254" s="20" t="str">
        <f ca="1">IFERROR(__xludf.DUMMYFUNCTION("""COMPUTED_VALUE"""),"10:00am-5:00pm")</f>
        <v>10:00am-5:00pm</v>
      </c>
    </row>
    <row r="255" spans="1:11" ht="12.75">
      <c r="A255" s="20" t="str">
        <f ca="1">IFERROR(__xludf.DUMMYFUNCTION("""COMPUTED_VALUE"""),"Mt. Sinai")</f>
        <v>Mt. Sinai</v>
      </c>
      <c r="B255" s="20" t="str">
        <f ca="1">IFERROR(__xludf.DUMMYFUNCTION("""COMPUTED_VALUE"""),"Saliva PCR")</f>
        <v>Saliva PCR</v>
      </c>
      <c r="C255" s="20" t="str">
        <f ca="1">IFERROR(__xludf.DUMMYFUNCTION("""COMPUTED_VALUE"""),"4+")</f>
        <v>4+</v>
      </c>
      <c r="D255" s="22">
        <f ca="1">IFERROR(__xludf.DUMMYFUNCTION("""COMPUTED_VALUE"""),44572)</f>
        <v>44572</v>
      </c>
      <c r="E255" s="22">
        <f ca="1">IFERROR(__xludf.DUMMYFUNCTION("""COMPUTED_VALUE"""),44572)</f>
        <v>44572</v>
      </c>
      <c r="F255" s="20"/>
      <c r="G255" s="20" t="str">
        <f ca="1">IFERROR(__xludf.DUMMYFUNCTION("""COMPUTED_VALUE"""),"Ida G. Israel Health Center")</f>
        <v>Ida G. Israel Health Center</v>
      </c>
      <c r="H255" s="20" t="str">
        <f ca="1">IFERROR(__xludf.DUMMYFUNCTION("""COMPUTED_VALUE"""),"2925 W 19th St, Brooklyn, NY 11224")</f>
        <v>2925 W 19th St, Brooklyn, NY 11224</v>
      </c>
      <c r="I255" s="20" t="str">
        <f ca="1">IFERROR(__xludf.DUMMYFUNCTION("""COMPUTED_VALUE"""),"Brooklyn")</f>
        <v>Brooklyn</v>
      </c>
      <c r="J255" s="24">
        <f ca="1">IFERROR(__xludf.DUMMYFUNCTION("""COMPUTED_VALUE"""),11224)</f>
        <v>11224</v>
      </c>
      <c r="K255" s="20" t="str">
        <f ca="1">IFERROR(__xludf.DUMMYFUNCTION("""COMPUTED_VALUE"""),"8:00am-4:00pm")</f>
        <v>8:00am-4:00pm</v>
      </c>
    </row>
    <row r="256" spans="1:11" ht="12.75">
      <c r="A256" s="20" t="str">
        <f ca="1">IFERROR(__xludf.DUMMYFUNCTION("""COMPUTED_VALUE"""),"Mt. Sinai")</f>
        <v>Mt. Sinai</v>
      </c>
      <c r="B256" s="20" t="str">
        <f ca="1">IFERROR(__xludf.DUMMYFUNCTION("""COMPUTED_VALUE"""),"Saliva PCR")</f>
        <v>Saliva PCR</v>
      </c>
      <c r="C256" s="20" t="str">
        <f ca="1">IFERROR(__xludf.DUMMYFUNCTION("""COMPUTED_VALUE"""),"4+")</f>
        <v>4+</v>
      </c>
      <c r="D256" s="22">
        <f ca="1">IFERROR(__xludf.DUMMYFUNCTION("""COMPUTED_VALUE"""),44572)</f>
        <v>44572</v>
      </c>
      <c r="E256" s="22">
        <f ca="1">IFERROR(__xludf.DUMMYFUNCTION("""COMPUTED_VALUE"""),44572)</f>
        <v>44572</v>
      </c>
      <c r="F256" s="20"/>
      <c r="G256" s="20" t="str">
        <f ca="1">IFERROR(__xludf.DUMMYFUNCTION("""COMPUTED_VALUE"""),"Queens College Student Union")</f>
        <v>Queens College Student Union</v>
      </c>
      <c r="H256" s="20" t="str">
        <f ca="1">IFERROR(__xludf.DUMMYFUNCTION("""COMPUTED_VALUE"""),"65-30 Kissena Blvd., Queens, NY 11367")</f>
        <v>65-30 Kissena Blvd., Queens, NY 11367</v>
      </c>
      <c r="I256" s="20" t="str">
        <f ca="1">IFERROR(__xludf.DUMMYFUNCTION("""COMPUTED_VALUE"""),"Queens")</f>
        <v>Queens</v>
      </c>
      <c r="J256" s="24">
        <f ca="1">IFERROR(__xludf.DUMMYFUNCTION("""COMPUTED_VALUE"""),11367)</f>
        <v>11367</v>
      </c>
      <c r="K256" s="20" t="str">
        <f ca="1">IFERROR(__xludf.DUMMYFUNCTION("""COMPUTED_VALUE"""),"10:00am-5:00pm")</f>
        <v>10:00am-5:00pm</v>
      </c>
    </row>
    <row r="257" spans="1:11" ht="12.75">
      <c r="A257" s="20" t="str">
        <f ca="1">IFERROR(__xludf.DUMMYFUNCTION("""COMPUTED_VALUE"""),"Mt. Sinai")</f>
        <v>Mt. Sinai</v>
      </c>
      <c r="B257" s="20" t="str">
        <f ca="1">IFERROR(__xludf.DUMMYFUNCTION("""COMPUTED_VALUE"""),"Saliva PCR")</f>
        <v>Saliva PCR</v>
      </c>
      <c r="C257" s="20" t="str">
        <f ca="1">IFERROR(__xludf.DUMMYFUNCTION("""COMPUTED_VALUE"""),"4+")</f>
        <v>4+</v>
      </c>
      <c r="D257" s="22">
        <f ca="1">IFERROR(__xludf.DUMMYFUNCTION("""COMPUTED_VALUE"""),44572)</f>
        <v>44572</v>
      </c>
      <c r="E257" s="22">
        <f ca="1">IFERROR(__xludf.DUMMYFUNCTION("""COMPUTED_VALUE"""),44572)</f>
        <v>44572</v>
      </c>
      <c r="F257" s="20"/>
      <c r="G257" s="20" t="str">
        <f ca="1">IFERROR(__xludf.DUMMYFUNCTION("""COMPUTED_VALUE"""),"New Life United Methodist Church")</f>
        <v>New Life United Methodist Church</v>
      </c>
      <c r="H257" s="20" t="str">
        <f ca="1">IFERROR(__xludf.DUMMYFUNCTION("""COMPUTED_VALUE"""),"8840 80th Street, Queens, NY 11421")</f>
        <v>8840 80th Street, Queens, NY 11421</v>
      </c>
      <c r="I257" s="20" t="str">
        <f ca="1">IFERROR(__xludf.DUMMYFUNCTION("""COMPUTED_VALUE"""),"Queens")</f>
        <v>Queens</v>
      </c>
      <c r="J257" s="24">
        <f ca="1">IFERROR(__xludf.DUMMYFUNCTION("""COMPUTED_VALUE"""),11421)</f>
        <v>11421</v>
      </c>
      <c r="K257" s="20" t="str">
        <f ca="1">IFERROR(__xludf.DUMMYFUNCTION("""COMPUTED_VALUE"""),"10:30am-5:30pm")</f>
        <v>10:30am-5:30pm</v>
      </c>
    </row>
    <row r="258" spans="1:11" ht="12.75">
      <c r="A258" s="20" t="str">
        <f ca="1">IFERROR(__xludf.DUMMYFUNCTION("""COMPUTED_VALUE"""),"Mt. Sinai")</f>
        <v>Mt. Sinai</v>
      </c>
      <c r="B258" s="20" t="str">
        <f ca="1">IFERROR(__xludf.DUMMYFUNCTION("""COMPUTED_VALUE"""),"Saliva PCR")</f>
        <v>Saliva PCR</v>
      </c>
      <c r="C258" s="20" t="str">
        <f ca="1">IFERROR(__xludf.DUMMYFUNCTION("""COMPUTED_VALUE"""),"4+")</f>
        <v>4+</v>
      </c>
      <c r="D258" s="22">
        <f ca="1">IFERROR(__xludf.DUMMYFUNCTION("""COMPUTED_VALUE"""),44572)</f>
        <v>44572</v>
      </c>
      <c r="E258" s="22">
        <f ca="1">IFERROR(__xludf.DUMMYFUNCTION("""COMPUTED_VALUE"""),44572)</f>
        <v>44572</v>
      </c>
      <c r="F258" s="20"/>
      <c r="G258" s="20" t="str">
        <f ca="1">IFERROR(__xludf.DUMMYFUNCTION("""COMPUTED_VALUE"""),"Community Church of Christ")</f>
        <v>Community Church of Christ</v>
      </c>
      <c r="H258" s="20" t="str">
        <f ca="1">IFERROR(__xludf.DUMMYFUNCTION("""COMPUTED_VALUE"""),"167-04 108th Avenue, Queens, NY 11433")</f>
        <v>167-04 108th Avenue, Queens, NY 11433</v>
      </c>
      <c r="I258" s="20" t="str">
        <f ca="1">IFERROR(__xludf.DUMMYFUNCTION("""COMPUTED_VALUE"""),"Queens")</f>
        <v>Queens</v>
      </c>
      <c r="J258" s="24">
        <f ca="1">IFERROR(__xludf.DUMMYFUNCTION("""COMPUTED_VALUE"""),11433)</f>
        <v>11433</v>
      </c>
      <c r="K258" s="20" t="str">
        <f ca="1">IFERROR(__xludf.DUMMYFUNCTION("""COMPUTED_VALUE"""),"9:30am-4:30pm")</f>
        <v>9:30am-4:30pm</v>
      </c>
    </row>
    <row r="259" spans="1:11" ht="12.75">
      <c r="A259" s="20" t="str">
        <f ca="1">IFERROR(__xludf.DUMMYFUNCTION("""COMPUTED_VALUE"""),"Mt. Sinai")</f>
        <v>Mt. Sinai</v>
      </c>
      <c r="B259" s="20" t="str">
        <f ca="1">IFERROR(__xludf.DUMMYFUNCTION("""COMPUTED_VALUE"""),"Saliva PCR")</f>
        <v>Saliva PCR</v>
      </c>
      <c r="C259" s="20" t="str">
        <f ca="1">IFERROR(__xludf.DUMMYFUNCTION("""COMPUTED_VALUE"""),"4+")</f>
        <v>4+</v>
      </c>
      <c r="D259" s="22">
        <f ca="1">IFERROR(__xludf.DUMMYFUNCTION("""COMPUTED_VALUE"""),44572)</f>
        <v>44572</v>
      </c>
      <c r="E259" s="22">
        <f ca="1">IFERROR(__xludf.DUMMYFUNCTION("""COMPUTED_VALUE"""),44572)</f>
        <v>44572</v>
      </c>
      <c r="F259" s="20"/>
      <c r="G259" s="20" t="str">
        <f ca="1">IFERROR(__xludf.DUMMYFUNCTION("""COMPUTED_VALUE"""),"Greater Allen Cathedral of NY")</f>
        <v>Greater Allen Cathedral of NY</v>
      </c>
      <c r="H259" s="20" t="str">
        <f ca="1">IFERROR(__xludf.DUMMYFUNCTION("""COMPUTED_VALUE"""),"110-31 Merrick Blvd, Queens, NY 11433")</f>
        <v>110-31 Merrick Blvd, Queens, NY 11433</v>
      </c>
      <c r="I259" s="20" t="str">
        <f ca="1">IFERROR(__xludf.DUMMYFUNCTION("""COMPUTED_VALUE"""),"Queens")</f>
        <v>Queens</v>
      </c>
      <c r="J259" s="24">
        <f ca="1">IFERROR(__xludf.DUMMYFUNCTION("""COMPUTED_VALUE"""),11433)</f>
        <v>11433</v>
      </c>
      <c r="K259" s="20" t="str">
        <f ca="1">IFERROR(__xludf.DUMMYFUNCTION("""COMPUTED_VALUE"""),"9:00am-5:00pm")</f>
        <v>9:00am-5:00pm</v>
      </c>
    </row>
    <row r="260" spans="1:11" ht="12.75">
      <c r="A260" s="20" t="str">
        <f ca="1">IFERROR(__xludf.DUMMYFUNCTION("""COMPUTED_VALUE"""),"Mt. Sinai")</f>
        <v>Mt. Sinai</v>
      </c>
      <c r="B260" s="20" t="str">
        <f ca="1">IFERROR(__xludf.DUMMYFUNCTION("""COMPUTED_VALUE"""),"Saliva PCR")</f>
        <v>Saliva PCR</v>
      </c>
      <c r="C260" s="20" t="str">
        <f ca="1">IFERROR(__xludf.DUMMYFUNCTION("""COMPUTED_VALUE"""),"4+")</f>
        <v>4+</v>
      </c>
      <c r="D260" s="22">
        <f ca="1">IFERROR(__xludf.DUMMYFUNCTION("""COMPUTED_VALUE"""),44573)</f>
        <v>44573</v>
      </c>
      <c r="E260" s="22">
        <f ca="1">IFERROR(__xludf.DUMMYFUNCTION("""COMPUTED_VALUE"""),44573)</f>
        <v>44573</v>
      </c>
      <c r="F260" s="20"/>
      <c r="G260" s="20" t="str">
        <f ca="1">IFERROR(__xludf.DUMMYFUNCTION("""COMPUTED_VALUE"""),"CHASI Food Pantry")</f>
        <v>CHASI Food Pantry</v>
      </c>
      <c r="H260" s="20" t="str">
        <f ca="1">IFERROR(__xludf.DUMMYFUNCTION("""COMPUTED_VALUE"""),"2134 Richmond Terrace, Staten Island, NY 10302")</f>
        <v>2134 Richmond Terrace, Staten Island, NY 10302</v>
      </c>
      <c r="I260" s="20" t="str">
        <f ca="1">IFERROR(__xludf.DUMMYFUNCTION("""COMPUTED_VALUE"""),"Staten Island")</f>
        <v>Staten Island</v>
      </c>
      <c r="J260" s="24">
        <f ca="1">IFERROR(__xludf.DUMMYFUNCTION("""COMPUTED_VALUE"""),10302)</f>
        <v>10302</v>
      </c>
      <c r="K260" s="20" t="str">
        <f ca="1">IFERROR(__xludf.DUMMYFUNCTION("""COMPUTED_VALUE"""),"9:30am-3:30pm")</f>
        <v>9:30am-3:30pm</v>
      </c>
    </row>
    <row r="261" spans="1:11" ht="12.75">
      <c r="A261" s="20" t="str">
        <f ca="1">IFERROR(__xludf.DUMMYFUNCTION("""COMPUTED_VALUE"""),"Mt. Sinai")</f>
        <v>Mt. Sinai</v>
      </c>
      <c r="B261" s="20" t="str">
        <f ca="1">IFERROR(__xludf.DUMMYFUNCTION("""COMPUTED_VALUE"""),"Saliva PCR")</f>
        <v>Saliva PCR</v>
      </c>
      <c r="C261" s="20" t="str">
        <f ca="1">IFERROR(__xludf.DUMMYFUNCTION("""COMPUTED_VALUE"""),"4+")</f>
        <v>4+</v>
      </c>
      <c r="D261" s="22">
        <f ca="1">IFERROR(__xludf.DUMMYFUNCTION("""COMPUTED_VALUE"""),44573)</f>
        <v>44573</v>
      </c>
      <c r="E261" s="22">
        <f ca="1">IFERROR(__xludf.DUMMYFUNCTION("""COMPUTED_VALUE"""),44573)</f>
        <v>44573</v>
      </c>
      <c r="F261" s="20"/>
      <c r="G261" s="20" t="str">
        <f ca="1">IFERROR(__xludf.DUMMYFUNCTION("""COMPUTED_VALUE"""),"New Covenant Christian Ministries (Morrisania)")</f>
        <v>New Covenant Christian Ministries (Morrisania)</v>
      </c>
      <c r="H261" s="20" t="str">
        <f ca="1">IFERROR(__xludf.DUMMYFUNCTION("""COMPUTED_VALUE"""),"1175 Boston Rd, Bronx, NY 10456")</f>
        <v>1175 Boston Rd, Bronx, NY 10456</v>
      </c>
      <c r="I261" s="20" t="str">
        <f ca="1">IFERROR(__xludf.DUMMYFUNCTION("""COMPUTED_VALUE"""),"Bronx")</f>
        <v>Bronx</v>
      </c>
      <c r="J261" s="24">
        <f ca="1">IFERROR(__xludf.DUMMYFUNCTION("""COMPUTED_VALUE"""),10456)</f>
        <v>10456</v>
      </c>
      <c r="K261" s="20" t="str">
        <f ca="1">IFERROR(__xludf.DUMMYFUNCTION("""COMPUTED_VALUE"""),"10:30am-5:30pm")</f>
        <v>10:30am-5:30pm</v>
      </c>
    </row>
    <row r="262" spans="1:11" ht="12.75">
      <c r="A262" s="20" t="str">
        <f ca="1">IFERROR(__xludf.DUMMYFUNCTION("""COMPUTED_VALUE"""),"Mt. Sinai")</f>
        <v>Mt. Sinai</v>
      </c>
      <c r="B262" s="20" t="str">
        <f ca="1">IFERROR(__xludf.DUMMYFUNCTION("""COMPUTED_VALUE"""),"Saliva PCR")</f>
        <v>Saliva PCR</v>
      </c>
      <c r="C262" s="20" t="str">
        <f ca="1">IFERROR(__xludf.DUMMYFUNCTION("""COMPUTED_VALUE"""),"4+")</f>
        <v>4+</v>
      </c>
      <c r="D262" s="22">
        <f ca="1">IFERROR(__xludf.DUMMYFUNCTION("""COMPUTED_VALUE"""),44573)</f>
        <v>44573</v>
      </c>
      <c r="E262" s="22">
        <f ca="1">IFERROR(__xludf.DUMMYFUNCTION("""COMPUTED_VALUE"""),44573)</f>
        <v>44573</v>
      </c>
      <c r="F262" s="20"/>
      <c r="G262" s="20" t="str">
        <f ca="1">IFERROR(__xludf.DUMMYFUNCTION("""COMPUTED_VALUE"""),"Bathgate")</f>
        <v>Bathgate</v>
      </c>
      <c r="H262" s="20" t="str">
        <f ca="1">IFERROR(__xludf.DUMMYFUNCTION("""COMPUTED_VALUE"""),"4006 3rd Ave, Bronx, NY 10457")</f>
        <v>4006 3rd Ave, Bronx, NY 10457</v>
      </c>
      <c r="I262" s="20" t="str">
        <f ca="1">IFERROR(__xludf.DUMMYFUNCTION("""COMPUTED_VALUE"""),"Bronx")</f>
        <v>Bronx</v>
      </c>
      <c r="J262" s="24">
        <f ca="1">IFERROR(__xludf.DUMMYFUNCTION("""COMPUTED_VALUE"""),10457)</f>
        <v>10457</v>
      </c>
      <c r="K262" s="20" t="str">
        <f ca="1">IFERROR(__xludf.DUMMYFUNCTION("""COMPUTED_VALUE"""),"10:00am-5:00pm")</f>
        <v>10:00am-5:00pm</v>
      </c>
    </row>
    <row r="263" spans="1:11" ht="12.75">
      <c r="A263" s="20" t="str">
        <f ca="1">IFERROR(__xludf.DUMMYFUNCTION("""COMPUTED_VALUE"""),"Mt. Sinai")</f>
        <v>Mt. Sinai</v>
      </c>
      <c r="B263" s="20" t="str">
        <f ca="1">IFERROR(__xludf.DUMMYFUNCTION("""COMPUTED_VALUE"""),"Saliva PCR")</f>
        <v>Saliva PCR</v>
      </c>
      <c r="C263" s="20" t="str">
        <f ca="1">IFERROR(__xludf.DUMMYFUNCTION("""COMPUTED_VALUE"""),"4+")</f>
        <v>4+</v>
      </c>
      <c r="D263" s="22">
        <f ca="1">IFERROR(__xludf.DUMMYFUNCTION("""COMPUTED_VALUE"""),44573)</f>
        <v>44573</v>
      </c>
      <c r="E263" s="22">
        <f ca="1">IFERROR(__xludf.DUMMYFUNCTION("""COMPUTED_VALUE"""),44573)</f>
        <v>44573</v>
      </c>
      <c r="F263" s="20"/>
      <c r="G263" s="20" t="str">
        <f ca="1">IFERROR(__xludf.DUMMYFUNCTION("""COMPUTED_VALUE"""),"Diaspora Community Center")</f>
        <v>Diaspora Community Center</v>
      </c>
      <c r="H263" s="20" t="str">
        <f ca="1">IFERROR(__xludf.DUMMYFUNCTION("""COMPUTED_VALUE"""),"921 East New York Ave, Brooklyn, NY 11203")</f>
        <v>921 East New York Ave, Brooklyn, NY 11203</v>
      </c>
      <c r="I263" s="20" t="str">
        <f ca="1">IFERROR(__xludf.DUMMYFUNCTION("""COMPUTED_VALUE"""),"Brooklyn")</f>
        <v>Brooklyn</v>
      </c>
      <c r="J263" s="24">
        <f ca="1">IFERROR(__xludf.DUMMYFUNCTION("""COMPUTED_VALUE"""),11203)</f>
        <v>11203</v>
      </c>
      <c r="K263" s="20" t="str">
        <f ca="1">IFERROR(__xludf.DUMMYFUNCTION("""COMPUTED_VALUE"""),"9:30am-4:30pm")</f>
        <v>9:30am-4:30pm</v>
      </c>
    </row>
    <row r="264" spans="1:11" ht="12.75">
      <c r="A264" s="20" t="str">
        <f ca="1">IFERROR(__xludf.DUMMYFUNCTION("""COMPUTED_VALUE"""),"Mt. Sinai")</f>
        <v>Mt. Sinai</v>
      </c>
      <c r="B264" s="20" t="str">
        <f ca="1">IFERROR(__xludf.DUMMYFUNCTION("""COMPUTED_VALUE"""),"Saliva PCR")</f>
        <v>Saliva PCR</v>
      </c>
      <c r="C264" s="20" t="str">
        <f ca="1">IFERROR(__xludf.DUMMYFUNCTION("""COMPUTED_VALUE"""),"4+")</f>
        <v>4+</v>
      </c>
      <c r="D264" s="22">
        <f ca="1">IFERROR(__xludf.DUMMYFUNCTION("""COMPUTED_VALUE"""),44573)</f>
        <v>44573</v>
      </c>
      <c r="E264" s="22">
        <f ca="1">IFERROR(__xludf.DUMMYFUNCTION("""COMPUTED_VALUE"""),44573)</f>
        <v>44573</v>
      </c>
      <c r="F264" s="20"/>
      <c r="G264" s="20" t="str">
        <f ca="1">IFERROR(__xludf.DUMMYFUNCTION("""COMPUTED_VALUE"""),"Brooklyn Navy Yard")</f>
        <v>Brooklyn Navy Yard</v>
      </c>
      <c r="H264" s="20" t="str">
        <f ca="1">IFERROR(__xludf.DUMMYFUNCTION("""COMPUTED_VALUE"""),"63 Flushing Ave, building 92, Brooklyn, NY 11205")</f>
        <v>63 Flushing Ave, building 92, Brooklyn, NY 11205</v>
      </c>
      <c r="I264" s="20" t="str">
        <f ca="1">IFERROR(__xludf.DUMMYFUNCTION("""COMPUTED_VALUE"""),"Brooklyn")</f>
        <v>Brooklyn</v>
      </c>
      <c r="J264" s="24">
        <f ca="1">IFERROR(__xludf.DUMMYFUNCTION("""COMPUTED_VALUE"""),11205)</f>
        <v>11205</v>
      </c>
      <c r="K264" s="20" t="str">
        <f ca="1">IFERROR(__xludf.DUMMYFUNCTION("""COMPUTED_VALUE"""),"8:30am-4:30pm")</f>
        <v>8:30am-4:30pm</v>
      </c>
    </row>
    <row r="265" spans="1:11" ht="12.75">
      <c r="A265" s="20" t="str">
        <f ca="1">IFERROR(__xludf.DUMMYFUNCTION("""COMPUTED_VALUE"""),"Mt. Sinai")</f>
        <v>Mt. Sinai</v>
      </c>
      <c r="B265" s="20" t="str">
        <f ca="1">IFERROR(__xludf.DUMMYFUNCTION("""COMPUTED_VALUE"""),"Saliva PCR")</f>
        <v>Saliva PCR</v>
      </c>
      <c r="C265" s="20" t="str">
        <f ca="1">IFERROR(__xludf.DUMMYFUNCTION("""COMPUTED_VALUE"""),"4+")</f>
        <v>4+</v>
      </c>
      <c r="D265" s="22">
        <f ca="1">IFERROR(__xludf.DUMMYFUNCTION("""COMPUTED_VALUE"""),44573)</f>
        <v>44573</v>
      </c>
      <c r="E265" s="22">
        <f ca="1">IFERROR(__xludf.DUMMYFUNCTION("""COMPUTED_VALUE"""),44573)</f>
        <v>44573</v>
      </c>
      <c r="F265" s="20"/>
      <c r="G265" s="20" t="str">
        <f ca="1">IFERROR(__xludf.DUMMYFUNCTION("""COMPUTED_VALUE"""),"Family Services Network of New York Access Center")</f>
        <v>Family Services Network of New York Access Center</v>
      </c>
      <c r="H265" s="20" t="str">
        <f ca="1">IFERROR(__xludf.DUMMYFUNCTION("""COMPUTED_VALUE"""),"1721 Pitkin Ave, Brooklyn, NY 11212")</f>
        <v>1721 Pitkin Ave, Brooklyn, NY 11212</v>
      </c>
      <c r="I265" s="20" t="str">
        <f ca="1">IFERROR(__xludf.DUMMYFUNCTION("""COMPUTED_VALUE"""),"Brooklyn")</f>
        <v>Brooklyn</v>
      </c>
      <c r="J265" s="24">
        <f ca="1">IFERROR(__xludf.DUMMYFUNCTION("""COMPUTED_VALUE"""),11212)</f>
        <v>11212</v>
      </c>
      <c r="K265" s="20" t="str">
        <f ca="1">IFERROR(__xludf.DUMMYFUNCTION("""COMPUTED_VALUE"""),"11:30am-7:30pm")</f>
        <v>11:30am-7:30pm</v>
      </c>
    </row>
    <row r="266" spans="1:11" ht="12.75">
      <c r="A266" s="20" t="str">
        <f ca="1">IFERROR(__xludf.DUMMYFUNCTION("""COMPUTED_VALUE"""),"Mt. Sinai")</f>
        <v>Mt. Sinai</v>
      </c>
      <c r="B266" s="20" t="str">
        <f ca="1">IFERROR(__xludf.DUMMYFUNCTION("""COMPUTED_VALUE"""),"Saliva PCR")</f>
        <v>Saliva PCR</v>
      </c>
      <c r="C266" s="20" t="str">
        <f ca="1">IFERROR(__xludf.DUMMYFUNCTION("""COMPUTED_VALUE"""),"4+")</f>
        <v>4+</v>
      </c>
      <c r="D266" s="22">
        <f ca="1">IFERROR(__xludf.DUMMYFUNCTION("""COMPUTED_VALUE"""),44573)</f>
        <v>44573</v>
      </c>
      <c r="E266" s="22">
        <f ca="1">IFERROR(__xludf.DUMMYFUNCTION("""COMPUTED_VALUE"""),44573)</f>
        <v>44573</v>
      </c>
      <c r="F266" s="20"/>
      <c r="G266" s="20" t="str">
        <f ca="1">IFERROR(__xludf.DUMMYFUNCTION("""COMPUTED_VALUE"""),"Brooklyn Army Terminal (BAT)")</f>
        <v>Brooklyn Army Terminal (BAT)</v>
      </c>
      <c r="H266" s="20" t="str">
        <f ca="1">IFERROR(__xludf.DUMMYFUNCTION("""COMPUTED_VALUE"""),"140 58th Street, Brooklyn, NY 11220")</f>
        <v>140 58th Street, Brooklyn, NY 11220</v>
      </c>
      <c r="I266" s="20" t="str">
        <f ca="1">IFERROR(__xludf.DUMMYFUNCTION("""COMPUTED_VALUE"""),"Brooklyn")</f>
        <v>Brooklyn</v>
      </c>
      <c r="J266" s="24">
        <f ca="1">IFERROR(__xludf.DUMMYFUNCTION("""COMPUTED_VALUE"""),11220)</f>
        <v>11220</v>
      </c>
      <c r="K266" s="20" t="str">
        <f ca="1">IFERROR(__xludf.DUMMYFUNCTION("""COMPUTED_VALUE"""),"10:00am-5:00pm")</f>
        <v>10:00am-5:00pm</v>
      </c>
    </row>
    <row r="267" spans="1:11" ht="12.75">
      <c r="A267" s="20" t="str">
        <f ca="1">IFERROR(__xludf.DUMMYFUNCTION("""COMPUTED_VALUE"""),"Mt. Sinai")</f>
        <v>Mt. Sinai</v>
      </c>
      <c r="B267" s="20" t="str">
        <f ca="1">IFERROR(__xludf.DUMMYFUNCTION("""COMPUTED_VALUE"""),"Saliva PCR")</f>
        <v>Saliva PCR</v>
      </c>
      <c r="C267" s="20" t="str">
        <f ca="1">IFERROR(__xludf.DUMMYFUNCTION("""COMPUTED_VALUE"""),"4+")</f>
        <v>4+</v>
      </c>
      <c r="D267" s="22">
        <f ca="1">IFERROR(__xludf.DUMMYFUNCTION("""COMPUTED_VALUE"""),44573)</f>
        <v>44573</v>
      </c>
      <c r="E267" s="22">
        <f ca="1">IFERROR(__xludf.DUMMYFUNCTION("""COMPUTED_VALUE"""),44573)</f>
        <v>44573</v>
      </c>
      <c r="F267" s="20"/>
      <c r="G267" s="20" t="str">
        <f ca="1">IFERROR(__xludf.DUMMYFUNCTION("""COMPUTED_VALUE"""),"Ida G. Israel Health Center")</f>
        <v>Ida G. Israel Health Center</v>
      </c>
      <c r="H267" s="20" t="str">
        <f ca="1">IFERROR(__xludf.DUMMYFUNCTION("""COMPUTED_VALUE"""),"2925 W 19th St, Brooklyn, NY 11224")</f>
        <v>2925 W 19th St, Brooklyn, NY 11224</v>
      </c>
      <c r="I267" s="20" t="str">
        <f ca="1">IFERROR(__xludf.DUMMYFUNCTION("""COMPUTED_VALUE"""),"Brooklyn")</f>
        <v>Brooklyn</v>
      </c>
      <c r="J267" s="24">
        <f ca="1">IFERROR(__xludf.DUMMYFUNCTION("""COMPUTED_VALUE"""),11224)</f>
        <v>11224</v>
      </c>
      <c r="K267" s="20" t="str">
        <f ca="1">IFERROR(__xludf.DUMMYFUNCTION("""COMPUTED_VALUE"""),"8:00am-4:00pm")</f>
        <v>8:00am-4:00pm</v>
      </c>
    </row>
    <row r="268" spans="1:11" ht="12.75">
      <c r="A268" s="20" t="str">
        <f ca="1">IFERROR(__xludf.DUMMYFUNCTION("""COMPUTED_VALUE"""),"Mt. Sinai")</f>
        <v>Mt. Sinai</v>
      </c>
      <c r="B268" s="20" t="str">
        <f ca="1">IFERROR(__xludf.DUMMYFUNCTION("""COMPUTED_VALUE"""),"Saliva PCR")</f>
        <v>Saliva PCR</v>
      </c>
      <c r="C268" s="20" t="str">
        <f ca="1">IFERROR(__xludf.DUMMYFUNCTION("""COMPUTED_VALUE"""),"4+")</f>
        <v>4+</v>
      </c>
      <c r="D268" s="22">
        <f ca="1">IFERROR(__xludf.DUMMYFUNCTION("""COMPUTED_VALUE"""),44573)</f>
        <v>44573</v>
      </c>
      <c r="E268" s="22">
        <f ca="1">IFERROR(__xludf.DUMMYFUNCTION("""COMPUTED_VALUE"""),44573)</f>
        <v>44573</v>
      </c>
      <c r="F268" s="20"/>
      <c r="G268" s="20" t="str">
        <f ca="1">IFERROR(__xludf.DUMMYFUNCTION("""COMPUTED_VALUE"""),"Queens College Student Union")</f>
        <v>Queens College Student Union</v>
      </c>
      <c r="H268" s="20" t="str">
        <f ca="1">IFERROR(__xludf.DUMMYFUNCTION("""COMPUTED_VALUE"""),"65-30 Kissena Blvd., Queens, NY 11367")</f>
        <v>65-30 Kissena Blvd., Queens, NY 11367</v>
      </c>
      <c r="I268" s="20" t="str">
        <f ca="1">IFERROR(__xludf.DUMMYFUNCTION("""COMPUTED_VALUE"""),"Queens")</f>
        <v>Queens</v>
      </c>
      <c r="J268" s="24">
        <f ca="1">IFERROR(__xludf.DUMMYFUNCTION("""COMPUTED_VALUE"""),11367)</f>
        <v>11367</v>
      </c>
      <c r="K268" s="20" t="str">
        <f ca="1">IFERROR(__xludf.DUMMYFUNCTION("""COMPUTED_VALUE"""),"10:00am-5:00pm")</f>
        <v>10:00am-5:00pm</v>
      </c>
    </row>
    <row r="269" spans="1:11" ht="12.75">
      <c r="A269" s="20" t="str">
        <f ca="1">IFERROR(__xludf.DUMMYFUNCTION("""COMPUTED_VALUE"""),"Mt. Sinai")</f>
        <v>Mt. Sinai</v>
      </c>
      <c r="B269" s="20" t="str">
        <f ca="1">IFERROR(__xludf.DUMMYFUNCTION("""COMPUTED_VALUE"""),"Saliva PCR")</f>
        <v>Saliva PCR</v>
      </c>
      <c r="C269" s="20" t="str">
        <f ca="1">IFERROR(__xludf.DUMMYFUNCTION("""COMPUTED_VALUE"""),"4+")</f>
        <v>4+</v>
      </c>
      <c r="D269" s="22">
        <f ca="1">IFERROR(__xludf.DUMMYFUNCTION("""COMPUTED_VALUE"""),44573)</f>
        <v>44573</v>
      </c>
      <c r="E269" s="22">
        <f ca="1">IFERROR(__xludf.DUMMYFUNCTION("""COMPUTED_VALUE"""),44573)</f>
        <v>44573</v>
      </c>
      <c r="F269" s="20"/>
      <c r="G269" s="20" t="str">
        <f ca="1">IFERROR(__xludf.DUMMYFUNCTION("""COMPUTED_VALUE"""),"Queens Museum")</f>
        <v>Queens Museum</v>
      </c>
      <c r="H269" s="20" t="str">
        <f ca="1">IFERROR(__xludf.DUMMYFUNCTION("""COMPUTED_VALUE"""),"New York City Building, Queens, NY 11368")</f>
        <v>New York City Building, Queens, NY 11368</v>
      </c>
      <c r="I269" s="20" t="str">
        <f ca="1">IFERROR(__xludf.DUMMYFUNCTION("""COMPUTED_VALUE"""),"Queens")</f>
        <v>Queens</v>
      </c>
      <c r="J269" s="24">
        <f ca="1">IFERROR(__xludf.DUMMYFUNCTION("""COMPUTED_VALUE"""),11368)</f>
        <v>11368</v>
      </c>
      <c r="K269" s="20" t="str">
        <f ca="1">IFERROR(__xludf.DUMMYFUNCTION("""COMPUTED_VALUE"""),"9:00am-5:00pm")</f>
        <v>9:00am-5:00pm</v>
      </c>
    </row>
    <row r="270" spans="1:11" ht="12.75">
      <c r="A270" s="20" t="str">
        <f ca="1">IFERROR(__xludf.DUMMYFUNCTION("""COMPUTED_VALUE"""),"Mt. Sinai")</f>
        <v>Mt. Sinai</v>
      </c>
      <c r="B270" s="20" t="str">
        <f ca="1">IFERROR(__xludf.DUMMYFUNCTION("""COMPUTED_VALUE"""),"Saliva PCR")</f>
        <v>Saliva PCR</v>
      </c>
      <c r="C270" s="20" t="str">
        <f ca="1">IFERROR(__xludf.DUMMYFUNCTION("""COMPUTED_VALUE"""),"4+")</f>
        <v>4+</v>
      </c>
      <c r="D270" s="22">
        <f ca="1">IFERROR(__xludf.DUMMYFUNCTION("""COMPUTED_VALUE"""),44573)</f>
        <v>44573</v>
      </c>
      <c r="E270" s="22">
        <f ca="1">IFERROR(__xludf.DUMMYFUNCTION("""COMPUTED_VALUE"""),44573)</f>
        <v>44573</v>
      </c>
      <c r="F270" s="20"/>
      <c r="G270" s="20" t="str">
        <f ca="1">IFERROR(__xludf.DUMMYFUNCTION("""COMPUTED_VALUE"""),"New Life United Methodist Church")</f>
        <v>New Life United Methodist Church</v>
      </c>
      <c r="H270" s="20" t="str">
        <f ca="1">IFERROR(__xludf.DUMMYFUNCTION("""COMPUTED_VALUE"""),"8840 80th Street, Queens, NY 11421")</f>
        <v>8840 80th Street, Queens, NY 11421</v>
      </c>
      <c r="I270" s="20" t="str">
        <f ca="1">IFERROR(__xludf.DUMMYFUNCTION("""COMPUTED_VALUE"""),"Queens")</f>
        <v>Queens</v>
      </c>
      <c r="J270" s="24">
        <f ca="1">IFERROR(__xludf.DUMMYFUNCTION("""COMPUTED_VALUE"""),11421)</f>
        <v>11421</v>
      </c>
      <c r="K270" s="20" t="str">
        <f ca="1">IFERROR(__xludf.DUMMYFUNCTION("""COMPUTED_VALUE"""),"10:30am-5:30pm")</f>
        <v>10:30am-5:30pm</v>
      </c>
    </row>
    <row r="271" spans="1:11" ht="12.75">
      <c r="A271" s="20" t="str">
        <f ca="1">IFERROR(__xludf.DUMMYFUNCTION("""COMPUTED_VALUE"""),"Mt. Sinai")</f>
        <v>Mt. Sinai</v>
      </c>
      <c r="B271" s="20" t="str">
        <f ca="1">IFERROR(__xludf.DUMMYFUNCTION("""COMPUTED_VALUE"""),"Saliva PCR")</f>
        <v>Saliva PCR</v>
      </c>
      <c r="C271" s="20" t="str">
        <f ca="1">IFERROR(__xludf.DUMMYFUNCTION("""COMPUTED_VALUE"""),"4+")</f>
        <v>4+</v>
      </c>
      <c r="D271" s="22">
        <f ca="1">IFERROR(__xludf.DUMMYFUNCTION("""COMPUTED_VALUE"""),44573)</f>
        <v>44573</v>
      </c>
      <c r="E271" s="22">
        <f ca="1">IFERROR(__xludf.DUMMYFUNCTION("""COMPUTED_VALUE"""),44573)</f>
        <v>44573</v>
      </c>
      <c r="F271" s="20"/>
      <c r="G271" s="20" t="str">
        <f ca="1">IFERROR(__xludf.DUMMYFUNCTION("""COMPUTED_VALUE"""),"Community Church of Christ")</f>
        <v>Community Church of Christ</v>
      </c>
      <c r="H271" s="20" t="str">
        <f ca="1">IFERROR(__xludf.DUMMYFUNCTION("""COMPUTED_VALUE"""),"167-04 108th Avenue, Queens, NY 11433")</f>
        <v>167-04 108th Avenue, Queens, NY 11433</v>
      </c>
      <c r="I271" s="20" t="str">
        <f ca="1">IFERROR(__xludf.DUMMYFUNCTION("""COMPUTED_VALUE"""),"Queens")</f>
        <v>Queens</v>
      </c>
      <c r="J271" s="24">
        <f ca="1">IFERROR(__xludf.DUMMYFUNCTION("""COMPUTED_VALUE"""),11433)</f>
        <v>11433</v>
      </c>
      <c r="K271" s="20" t="str">
        <f ca="1">IFERROR(__xludf.DUMMYFUNCTION("""COMPUTED_VALUE"""),"9:30am-4:30pm")</f>
        <v>9:30am-4:30pm</v>
      </c>
    </row>
    <row r="272" spans="1:11" ht="12.75">
      <c r="A272" s="20" t="str">
        <f ca="1">IFERROR(__xludf.DUMMYFUNCTION("""COMPUTED_VALUE"""),"Mt. Sinai")</f>
        <v>Mt. Sinai</v>
      </c>
      <c r="B272" s="20" t="str">
        <f ca="1">IFERROR(__xludf.DUMMYFUNCTION("""COMPUTED_VALUE"""),"Saliva PCR")</f>
        <v>Saliva PCR</v>
      </c>
      <c r="C272" s="20" t="str">
        <f ca="1">IFERROR(__xludf.DUMMYFUNCTION("""COMPUTED_VALUE"""),"4+")</f>
        <v>4+</v>
      </c>
      <c r="D272" s="22">
        <f ca="1">IFERROR(__xludf.DUMMYFUNCTION("""COMPUTED_VALUE"""),44573)</f>
        <v>44573</v>
      </c>
      <c r="E272" s="22">
        <f ca="1">IFERROR(__xludf.DUMMYFUNCTION("""COMPUTED_VALUE"""),44573)</f>
        <v>44573</v>
      </c>
      <c r="F272" s="20"/>
      <c r="G272" s="20" t="str">
        <f ca="1">IFERROR(__xludf.DUMMYFUNCTION("""COMPUTED_VALUE"""),"Greater Allen Cathedral of NY")</f>
        <v>Greater Allen Cathedral of NY</v>
      </c>
      <c r="H272" s="20" t="str">
        <f ca="1">IFERROR(__xludf.DUMMYFUNCTION("""COMPUTED_VALUE"""),"110-31 Merrick Blvd, Queens, NY 11433")</f>
        <v>110-31 Merrick Blvd, Queens, NY 11433</v>
      </c>
      <c r="I272" s="20" t="str">
        <f ca="1">IFERROR(__xludf.DUMMYFUNCTION("""COMPUTED_VALUE"""),"Queens")</f>
        <v>Queens</v>
      </c>
      <c r="J272" s="24">
        <f ca="1">IFERROR(__xludf.DUMMYFUNCTION("""COMPUTED_VALUE"""),11433)</f>
        <v>11433</v>
      </c>
      <c r="K272" s="20" t="str">
        <f ca="1">IFERROR(__xludf.DUMMYFUNCTION("""COMPUTED_VALUE"""),"9:00am-5:00pm")</f>
        <v>9:00am-5:00pm</v>
      </c>
    </row>
    <row r="273" spans="1:11" ht="12.75">
      <c r="A273" s="20" t="str">
        <f ca="1">IFERROR(__xludf.DUMMYFUNCTION("""COMPUTED_VALUE"""),"Mt. Sinai")</f>
        <v>Mt. Sinai</v>
      </c>
      <c r="B273" s="20" t="str">
        <f ca="1">IFERROR(__xludf.DUMMYFUNCTION("""COMPUTED_VALUE"""),"Saliva PCR")</f>
        <v>Saliva PCR</v>
      </c>
      <c r="C273" s="20" t="str">
        <f ca="1">IFERROR(__xludf.DUMMYFUNCTION("""COMPUTED_VALUE"""),"4+")</f>
        <v>4+</v>
      </c>
      <c r="D273" s="22">
        <f ca="1">IFERROR(__xludf.DUMMYFUNCTION("""COMPUTED_VALUE"""),44574)</f>
        <v>44574</v>
      </c>
      <c r="E273" s="22">
        <f ca="1">IFERROR(__xludf.DUMMYFUNCTION("""COMPUTED_VALUE"""),44574)</f>
        <v>44574</v>
      </c>
      <c r="F273" s="20"/>
      <c r="G273" s="20" t="str">
        <f ca="1">IFERROR(__xludf.DUMMYFUNCTION("""COMPUTED_VALUE"""),"Harlem Congregations for Community Improvement, Inc. (Dinkins)
")</f>
        <v xml:space="preserve">Harlem Congregations for Community Improvement, Inc. (Dinkins)
</v>
      </c>
      <c r="H273" s="20" t="str">
        <f ca="1">IFERROR(__xludf.DUMMYFUNCTION("""COMPUTED_VALUE"""),"263 West 153rd Street, Community Space, Manhattan, NY 10039")</f>
        <v>263 West 153rd Street, Community Space, Manhattan, NY 10039</v>
      </c>
      <c r="I273" s="20" t="str">
        <f ca="1">IFERROR(__xludf.DUMMYFUNCTION("""COMPUTED_VALUE"""),"Manhattan")</f>
        <v>Manhattan</v>
      </c>
      <c r="J273" s="24">
        <f ca="1">IFERROR(__xludf.DUMMYFUNCTION("""COMPUTED_VALUE"""),10039)</f>
        <v>10039</v>
      </c>
      <c r="K273" s="20" t="str">
        <f ca="1">IFERROR(__xludf.DUMMYFUNCTION("""COMPUTED_VALUE"""),"10:00am-6:00pm")</f>
        <v>10:00am-6:00pm</v>
      </c>
    </row>
    <row r="274" spans="1:11" ht="12.75">
      <c r="A274" s="20" t="str">
        <f ca="1">IFERROR(__xludf.DUMMYFUNCTION("""COMPUTED_VALUE"""),"Mt. Sinai")</f>
        <v>Mt. Sinai</v>
      </c>
      <c r="B274" s="20" t="str">
        <f ca="1">IFERROR(__xludf.DUMMYFUNCTION("""COMPUTED_VALUE"""),"Saliva PCR")</f>
        <v>Saliva PCR</v>
      </c>
      <c r="C274" s="20" t="str">
        <f ca="1">IFERROR(__xludf.DUMMYFUNCTION("""COMPUTED_VALUE"""),"4+")</f>
        <v>4+</v>
      </c>
      <c r="D274" s="22">
        <f ca="1">IFERROR(__xludf.DUMMYFUNCTION("""COMPUTED_VALUE"""),44574)</f>
        <v>44574</v>
      </c>
      <c r="E274" s="22">
        <f ca="1">IFERROR(__xludf.DUMMYFUNCTION("""COMPUTED_VALUE"""),44574)</f>
        <v>44574</v>
      </c>
      <c r="F274" s="20"/>
      <c r="G274" s="20" t="str">
        <f ca="1">IFERROR(__xludf.DUMMYFUNCTION("""COMPUTED_VALUE"""),"Next Step Resources and Recovery Center")</f>
        <v>Next Step Resources and Recovery Center</v>
      </c>
      <c r="H274" s="20" t="str">
        <f ca="1">IFERROR(__xludf.DUMMYFUNCTION("""COMPUTED_VALUE"""),"56 Bay Street, Staten Island, NY 10301")</f>
        <v>56 Bay Street, Staten Island, NY 10301</v>
      </c>
      <c r="I274" s="20" t="str">
        <f ca="1">IFERROR(__xludf.DUMMYFUNCTION("""COMPUTED_VALUE"""),"Staten Island")</f>
        <v>Staten Island</v>
      </c>
      <c r="J274" s="24">
        <f ca="1">IFERROR(__xludf.DUMMYFUNCTION("""COMPUTED_VALUE"""),10301)</f>
        <v>10301</v>
      </c>
      <c r="K274" s="20" t="str">
        <f ca="1">IFERROR(__xludf.DUMMYFUNCTION("""COMPUTED_VALUE"""),"9:30am-3:30pm")</f>
        <v>9:30am-3:30pm</v>
      </c>
    </row>
    <row r="275" spans="1:11" ht="12.75">
      <c r="A275" s="20" t="str">
        <f ca="1">IFERROR(__xludf.DUMMYFUNCTION("""COMPUTED_VALUE"""),"Mt. Sinai")</f>
        <v>Mt. Sinai</v>
      </c>
      <c r="B275" s="20" t="str">
        <f ca="1">IFERROR(__xludf.DUMMYFUNCTION("""COMPUTED_VALUE"""),"Saliva PCR")</f>
        <v>Saliva PCR</v>
      </c>
      <c r="C275" s="20" t="str">
        <f ca="1">IFERROR(__xludf.DUMMYFUNCTION("""COMPUTED_VALUE"""),"4+")</f>
        <v>4+</v>
      </c>
      <c r="D275" s="22">
        <f ca="1">IFERROR(__xludf.DUMMYFUNCTION("""COMPUTED_VALUE"""),44574)</f>
        <v>44574</v>
      </c>
      <c r="E275" s="22">
        <f ca="1">IFERROR(__xludf.DUMMYFUNCTION("""COMPUTED_VALUE"""),44574)</f>
        <v>44574</v>
      </c>
      <c r="F275" s="20"/>
      <c r="G275" s="20" t="str">
        <f ca="1">IFERROR(__xludf.DUMMYFUNCTION("""COMPUTED_VALUE"""),"Community Health Action of Staten Island (CHASI) Harm Reduction Center
")</f>
        <v xml:space="preserve">Community Health Action of Staten Island (CHASI) Harm Reduction Center
</v>
      </c>
      <c r="H275" s="20" t="str">
        <f ca="1">IFERROR(__xludf.DUMMYFUNCTION("""COMPUTED_VALUE"""),"166 Port Richmond Ave, Staten Island, NY 10302")</f>
        <v>166 Port Richmond Ave, Staten Island, NY 10302</v>
      </c>
      <c r="I275" s="20" t="str">
        <f ca="1">IFERROR(__xludf.DUMMYFUNCTION("""COMPUTED_VALUE"""),"Staten Island")</f>
        <v>Staten Island</v>
      </c>
      <c r="J275" s="24">
        <f ca="1">IFERROR(__xludf.DUMMYFUNCTION("""COMPUTED_VALUE"""),10302)</f>
        <v>10302</v>
      </c>
      <c r="K275" s="20" t="str">
        <f ca="1">IFERROR(__xludf.DUMMYFUNCTION("""COMPUTED_VALUE"""),"9:30am-3:30pm")</f>
        <v>9:30am-3:30pm</v>
      </c>
    </row>
    <row r="276" spans="1:11" ht="12.75">
      <c r="A276" s="20" t="str">
        <f ca="1">IFERROR(__xludf.DUMMYFUNCTION("""COMPUTED_VALUE"""),"Mt. Sinai")</f>
        <v>Mt. Sinai</v>
      </c>
      <c r="B276" s="20" t="str">
        <f ca="1">IFERROR(__xludf.DUMMYFUNCTION("""COMPUTED_VALUE"""),"Saliva PCR")</f>
        <v>Saliva PCR</v>
      </c>
      <c r="C276" s="20" t="str">
        <f ca="1">IFERROR(__xludf.DUMMYFUNCTION("""COMPUTED_VALUE"""),"4+")</f>
        <v>4+</v>
      </c>
      <c r="D276" s="22">
        <f ca="1">IFERROR(__xludf.DUMMYFUNCTION("""COMPUTED_VALUE"""),44574)</f>
        <v>44574</v>
      </c>
      <c r="E276" s="22">
        <f ca="1">IFERROR(__xludf.DUMMYFUNCTION("""COMPUTED_VALUE"""),44574)</f>
        <v>44574</v>
      </c>
      <c r="F276" s="20"/>
      <c r="G276" s="20" t="str">
        <f ca="1">IFERROR(__xludf.DUMMYFUNCTION("""COMPUTED_VALUE"""),"New Covenant Christian Ministries (Morrisania)")</f>
        <v>New Covenant Christian Ministries (Morrisania)</v>
      </c>
      <c r="H276" s="20" t="str">
        <f ca="1">IFERROR(__xludf.DUMMYFUNCTION("""COMPUTED_VALUE"""),"1175 Boston Rd, Bronx, NY 10456")</f>
        <v>1175 Boston Rd, Bronx, NY 10456</v>
      </c>
      <c r="I276" s="20" t="str">
        <f ca="1">IFERROR(__xludf.DUMMYFUNCTION("""COMPUTED_VALUE"""),"Bronx")</f>
        <v>Bronx</v>
      </c>
      <c r="J276" s="24">
        <f ca="1">IFERROR(__xludf.DUMMYFUNCTION("""COMPUTED_VALUE"""),10456)</f>
        <v>10456</v>
      </c>
      <c r="K276" s="20" t="str">
        <f ca="1">IFERROR(__xludf.DUMMYFUNCTION("""COMPUTED_VALUE"""),"10:30am-5:30pm")</f>
        <v>10:30am-5:30pm</v>
      </c>
    </row>
    <row r="277" spans="1:11" ht="12.75">
      <c r="A277" s="20" t="str">
        <f ca="1">IFERROR(__xludf.DUMMYFUNCTION("""COMPUTED_VALUE"""),"Mt. Sinai")</f>
        <v>Mt. Sinai</v>
      </c>
      <c r="B277" s="20" t="str">
        <f ca="1">IFERROR(__xludf.DUMMYFUNCTION("""COMPUTED_VALUE"""),"Saliva PCR")</f>
        <v>Saliva PCR</v>
      </c>
      <c r="C277" s="20" t="str">
        <f ca="1">IFERROR(__xludf.DUMMYFUNCTION("""COMPUTED_VALUE"""),"4+")</f>
        <v>4+</v>
      </c>
      <c r="D277" s="22">
        <f ca="1">IFERROR(__xludf.DUMMYFUNCTION("""COMPUTED_VALUE"""),44574)</f>
        <v>44574</v>
      </c>
      <c r="E277" s="22">
        <f ca="1">IFERROR(__xludf.DUMMYFUNCTION("""COMPUTED_VALUE"""),44574)</f>
        <v>44574</v>
      </c>
      <c r="F277" s="20"/>
      <c r="G277" s="20" t="str">
        <f ca="1">IFERROR(__xludf.DUMMYFUNCTION("""COMPUTED_VALUE"""),"Bathgate")</f>
        <v>Bathgate</v>
      </c>
      <c r="H277" s="20" t="str">
        <f ca="1">IFERROR(__xludf.DUMMYFUNCTION("""COMPUTED_VALUE"""),"4006 3rd Ave, Bronx, NY 10457")</f>
        <v>4006 3rd Ave, Bronx, NY 10457</v>
      </c>
      <c r="I277" s="20" t="str">
        <f ca="1">IFERROR(__xludf.DUMMYFUNCTION("""COMPUTED_VALUE"""),"Bronx")</f>
        <v>Bronx</v>
      </c>
      <c r="J277" s="24">
        <f ca="1">IFERROR(__xludf.DUMMYFUNCTION("""COMPUTED_VALUE"""),10457)</f>
        <v>10457</v>
      </c>
      <c r="K277" s="20" t="str">
        <f ca="1">IFERROR(__xludf.DUMMYFUNCTION("""COMPUTED_VALUE"""),"10:00am-5:00pm")</f>
        <v>10:00am-5:00pm</v>
      </c>
    </row>
    <row r="278" spans="1:11" ht="12.75">
      <c r="A278" s="20" t="str">
        <f ca="1">IFERROR(__xludf.DUMMYFUNCTION("""COMPUTED_VALUE"""),"Mt. Sinai")</f>
        <v>Mt. Sinai</v>
      </c>
      <c r="B278" s="20" t="str">
        <f ca="1">IFERROR(__xludf.DUMMYFUNCTION("""COMPUTED_VALUE"""),"Saliva PCR")</f>
        <v>Saliva PCR</v>
      </c>
      <c r="C278" s="20" t="str">
        <f ca="1">IFERROR(__xludf.DUMMYFUNCTION("""COMPUTED_VALUE"""),"4+")</f>
        <v>4+</v>
      </c>
      <c r="D278" s="22">
        <f ca="1">IFERROR(__xludf.DUMMYFUNCTION("""COMPUTED_VALUE"""),44574)</f>
        <v>44574</v>
      </c>
      <c r="E278" s="22">
        <f ca="1">IFERROR(__xludf.DUMMYFUNCTION("""COMPUTED_VALUE"""),44574)</f>
        <v>44574</v>
      </c>
      <c r="F278" s="20"/>
      <c r="G278" s="20" t="str">
        <f ca="1">IFERROR(__xludf.DUMMYFUNCTION("""COMPUTED_VALUE"""),"Brooklyn Navy Yard")</f>
        <v>Brooklyn Navy Yard</v>
      </c>
      <c r="H278" s="20" t="str">
        <f ca="1">IFERROR(__xludf.DUMMYFUNCTION("""COMPUTED_VALUE"""),"63 Flushing Ave, building 92, Brooklyn, NY 11205")</f>
        <v>63 Flushing Ave, building 92, Brooklyn, NY 11205</v>
      </c>
      <c r="I278" s="20" t="str">
        <f ca="1">IFERROR(__xludf.DUMMYFUNCTION("""COMPUTED_VALUE"""),"Brooklyn")</f>
        <v>Brooklyn</v>
      </c>
      <c r="J278" s="24">
        <f ca="1">IFERROR(__xludf.DUMMYFUNCTION("""COMPUTED_VALUE"""),11205)</f>
        <v>11205</v>
      </c>
      <c r="K278" s="20" t="str">
        <f ca="1">IFERROR(__xludf.DUMMYFUNCTION("""COMPUTED_VALUE"""),"8:30am-4:30pm")</f>
        <v>8:30am-4:30pm</v>
      </c>
    </row>
    <row r="279" spans="1:11" ht="12.75">
      <c r="A279" s="20" t="str">
        <f ca="1">IFERROR(__xludf.DUMMYFUNCTION("""COMPUTED_VALUE"""),"Mt. Sinai")</f>
        <v>Mt. Sinai</v>
      </c>
      <c r="B279" s="20" t="str">
        <f ca="1">IFERROR(__xludf.DUMMYFUNCTION("""COMPUTED_VALUE"""),"Saliva PCR")</f>
        <v>Saliva PCR</v>
      </c>
      <c r="C279" s="20" t="str">
        <f ca="1">IFERROR(__xludf.DUMMYFUNCTION("""COMPUTED_VALUE"""),"4+")</f>
        <v>4+</v>
      </c>
      <c r="D279" s="22">
        <f ca="1">IFERROR(__xludf.DUMMYFUNCTION("""COMPUTED_VALUE"""),44574)</f>
        <v>44574</v>
      </c>
      <c r="E279" s="22">
        <f ca="1">IFERROR(__xludf.DUMMYFUNCTION("""COMPUTED_VALUE"""),44574)</f>
        <v>44574</v>
      </c>
      <c r="F279" s="20"/>
      <c r="G279" s="20" t="str">
        <f ca="1">IFERROR(__xludf.DUMMYFUNCTION("""COMPUTED_VALUE"""),"Family Services Network of New York Access Center")</f>
        <v>Family Services Network of New York Access Center</v>
      </c>
      <c r="H279" s="20" t="str">
        <f ca="1">IFERROR(__xludf.DUMMYFUNCTION("""COMPUTED_VALUE"""),"1721 Pitkin Ave, Brooklyn, NY 11212")</f>
        <v>1721 Pitkin Ave, Brooklyn, NY 11212</v>
      </c>
      <c r="I279" s="20" t="str">
        <f ca="1">IFERROR(__xludf.DUMMYFUNCTION("""COMPUTED_VALUE"""),"Brooklyn")</f>
        <v>Brooklyn</v>
      </c>
      <c r="J279" s="24">
        <f ca="1">IFERROR(__xludf.DUMMYFUNCTION("""COMPUTED_VALUE"""),11212)</f>
        <v>11212</v>
      </c>
      <c r="K279" s="20" t="str">
        <f ca="1">IFERROR(__xludf.DUMMYFUNCTION("""COMPUTED_VALUE"""),"11:30am-7:30pm")</f>
        <v>11:30am-7:30pm</v>
      </c>
    </row>
    <row r="280" spans="1:11" ht="12.75">
      <c r="A280" s="20" t="str">
        <f ca="1">IFERROR(__xludf.DUMMYFUNCTION("""COMPUTED_VALUE"""),"Mt. Sinai")</f>
        <v>Mt. Sinai</v>
      </c>
      <c r="B280" s="20" t="str">
        <f ca="1">IFERROR(__xludf.DUMMYFUNCTION("""COMPUTED_VALUE"""),"Saliva PCR")</f>
        <v>Saliva PCR</v>
      </c>
      <c r="C280" s="20" t="str">
        <f ca="1">IFERROR(__xludf.DUMMYFUNCTION("""COMPUTED_VALUE"""),"4+")</f>
        <v>4+</v>
      </c>
      <c r="D280" s="22">
        <f ca="1">IFERROR(__xludf.DUMMYFUNCTION("""COMPUTED_VALUE"""),44574)</f>
        <v>44574</v>
      </c>
      <c r="E280" s="22">
        <f ca="1">IFERROR(__xludf.DUMMYFUNCTION("""COMPUTED_VALUE"""),44574)</f>
        <v>44574</v>
      </c>
      <c r="F280" s="20"/>
      <c r="G280" s="20" t="str">
        <f ca="1">IFERROR(__xludf.DUMMYFUNCTION("""COMPUTED_VALUE"""),"BCA Sunset Park Senior Center")</f>
        <v>BCA Sunset Park Senior Center</v>
      </c>
      <c r="H280" s="20" t="str">
        <f ca="1">IFERROR(__xludf.DUMMYFUNCTION("""COMPUTED_VALUE"""),"5007 7th Avenue, Brooklyn, NY 11220")</f>
        <v>5007 7th Avenue, Brooklyn, NY 11220</v>
      </c>
      <c r="I280" s="20" t="str">
        <f ca="1">IFERROR(__xludf.DUMMYFUNCTION("""COMPUTED_VALUE"""),"Brooklyn")</f>
        <v>Brooklyn</v>
      </c>
      <c r="J280" s="24">
        <f ca="1">IFERROR(__xludf.DUMMYFUNCTION("""COMPUTED_VALUE"""),11220)</f>
        <v>11220</v>
      </c>
      <c r="K280" s="20" t="str">
        <f ca="1">IFERROR(__xludf.DUMMYFUNCTION("""COMPUTED_VALUE"""),"9:00am-5:00pm")</f>
        <v>9:00am-5:00pm</v>
      </c>
    </row>
    <row r="281" spans="1:11" ht="12.75">
      <c r="A281" s="20" t="str">
        <f ca="1">IFERROR(__xludf.DUMMYFUNCTION("""COMPUTED_VALUE"""),"Mt. Sinai")</f>
        <v>Mt. Sinai</v>
      </c>
      <c r="B281" s="20" t="str">
        <f ca="1">IFERROR(__xludf.DUMMYFUNCTION("""COMPUTED_VALUE"""),"Saliva PCR")</f>
        <v>Saliva PCR</v>
      </c>
      <c r="C281" s="20" t="str">
        <f ca="1">IFERROR(__xludf.DUMMYFUNCTION("""COMPUTED_VALUE"""),"4+")</f>
        <v>4+</v>
      </c>
      <c r="D281" s="22">
        <f ca="1">IFERROR(__xludf.DUMMYFUNCTION("""COMPUTED_VALUE"""),44574)</f>
        <v>44574</v>
      </c>
      <c r="E281" s="22">
        <f ca="1">IFERROR(__xludf.DUMMYFUNCTION("""COMPUTED_VALUE"""),44574)</f>
        <v>44574</v>
      </c>
      <c r="F281" s="20"/>
      <c r="G281" s="20" t="str">
        <f ca="1">IFERROR(__xludf.DUMMYFUNCTION("""COMPUTED_VALUE"""),"Brooklyn Army Terminal (BAT)")</f>
        <v>Brooklyn Army Terminal (BAT)</v>
      </c>
      <c r="H281" s="20" t="str">
        <f ca="1">IFERROR(__xludf.DUMMYFUNCTION("""COMPUTED_VALUE"""),"140 58th Street, Brooklyn, NY 11220")</f>
        <v>140 58th Street, Brooklyn, NY 11220</v>
      </c>
      <c r="I281" s="20" t="str">
        <f ca="1">IFERROR(__xludf.DUMMYFUNCTION("""COMPUTED_VALUE"""),"Brooklyn")</f>
        <v>Brooklyn</v>
      </c>
      <c r="J281" s="24">
        <f ca="1">IFERROR(__xludf.DUMMYFUNCTION("""COMPUTED_VALUE"""),11220)</f>
        <v>11220</v>
      </c>
      <c r="K281" s="20" t="str">
        <f ca="1">IFERROR(__xludf.DUMMYFUNCTION("""COMPUTED_VALUE"""),"10:00am-5:00pm")</f>
        <v>10:00am-5:00pm</v>
      </c>
    </row>
    <row r="282" spans="1:11" ht="12.75">
      <c r="A282" s="20" t="str">
        <f ca="1">IFERROR(__xludf.DUMMYFUNCTION("""COMPUTED_VALUE"""),"Mt. Sinai")</f>
        <v>Mt. Sinai</v>
      </c>
      <c r="B282" s="20" t="str">
        <f ca="1">IFERROR(__xludf.DUMMYFUNCTION("""COMPUTED_VALUE"""),"Saliva PCR")</f>
        <v>Saliva PCR</v>
      </c>
      <c r="C282" s="20" t="str">
        <f ca="1">IFERROR(__xludf.DUMMYFUNCTION("""COMPUTED_VALUE"""),"4+")</f>
        <v>4+</v>
      </c>
      <c r="D282" s="22">
        <f ca="1">IFERROR(__xludf.DUMMYFUNCTION("""COMPUTED_VALUE"""),44574)</f>
        <v>44574</v>
      </c>
      <c r="E282" s="22">
        <f ca="1">IFERROR(__xludf.DUMMYFUNCTION("""COMPUTED_VALUE"""),44574)</f>
        <v>44574</v>
      </c>
      <c r="F282" s="20"/>
      <c r="G282" s="20" t="str">
        <f ca="1">IFERROR(__xludf.DUMMYFUNCTION("""COMPUTED_VALUE"""),"Ida G. Israel Health Center")</f>
        <v>Ida G. Israel Health Center</v>
      </c>
      <c r="H282" s="20" t="str">
        <f ca="1">IFERROR(__xludf.DUMMYFUNCTION("""COMPUTED_VALUE"""),"2925 W 19th St, Brooklyn, NY 11224")</f>
        <v>2925 W 19th St, Brooklyn, NY 11224</v>
      </c>
      <c r="I282" s="20" t="str">
        <f ca="1">IFERROR(__xludf.DUMMYFUNCTION("""COMPUTED_VALUE"""),"Brooklyn")</f>
        <v>Brooklyn</v>
      </c>
      <c r="J282" s="24">
        <f ca="1">IFERROR(__xludf.DUMMYFUNCTION("""COMPUTED_VALUE"""),11224)</f>
        <v>11224</v>
      </c>
      <c r="K282" s="20" t="str">
        <f ca="1">IFERROR(__xludf.DUMMYFUNCTION("""COMPUTED_VALUE"""),"8:00am-4:00pm")</f>
        <v>8:00am-4:00pm</v>
      </c>
    </row>
    <row r="283" spans="1:11" ht="12.75">
      <c r="A283" s="20" t="str">
        <f ca="1">IFERROR(__xludf.DUMMYFUNCTION("""COMPUTED_VALUE"""),"Mt. Sinai")</f>
        <v>Mt. Sinai</v>
      </c>
      <c r="B283" s="20" t="str">
        <f ca="1">IFERROR(__xludf.DUMMYFUNCTION("""COMPUTED_VALUE"""),"Saliva PCR")</f>
        <v>Saliva PCR</v>
      </c>
      <c r="C283" s="20" t="str">
        <f ca="1">IFERROR(__xludf.DUMMYFUNCTION("""COMPUTED_VALUE"""),"4+")</f>
        <v>4+</v>
      </c>
      <c r="D283" s="22">
        <f ca="1">IFERROR(__xludf.DUMMYFUNCTION("""COMPUTED_VALUE"""),44574)</f>
        <v>44574</v>
      </c>
      <c r="E283" s="22">
        <f ca="1">IFERROR(__xludf.DUMMYFUNCTION("""COMPUTED_VALUE"""),44574)</f>
        <v>44574</v>
      </c>
      <c r="F283" s="20"/>
      <c r="G283" s="20" t="str">
        <f ca="1">IFERROR(__xludf.DUMMYFUNCTION("""COMPUTED_VALUE"""),"Queens College Student Union")</f>
        <v>Queens College Student Union</v>
      </c>
      <c r="H283" s="20" t="str">
        <f ca="1">IFERROR(__xludf.DUMMYFUNCTION("""COMPUTED_VALUE"""),"65-30 Kissena Blvd., Queens, NY 11367")</f>
        <v>65-30 Kissena Blvd., Queens, NY 11367</v>
      </c>
      <c r="I283" s="20" t="str">
        <f ca="1">IFERROR(__xludf.DUMMYFUNCTION("""COMPUTED_VALUE"""),"Queens")</f>
        <v>Queens</v>
      </c>
      <c r="J283" s="24">
        <f ca="1">IFERROR(__xludf.DUMMYFUNCTION("""COMPUTED_VALUE"""),11367)</f>
        <v>11367</v>
      </c>
      <c r="K283" s="20" t="str">
        <f ca="1">IFERROR(__xludf.DUMMYFUNCTION("""COMPUTED_VALUE"""),"10:00am-5:00pm")</f>
        <v>10:00am-5:00pm</v>
      </c>
    </row>
    <row r="284" spans="1:11" ht="12.75">
      <c r="A284" s="20" t="str">
        <f ca="1">IFERROR(__xludf.DUMMYFUNCTION("""COMPUTED_VALUE"""),"Mt. Sinai")</f>
        <v>Mt. Sinai</v>
      </c>
      <c r="B284" s="20" t="str">
        <f ca="1">IFERROR(__xludf.DUMMYFUNCTION("""COMPUTED_VALUE"""),"Saliva PCR")</f>
        <v>Saliva PCR</v>
      </c>
      <c r="C284" s="20" t="str">
        <f ca="1">IFERROR(__xludf.DUMMYFUNCTION("""COMPUTED_VALUE"""),"4+")</f>
        <v>4+</v>
      </c>
      <c r="D284" s="22">
        <f ca="1">IFERROR(__xludf.DUMMYFUNCTION("""COMPUTED_VALUE"""),44574)</f>
        <v>44574</v>
      </c>
      <c r="E284" s="22">
        <f ca="1">IFERROR(__xludf.DUMMYFUNCTION("""COMPUTED_VALUE"""),44574)</f>
        <v>44574</v>
      </c>
      <c r="F284" s="20"/>
      <c r="G284" s="20" t="str">
        <f ca="1">IFERROR(__xludf.DUMMYFUNCTION("""COMPUTED_VALUE"""),"New Life United Methodist Church")</f>
        <v>New Life United Methodist Church</v>
      </c>
      <c r="H284" s="20" t="str">
        <f ca="1">IFERROR(__xludf.DUMMYFUNCTION("""COMPUTED_VALUE"""),"8840 80th Street, Queens, NY 11421")</f>
        <v>8840 80th Street, Queens, NY 11421</v>
      </c>
      <c r="I284" s="20" t="str">
        <f ca="1">IFERROR(__xludf.DUMMYFUNCTION("""COMPUTED_VALUE"""),"Queens")</f>
        <v>Queens</v>
      </c>
      <c r="J284" s="24">
        <f ca="1">IFERROR(__xludf.DUMMYFUNCTION("""COMPUTED_VALUE"""),11421)</f>
        <v>11421</v>
      </c>
      <c r="K284" s="20" t="str">
        <f ca="1">IFERROR(__xludf.DUMMYFUNCTION("""COMPUTED_VALUE"""),"10:30am-5:30pm")</f>
        <v>10:30am-5:30pm</v>
      </c>
    </row>
    <row r="285" spans="1:11" ht="12.75">
      <c r="A285" s="20" t="str">
        <f ca="1">IFERROR(__xludf.DUMMYFUNCTION("""COMPUTED_VALUE"""),"Mt. Sinai")</f>
        <v>Mt. Sinai</v>
      </c>
      <c r="B285" s="20" t="str">
        <f ca="1">IFERROR(__xludf.DUMMYFUNCTION("""COMPUTED_VALUE"""),"Saliva PCR")</f>
        <v>Saliva PCR</v>
      </c>
      <c r="C285" s="20" t="str">
        <f ca="1">IFERROR(__xludf.DUMMYFUNCTION("""COMPUTED_VALUE"""),"4+")</f>
        <v>4+</v>
      </c>
      <c r="D285" s="22">
        <f ca="1">IFERROR(__xludf.DUMMYFUNCTION("""COMPUTED_VALUE"""),44574)</f>
        <v>44574</v>
      </c>
      <c r="E285" s="22">
        <f ca="1">IFERROR(__xludf.DUMMYFUNCTION("""COMPUTED_VALUE"""),44574)</f>
        <v>44574</v>
      </c>
      <c r="F285" s="20"/>
      <c r="G285" s="20" t="str">
        <f ca="1">IFERROR(__xludf.DUMMYFUNCTION("""COMPUTED_VALUE"""),"Greater Allen Cathedral of NY")</f>
        <v>Greater Allen Cathedral of NY</v>
      </c>
      <c r="H285" s="20" t="str">
        <f ca="1">IFERROR(__xludf.DUMMYFUNCTION("""COMPUTED_VALUE"""),"110-31 Merrick Blvd, Queens, NY 11433")</f>
        <v>110-31 Merrick Blvd, Queens, NY 11433</v>
      </c>
      <c r="I285" s="20" t="str">
        <f ca="1">IFERROR(__xludf.DUMMYFUNCTION("""COMPUTED_VALUE"""),"Queens")</f>
        <v>Queens</v>
      </c>
      <c r="J285" s="24">
        <f ca="1">IFERROR(__xludf.DUMMYFUNCTION("""COMPUTED_VALUE"""),11433)</f>
        <v>11433</v>
      </c>
      <c r="K285" s="20" t="str">
        <f ca="1">IFERROR(__xludf.DUMMYFUNCTION("""COMPUTED_VALUE"""),"11:00am-7:00pm")</f>
        <v>11:00am-7:00pm</v>
      </c>
    </row>
    <row r="286" spans="1:11" ht="12.75">
      <c r="A286" s="20" t="str">
        <f ca="1">IFERROR(__xludf.DUMMYFUNCTION("""COMPUTED_VALUE"""),"Mt. Sinai")</f>
        <v>Mt. Sinai</v>
      </c>
      <c r="B286" s="20" t="str">
        <f ca="1">IFERROR(__xludf.DUMMYFUNCTION("""COMPUTED_VALUE"""),"Saliva PCR")</f>
        <v>Saliva PCR</v>
      </c>
      <c r="C286" s="20" t="str">
        <f ca="1">IFERROR(__xludf.DUMMYFUNCTION("""COMPUTED_VALUE"""),"4+")</f>
        <v>4+</v>
      </c>
      <c r="D286" s="22">
        <f ca="1">IFERROR(__xludf.DUMMYFUNCTION("""COMPUTED_VALUE"""),44575)</f>
        <v>44575</v>
      </c>
      <c r="E286" s="22">
        <f ca="1">IFERROR(__xludf.DUMMYFUNCTION("""COMPUTED_VALUE"""),44575)</f>
        <v>44575</v>
      </c>
      <c r="F286" s="20"/>
      <c r="G286" s="20" t="str">
        <f ca="1">IFERROR(__xludf.DUMMYFUNCTION("""COMPUTED_VALUE"""),"Harlem Congregations for Community Improvement, Inc. (Petioni)
")</f>
        <v xml:space="preserve">Harlem Congregations for Community Improvement, Inc. (Petioni)
</v>
      </c>
      <c r="H286" s="20" t="str">
        <f ca="1">IFERROR(__xludf.DUMMYFUNCTION("""COMPUTED_VALUE"""),"203 West 146th Street, Manhattan, NY 10039")</f>
        <v>203 West 146th Street, Manhattan, NY 10039</v>
      </c>
      <c r="I286" s="20" t="str">
        <f ca="1">IFERROR(__xludf.DUMMYFUNCTION("""COMPUTED_VALUE"""),"Manhattan")</f>
        <v>Manhattan</v>
      </c>
      <c r="J286" s="24">
        <f ca="1">IFERROR(__xludf.DUMMYFUNCTION("""COMPUTED_VALUE"""),10039)</f>
        <v>10039</v>
      </c>
      <c r="K286" s="20" t="str">
        <f ca="1">IFERROR(__xludf.DUMMYFUNCTION("""COMPUTED_VALUE"""),"10:00am-6:00pm")</f>
        <v>10:00am-6:00pm</v>
      </c>
    </row>
    <row r="287" spans="1:11" ht="12.75">
      <c r="A287" s="20" t="str">
        <f ca="1">IFERROR(__xludf.DUMMYFUNCTION("""COMPUTED_VALUE"""),"Mt. Sinai")</f>
        <v>Mt. Sinai</v>
      </c>
      <c r="B287" s="20" t="str">
        <f ca="1">IFERROR(__xludf.DUMMYFUNCTION("""COMPUTED_VALUE"""),"Saliva PCR")</f>
        <v>Saliva PCR</v>
      </c>
      <c r="C287" s="20" t="str">
        <f ca="1">IFERROR(__xludf.DUMMYFUNCTION("""COMPUTED_VALUE"""),"4+")</f>
        <v>4+</v>
      </c>
      <c r="D287" s="22">
        <f ca="1">IFERROR(__xludf.DUMMYFUNCTION("""COMPUTED_VALUE"""),44575)</f>
        <v>44575</v>
      </c>
      <c r="E287" s="22">
        <f ca="1">IFERROR(__xludf.DUMMYFUNCTION("""COMPUTED_VALUE"""),44575)</f>
        <v>44575</v>
      </c>
      <c r="F287" s="20"/>
      <c r="G287" s="20" t="str">
        <f ca="1">IFERROR(__xludf.DUMMYFUNCTION("""COMPUTED_VALUE"""),"Robert Fulton Terrace / BTP 365 Healthy ")</f>
        <v xml:space="preserve">Robert Fulton Terrace / BTP 365 Healthy </v>
      </c>
      <c r="H287" s="20" t="str">
        <f ca="1">IFERROR(__xludf.DUMMYFUNCTION("""COMPUTED_VALUE"""),"530 East 169th Street , Bronx, NY 10456")</f>
        <v>530 East 169th Street , Bronx, NY 10456</v>
      </c>
      <c r="I287" s="20" t="str">
        <f ca="1">IFERROR(__xludf.DUMMYFUNCTION("""COMPUTED_VALUE"""),"Bronx")</f>
        <v>Bronx</v>
      </c>
      <c r="J287" s="24">
        <f ca="1">IFERROR(__xludf.DUMMYFUNCTION("""COMPUTED_VALUE"""),10456)</f>
        <v>10456</v>
      </c>
      <c r="K287" s="20" t="str">
        <f ca="1">IFERROR(__xludf.DUMMYFUNCTION("""COMPUTED_VALUE"""),"9:30am-4:00pm")</f>
        <v>9:30am-4:00pm</v>
      </c>
    </row>
    <row r="288" spans="1:11" ht="12.75">
      <c r="A288" s="20" t="str">
        <f ca="1">IFERROR(__xludf.DUMMYFUNCTION("""COMPUTED_VALUE"""),"Mt. Sinai")</f>
        <v>Mt. Sinai</v>
      </c>
      <c r="B288" s="20" t="str">
        <f ca="1">IFERROR(__xludf.DUMMYFUNCTION("""COMPUTED_VALUE"""),"Saliva PCR")</f>
        <v>Saliva PCR</v>
      </c>
      <c r="C288" s="20" t="str">
        <f ca="1">IFERROR(__xludf.DUMMYFUNCTION("""COMPUTED_VALUE"""),"4+")</f>
        <v>4+</v>
      </c>
      <c r="D288" s="22">
        <f ca="1">IFERROR(__xludf.DUMMYFUNCTION("""COMPUTED_VALUE"""),44575)</f>
        <v>44575</v>
      </c>
      <c r="E288" s="22">
        <f ca="1">IFERROR(__xludf.DUMMYFUNCTION("""COMPUTED_VALUE"""),44575)</f>
        <v>44575</v>
      </c>
      <c r="F288" s="20"/>
      <c r="G288" s="20" t="str">
        <f ca="1">IFERROR(__xludf.DUMMYFUNCTION("""COMPUTED_VALUE"""),"Bathgate")</f>
        <v>Bathgate</v>
      </c>
      <c r="H288" s="20" t="str">
        <f ca="1">IFERROR(__xludf.DUMMYFUNCTION("""COMPUTED_VALUE"""),"4006 3rd Ave, Bronx, NY 10457")</f>
        <v>4006 3rd Ave, Bronx, NY 10457</v>
      </c>
      <c r="I288" s="20" t="str">
        <f ca="1">IFERROR(__xludf.DUMMYFUNCTION("""COMPUTED_VALUE"""),"Bronx")</f>
        <v>Bronx</v>
      </c>
      <c r="J288" s="24">
        <f ca="1">IFERROR(__xludf.DUMMYFUNCTION("""COMPUTED_VALUE"""),10457)</f>
        <v>10457</v>
      </c>
      <c r="K288" s="20" t="str">
        <f ca="1">IFERROR(__xludf.DUMMYFUNCTION("""COMPUTED_VALUE"""),"10:00am-5:00pm")</f>
        <v>10:00am-5:00pm</v>
      </c>
    </row>
    <row r="289" spans="1:11" ht="12.75">
      <c r="A289" s="20" t="str">
        <f ca="1">IFERROR(__xludf.DUMMYFUNCTION("""COMPUTED_VALUE"""),"Mt. Sinai")</f>
        <v>Mt. Sinai</v>
      </c>
      <c r="B289" s="20" t="str">
        <f ca="1">IFERROR(__xludf.DUMMYFUNCTION("""COMPUTED_VALUE"""),"Saliva PCR")</f>
        <v>Saliva PCR</v>
      </c>
      <c r="C289" s="20" t="str">
        <f ca="1">IFERROR(__xludf.DUMMYFUNCTION("""COMPUTED_VALUE"""),"4+")</f>
        <v>4+</v>
      </c>
      <c r="D289" s="22">
        <f ca="1">IFERROR(__xludf.DUMMYFUNCTION("""COMPUTED_VALUE"""),44575)</f>
        <v>44575</v>
      </c>
      <c r="E289" s="22">
        <f ca="1">IFERROR(__xludf.DUMMYFUNCTION("""COMPUTED_VALUE"""),44575)</f>
        <v>44575</v>
      </c>
      <c r="F289" s="20"/>
      <c r="G289" s="20" t="str">
        <f ca="1">IFERROR(__xludf.DUMMYFUNCTION("""COMPUTED_VALUE"""),"Fort Greene SNAP Office")</f>
        <v>Fort Greene SNAP Office</v>
      </c>
      <c r="H289" s="20" t="str">
        <f ca="1">IFERROR(__xludf.DUMMYFUNCTION("""COMPUTED_VALUE"""),"324 Myrtle Ave, Brooklyn, NY 11205")</f>
        <v>324 Myrtle Ave, Brooklyn, NY 11205</v>
      </c>
      <c r="I289" s="20" t="str">
        <f ca="1">IFERROR(__xludf.DUMMYFUNCTION("""COMPUTED_VALUE"""),"Brooklyn")</f>
        <v>Brooklyn</v>
      </c>
      <c r="J289" s="24">
        <f ca="1">IFERROR(__xludf.DUMMYFUNCTION("""COMPUTED_VALUE"""),11205)</f>
        <v>11205</v>
      </c>
      <c r="K289" s="20" t="str">
        <f ca="1">IFERROR(__xludf.DUMMYFUNCTION("""COMPUTED_VALUE"""),"10:00am-5:30pm")</f>
        <v>10:00am-5:30pm</v>
      </c>
    </row>
    <row r="290" spans="1:11" ht="12.75">
      <c r="A290" s="20" t="str">
        <f ca="1">IFERROR(__xludf.DUMMYFUNCTION("""COMPUTED_VALUE"""),"Mt. Sinai")</f>
        <v>Mt. Sinai</v>
      </c>
      <c r="B290" s="20" t="str">
        <f ca="1">IFERROR(__xludf.DUMMYFUNCTION("""COMPUTED_VALUE"""),"Saliva PCR")</f>
        <v>Saliva PCR</v>
      </c>
      <c r="C290" s="20" t="str">
        <f ca="1">IFERROR(__xludf.DUMMYFUNCTION("""COMPUTED_VALUE"""),"4+")</f>
        <v>4+</v>
      </c>
      <c r="D290" s="22">
        <f ca="1">IFERROR(__xludf.DUMMYFUNCTION("""COMPUTED_VALUE"""),44575)</f>
        <v>44575</v>
      </c>
      <c r="E290" s="22">
        <f ca="1">IFERROR(__xludf.DUMMYFUNCTION("""COMPUTED_VALUE"""),44575)</f>
        <v>44575</v>
      </c>
      <c r="F290" s="20"/>
      <c r="G290" s="20" t="str">
        <f ca="1">IFERROR(__xludf.DUMMYFUNCTION("""COMPUTED_VALUE"""),"Brooklyn Navy Yard")</f>
        <v>Brooklyn Navy Yard</v>
      </c>
      <c r="H290" s="20" t="str">
        <f ca="1">IFERROR(__xludf.DUMMYFUNCTION("""COMPUTED_VALUE"""),"63 Flushing Ave, building 92, Brooklyn, NY 11205")</f>
        <v>63 Flushing Ave, building 92, Brooklyn, NY 11205</v>
      </c>
      <c r="I290" s="20" t="str">
        <f ca="1">IFERROR(__xludf.DUMMYFUNCTION("""COMPUTED_VALUE"""),"Brooklyn")</f>
        <v>Brooklyn</v>
      </c>
      <c r="J290" s="24">
        <f ca="1">IFERROR(__xludf.DUMMYFUNCTION("""COMPUTED_VALUE"""),11205)</f>
        <v>11205</v>
      </c>
      <c r="K290" s="20" t="str">
        <f ca="1">IFERROR(__xludf.DUMMYFUNCTION("""COMPUTED_VALUE"""),"8:30am-4:30pm")</f>
        <v>8:30am-4:30pm</v>
      </c>
    </row>
    <row r="291" spans="1:11" ht="12.75">
      <c r="A291" s="20" t="str">
        <f ca="1">IFERROR(__xludf.DUMMYFUNCTION("""COMPUTED_VALUE"""),"Mt. Sinai")</f>
        <v>Mt. Sinai</v>
      </c>
      <c r="B291" s="20" t="str">
        <f ca="1">IFERROR(__xludf.DUMMYFUNCTION("""COMPUTED_VALUE"""),"Saliva PCR")</f>
        <v>Saliva PCR</v>
      </c>
      <c r="C291" s="20" t="str">
        <f ca="1">IFERROR(__xludf.DUMMYFUNCTION("""COMPUTED_VALUE"""),"4+")</f>
        <v>4+</v>
      </c>
      <c r="D291" s="22">
        <f ca="1">IFERROR(__xludf.DUMMYFUNCTION("""COMPUTED_VALUE"""),44575)</f>
        <v>44575</v>
      </c>
      <c r="E291" s="22">
        <f ca="1">IFERROR(__xludf.DUMMYFUNCTION("""COMPUTED_VALUE"""),44575)</f>
        <v>44575</v>
      </c>
      <c r="F291" s="20"/>
      <c r="G291" s="20" t="str">
        <f ca="1">IFERROR(__xludf.DUMMYFUNCTION("""COMPUTED_VALUE"""),"Family Services Network of New York Access Center")</f>
        <v>Family Services Network of New York Access Center</v>
      </c>
      <c r="H291" s="20" t="str">
        <f ca="1">IFERROR(__xludf.DUMMYFUNCTION("""COMPUTED_VALUE"""),"1721 Pitkin Ave, Brooklyn, NY 11212")</f>
        <v>1721 Pitkin Ave, Brooklyn, NY 11212</v>
      </c>
      <c r="I291" s="20" t="str">
        <f ca="1">IFERROR(__xludf.DUMMYFUNCTION("""COMPUTED_VALUE"""),"Brooklyn")</f>
        <v>Brooklyn</v>
      </c>
      <c r="J291" s="24">
        <f ca="1">IFERROR(__xludf.DUMMYFUNCTION("""COMPUTED_VALUE"""),11212)</f>
        <v>11212</v>
      </c>
      <c r="K291" s="20" t="str">
        <f ca="1">IFERROR(__xludf.DUMMYFUNCTION("""COMPUTED_VALUE"""),"11:30am-7:30pm")</f>
        <v>11:30am-7:30pm</v>
      </c>
    </row>
    <row r="292" spans="1:11" ht="12.75">
      <c r="A292" s="20" t="str">
        <f ca="1">IFERROR(__xludf.DUMMYFUNCTION("""COMPUTED_VALUE"""),"Mt. Sinai")</f>
        <v>Mt. Sinai</v>
      </c>
      <c r="B292" s="20" t="str">
        <f ca="1">IFERROR(__xludf.DUMMYFUNCTION("""COMPUTED_VALUE"""),"Saliva PCR")</f>
        <v>Saliva PCR</v>
      </c>
      <c r="C292" s="20" t="str">
        <f ca="1">IFERROR(__xludf.DUMMYFUNCTION("""COMPUTED_VALUE"""),"4+")</f>
        <v>4+</v>
      </c>
      <c r="D292" s="22">
        <f ca="1">IFERROR(__xludf.DUMMYFUNCTION("""COMPUTED_VALUE"""),44575)</f>
        <v>44575</v>
      </c>
      <c r="E292" s="22">
        <f ca="1">IFERROR(__xludf.DUMMYFUNCTION("""COMPUTED_VALUE"""),44575)</f>
        <v>44575</v>
      </c>
      <c r="F292" s="20"/>
      <c r="G292" s="20" t="str">
        <f ca="1">IFERROR(__xludf.DUMMYFUNCTION("""COMPUTED_VALUE"""),"BCA Sunset Park Senior Center")</f>
        <v>BCA Sunset Park Senior Center</v>
      </c>
      <c r="H292" s="20" t="str">
        <f ca="1">IFERROR(__xludf.DUMMYFUNCTION("""COMPUTED_VALUE"""),"5007 7th Avenue, Brooklyn, NY 11220")</f>
        <v>5007 7th Avenue, Brooklyn, NY 11220</v>
      </c>
      <c r="I292" s="20" t="str">
        <f ca="1">IFERROR(__xludf.DUMMYFUNCTION("""COMPUTED_VALUE"""),"Brooklyn")</f>
        <v>Brooklyn</v>
      </c>
      <c r="J292" s="24">
        <f ca="1">IFERROR(__xludf.DUMMYFUNCTION("""COMPUTED_VALUE"""),11220)</f>
        <v>11220</v>
      </c>
      <c r="K292" s="20" t="str">
        <f ca="1">IFERROR(__xludf.DUMMYFUNCTION("""COMPUTED_VALUE"""),"9:00am-5:00pm")</f>
        <v>9:00am-5:00pm</v>
      </c>
    </row>
    <row r="293" spans="1:11" ht="12.75">
      <c r="A293" s="20" t="str">
        <f ca="1">IFERROR(__xludf.DUMMYFUNCTION("""COMPUTED_VALUE"""),"Mt. Sinai")</f>
        <v>Mt. Sinai</v>
      </c>
      <c r="B293" s="20" t="str">
        <f ca="1">IFERROR(__xludf.DUMMYFUNCTION("""COMPUTED_VALUE"""),"Saliva PCR")</f>
        <v>Saliva PCR</v>
      </c>
      <c r="C293" s="20" t="str">
        <f ca="1">IFERROR(__xludf.DUMMYFUNCTION("""COMPUTED_VALUE"""),"4+")</f>
        <v>4+</v>
      </c>
      <c r="D293" s="22">
        <f ca="1">IFERROR(__xludf.DUMMYFUNCTION("""COMPUTED_VALUE"""),44575)</f>
        <v>44575</v>
      </c>
      <c r="E293" s="22">
        <f ca="1">IFERROR(__xludf.DUMMYFUNCTION("""COMPUTED_VALUE"""),44575)</f>
        <v>44575</v>
      </c>
      <c r="F293" s="20"/>
      <c r="G293" s="20" t="str">
        <f ca="1">IFERROR(__xludf.DUMMYFUNCTION("""COMPUTED_VALUE"""),"Brooklyn Army Terminal (BAT)")</f>
        <v>Brooklyn Army Terminal (BAT)</v>
      </c>
      <c r="H293" s="20" t="str">
        <f ca="1">IFERROR(__xludf.DUMMYFUNCTION("""COMPUTED_VALUE"""),"140 58th Street, Brooklyn, NY 11220")</f>
        <v>140 58th Street, Brooklyn, NY 11220</v>
      </c>
      <c r="I293" s="20" t="str">
        <f ca="1">IFERROR(__xludf.DUMMYFUNCTION("""COMPUTED_VALUE"""),"Brooklyn")</f>
        <v>Brooklyn</v>
      </c>
      <c r="J293" s="24">
        <f ca="1">IFERROR(__xludf.DUMMYFUNCTION("""COMPUTED_VALUE"""),11220)</f>
        <v>11220</v>
      </c>
      <c r="K293" s="20" t="str">
        <f ca="1">IFERROR(__xludf.DUMMYFUNCTION("""COMPUTED_VALUE"""),"10:00am-5:00pm")</f>
        <v>10:00am-5:00pm</v>
      </c>
    </row>
    <row r="294" spans="1:11" ht="12.75">
      <c r="A294" s="20" t="str">
        <f ca="1">IFERROR(__xludf.DUMMYFUNCTION("""COMPUTED_VALUE"""),"Mt. Sinai")</f>
        <v>Mt. Sinai</v>
      </c>
      <c r="B294" s="20" t="str">
        <f ca="1">IFERROR(__xludf.DUMMYFUNCTION("""COMPUTED_VALUE"""),"Saliva PCR")</f>
        <v>Saliva PCR</v>
      </c>
      <c r="C294" s="20" t="str">
        <f ca="1">IFERROR(__xludf.DUMMYFUNCTION("""COMPUTED_VALUE"""),"4+")</f>
        <v>4+</v>
      </c>
      <c r="D294" s="22">
        <f ca="1">IFERROR(__xludf.DUMMYFUNCTION("""COMPUTED_VALUE"""),44575)</f>
        <v>44575</v>
      </c>
      <c r="E294" s="22">
        <f ca="1">IFERROR(__xludf.DUMMYFUNCTION("""COMPUTED_VALUE"""),44575)</f>
        <v>44575</v>
      </c>
      <c r="F294" s="20"/>
      <c r="G294" s="20" t="str">
        <f ca="1">IFERROR(__xludf.DUMMYFUNCTION("""COMPUTED_VALUE"""),"Ida G. Israel Health Center")</f>
        <v>Ida G. Israel Health Center</v>
      </c>
      <c r="H294" s="20" t="str">
        <f ca="1">IFERROR(__xludf.DUMMYFUNCTION("""COMPUTED_VALUE"""),"2925 W 19th St, Brooklyn, NY 11224")</f>
        <v>2925 W 19th St, Brooklyn, NY 11224</v>
      </c>
      <c r="I294" s="20" t="str">
        <f ca="1">IFERROR(__xludf.DUMMYFUNCTION("""COMPUTED_VALUE"""),"Brooklyn")</f>
        <v>Brooklyn</v>
      </c>
      <c r="J294" s="24">
        <f ca="1">IFERROR(__xludf.DUMMYFUNCTION("""COMPUTED_VALUE"""),11224)</f>
        <v>11224</v>
      </c>
      <c r="K294" s="20" t="str">
        <f ca="1">IFERROR(__xludf.DUMMYFUNCTION("""COMPUTED_VALUE"""),"8:00am-4:00pm")</f>
        <v>8:00am-4:00pm</v>
      </c>
    </row>
    <row r="295" spans="1:11" ht="12.75">
      <c r="A295" s="20" t="str">
        <f ca="1">IFERROR(__xludf.DUMMYFUNCTION("""COMPUTED_VALUE"""),"Mt. Sinai")</f>
        <v>Mt. Sinai</v>
      </c>
      <c r="B295" s="20" t="str">
        <f ca="1">IFERROR(__xludf.DUMMYFUNCTION("""COMPUTED_VALUE"""),"Saliva PCR")</f>
        <v>Saliva PCR</v>
      </c>
      <c r="C295" s="20" t="str">
        <f ca="1">IFERROR(__xludf.DUMMYFUNCTION("""COMPUTED_VALUE"""),"4+")</f>
        <v>4+</v>
      </c>
      <c r="D295" s="22">
        <f ca="1">IFERROR(__xludf.DUMMYFUNCTION("""COMPUTED_VALUE"""),44575)</f>
        <v>44575</v>
      </c>
      <c r="E295" s="22">
        <f ca="1">IFERROR(__xludf.DUMMYFUNCTION("""COMPUTED_VALUE"""),44575)</f>
        <v>44575</v>
      </c>
      <c r="F295" s="20"/>
      <c r="G295" s="20" t="str">
        <f ca="1">IFERROR(__xludf.DUMMYFUNCTION("""COMPUTED_VALUE"""),"Queens College Student Union")</f>
        <v>Queens College Student Union</v>
      </c>
      <c r="H295" s="20" t="str">
        <f ca="1">IFERROR(__xludf.DUMMYFUNCTION("""COMPUTED_VALUE"""),"65-30 Kissena Blvd., Queens, NY 11367")</f>
        <v>65-30 Kissena Blvd., Queens, NY 11367</v>
      </c>
      <c r="I295" s="20" t="str">
        <f ca="1">IFERROR(__xludf.DUMMYFUNCTION("""COMPUTED_VALUE"""),"Queens")</f>
        <v>Queens</v>
      </c>
      <c r="J295" s="24">
        <f ca="1">IFERROR(__xludf.DUMMYFUNCTION("""COMPUTED_VALUE"""),11367)</f>
        <v>11367</v>
      </c>
      <c r="K295" s="20" t="str">
        <f ca="1">IFERROR(__xludf.DUMMYFUNCTION("""COMPUTED_VALUE"""),"10:00am-5:00pm")</f>
        <v>10:00am-5:00pm</v>
      </c>
    </row>
    <row r="296" spans="1:11" ht="12.75">
      <c r="A296" s="20" t="str">
        <f ca="1">IFERROR(__xludf.DUMMYFUNCTION("""COMPUTED_VALUE"""),"Mt. Sinai")</f>
        <v>Mt. Sinai</v>
      </c>
      <c r="B296" s="20" t="str">
        <f ca="1">IFERROR(__xludf.DUMMYFUNCTION("""COMPUTED_VALUE"""),"Saliva PCR")</f>
        <v>Saliva PCR</v>
      </c>
      <c r="C296" s="20" t="str">
        <f ca="1">IFERROR(__xludf.DUMMYFUNCTION("""COMPUTED_VALUE"""),"4+")</f>
        <v>4+</v>
      </c>
      <c r="D296" s="22">
        <f ca="1">IFERROR(__xludf.DUMMYFUNCTION("""COMPUTED_VALUE"""),44575)</f>
        <v>44575</v>
      </c>
      <c r="E296" s="22">
        <f ca="1">IFERROR(__xludf.DUMMYFUNCTION("""COMPUTED_VALUE"""),44575)</f>
        <v>44575</v>
      </c>
      <c r="F296" s="20"/>
      <c r="G296" s="20" t="str">
        <f ca="1">IFERROR(__xludf.DUMMYFUNCTION("""COMPUTED_VALUE"""),"New Life United Methodist Church")</f>
        <v>New Life United Methodist Church</v>
      </c>
      <c r="H296" s="20" t="str">
        <f ca="1">IFERROR(__xludf.DUMMYFUNCTION("""COMPUTED_VALUE"""),"8840 80th Street, Queens, NY 11421")</f>
        <v>8840 80th Street, Queens, NY 11421</v>
      </c>
      <c r="I296" s="20" t="str">
        <f ca="1">IFERROR(__xludf.DUMMYFUNCTION("""COMPUTED_VALUE"""),"Queens")</f>
        <v>Queens</v>
      </c>
      <c r="J296" s="24">
        <f ca="1">IFERROR(__xludf.DUMMYFUNCTION("""COMPUTED_VALUE"""),11421)</f>
        <v>11421</v>
      </c>
      <c r="K296" s="20" t="str">
        <f ca="1">IFERROR(__xludf.DUMMYFUNCTION("""COMPUTED_VALUE"""),"10:30am-5:30pm")</f>
        <v>10:30am-5:30pm</v>
      </c>
    </row>
    <row r="297" spans="1:11" ht="12.75">
      <c r="A297" s="20" t="str">
        <f ca="1">IFERROR(__xludf.DUMMYFUNCTION("""COMPUTED_VALUE"""),"Mt. Sinai")</f>
        <v>Mt. Sinai</v>
      </c>
      <c r="B297" s="20" t="str">
        <f ca="1">IFERROR(__xludf.DUMMYFUNCTION("""COMPUTED_VALUE"""),"Saliva PCR")</f>
        <v>Saliva PCR</v>
      </c>
      <c r="C297" s="20" t="str">
        <f ca="1">IFERROR(__xludf.DUMMYFUNCTION("""COMPUTED_VALUE"""),"4+")</f>
        <v>4+</v>
      </c>
      <c r="D297" s="22">
        <f ca="1">IFERROR(__xludf.DUMMYFUNCTION("""COMPUTED_VALUE"""),44575)</f>
        <v>44575</v>
      </c>
      <c r="E297" s="22">
        <f ca="1">IFERROR(__xludf.DUMMYFUNCTION("""COMPUTED_VALUE"""),44575)</f>
        <v>44575</v>
      </c>
      <c r="F297" s="20"/>
      <c r="G297" s="20" t="str">
        <f ca="1">IFERROR(__xludf.DUMMYFUNCTION("""COMPUTED_VALUE"""),"Community Church of Christ")</f>
        <v>Community Church of Christ</v>
      </c>
      <c r="H297" s="20" t="str">
        <f ca="1">IFERROR(__xludf.DUMMYFUNCTION("""COMPUTED_VALUE"""),"167-04 108th Avenue, Queens, NY 11433")</f>
        <v>167-04 108th Avenue, Queens, NY 11433</v>
      </c>
      <c r="I297" s="20" t="str">
        <f ca="1">IFERROR(__xludf.DUMMYFUNCTION("""COMPUTED_VALUE"""),"Queens")</f>
        <v>Queens</v>
      </c>
      <c r="J297" s="24">
        <f ca="1">IFERROR(__xludf.DUMMYFUNCTION("""COMPUTED_VALUE"""),11433)</f>
        <v>11433</v>
      </c>
      <c r="K297" s="20" t="str">
        <f ca="1">IFERROR(__xludf.DUMMYFUNCTION("""COMPUTED_VALUE"""),"9:30am-4:30pm")</f>
        <v>9:30am-4:30pm</v>
      </c>
    </row>
    <row r="298" spans="1:11" ht="12.75">
      <c r="A298" s="20" t="str">
        <f ca="1">IFERROR(__xludf.DUMMYFUNCTION("""COMPUTED_VALUE"""),"Mt. Sinai")</f>
        <v>Mt. Sinai</v>
      </c>
      <c r="B298" s="20" t="str">
        <f ca="1">IFERROR(__xludf.DUMMYFUNCTION("""COMPUTED_VALUE"""),"Saliva PCR")</f>
        <v>Saliva PCR</v>
      </c>
      <c r="C298" s="20" t="str">
        <f ca="1">IFERROR(__xludf.DUMMYFUNCTION("""COMPUTED_VALUE"""),"4+")</f>
        <v>4+</v>
      </c>
      <c r="D298" s="22">
        <f ca="1">IFERROR(__xludf.DUMMYFUNCTION("""COMPUTED_VALUE"""),44575)</f>
        <v>44575</v>
      </c>
      <c r="E298" s="22">
        <f ca="1">IFERROR(__xludf.DUMMYFUNCTION("""COMPUTED_VALUE"""),44575)</f>
        <v>44575</v>
      </c>
      <c r="F298" s="20"/>
      <c r="G298" s="20" t="str">
        <f ca="1">IFERROR(__xludf.DUMMYFUNCTION("""COMPUTED_VALUE"""),"Greater Allen Cathedral of NY")</f>
        <v>Greater Allen Cathedral of NY</v>
      </c>
      <c r="H298" s="20" t="str">
        <f ca="1">IFERROR(__xludf.DUMMYFUNCTION("""COMPUTED_VALUE"""),"110-31 Merrick Blvd, Queens, NY 11433")</f>
        <v>110-31 Merrick Blvd, Queens, NY 11433</v>
      </c>
      <c r="I298" s="20" t="str">
        <f ca="1">IFERROR(__xludf.DUMMYFUNCTION("""COMPUTED_VALUE"""),"Queens")</f>
        <v>Queens</v>
      </c>
      <c r="J298" s="24">
        <f ca="1">IFERROR(__xludf.DUMMYFUNCTION("""COMPUTED_VALUE"""),11433)</f>
        <v>11433</v>
      </c>
      <c r="K298" s="20" t="str">
        <f ca="1">IFERROR(__xludf.DUMMYFUNCTION("""COMPUTED_VALUE"""),"9:00am-5:00pm")</f>
        <v>9:00am-5:00pm</v>
      </c>
    </row>
    <row r="299" spans="1:11" ht="12.75">
      <c r="A299" s="20" t="str">
        <f ca="1">IFERROR(__xludf.DUMMYFUNCTION("""COMPUTED_VALUE"""),"Mt. Sinai")</f>
        <v>Mt. Sinai</v>
      </c>
      <c r="B299" s="20" t="str">
        <f ca="1">IFERROR(__xludf.DUMMYFUNCTION("""COMPUTED_VALUE"""),"Saliva PCR")</f>
        <v>Saliva PCR</v>
      </c>
      <c r="C299" s="20" t="str">
        <f ca="1">IFERROR(__xludf.DUMMYFUNCTION("""COMPUTED_VALUE"""),"4+")</f>
        <v>4+</v>
      </c>
      <c r="D299" s="22">
        <f ca="1">IFERROR(__xludf.DUMMYFUNCTION("""COMPUTED_VALUE"""),44576)</f>
        <v>44576</v>
      </c>
      <c r="E299" s="22">
        <f ca="1">IFERROR(__xludf.DUMMYFUNCTION("""COMPUTED_VALUE"""),44576)</f>
        <v>44576</v>
      </c>
      <c r="F299" s="20"/>
      <c r="G299" s="20" t="str">
        <f ca="1">IFERROR(__xludf.DUMMYFUNCTION("""COMPUTED_VALUE"""),"King of Glory Tabernacle")</f>
        <v>King of Glory Tabernacle</v>
      </c>
      <c r="H299" s="20" t="str">
        <f ca="1">IFERROR(__xludf.DUMMYFUNCTION("""COMPUTED_VALUE"""),"2019 Grand Ave, Bronx, NY 10453")</f>
        <v>2019 Grand Ave, Bronx, NY 10453</v>
      </c>
      <c r="I299" s="20" t="str">
        <f ca="1">IFERROR(__xludf.DUMMYFUNCTION("""COMPUTED_VALUE"""),"Bronx")</f>
        <v>Bronx</v>
      </c>
      <c r="J299" s="24">
        <f ca="1">IFERROR(__xludf.DUMMYFUNCTION("""COMPUTED_VALUE"""),10453)</f>
        <v>10453</v>
      </c>
      <c r="K299" s="20" t="str">
        <f ca="1">IFERROR(__xludf.DUMMYFUNCTION("""COMPUTED_VALUE"""),"9:30am-4:30pm")</f>
        <v>9:30am-4:30pm</v>
      </c>
    </row>
    <row r="300" spans="1:11" ht="12.75">
      <c r="A300" s="20" t="str">
        <f ca="1">IFERROR(__xludf.DUMMYFUNCTION("""COMPUTED_VALUE"""),"Mt. Sinai")</f>
        <v>Mt. Sinai</v>
      </c>
      <c r="B300" s="20" t="str">
        <f ca="1">IFERROR(__xludf.DUMMYFUNCTION("""COMPUTED_VALUE"""),"Saliva PCR")</f>
        <v>Saliva PCR</v>
      </c>
      <c r="C300" s="20" t="str">
        <f ca="1">IFERROR(__xludf.DUMMYFUNCTION("""COMPUTED_VALUE"""),"4+")</f>
        <v>4+</v>
      </c>
      <c r="D300" s="22">
        <f ca="1">IFERROR(__xludf.DUMMYFUNCTION("""COMPUTED_VALUE"""),44576)</f>
        <v>44576</v>
      </c>
      <c r="E300" s="22">
        <f ca="1">IFERROR(__xludf.DUMMYFUNCTION("""COMPUTED_VALUE"""),44576)</f>
        <v>44576</v>
      </c>
      <c r="F300" s="20"/>
      <c r="G300" s="20" t="str">
        <f ca="1">IFERROR(__xludf.DUMMYFUNCTION("""COMPUTED_VALUE"""),"Clay Avenue Tenant Association")</f>
        <v>Clay Avenue Tenant Association</v>
      </c>
      <c r="H300" s="20" t="str">
        <f ca="1">IFERROR(__xludf.DUMMYFUNCTION("""COMPUTED_VALUE"""),"1195 Clay ave , Bronx, NY 10456")</f>
        <v>1195 Clay ave , Bronx, NY 10456</v>
      </c>
      <c r="I300" s="20" t="str">
        <f ca="1">IFERROR(__xludf.DUMMYFUNCTION("""COMPUTED_VALUE"""),"Bronx")</f>
        <v>Bronx</v>
      </c>
      <c r="J300" s="24">
        <f ca="1">IFERROR(__xludf.DUMMYFUNCTION("""COMPUTED_VALUE"""),10456)</f>
        <v>10456</v>
      </c>
      <c r="K300" s="20" t="str">
        <f ca="1">IFERROR(__xludf.DUMMYFUNCTION("""COMPUTED_VALUE"""),"10:30am-4:30pm")</f>
        <v>10:30am-4:30pm</v>
      </c>
    </row>
    <row r="301" spans="1:11" ht="12.75">
      <c r="A301" s="20" t="str">
        <f ca="1">IFERROR(__xludf.DUMMYFUNCTION("""COMPUTED_VALUE"""),"Mt. Sinai")</f>
        <v>Mt. Sinai</v>
      </c>
      <c r="B301" s="20" t="str">
        <f ca="1">IFERROR(__xludf.DUMMYFUNCTION("""COMPUTED_VALUE"""),"Saliva PCR")</f>
        <v>Saliva PCR</v>
      </c>
      <c r="C301" s="20" t="str">
        <f ca="1">IFERROR(__xludf.DUMMYFUNCTION("""COMPUTED_VALUE"""),"4+")</f>
        <v>4+</v>
      </c>
      <c r="D301" s="22">
        <f ca="1">IFERROR(__xludf.DUMMYFUNCTION("""COMPUTED_VALUE"""),44576)</f>
        <v>44576</v>
      </c>
      <c r="E301" s="22">
        <f ca="1">IFERROR(__xludf.DUMMYFUNCTION("""COMPUTED_VALUE"""),44576)</f>
        <v>44576</v>
      </c>
      <c r="F301" s="20"/>
      <c r="G301" s="20" t="str">
        <f ca="1">IFERROR(__xludf.DUMMYFUNCTION("""COMPUTED_VALUE"""),"Bathgate")</f>
        <v>Bathgate</v>
      </c>
      <c r="H301" s="20" t="str">
        <f ca="1">IFERROR(__xludf.DUMMYFUNCTION("""COMPUTED_VALUE"""),"4006 3rd Ave, Bronx, NY 10457")</f>
        <v>4006 3rd Ave, Bronx, NY 10457</v>
      </c>
      <c r="I301" s="20" t="str">
        <f ca="1">IFERROR(__xludf.DUMMYFUNCTION("""COMPUTED_VALUE"""),"Bronx")</f>
        <v>Bronx</v>
      </c>
      <c r="J301" s="24">
        <f ca="1">IFERROR(__xludf.DUMMYFUNCTION("""COMPUTED_VALUE"""),10457)</f>
        <v>10457</v>
      </c>
      <c r="K301" s="20" t="str">
        <f ca="1">IFERROR(__xludf.DUMMYFUNCTION("""COMPUTED_VALUE"""),"10:00am-5:00pm")</f>
        <v>10:00am-5:00pm</v>
      </c>
    </row>
    <row r="302" spans="1:11" ht="12.75">
      <c r="A302" s="20" t="str">
        <f ca="1">IFERROR(__xludf.DUMMYFUNCTION("""COMPUTED_VALUE"""),"Mt. Sinai")</f>
        <v>Mt. Sinai</v>
      </c>
      <c r="B302" s="20" t="str">
        <f ca="1">IFERROR(__xludf.DUMMYFUNCTION("""COMPUTED_VALUE"""),"Saliva PCR")</f>
        <v>Saliva PCR</v>
      </c>
      <c r="C302" s="20" t="str">
        <f ca="1">IFERROR(__xludf.DUMMYFUNCTION("""COMPUTED_VALUE"""),"4+")</f>
        <v>4+</v>
      </c>
      <c r="D302" s="22">
        <f ca="1">IFERROR(__xludf.DUMMYFUNCTION("""COMPUTED_VALUE"""),44576)</f>
        <v>44576</v>
      </c>
      <c r="E302" s="22">
        <f ca="1">IFERROR(__xludf.DUMMYFUNCTION("""COMPUTED_VALUE"""),44576)</f>
        <v>44576</v>
      </c>
      <c r="F302" s="20"/>
      <c r="G302" s="20" t="str">
        <f ca="1">IFERROR(__xludf.DUMMYFUNCTION("""COMPUTED_VALUE"""),"Manhattan College (Smith Auditorium)")</f>
        <v>Manhattan College (Smith Auditorium)</v>
      </c>
      <c r="H302" s="20" t="str">
        <f ca="1">IFERROR(__xludf.DUMMYFUNCTION("""COMPUTED_VALUE"""),"4513 Manhattan College Parkway, Bronx, NY 10463")</f>
        <v>4513 Manhattan College Parkway, Bronx, NY 10463</v>
      </c>
      <c r="I302" s="20" t="str">
        <f ca="1">IFERROR(__xludf.DUMMYFUNCTION("""COMPUTED_VALUE"""),"Bronx")</f>
        <v>Bronx</v>
      </c>
      <c r="J302" s="24">
        <f ca="1">IFERROR(__xludf.DUMMYFUNCTION("""COMPUTED_VALUE"""),10463)</f>
        <v>10463</v>
      </c>
      <c r="K302" s="20" t="str">
        <f ca="1">IFERROR(__xludf.DUMMYFUNCTION("""COMPUTED_VALUE"""),"9:30am-4:30pm")</f>
        <v>9:30am-4:30pm</v>
      </c>
    </row>
    <row r="303" spans="1:11" ht="12.75">
      <c r="A303" s="20" t="str">
        <f ca="1">IFERROR(__xludf.DUMMYFUNCTION("""COMPUTED_VALUE"""),"Mt. Sinai")</f>
        <v>Mt. Sinai</v>
      </c>
      <c r="B303" s="20" t="str">
        <f ca="1">IFERROR(__xludf.DUMMYFUNCTION("""COMPUTED_VALUE"""),"Saliva PCR")</f>
        <v>Saliva PCR</v>
      </c>
      <c r="C303" s="20" t="str">
        <f ca="1">IFERROR(__xludf.DUMMYFUNCTION("""COMPUTED_VALUE"""),"4+")</f>
        <v>4+</v>
      </c>
      <c r="D303" s="22">
        <f ca="1">IFERROR(__xludf.DUMMYFUNCTION("""COMPUTED_VALUE"""),44576)</f>
        <v>44576</v>
      </c>
      <c r="E303" s="22">
        <f ca="1">IFERROR(__xludf.DUMMYFUNCTION("""COMPUTED_VALUE"""),44576)</f>
        <v>44576</v>
      </c>
      <c r="F303" s="20"/>
      <c r="G303" s="20" t="str">
        <f ca="1">IFERROR(__xludf.DUMMYFUNCTION("""COMPUTED_VALUE"""),"Throggs Neck Volunteer Ambulance Corps")</f>
        <v>Throggs Neck Volunteer Ambulance Corps</v>
      </c>
      <c r="H303" s="20" t="str">
        <f ca="1">IFERROR(__xludf.DUMMYFUNCTION("""COMPUTED_VALUE"""),"3955 East Tremont Ave, Bronx, NY 10465")</f>
        <v>3955 East Tremont Ave, Bronx, NY 10465</v>
      </c>
      <c r="I303" s="20" t="str">
        <f ca="1">IFERROR(__xludf.DUMMYFUNCTION("""COMPUTED_VALUE"""),"Bronx")</f>
        <v>Bronx</v>
      </c>
      <c r="J303" s="24">
        <f ca="1">IFERROR(__xludf.DUMMYFUNCTION("""COMPUTED_VALUE"""),10465)</f>
        <v>10465</v>
      </c>
      <c r="K303" s="20" t="str">
        <f ca="1">IFERROR(__xludf.DUMMYFUNCTION("""COMPUTED_VALUE"""),"11:30am-6:30pm")</f>
        <v>11:30am-6:30pm</v>
      </c>
    </row>
    <row r="304" spans="1:11" ht="12.75">
      <c r="A304" s="20" t="str">
        <f ca="1">IFERROR(__xludf.DUMMYFUNCTION("""COMPUTED_VALUE"""),"Mt. Sinai")</f>
        <v>Mt. Sinai</v>
      </c>
      <c r="B304" s="20" t="str">
        <f ca="1">IFERROR(__xludf.DUMMYFUNCTION("""COMPUTED_VALUE"""),"Saliva PCR")</f>
        <v>Saliva PCR</v>
      </c>
      <c r="C304" s="20" t="str">
        <f ca="1">IFERROR(__xludf.DUMMYFUNCTION("""COMPUTED_VALUE"""),"4+")</f>
        <v>4+</v>
      </c>
      <c r="D304" s="22">
        <f ca="1">IFERROR(__xludf.DUMMYFUNCTION("""COMPUTED_VALUE"""),44576)</f>
        <v>44576</v>
      </c>
      <c r="E304" s="22">
        <f ca="1">IFERROR(__xludf.DUMMYFUNCTION("""COMPUTED_VALUE"""),44576)</f>
        <v>44576</v>
      </c>
      <c r="F304" s="20"/>
      <c r="G304" s="20" t="str">
        <f ca="1">IFERROR(__xludf.DUMMYFUNCTION("""COMPUTED_VALUE"""),"Museum of Moving Images (MoMI)")</f>
        <v>Museum of Moving Images (MoMI)</v>
      </c>
      <c r="H304" s="20" t="str">
        <f ca="1">IFERROR(__xludf.DUMMYFUNCTION("""COMPUTED_VALUE"""),"36-01 35th Ave, Queens, NY 11106")</f>
        <v>36-01 35th Ave, Queens, NY 11106</v>
      </c>
      <c r="I304" s="20" t="str">
        <f ca="1">IFERROR(__xludf.DUMMYFUNCTION("""COMPUTED_VALUE"""),"Queens")</f>
        <v>Queens</v>
      </c>
      <c r="J304" s="24">
        <f ca="1">IFERROR(__xludf.DUMMYFUNCTION("""COMPUTED_VALUE"""),11106)</f>
        <v>11106</v>
      </c>
      <c r="K304" s="20" t="str">
        <f ca="1">IFERROR(__xludf.DUMMYFUNCTION("""COMPUTED_VALUE"""),"8:30am-3:30pm")</f>
        <v>8:30am-3:30pm</v>
      </c>
    </row>
    <row r="305" spans="1:11" ht="12.75">
      <c r="A305" s="20" t="str">
        <f ca="1">IFERROR(__xludf.DUMMYFUNCTION("""COMPUTED_VALUE"""),"Mt. Sinai")</f>
        <v>Mt. Sinai</v>
      </c>
      <c r="B305" s="20" t="str">
        <f ca="1">IFERROR(__xludf.DUMMYFUNCTION("""COMPUTED_VALUE"""),"Saliva PCR")</f>
        <v>Saliva PCR</v>
      </c>
      <c r="C305" s="20" t="str">
        <f ca="1">IFERROR(__xludf.DUMMYFUNCTION("""COMPUTED_VALUE"""),"4+")</f>
        <v>4+</v>
      </c>
      <c r="D305" s="22">
        <f ca="1">IFERROR(__xludf.DUMMYFUNCTION("""COMPUTED_VALUE"""),44576)</f>
        <v>44576</v>
      </c>
      <c r="E305" s="22">
        <f ca="1">IFERROR(__xludf.DUMMYFUNCTION("""COMPUTED_VALUE"""),44576)</f>
        <v>44576</v>
      </c>
      <c r="F305" s="20"/>
      <c r="G305" s="20" t="str">
        <f ca="1">IFERROR(__xludf.DUMMYFUNCTION("""COMPUTED_VALUE"""),"Brooklyn Navy Yard")</f>
        <v>Brooklyn Navy Yard</v>
      </c>
      <c r="H305" s="20" t="str">
        <f ca="1">IFERROR(__xludf.DUMMYFUNCTION("""COMPUTED_VALUE"""),"63 Flushing Ave, building 92, Brooklyn, NY 11205")</f>
        <v>63 Flushing Ave, building 92, Brooklyn, NY 11205</v>
      </c>
      <c r="I305" s="20" t="str">
        <f ca="1">IFERROR(__xludf.DUMMYFUNCTION("""COMPUTED_VALUE"""),"Brooklyn")</f>
        <v>Brooklyn</v>
      </c>
      <c r="J305" s="24">
        <f ca="1">IFERROR(__xludf.DUMMYFUNCTION("""COMPUTED_VALUE"""),11205)</f>
        <v>11205</v>
      </c>
      <c r="K305" s="20" t="str">
        <f ca="1">IFERROR(__xludf.DUMMYFUNCTION("""COMPUTED_VALUE"""),"8:30am-4:30pm")</f>
        <v>8:30am-4:30pm</v>
      </c>
    </row>
    <row r="306" spans="1:11" ht="12.75">
      <c r="A306" s="20" t="str">
        <f ca="1">IFERROR(__xludf.DUMMYFUNCTION("""COMPUTED_VALUE"""),"Mt. Sinai")</f>
        <v>Mt. Sinai</v>
      </c>
      <c r="B306" s="20" t="str">
        <f ca="1">IFERROR(__xludf.DUMMYFUNCTION("""COMPUTED_VALUE"""),"Saliva PCR")</f>
        <v>Saliva PCR</v>
      </c>
      <c r="C306" s="20" t="str">
        <f ca="1">IFERROR(__xludf.DUMMYFUNCTION("""COMPUTED_VALUE"""),"4+")</f>
        <v>4+</v>
      </c>
      <c r="D306" s="22">
        <f ca="1">IFERROR(__xludf.DUMMYFUNCTION("""COMPUTED_VALUE"""),44576)</f>
        <v>44576</v>
      </c>
      <c r="E306" s="22">
        <f ca="1">IFERROR(__xludf.DUMMYFUNCTION("""COMPUTED_VALUE"""),44576)</f>
        <v>44576</v>
      </c>
      <c r="F306" s="20"/>
      <c r="G306" s="20" t="str">
        <f ca="1">IFERROR(__xludf.DUMMYFUNCTION("""COMPUTED_VALUE"""),"Hebron Baptist Church ")</f>
        <v xml:space="preserve">Hebron Baptist Church </v>
      </c>
      <c r="H306" s="20" t="str">
        <f ca="1">IFERROR(__xludf.DUMMYFUNCTION("""COMPUTED_VALUE"""),"450 Fountain Ave, Brooklyn , NY 11208")</f>
        <v>450 Fountain Ave, Brooklyn , NY 11208</v>
      </c>
      <c r="I306" s="20" t="str">
        <f ca="1">IFERROR(__xludf.DUMMYFUNCTION("""COMPUTED_VALUE"""),"Brooklyn ")</f>
        <v xml:space="preserve">Brooklyn </v>
      </c>
      <c r="J306" s="24">
        <f ca="1">IFERROR(__xludf.DUMMYFUNCTION("""COMPUTED_VALUE"""),11208)</f>
        <v>11208</v>
      </c>
      <c r="K306" s="20" t="str">
        <f ca="1">IFERROR(__xludf.DUMMYFUNCTION("""COMPUTED_VALUE"""),"9:30am-4:30pm")</f>
        <v>9:30am-4:30pm</v>
      </c>
    </row>
    <row r="307" spans="1:11" ht="12.75">
      <c r="A307" s="20" t="str">
        <f ca="1">IFERROR(__xludf.DUMMYFUNCTION("""COMPUTED_VALUE"""),"Mt. Sinai")</f>
        <v>Mt. Sinai</v>
      </c>
      <c r="B307" s="20" t="str">
        <f ca="1">IFERROR(__xludf.DUMMYFUNCTION("""COMPUTED_VALUE"""),"Saliva PCR")</f>
        <v>Saliva PCR</v>
      </c>
      <c r="C307" s="20" t="str">
        <f ca="1">IFERROR(__xludf.DUMMYFUNCTION("""COMPUTED_VALUE"""),"4+")</f>
        <v>4+</v>
      </c>
      <c r="D307" s="22">
        <f ca="1">IFERROR(__xludf.DUMMYFUNCTION("""COMPUTED_VALUE"""),44576)</f>
        <v>44576</v>
      </c>
      <c r="E307" s="22">
        <f ca="1">IFERROR(__xludf.DUMMYFUNCTION("""COMPUTED_VALUE"""),44576)</f>
        <v>44576</v>
      </c>
      <c r="F307" s="20"/>
      <c r="G307" s="20" t="str">
        <f ca="1">IFERROR(__xludf.DUMMYFUNCTION("""COMPUTED_VALUE"""),"Family Services Network of New York Access Center")</f>
        <v>Family Services Network of New York Access Center</v>
      </c>
      <c r="H307" s="20" t="str">
        <f ca="1">IFERROR(__xludf.DUMMYFUNCTION("""COMPUTED_VALUE"""),"1721 Pitkin Ave, Brooklyn, NY 11212")</f>
        <v>1721 Pitkin Ave, Brooklyn, NY 11212</v>
      </c>
      <c r="I307" s="20" t="str">
        <f ca="1">IFERROR(__xludf.DUMMYFUNCTION("""COMPUTED_VALUE"""),"Brooklyn")</f>
        <v>Brooklyn</v>
      </c>
      <c r="J307" s="24">
        <f ca="1">IFERROR(__xludf.DUMMYFUNCTION("""COMPUTED_VALUE"""),11212)</f>
        <v>11212</v>
      </c>
      <c r="K307" s="20" t="str">
        <f ca="1">IFERROR(__xludf.DUMMYFUNCTION("""COMPUTED_VALUE"""),"11:30am-7:30pm")</f>
        <v>11:30am-7:30pm</v>
      </c>
    </row>
    <row r="308" spans="1:11" ht="12.75">
      <c r="A308" s="20" t="str">
        <f ca="1">IFERROR(__xludf.DUMMYFUNCTION("""COMPUTED_VALUE"""),"Mt. Sinai")</f>
        <v>Mt. Sinai</v>
      </c>
      <c r="B308" s="20" t="str">
        <f ca="1">IFERROR(__xludf.DUMMYFUNCTION("""COMPUTED_VALUE"""),"Saliva PCR")</f>
        <v>Saliva PCR</v>
      </c>
      <c r="C308" s="20" t="str">
        <f ca="1">IFERROR(__xludf.DUMMYFUNCTION("""COMPUTED_VALUE"""),"4+")</f>
        <v>4+</v>
      </c>
      <c r="D308" s="22">
        <f ca="1">IFERROR(__xludf.DUMMYFUNCTION("""COMPUTED_VALUE"""),44576)</f>
        <v>44576</v>
      </c>
      <c r="E308" s="22">
        <f ca="1">IFERROR(__xludf.DUMMYFUNCTION("""COMPUTED_VALUE"""),44576)</f>
        <v>44576</v>
      </c>
      <c r="F308" s="20"/>
      <c r="G308" s="20" t="str">
        <f ca="1">IFERROR(__xludf.DUMMYFUNCTION("""COMPUTED_VALUE"""),"Brooklyn Army Terminal (BAT)")</f>
        <v>Brooklyn Army Terminal (BAT)</v>
      </c>
      <c r="H308" s="20" t="str">
        <f ca="1">IFERROR(__xludf.DUMMYFUNCTION("""COMPUTED_VALUE"""),"140 58th Street, Brooklyn, NY 11220")</f>
        <v>140 58th Street, Brooklyn, NY 11220</v>
      </c>
      <c r="I308" s="20" t="str">
        <f ca="1">IFERROR(__xludf.DUMMYFUNCTION("""COMPUTED_VALUE"""),"Brooklyn")</f>
        <v>Brooklyn</v>
      </c>
      <c r="J308" s="24">
        <f ca="1">IFERROR(__xludf.DUMMYFUNCTION("""COMPUTED_VALUE"""),11220)</f>
        <v>11220</v>
      </c>
      <c r="K308" s="20" t="str">
        <f ca="1">IFERROR(__xludf.DUMMYFUNCTION("""COMPUTED_VALUE"""),"10:00am-5:00pm")</f>
        <v>10:00am-5:00pm</v>
      </c>
    </row>
    <row r="309" spans="1:11" ht="12.75">
      <c r="A309" s="20" t="str">
        <f ca="1">IFERROR(__xludf.DUMMYFUNCTION("""COMPUTED_VALUE"""),"Mt. Sinai")</f>
        <v>Mt. Sinai</v>
      </c>
      <c r="B309" s="20" t="str">
        <f ca="1">IFERROR(__xludf.DUMMYFUNCTION("""COMPUTED_VALUE"""),"Saliva PCR")</f>
        <v>Saliva PCR</v>
      </c>
      <c r="C309" s="20" t="str">
        <f ca="1">IFERROR(__xludf.DUMMYFUNCTION("""COMPUTED_VALUE"""),"4+")</f>
        <v>4+</v>
      </c>
      <c r="D309" s="22">
        <f ca="1">IFERROR(__xludf.DUMMYFUNCTION("""COMPUTED_VALUE"""),44576)</f>
        <v>44576</v>
      </c>
      <c r="E309" s="22">
        <f ca="1">IFERROR(__xludf.DUMMYFUNCTION("""COMPUTED_VALUE"""),44576)</f>
        <v>44576</v>
      </c>
      <c r="F309" s="20"/>
      <c r="G309" s="20" t="str">
        <f ca="1">IFERROR(__xludf.DUMMYFUNCTION("""COMPUTED_VALUE"""),"Amalgamated Warbasse Houses")</f>
        <v>Amalgamated Warbasse Houses</v>
      </c>
      <c r="H309" s="20" t="str">
        <f ca="1">IFERROR(__xludf.DUMMYFUNCTION("""COMPUTED_VALUE"""),"2770 West 5th Street, Brooklyn, NY 11224")</f>
        <v>2770 West 5th Street, Brooklyn, NY 11224</v>
      </c>
      <c r="I309" s="20" t="str">
        <f ca="1">IFERROR(__xludf.DUMMYFUNCTION("""COMPUTED_VALUE"""),"Brooklyn")</f>
        <v>Brooklyn</v>
      </c>
      <c r="J309" s="24">
        <f ca="1">IFERROR(__xludf.DUMMYFUNCTION("""COMPUTED_VALUE"""),11224)</f>
        <v>11224</v>
      </c>
      <c r="K309" s="20" t="str">
        <f ca="1">IFERROR(__xludf.DUMMYFUNCTION("""COMPUTED_VALUE"""),"8:30am-3:30pm")</f>
        <v>8:30am-3:30pm</v>
      </c>
    </row>
    <row r="310" spans="1:11" ht="12.75">
      <c r="A310" s="20" t="str">
        <f ca="1">IFERROR(__xludf.DUMMYFUNCTION("""COMPUTED_VALUE"""),"Mt. Sinai")</f>
        <v>Mt. Sinai</v>
      </c>
      <c r="B310" s="20" t="str">
        <f ca="1">IFERROR(__xludf.DUMMYFUNCTION("""COMPUTED_VALUE"""),"Saliva PCR")</f>
        <v>Saliva PCR</v>
      </c>
      <c r="C310" s="20" t="str">
        <f ca="1">IFERROR(__xludf.DUMMYFUNCTION("""COMPUTED_VALUE"""),"4+")</f>
        <v>4+</v>
      </c>
      <c r="D310" s="22">
        <f ca="1">IFERROR(__xludf.DUMMYFUNCTION("""COMPUTED_VALUE"""),44577)</f>
        <v>44577</v>
      </c>
      <c r="E310" s="22">
        <f ca="1">IFERROR(__xludf.DUMMYFUNCTION("""COMPUTED_VALUE"""),44577)</f>
        <v>44577</v>
      </c>
      <c r="F310" s="20"/>
      <c r="G310" s="20" t="str">
        <f ca="1">IFERROR(__xludf.DUMMYFUNCTION("""COMPUTED_VALUE"""),"Bathgate")</f>
        <v>Bathgate</v>
      </c>
      <c r="H310" s="20" t="str">
        <f ca="1">IFERROR(__xludf.DUMMYFUNCTION("""COMPUTED_VALUE"""),"4006 3rd Ave, Bronx, NY 10457")</f>
        <v>4006 3rd Ave, Bronx, NY 10457</v>
      </c>
      <c r="I310" s="20" t="str">
        <f ca="1">IFERROR(__xludf.DUMMYFUNCTION("""COMPUTED_VALUE"""),"Bronx")</f>
        <v>Bronx</v>
      </c>
      <c r="J310" s="24">
        <f ca="1">IFERROR(__xludf.DUMMYFUNCTION("""COMPUTED_VALUE"""),10457)</f>
        <v>10457</v>
      </c>
      <c r="K310" s="20" t="str">
        <f ca="1">IFERROR(__xludf.DUMMYFUNCTION("""COMPUTED_VALUE"""),"10:00am-5:00pm")</f>
        <v>10:00am-5:00pm</v>
      </c>
    </row>
    <row r="311" spans="1:11" ht="12.75">
      <c r="A311" s="20" t="str">
        <f ca="1">IFERROR(__xludf.DUMMYFUNCTION("""COMPUTED_VALUE"""),"Mt. Sinai")</f>
        <v>Mt. Sinai</v>
      </c>
      <c r="B311" s="20" t="str">
        <f ca="1">IFERROR(__xludf.DUMMYFUNCTION("""COMPUTED_VALUE"""),"Saliva PCR")</f>
        <v>Saliva PCR</v>
      </c>
      <c r="C311" s="20" t="str">
        <f ca="1">IFERROR(__xludf.DUMMYFUNCTION("""COMPUTED_VALUE"""),"4+")</f>
        <v>4+</v>
      </c>
      <c r="D311" s="22">
        <f ca="1">IFERROR(__xludf.DUMMYFUNCTION("""COMPUTED_VALUE"""),44577)</f>
        <v>44577</v>
      </c>
      <c r="E311" s="22">
        <f ca="1">IFERROR(__xludf.DUMMYFUNCTION("""COMPUTED_VALUE"""),44577)</f>
        <v>44577</v>
      </c>
      <c r="F311" s="20"/>
      <c r="G311" s="20" t="str">
        <f ca="1">IFERROR(__xludf.DUMMYFUNCTION("""COMPUTED_VALUE"""),"Museum of Moving Images (MoMI)")</f>
        <v>Museum of Moving Images (MoMI)</v>
      </c>
      <c r="H311" s="20" t="str">
        <f ca="1">IFERROR(__xludf.DUMMYFUNCTION("""COMPUTED_VALUE"""),"36-01 35th Ave, Queens, NY 11106")</f>
        <v>36-01 35th Ave, Queens, NY 11106</v>
      </c>
      <c r="I311" s="20" t="str">
        <f ca="1">IFERROR(__xludf.DUMMYFUNCTION("""COMPUTED_VALUE"""),"Queens")</f>
        <v>Queens</v>
      </c>
      <c r="J311" s="24">
        <f ca="1">IFERROR(__xludf.DUMMYFUNCTION("""COMPUTED_VALUE"""),11106)</f>
        <v>11106</v>
      </c>
      <c r="K311" s="20" t="str">
        <f ca="1">IFERROR(__xludf.DUMMYFUNCTION("""COMPUTED_VALUE"""),"8:30am-3:30pm")</f>
        <v>8:30am-3:30pm</v>
      </c>
    </row>
    <row r="312" spans="1:11" ht="12.75">
      <c r="A312" s="20" t="str">
        <f ca="1">IFERROR(__xludf.DUMMYFUNCTION("""COMPUTED_VALUE"""),"Mt. Sinai")</f>
        <v>Mt. Sinai</v>
      </c>
      <c r="B312" s="20" t="str">
        <f ca="1">IFERROR(__xludf.DUMMYFUNCTION("""COMPUTED_VALUE"""),"Saliva PCR")</f>
        <v>Saliva PCR</v>
      </c>
      <c r="C312" s="20" t="str">
        <f ca="1">IFERROR(__xludf.DUMMYFUNCTION("""COMPUTED_VALUE"""),"4+")</f>
        <v>4+</v>
      </c>
      <c r="D312" s="22">
        <f ca="1">IFERROR(__xludf.DUMMYFUNCTION("""COMPUTED_VALUE"""),44577)</f>
        <v>44577</v>
      </c>
      <c r="E312" s="22">
        <f ca="1">IFERROR(__xludf.DUMMYFUNCTION("""COMPUTED_VALUE"""),44577)</f>
        <v>44577</v>
      </c>
      <c r="F312" s="20"/>
      <c r="G312" s="20" t="str">
        <f ca="1">IFERROR(__xludf.DUMMYFUNCTION("""COMPUTED_VALUE"""),"Clarendon Road Church")</f>
        <v>Clarendon Road Church</v>
      </c>
      <c r="H312" s="20" t="str">
        <f ca="1">IFERROR(__xludf.DUMMYFUNCTION("""COMPUTED_VALUE"""),"3304 Clarendon Road , Brooklyn, NY 11203")</f>
        <v>3304 Clarendon Road , Brooklyn, NY 11203</v>
      </c>
      <c r="I312" s="20" t="str">
        <f ca="1">IFERROR(__xludf.DUMMYFUNCTION("""COMPUTED_VALUE"""),"Brooklyn")</f>
        <v>Brooklyn</v>
      </c>
      <c r="J312" s="24">
        <f ca="1">IFERROR(__xludf.DUMMYFUNCTION("""COMPUTED_VALUE"""),11203)</f>
        <v>11203</v>
      </c>
      <c r="K312" s="20" t="str">
        <f ca="1">IFERROR(__xludf.DUMMYFUNCTION("""COMPUTED_VALUE"""),"8:30am-3:30pm")</f>
        <v>8:30am-3:30pm</v>
      </c>
    </row>
    <row r="313" spans="1:11" ht="12.75">
      <c r="A313" s="20" t="str">
        <f ca="1">IFERROR(__xludf.DUMMYFUNCTION("""COMPUTED_VALUE"""),"Mt. Sinai")</f>
        <v>Mt. Sinai</v>
      </c>
      <c r="B313" s="20" t="str">
        <f ca="1">IFERROR(__xludf.DUMMYFUNCTION("""COMPUTED_VALUE"""),"Saliva PCR")</f>
        <v>Saliva PCR</v>
      </c>
      <c r="C313" s="20" t="str">
        <f ca="1">IFERROR(__xludf.DUMMYFUNCTION("""COMPUTED_VALUE"""),"4+")</f>
        <v>4+</v>
      </c>
      <c r="D313" s="22">
        <f ca="1">IFERROR(__xludf.DUMMYFUNCTION("""COMPUTED_VALUE"""),44577)</f>
        <v>44577</v>
      </c>
      <c r="E313" s="22">
        <f ca="1">IFERROR(__xludf.DUMMYFUNCTION("""COMPUTED_VALUE"""),44577)</f>
        <v>44577</v>
      </c>
      <c r="F313" s="20"/>
      <c r="G313" s="20" t="str">
        <f ca="1">IFERROR(__xludf.DUMMYFUNCTION("""COMPUTED_VALUE"""),"Brooklyn Navy Yard")</f>
        <v>Brooklyn Navy Yard</v>
      </c>
      <c r="H313" s="20" t="str">
        <f ca="1">IFERROR(__xludf.DUMMYFUNCTION("""COMPUTED_VALUE"""),"63 Flushing Ave, building 92, Brooklyn, NY 11205")</f>
        <v>63 Flushing Ave, building 92, Brooklyn, NY 11205</v>
      </c>
      <c r="I313" s="20" t="str">
        <f ca="1">IFERROR(__xludf.DUMMYFUNCTION("""COMPUTED_VALUE"""),"Brooklyn")</f>
        <v>Brooklyn</v>
      </c>
      <c r="J313" s="24">
        <f ca="1">IFERROR(__xludf.DUMMYFUNCTION("""COMPUTED_VALUE"""),11205)</f>
        <v>11205</v>
      </c>
      <c r="K313" s="20" t="str">
        <f ca="1">IFERROR(__xludf.DUMMYFUNCTION("""COMPUTED_VALUE"""),"8:30am-4:30pm")</f>
        <v>8:30am-4:30pm</v>
      </c>
    </row>
    <row r="314" spans="1:11" ht="12.75">
      <c r="A314" s="20" t="str">
        <f ca="1">IFERROR(__xludf.DUMMYFUNCTION("""COMPUTED_VALUE"""),"Mt. Sinai")</f>
        <v>Mt. Sinai</v>
      </c>
      <c r="B314" s="20" t="str">
        <f ca="1">IFERROR(__xludf.DUMMYFUNCTION("""COMPUTED_VALUE"""),"Saliva PCR")</f>
        <v>Saliva PCR</v>
      </c>
      <c r="C314" s="20" t="str">
        <f ca="1">IFERROR(__xludf.DUMMYFUNCTION("""COMPUTED_VALUE"""),"4+")</f>
        <v>4+</v>
      </c>
      <c r="D314" s="22">
        <f ca="1">IFERROR(__xludf.DUMMYFUNCTION("""COMPUTED_VALUE"""),44577)</f>
        <v>44577</v>
      </c>
      <c r="E314" s="22">
        <f ca="1">IFERROR(__xludf.DUMMYFUNCTION("""COMPUTED_VALUE"""),44577)</f>
        <v>44577</v>
      </c>
      <c r="F314" s="20"/>
      <c r="G314" s="20" t="str">
        <f ca="1">IFERROR(__xludf.DUMMYFUNCTION("""COMPUTED_VALUE"""),"Family Services Network of New York Access Center")</f>
        <v>Family Services Network of New York Access Center</v>
      </c>
      <c r="H314" s="20" t="str">
        <f ca="1">IFERROR(__xludf.DUMMYFUNCTION("""COMPUTED_VALUE"""),"1721 Pitkin Ave, Brooklyn, NY 11212")</f>
        <v>1721 Pitkin Ave, Brooklyn, NY 11212</v>
      </c>
      <c r="I314" s="20" t="str">
        <f ca="1">IFERROR(__xludf.DUMMYFUNCTION("""COMPUTED_VALUE"""),"Brooklyn")</f>
        <v>Brooklyn</v>
      </c>
      <c r="J314" s="24">
        <f ca="1">IFERROR(__xludf.DUMMYFUNCTION("""COMPUTED_VALUE"""),11212)</f>
        <v>11212</v>
      </c>
      <c r="K314" s="20" t="str">
        <f ca="1">IFERROR(__xludf.DUMMYFUNCTION("""COMPUTED_VALUE"""),"8:00am-4:00pm")</f>
        <v>8:00am-4:00pm</v>
      </c>
    </row>
    <row r="315" spans="1:11" ht="12.75">
      <c r="A315" s="20" t="str">
        <f ca="1">IFERROR(__xludf.DUMMYFUNCTION("""COMPUTED_VALUE"""),"Mt. Sinai")</f>
        <v>Mt. Sinai</v>
      </c>
      <c r="B315" s="20" t="str">
        <f ca="1">IFERROR(__xludf.DUMMYFUNCTION("""COMPUTED_VALUE"""),"Saliva PCR")</f>
        <v>Saliva PCR</v>
      </c>
      <c r="C315" s="20" t="str">
        <f ca="1">IFERROR(__xludf.DUMMYFUNCTION("""COMPUTED_VALUE"""),"4+")</f>
        <v>4+</v>
      </c>
      <c r="D315" s="22">
        <f ca="1">IFERROR(__xludf.DUMMYFUNCTION("""COMPUTED_VALUE"""),44577)</f>
        <v>44577</v>
      </c>
      <c r="E315" s="22">
        <f ca="1">IFERROR(__xludf.DUMMYFUNCTION("""COMPUTED_VALUE"""),44577)</f>
        <v>44577</v>
      </c>
      <c r="F315" s="20"/>
      <c r="G315" s="20" t="str">
        <f ca="1">IFERROR(__xludf.DUMMYFUNCTION("""COMPUTED_VALUE"""),"Brooklyn Army Terminal (BAT)")</f>
        <v>Brooklyn Army Terminal (BAT)</v>
      </c>
      <c r="H315" s="20" t="str">
        <f ca="1">IFERROR(__xludf.DUMMYFUNCTION("""COMPUTED_VALUE"""),"140 58th Street, Brooklyn, NY 11220")</f>
        <v>140 58th Street, Brooklyn, NY 11220</v>
      </c>
      <c r="I315" s="20" t="str">
        <f ca="1">IFERROR(__xludf.DUMMYFUNCTION("""COMPUTED_VALUE"""),"Brooklyn")</f>
        <v>Brooklyn</v>
      </c>
      <c r="J315" s="24">
        <f ca="1">IFERROR(__xludf.DUMMYFUNCTION("""COMPUTED_VALUE"""),11220)</f>
        <v>11220</v>
      </c>
      <c r="K315" s="20" t="str">
        <f ca="1">IFERROR(__xludf.DUMMYFUNCTION("""COMPUTED_VALUE"""),"10:00am-5:00pm")</f>
        <v>10:00am-5:00pm</v>
      </c>
    </row>
    <row r="316" spans="1:11" ht="12.75">
      <c r="A316" s="20" t="str">
        <f ca="1">IFERROR(__xludf.DUMMYFUNCTION("""COMPUTED_VALUE"""),"Mt. Sinai")</f>
        <v>Mt. Sinai</v>
      </c>
      <c r="B316" s="20" t="str">
        <f ca="1">IFERROR(__xludf.DUMMYFUNCTION("""COMPUTED_VALUE"""),"Saliva PCR")</f>
        <v>Saliva PCR</v>
      </c>
      <c r="C316" s="20" t="str">
        <f ca="1">IFERROR(__xludf.DUMMYFUNCTION("""COMPUTED_VALUE"""),"4+")</f>
        <v>4+</v>
      </c>
      <c r="D316" s="22">
        <f ca="1">IFERROR(__xludf.DUMMYFUNCTION("""COMPUTED_VALUE"""),44577)</f>
        <v>44577</v>
      </c>
      <c r="E316" s="22">
        <f ca="1">IFERROR(__xludf.DUMMYFUNCTION("""COMPUTED_VALUE"""),44577)</f>
        <v>44577</v>
      </c>
      <c r="F316" s="20"/>
      <c r="G316" s="20" t="str">
        <f ca="1">IFERROR(__xludf.DUMMYFUNCTION("""COMPUTED_VALUE"""),"Antioch Baptist Church")</f>
        <v>Antioch Baptist Church</v>
      </c>
      <c r="H316" s="20" t="str">
        <f ca="1">IFERROR(__xludf.DUMMYFUNCTION("""COMPUTED_VALUE"""),"826 Greene Ave, Brooklyn , NY 11221")</f>
        <v>826 Greene Ave, Brooklyn , NY 11221</v>
      </c>
      <c r="I316" s="20" t="str">
        <f ca="1">IFERROR(__xludf.DUMMYFUNCTION("""COMPUTED_VALUE"""),"Brooklyn ")</f>
        <v xml:space="preserve">Brooklyn </v>
      </c>
      <c r="J316" s="24">
        <f ca="1">IFERROR(__xludf.DUMMYFUNCTION("""COMPUTED_VALUE"""),11221)</f>
        <v>11221</v>
      </c>
      <c r="K316" s="20" t="str">
        <f ca="1">IFERROR(__xludf.DUMMYFUNCTION("""COMPUTED_VALUE"""),"10:30am-5:30pm")</f>
        <v>10:30am-5:30pm</v>
      </c>
    </row>
    <row r="317" spans="1:11" ht="12.75">
      <c r="A317" s="20" t="str">
        <f ca="1">IFERROR(__xludf.DUMMYFUNCTION("""COMPUTED_VALUE"""),"Mt. Sinai")</f>
        <v>Mt. Sinai</v>
      </c>
      <c r="B317" s="20" t="str">
        <f ca="1">IFERROR(__xludf.DUMMYFUNCTION("""COMPUTED_VALUE"""),"Saliva PCR")</f>
        <v>Saliva PCR</v>
      </c>
      <c r="C317" s="20" t="str">
        <f ca="1">IFERROR(__xludf.DUMMYFUNCTION("""COMPUTED_VALUE"""),"4+")</f>
        <v>4+</v>
      </c>
      <c r="D317" s="22">
        <f ca="1">IFERROR(__xludf.DUMMYFUNCTION("""COMPUTED_VALUE"""),44577)</f>
        <v>44577</v>
      </c>
      <c r="E317" s="22">
        <f ca="1">IFERROR(__xludf.DUMMYFUNCTION("""COMPUTED_VALUE"""),44577)</f>
        <v>44577</v>
      </c>
      <c r="F317" s="20"/>
      <c r="G317" s="20" t="str">
        <f ca="1">IFERROR(__xludf.DUMMYFUNCTION("""COMPUTED_VALUE"""),"Amalgamated Warbasse Houses")</f>
        <v>Amalgamated Warbasse Houses</v>
      </c>
      <c r="H317" s="20" t="str">
        <f ca="1">IFERROR(__xludf.DUMMYFUNCTION("""COMPUTED_VALUE"""),"2770 West 5th Street, Brooklyn, NY 11224")</f>
        <v>2770 West 5th Street, Brooklyn, NY 11224</v>
      </c>
      <c r="I317" s="20" t="str">
        <f ca="1">IFERROR(__xludf.DUMMYFUNCTION("""COMPUTED_VALUE"""),"Brooklyn")</f>
        <v>Brooklyn</v>
      </c>
      <c r="J317" s="24">
        <f ca="1">IFERROR(__xludf.DUMMYFUNCTION("""COMPUTED_VALUE"""),11224)</f>
        <v>11224</v>
      </c>
      <c r="K317" s="20" t="str">
        <f ca="1">IFERROR(__xludf.DUMMYFUNCTION("""COMPUTED_VALUE"""),"9:30am-4:30pm")</f>
        <v>9:30am-4:30pm</v>
      </c>
    </row>
    <row r="318" spans="1:11" ht="12.75">
      <c r="A318" s="20" t="str">
        <f ca="1">IFERROR(__xludf.DUMMYFUNCTION("""COMPUTED_VALUE"""),"Mt. Sinai")</f>
        <v>Mt. Sinai</v>
      </c>
      <c r="B318" s="20" t="str">
        <f ca="1">IFERROR(__xludf.DUMMYFUNCTION("""COMPUTED_VALUE"""),"Saliva PCR")</f>
        <v>Saliva PCR</v>
      </c>
      <c r="C318" s="20" t="str">
        <f ca="1">IFERROR(__xludf.DUMMYFUNCTION("""COMPUTED_VALUE"""),"4+")</f>
        <v>4+</v>
      </c>
      <c r="D318" s="22">
        <f ca="1">IFERROR(__xludf.DUMMYFUNCTION("""COMPUTED_VALUE"""),44577)</f>
        <v>44577</v>
      </c>
      <c r="E318" s="22">
        <f ca="1">IFERROR(__xludf.DUMMYFUNCTION("""COMPUTED_VALUE"""),44577)</f>
        <v>44577</v>
      </c>
      <c r="F318" s="20"/>
      <c r="G318" s="20" t="str">
        <f ca="1">IFERROR(__xludf.DUMMYFUNCTION("""COMPUTED_VALUE"""),"St Paul Chong Hasang R.C. Church")</f>
        <v>St Paul Chong Hasang R.C. Church</v>
      </c>
      <c r="H318" s="20" t="str">
        <f ca="1">IFERROR(__xludf.DUMMYFUNCTION("""COMPUTED_VALUE"""),"32-15 Parsons Blvd, Flushing, NY 11354")</f>
        <v>32-15 Parsons Blvd, Flushing, NY 11354</v>
      </c>
      <c r="I318" s="20" t="str">
        <f ca="1">IFERROR(__xludf.DUMMYFUNCTION("""COMPUTED_VALUE"""),"Flushing")</f>
        <v>Flushing</v>
      </c>
      <c r="J318" s="24">
        <f ca="1">IFERROR(__xludf.DUMMYFUNCTION("""COMPUTED_VALUE"""),11354)</f>
        <v>11354</v>
      </c>
      <c r="K318" s="20" t="str">
        <f ca="1">IFERROR(__xludf.DUMMYFUNCTION("""COMPUTED_VALUE"""),"8:30am-3:30pm")</f>
        <v>8:30am-3:30pm</v>
      </c>
    </row>
    <row r="319" spans="1:11" ht="12.75">
      <c r="A319" s="20" t="str">
        <f ca="1">IFERROR(__xludf.DUMMYFUNCTION("""COMPUTED_VALUE"""),"Mt. Sinai")</f>
        <v>Mt. Sinai</v>
      </c>
      <c r="B319" s="20" t="str">
        <f ca="1">IFERROR(__xludf.DUMMYFUNCTION("""COMPUTED_VALUE"""),"Saliva PCR")</f>
        <v>Saliva PCR</v>
      </c>
      <c r="C319" s="20" t="str">
        <f ca="1">IFERROR(__xludf.DUMMYFUNCTION("""COMPUTED_VALUE"""),"4+")</f>
        <v>4+</v>
      </c>
      <c r="D319" s="22">
        <f ca="1">IFERROR(__xludf.DUMMYFUNCTION("""COMPUTED_VALUE"""),44577)</f>
        <v>44577</v>
      </c>
      <c r="E319" s="22">
        <f ca="1">IFERROR(__xludf.DUMMYFUNCTION("""COMPUTED_VALUE"""),44577)</f>
        <v>44577</v>
      </c>
      <c r="F319" s="20"/>
      <c r="G319" s="20" t="str">
        <f ca="1">IFERROR(__xludf.DUMMYFUNCTION("""COMPUTED_VALUE"""),"Queens Museum")</f>
        <v>Queens Museum</v>
      </c>
      <c r="H319" s="20" t="str">
        <f ca="1">IFERROR(__xludf.DUMMYFUNCTION("""COMPUTED_VALUE"""),"New York City Building, Queens, NY 11368")</f>
        <v>New York City Building, Queens, NY 11368</v>
      </c>
      <c r="I319" s="20" t="str">
        <f ca="1">IFERROR(__xludf.DUMMYFUNCTION("""COMPUTED_VALUE"""),"Queens")</f>
        <v>Queens</v>
      </c>
      <c r="J319" s="24">
        <f ca="1">IFERROR(__xludf.DUMMYFUNCTION("""COMPUTED_VALUE"""),11368)</f>
        <v>11368</v>
      </c>
      <c r="K319" s="20" t="str">
        <f ca="1">IFERROR(__xludf.DUMMYFUNCTION("""COMPUTED_VALUE"""),"9:00am-5:00pm")</f>
        <v>9:00am-5:00pm</v>
      </c>
    </row>
    <row r="320" spans="1:11" ht="12.75">
      <c r="A320" s="20" t="str">
        <f ca="1">IFERROR(__xludf.DUMMYFUNCTION("""COMPUTED_VALUE"""),"Mt. Sinai")</f>
        <v>Mt. Sinai</v>
      </c>
      <c r="B320" s="20" t="str">
        <f ca="1">IFERROR(__xludf.DUMMYFUNCTION("""COMPUTED_VALUE"""),"Saliva PCR")</f>
        <v>Saliva PCR</v>
      </c>
      <c r="C320" s="20" t="str">
        <f ca="1">IFERROR(__xludf.DUMMYFUNCTION("""COMPUTED_VALUE"""),"4+")</f>
        <v>4+</v>
      </c>
      <c r="D320" s="22">
        <f ca="1">IFERROR(__xludf.DUMMYFUNCTION("""COMPUTED_VALUE"""),44577)</f>
        <v>44577</v>
      </c>
      <c r="E320" s="22">
        <f ca="1">IFERROR(__xludf.DUMMYFUNCTION("""COMPUTED_VALUE"""),44577)</f>
        <v>44577</v>
      </c>
      <c r="F320" s="20"/>
      <c r="G320" s="20" t="str">
        <f ca="1">IFERROR(__xludf.DUMMYFUNCTION("""COMPUTED_VALUE"""),"Mt. Moriah AME Church (Linden Blvd Business Corridor)")</f>
        <v>Mt. Moriah AME Church (Linden Blvd Business Corridor)</v>
      </c>
      <c r="H320" s="20" t="str">
        <f ca="1">IFERROR(__xludf.DUMMYFUNCTION("""COMPUTED_VALUE"""),"116-20 Francis Lewis Blvd, Queens, NY 11411")</f>
        <v>116-20 Francis Lewis Blvd, Queens, NY 11411</v>
      </c>
      <c r="I320" s="20" t="str">
        <f ca="1">IFERROR(__xludf.DUMMYFUNCTION("""COMPUTED_VALUE"""),"Queens")</f>
        <v>Queens</v>
      </c>
      <c r="J320" s="24">
        <f ca="1">IFERROR(__xludf.DUMMYFUNCTION("""COMPUTED_VALUE"""),11411)</f>
        <v>11411</v>
      </c>
      <c r="K320" s="20" t="str">
        <f ca="1">IFERROR(__xludf.DUMMYFUNCTION("""COMPUTED_VALUE"""),"11:00am-5:30pm")</f>
        <v>11:00am-5:30pm</v>
      </c>
    </row>
    <row r="321" spans="1:11" ht="12.75">
      <c r="A321" s="20" t="str">
        <f ca="1">IFERROR(__xludf.DUMMYFUNCTION("""COMPUTED_VALUE"""),"Mt. Sinai")</f>
        <v>Mt. Sinai</v>
      </c>
      <c r="B321" s="20" t="str">
        <f ca="1">IFERROR(__xludf.DUMMYFUNCTION("""COMPUTED_VALUE"""),"Saliva PCR")</f>
        <v>Saliva PCR</v>
      </c>
      <c r="C321" s="20" t="str">
        <f ca="1">IFERROR(__xludf.DUMMYFUNCTION("""COMPUTED_VALUE"""),"4+")</f>
        <v>4+</v>
      </c>
      <c r="D321" s="22">
        <f ca="1">IFERROR(__xludf.DUMMYFUNCTION("""COMPUTED_VALUE"""),44577)</f>
        <v>44577</v>
      </c>
      <c r="E321" s="22">
        <f ca="1">IFERROR(__xludf.DUMMYFUNCTION("""COMPUTED_VALUE"""),44577)</f>
        <v>44577</v>
      </c>
      <c r="F321" s="20"/>
      <c r="G321" s="20" t="str">
        <f ca="1">IFERROR(__xludf.DUMMYFUNCTION("""COMPUTED_VALUE"""),"Greater Allen Cathedral of NY")</f>
        <v>Greater Allen Cathedral of NY</v>
      </c>
      <c r="H321" s="20" t="str">
        <f ca="1">IFERROR(__xludf.DUMMYFUNCTION("""COMPUTED_VALUE"""),"110-31 Merrick Blvd, Queens, NY 11433")</f>
        <v>110-31 Merrick Blvd, Queens, NY 11433</v>
      </c>
      <c r="I321" s="20" t="str">
        <f ca="1">IFERROR(__xludf.DUMMYFUNCTION("""COMPUTED_VALUE"""),"Queens")</f>
        <v>Queens</v>
      </c>
      <c r="J321" s="24">
        <f ca="1">IFERROR(__xludf.DUMMYFUNCTION("""COMPUTED_VALUE"""),11433)</f>
        <v>11433</v>
      </c>
      <c r="K321" s="20" t="str">
        <f ca="1">IFERROR(__xludf.DUMMYFUNCTION("""COMPUTED_VALUE"""),"8:00am-4:00pm")</f>
        <v>8:00am-4:00pm</v>
      </c>
    </row>
    <row r="322" spans="1:11" ht="12.75">
      <c r="A322" s="20" t="str">
        <f ca="1">IFERROR(__xludf.DUMMYFUNCTION("""COMPUTED_VALUE"""),"CTS")</f>
        <v>CTS</v>
      </c>
      <c r="B322" s="20" t="str">
        <f ca="1">IFERROR(__xludf.DUMMYFUNCTION("""COMPUTED_VALUE"""),"PCR + Rapid Antigen + Flu")</f>
        <v>PCR + Rapid Antigen + Flu</v>
      </c>
      <c r="C322" s="20" t="str">
        <f ca="1">IFERROR(__xludf.DUMMYFUNCTION("""COMPUTED_VALUE"""),"4+")</f>
        <v>4+</v>
      </c>
      <c r="D322" s="22">
        <f ca="1">IFERROR(__xludf.DUMMYFUNCTION("""COMPUTED_VALUE"""),44571)</f>
        <v>44571</v>
      </c>
      <c r="E322" s="22">
        <f ca="1">IFERROR(__xludf.DUMMYFUNCTION("""COMPUTED_VALUE"""),44577)</f>
        <v>44577</v>
      </c>
      <c r="F322" s="20" t="str">
        <f ca="1">IFERROR(__xludf.DUMMYFUNCTION("""COMPUTED_VALUE"""),"closed 1/15 and 1/16")</f>
        <v>closed 1/15 and 1/16</v>
      </c>
      <c r="G322" s="20" t="str">
        <f ca="1">IFERROR(__xludf.DUMMYFUNCTION("""COMPUTED_VALUE"""),"216 East 14th Street")</f>
        <v>216 East 14th Street</v>
      </c>
      <c r="H322" s="20" t="str">
        <f ca="1">IFERROR(__xludf.DUMMYFUNCTION("""COMPUTED_VALUE"""),"216 East 14th Street")</f>
        <v>216 East 14th Street</v>
      </c>
      <c r="I322" s="20" t="str">
        <f ca="1">IFERROR(__xludf.DUMMYFUNCTION("""COMPUTED_VALUE"""),"Manhattan")</f>
        <v>Manhattan</v>
      </c>
      <c r="J322" s="24">
        <f ca="1">IFERROR(__xludf.DUMMYFUNCTION("""COMPUTED_VALUE"""),10003)</f>
        <v>10003</v>
      </c>
      <c r="K322" s="20" t="str">
        <f ca="1">IFERROR(__xludf.DUMMYFUNCTION("""COMPUTED_VALUE"""),"9am-6pm/fri 8am-3pm")</f>
        <v>9am-6pm/fri 8am-3pm</v>
      </c>
    </row>
    <row r="323" spans="1:11" ht="12.75">
      <c r="A323" s="20" t="str">
        <f ca="1">IFERROR(__xludf.DUMMYFUNCTION("""COMPUTED_VALUE"""),"CTS")</f>
        <v>CTS</v>
      </c>
      <c r="B323" s="20" t="str">
        <f ca="1">IFERROR(__xludf.DUMMYFUNCTION("""COMPUTED_VALUE"""),"PCR + Rapid Antigen + Flu")</f>
        <v>PCR + Rapid Antigen + Flu</v>
      </c>
      <c r="C323" s="20" t="str">
        <f ca="1">IFERROR(__xludf.DUMMYFUNCTION("""COMPUTED_VALUE"""),"4+")</f>
        <v>4+</v>
      </c>
      <c r="D323" s="22">
        <f ca="1">IFERROR(__xludf.DUMMYFUNCTION("""COMPUTED_VALUE"""),44571)</f>
        <v>44571</v>
      </c>
      <c r="E323" s="22">
        <f ca="1">IFERROR(__xludf.DUMMYFUNCTION("""COMPUTED_VALUE"""),44577)</f>
        <v>44577</v>
      </c>
      <c r="F323" s="20" t="str">
        <f ca="1">IFERROR(__xludf.DUMMYFUNCTION("""COMPUTED_VALUE"""),"closed 1/15 and 1/16")</f>
        <v>closed 1/15 and 1/16</v>
      </c>
      <c r="G323" s="20" t="str">
        <f ca="1">IFERROR(__xludf.DUMMYFUNCTION("""COMPUTED_VALUE"""),"68 East 161st Street")</f>
        <v>68 East 161st Street</v>
      </c>
      <c r="H323" s="20" t="str">
        <f ca="1">IFERROR(__xludf.DUMMYFUNCTION("""COMPUTED_VALUE"""),"68 East 161st Street")</f>
        <v>68 East 161st Street</v>
      </c>
      <c r="I323" s="20" t="str">
        <f ca="1">IFERROR(__xludf.DUMMYFUNCTION("""COMPUTED_VALUE"""),"Bronx")</f>
        <v>Bronx</v>
      </c>
      <c r="J323" s="24">
        <f ca="1">IFERROR(__xludf.DUMMYFUNCTION("""COMPUTED_VALUE"""),10451)</f>
        <v>10451</v>
      </c>
      <c r="K323" s="20" t="str">
        <f ca="1">IFERROR(__xludf.DUMMYFUNCTION("""COMPUTED_VALUE"""),"9am-6pm/fri 8am-3pm")</f>
        <v>9am-6pm/fri 8am-3pm</v>
      </c>
    </row>
    <row r="324" spans="1:11" ht="12.75">
      <c r="A324" s="20" t="str">
        <f ca="1">IFERROR(__xludf.DUMMYFUNCTION("""COMPUTED_VALUE"""),"CTS")</f>
        <v>CTS</v>
      </c>
      <c r="B324" s="20" t="str">
        <f ca="1">IFERROR(__xludf.DUMMYFUNCTION("""COMPUTED_VALUE"""),"PCR + Rapid Antigen + Flu")</f>
        <v>PCR + Rapid Antigen + Flu</v>
      </c>
      <c r="C324" s="20" t="str">
        <f ca="1">IFERROR(__xludf.DUMMYFUNCTION("""COMPUTED_VALUE"""),"4+")</f>
        <v>4+</v>
      </c>
      <c r="D324" s="22">
        <f ca="1">IFERROR(__xludf.DUMMYFUNCTION("""COMPUTED_VALUE"""),44571)</f>
        <v>44571</v>
      </c>
      <c r="E324" s="22">
        <f ca="1">IFERROR(__xludf.DUMMYFUNCTION("""COMPUTED_VALUE"""),44577)</f>
        <v>44577</v>
      </c>
      <c r="F324" s="20" t="str">
        <f ca="1">IFERROR(__xludf.DUMMYFUNCTION("""COMPUTED_VALUE"""),"closed 1/15 and 1/16")</f>
        <v>closed 1/15 and 1/16</v>
      </c>
      <c r="G324" s="20" t="str">
        <f ca="1">IFERROR(__xludf.DUMMYFUNCTION("""COMPUTED_VALUE"""),"890 Flatbush Ave")</f>
        <v>890 Flatbush Ave</v>
      </c>
      <c r="H324" s="20" t="str">
        <f ca="1">IFERROR(__xludf.DUMMYFUNCTION("""COMPUTED_VALUE"""),"890 Flatbush Ave")</f>
        <v>890 Flatbush Ave</v>
      </c>
      <c r="I324" s="20" t="str">
        <f ca="1">IFERROR(__xludf.DUMMYFUNCTION("""COMPUTED_VALUE"""),"Brooklyn")</f>
        <v>Brooklyn</v>
      </c>
      <c r="J324" s="24">
        <f ca="1">IFERROR(__xludf.DUMMYFUNCTION("""COMPUTED_VALUE"""),11226)</f>
        <v>11226</v>
      </c>
      <c r="K324" s="20" t="str">
        <f ca="1">IFERROR(__xludf.DUMMYFUNCTION("""COMPUTED_VALUE"""),"9am-6pm/fri 8am-3pm")</f>
        <v>9am-6pm/fri 8am-3pm</v>
      </c>
    </row>
    <row r="325" spans="1:11" ht="12.75">
      <c r="A325" s="20" t="str">
        <f ca="1">IFERROR(__xludf.DUMMYFUNCTION("""COMPUTED_VALUE"""),"CTS")</f>
        <v>CTS</v>
      </c>
      <c r="B325" s="20" t="str">
        <f ca="1">IFERROR(__xludf.DUMMYFUNCTION("""COMPUTED_VALUE"""),"PCR + Rapid Antigen + Flu")</f>
        <v>PCR + Rapid Antigen + Flu</v>
      </c>
      <c r="C325" s="20" t="str">
        <f ca="1">IFERROR(__xludf.DUMMYFUNCTION("""COMPUTED_VALUE"""),"4+")</f>
        <v>4+</v>
      </c>
      <c r="D325" s="22">
        <f ca="1">IFERROR(__xludf.DUMMYFUNCTION("""COMPUTED_VALUE"""),44571)</f>
        <v>44571</v>
      </c>
      <c r="E325" s="22">
        <f ca="1">IFERROR(__xludf.DUMMYFUNCTION("""COMPUTED_VALUE"""),44577)</f>
        <v>44577</v>
      </c>
      <c r="F325" s="20" t="str">
        <f ca="1">IFERROR(__xludf.DUMMYFUNCTION("""COMPUTED_VALUE"""),"closed 1/15 and 1/16")</f>
        <v>closed 1/15 and 1/16</v>
      </c>
      <c r="G325" s="20" t="str">
        <f ca="1">IFERROR(__xludf.DUMMYFUNCTION("""COMPUTED_VALUE"""),"80 West 125th Street")</f>
        <v>80 West 125th Street</v>
      </c>
      <c r="H325" s="20" t="str">
        <f ca="1">IFERROR(__xludf.DUMMYFUNCTION("""COMPUTED_VALUE"""),"80 West 125th Street")</f>
        <v>80 West 125th Street</v>
      </c>
      <c r="I325" s="20" t="str">
        <f ca="1">IFERROR(__xludf.DUMMYFUNCTION("""COMPUTED_VALUE"""),"Manhattan")</f>
        <v>Manhattan</v>
      </c>
      <c r="J325" s="24">
        <f ca="1">IFERROR(__xludf.DUMMYFUNCTION("""COMPUTED_VALUE"""),10027)</f>
        <v>10027</v>
      </c>
      <c r="K325" s="20" t="str">
        <f ca="1">IFERROR(__xludf.DUMMYFUNCTION("""COMPUTED_VALUE"""),"9am-6pm/fri 8am-3pm")</f>
        <v>9am-6pm/fri 8am-3pm</v>
      </c>
    </row>
    <row r="326" spans="1:11" ht="12.75">
      <c r="A326" s="20" t="str">
        <f ca="1">IFERROR(__xludf.DUMMYFUNCTION("""COMPUTED_VALUE"""),"CTS")</f>
        <v>CTS</v>
      </c>
      <c r="B326" s="20" t="str">
        <f ca="1">IFERROR(__xludf.DUMMYFUNCTION("""COMPUTED_VALUE"""),"PCR + Rapid Antigen + Flu")</f>
        <v>PCR + Rapid Antigen + Flu</v>
      </c>
      <c r="C326" s="20" t="str">
        <f ca="1">IFERROR(__xludf.DUMMYFUNCTION("""COMPUTED_VALUE"""),"4+")</f>
        <v>4+</v>
      </c>
      <c r="D326" s="22">
        <f ca="1">IFERROR(__xludf.DUMMYFUNCTION("""COMPUTED_VALUE"""),44571)</f>
        <v>44571</v>
      </c>
      <c r="E326" s="22">
        <f ca="1">IFERROR(__xludf.DUMMYFUNCTION("""COMPUTED_VALUE"""),44577)</f>
        <v>44577</v>
      </c>
      <c r="F326" s="20" t="str">
        <f ca="1">IFERROR(__xludf.DUMMYFUNCTION("""COMPUTED_VALUE"""),"closed 1/15 and 1/16")</f>
        <v>closed 1/15 and 1/16</v>
      </c>
      <c r="G326" s="20" t="str">
        <f ca="1">IFERROR(__xludf.DUMMYFUNCTION("""COMPUTED_VALUE"""),"400 East 23rd Street")</f>
        <v>400 East 23rd Street</v>
      </c>
      <c r="H326" s="20" t="str">
        <f ca="1">IFERROR(__xludf.DUMMYFUNCTION("""COMPUTED_VALUE"""),"400 East 23rd Street")</f>
        <v>400 East 23rd Street</v>
      </c>
      <c r="I326" s="20" t="str">
        <f ca="1">IFERROR(__xludf.DUMMYFUNCTION("""COMPUTED_VALUE"""),"Manhattan")</f>
        <v>Manhattan</v>
      </c>
      <c r="J326" s="24">
        <f ca="1">IFERROR(__xludf.DUMMYFUNCTION("""COMPUTED_VALUE"""),10016)</f>
        <v>10016</v>
      </c>
      <c r="K326" s="20" t="str">
        <f ca="1">IFERROR(__xludf.DUMMYFUNCTION("""COMPUTED_VALUE"""),"9am-6pm/fri 8am-3pm")</f>
        <v>9am-6pm/fri 8am-3pm</v>
      </c>
    </row>
    <row r="327" spans="1:11" ht="12.75">
      <c r="A327" s="20" t="str">
        <f ca="1">IFERROR(__xludf.DUMMYFUNCTION("""COMPUTED_VALUE"""),"CTS")</f>
        <v>CTS</v>
      </c>
      <c r="B327" s="20" t="str">
        <f ca="1">IFERROR(__xludf.DUMMYFUNCTION("""COMPUTED_VALUE"""),"PCR + Rapid Antigen + Flu")</f>
        <v>PCR + Rapid Antigen + Flu</v>
      </c>
      <c r="C327" s="20" t="str">
        <f ca="1">IFERROR(__xludf.DUMMYFUNCTION("""COMPUTED_VALUE"""),"4+")</f>
        <v>4+</v>
      </c>
      <c r="D327" s="22">
        <f ca="1">IFERROR(__xludf.DUMMYFUNCTION("""COMPUTED_VALUE"""),44571)</f>
        <v>44571</v>
      </c>
      <c r="E327" s="22">
        <f ca="1">IFERROR(__xludf.DUMMYFUNCTION("""COMPUTED_VALUE"""),44577)</f>
        <v>44577</v>
      </c>
      <c r="F327" s="20" t="str">
        <f ca="1">IFERROR(__xludf.DUMMYFUNCTION("""COMPUTED_VALUE"""),"closed 1/15 and 1/16")</f>
        <v>closed 1/15 and 1/16</v>
      </c>
      <c r="G327" s="20" t="str">
        <f ca="1">IFERROR(__xludf.DUMMYFUNCTION("""COMPUTED_VALUE"""),"37-26 Junction Blvd")</f>
        <v>37-26 Junction Blvd</v>
      </c>
      <c r="H327" s="20" t="str">
        <f ca="1">IFERROR(__xludf.DUMMYFUNCTION("""COMPUTED_VALUE"""),"37-26 Junction Blvd")</f>
        <v>37-26 Junction Blvd</v>
      </c>
      <c r="I327" s="20" t="str">
        <f ca="1">IFERROR(__xludf.DUMMYFUNCTION("""COMPUTED_VALUE"""),"Queens")</f>
        <v>Queens</v>
      </c>
      <c r="J327" s="24">
        <f ca="1">IFERROR(__xludf.DUMMYFUNCTION("""COMPUTED_VALUE"""),11368)</f>
        <v>11368</v>
      </c>
      <c r="K327" s="20" t="str">
        <f ca="1">IFERROR(__xludf.DUMMYFUNCTION("""COMPUTED_VALUE"""),"9am-6pm/fri 8am-3pm")</f>
        <v>9am-6pm/fri 8am-3pm</v>
      </c>
    </row>
    <row r="328" spans="1:11" ht="12.75">
      <c r="A328" s="20" t="str">
        <f ca="1">IFERROR(__xludf.DUMMYFUNCTION("""COMPUTED_VALUE"""),"CTS")</f>
        <v>CTS</v>
      </c>
      <c r="B328" s="20" t="str">
        <f ca="1">IFERROR(__xludf.DUMMYFUNCTION("""COMPUTED_VALUE"""),"PCR + Rapid Antigen + Flu")</f>
        <v>PCR + Rapid Antigen + Flu</v>
      </c>
      <c r="C328" s="20" t="str">
        <f ca="1">IFERROR(__xludf.DUMMYFUNCTION("""COMPUTED_VALUE"""),"4+")</f>
        <v>4+</v>
      </c>
      <c r="D328" s="22">
        <f ca="1">IFERROR(__xludf.DUMMYFUNCTION("""COMPUTED_VALUE"""),44571)</f>
        <v>44571</v>
      </c>
      <c r="E328" s="22">
        <f ca="1">IFERROR(__xludf.DUMMYFUNCTION("""COMPUTED_VALUE"""),44577)</f>
        <v>44577</v>
      </c>
      <c r="F328" s="20" t="str">
        <f ca="1">IFERROR(__xludf.DUMMYFUNCTION("""COMPUTED_VALUE"""),"closed 1/15 and 1/16")</f>
        <v>closed 1/15 and 1/16</v>
      </c>
      <c r="G328" s="20" t="str">
        <f ca="1">IFERROR(__xludf.DUMMYFUNCTION("""COMPUTED_VALUE"""),"952 2nd Ave")</f>
        <v>952 2nd Ave</v>
      </c>
      <c r="H328" s="20" t="str">
        <f ca="1">IFERROR(__xludf.DUMMYFUNCTION("""COMPUTED_VALUE"""),"952 2nd Ave")</f>
        <v>952 2nd Ave</v>
      </c>
      <c r="I328" s="20" t="str">
        <f ca="1">IFERROR(__xludf.DUMMYFUNCTION("""COMPUTED_VALUE"""),"Manhattan")</f>
        <v>Manhattan</v>
      </c>
      <c r="J328" s="24">
        <f ca="1">IFERROR(__xludf.DUMMYFUNCTION("""COMPUTED_VALUE"""),10022)</f>
        <v>10022</v>
      </c>
      <c r="K328" s="20" t="str">
        <f ca="1">IFERROR(__xludf.DUMMYFUNCTION("""COMPUTED_VALUE"""),"9am-6pm/fri 8am-3pm")</f>
        <v>9am-6pm/fri 8am-3pm</v>
      </c>
    </row>
    <row r="329" spans="1:11" ht="12.75">
      <c r="A329" s="20" t="str">
        <f ca="1">IFERROR(__xludf.DUMMYFUNCTION("""COMPUTED_VALUE"""),"CTS")</f>
        <v>CTS</v>
      </c>
      <c r="B329" s="20" t="str">
        <f ca="1">IFERROR(__xludf.DUMMYFUNCTION("""COMPUTED_VALUE"""),"PCR + Rapid Antigen + Flu")</f>
        <v>PCR + Rapid Antigen + Flu</v>
      </c>
      <c r="C329" s="20" t="str">
        <f ca="1">IFERROR(__xludf.DUMMYFUNCTION("""COMPUTED_VALUE"""),"4+")</f>
        <v>4+</v>
      </c>
      <c r="D329" s="22">
        <f ca="1">IFERROR(__xludf.DUMMYFUNCTION("""COMPUTED_VALUE"""),44571)</f>
        <v>44571</v>
      </c>
      <c r="E329" s="22">
        <f ca="1">IFERROR(__xludf.DUMMYFUNCTION("""COMPUTED_VALUE"""),44577)</f>
        <v>44577</v>
      </c>
      <c r="F329" s="20" t="str">
        <f ca="1">IFERROR(__xludf.DUMMYFUNCTION("""COMPUTED_VALUE"""),"closed 1/15 and 1/16")</f>
        <v>closed 1/15 and 1/16</v>
      </c>
      <c r="G329" s="20" t="str">
        <f ca="1">IFERROR(__xludf.DUMMYFUNCTION("""COMPUTED_VALUE"""),"78-08 Broadway")</f>
        <v>78-08 Broadway</v>
      </c>
      <c r="H329" s="20" t="str">
        <f ca="1">IFERROR(__xludf.DUMMYFUNCTION("""COMPUTED_VALUE"""),"78-08 Broadway")</f>
        <v>78-08 Broadway</v>
      </c>
      <c r="I329" s="20" t="str">
        <f ca="1">IFERROR(__xludf.DUMMYFUNCTION("""COMPUTED_VALUE"""),"Queens")</f>
        <v>Queens</v>
      </c>
      <c r="J329" s="24">
        <f ca="1">IFERROR(__xludf.DUMMYFUNCTION("""COMPUTED_VALUE"""),11373)</f>
        <v>11373</v>
      </c>
      <c r="K329" s="20" t="str">
        <f ca="1">IFERROR(__xludf.DUMMYFUNCTION("""COMPUTED_VALUE"""),"9am-6pm/fri 8am-3pm")</f>
        <v>9am-6pm/fri 8am-3pm</v>
      </c>
    </row>
    <row r="330" spans="1:11" ht="12.75">
      <c r="A330" s="20" t="str">
        <f ca="1">IFERROR(__xludf.DUMMYFUNCTION("""COMPUTED_VALUE"""),"CTS")</f>
        <v>CTS</v>
      </c>
      <c r="B330" s="20" t="str">
        <f ca="1">IFERROR(__xludf.DUMMYFUNCTION("""COMPUTED_VALUE"""),"PCR + Rapid Antigen + Flu")</f>
        <v>PCR + Rapid Antigen + Flu</v>
      </c>
      <c r="C330" s="20" t="str">
        <f ca="1">IFERROR(__xludf.DUMMYFUNCTION("""COMPUTED_VALUE"""),"4+")</f>
        <v>4+</v>
      </c>
      <c r="D330" s="22">
        <f ca="1">IFERROR(__xludf.DUMMYFUNCTION("""COMPUTED_VALUE"""),44571)</f>
        <v>44571</v>
      </c>
      <c r="E330" s="22">
        <f ca="1">IFERROR(__xludf.DUMMYFUNCTION("""COMPUTED_VALUE"""),44577)</f>
        <v>44577</v>
      </c>
      <c r="F330" s="20" t="str">
        <f ca="1">IFERROR(__xludf.DUMMYFUNCTION("""COMPUTED_VALUE"""),"closed 1/15 and 1/16")</f>
        <v>closed 1/15 and 1/16</v>
      </c>
      <c r="G330" s="20" t="str">
        <f ca="1">IFERROR(__xludf.DUMMYFUNCTION("""COMPUTED_VALUE"""),"1412 Broadway")</f>
        <v>1412 Broadway</v>
      </c>
      <c r="H330" s="20" t="str">
        <f ca="1">IFERROR(__xludf.DUMMYFUNCTION("""COMPUTED_VALUE"""),"1412 Broadway")</f>
        <v>1412 Broadway</v>
      </c>
      <c r="I330" s="20" t="str">
        <f ca="1">IFERROR(__xludf.DUMMYFUNCTION("""COMPUTED_VALUE"""),"Manhattan")</f>
        <v>Manhattan</v>
      </c>
      <c r="J330" s="24">
        <f ca="1">IFERROR(__xludf.DUMMYFUNCTION("""COMPUTED_VALUE"""),10018)</f>
        <v>10018</v>
      </c>
      <c r="K330" s="20" t="str">
        <f ca="1">IFERROR(__xludf.DUMMYFUNCTION("""COMPUTED_VALUE"""),"9am-6pm/fri 8am-3pm")</f>
        <v>9am-6pm/fri 8am-3pm</v>
      </c>
    </row>
    <row r="331" spans="1:11" ht="12.75">
      <c r="A331" s="20" t="str">
        <f ca="1">IFERROR(__xludf.DUMMYFUNCTION("""COMPUTED_VALUE"""),"CTS")</f>
        <v>CTS</v>
      </c>
      <c r="B331" s="20" t="str">
        <f ca="1">IFERROR(__xludf.DUMMYFUNCTION("""COMPUTED_VALUE"""),"PCR + Rapid Antigen + Flu")</f>
        <v>PCR + Rapid Antigen + Flu</v>
      </c>
      <c r="C331" s="20" t="str">
        <f ca="1">IFERROR(__xludf.DUMMYFUNCTION("""COMPUTED_VALUE"""),"4+")</f>
        <v>4+</v>
      </c>
      <c r="D331" s="22">
        <f ca="1">IFERROR(__xludf.DUMMYFUNCTION("""COMPUTED_VALUE"""),44571)</f>
        <v>44571</v>
      </c>
      <c r="E331" s="22">
        <f ca="1">IFERROR(__xludf.DUMMYFUNCTION("""COMPUTED_VALUE"""),44577)</f>
        <v>44577</v>
      </c>
      <c r="F331" s="20" t="str">
        <f ca="1">IFERROR(__xludf.DUMMYFUNCTION("""COMPUTED_VALUE"""),"closed 1/15 and 1/16")</f>
        <v>closed 1/15 and 1/16</v>
      </c>
      <c r="G331" s="20" t="str">
        <f ca="1">IFERROR(__xludf.DUMMYFUNCTION("""COMPUTED_VALUE"""),"91-07 Jamaica Avenue")</f>
        <v>91-07 Jamaica Avenue</v>
      </c>
      <c r="H331" s="20" t="str">
        <f ca="1">IFERROR(__xludf.DUMMYFUNCTION("""COMPUTED_VALUE"""),"91-07 Jamaica Avenue")</f>
        <v>91-07 Jamaica Avenue</v>
      </c>
      <c r="I331" s="20" t="str">
        <f ca="1">IFERROR(__xludf.DUMMYFUNCTION("""COMPUTED_VALUE"""),"Queens")</f>
        <v>Queens</v>
      </c>
      <c r="J331" s="24">
        <f ca="1">IFERROR(__xludf.DUMMYFUNCTION("""COMPUTED_VALUE"""),11421)</f>
        <v>11421</v>
      </c>
      <c r="K331" s="20" t="str">
        <f ca="1">IFERROR(__xludf.DUMMYFUNCTION("""COMPUTED_VALUE"""),"9am-6pm/fri 8am-3pm")</f>
        <v>9am-6pm/fri 8am-3pm</v>
      </c>
    </row>
    <row r="332" spans="1:11" ht="12.75">
      <c r="A332" s="20" t="str">
        <f ca="1">IFERROR(__xludf.DUMMYFUNCTION("""COMPUTED_VALUE"""),"CTS")</f>
        <v>CTS</v>
      </c>
      <c r="B332" s="20" t="str">
        <f ca="1">IFERROR(__xludf.DUMMYFUNCTION("""COMPUTED_VALUE"""),"PCR + Rapid Antigen + Flu")</f>
        <v>PCR + Rapid Antigen + Flu</v>
      </c>
      <c r="C332" s="20" t="str">
        <f ca="1">IFERROR(__xludf.DUMMYFUNCTION("""COMPUTED_VALUE"""),"4+")</f>
        <v>4+</v>
      </c>
      <c r="D332" s="22">
        <f ca="1">IFERROR(__xludf.DUMMYFUNCTION("""COMPUTED_VALUE"""),44571)</f>
        <v>44571</v>
      </c>
      <c r="E332" s="22">
        <f ca="1">IFERROR(__xludf.DUMMYFUNCTION("""COMPUTED_VALUE"""),44577)</f>
        <v>44577</v>
      </c>
      <c r="F332" s="20" t="str">
        <f ca="1">IFERROR(__xludf.DUMMYFUNCTION("""COMPUTED_VALUE"""),"closed 1/15 and 1/16")</f>
        <v>closed 1/15 and 1/16</v>
      </c>
      <c r="G332" s="20" t="str">
        <f ca="1">IFERROR(__xludf.DUMMYFUNCTION("""COMPUTED_VALUE"""),"502 Clarkson Ave")</f>
        <v>502 Clarkson Ave</v>
      </c>
      <c r="H332" s="20" t="str">
        <f ca="1">IFERROR(__xludf.DUMMYFUNCTION("""COMPUTED_VALUE"""),"502 Clarkson Ave")</f>
        <v>502 Clarkson Ave</v>
      </c>
      <c r="I332" s="20" t="str">
        <f ca="1">IFERROR(__xludf.DUMMYFUNCTION("""COMPUTED_VALUE"""),"Brooklyn")</f>
        <v>Brooklyn</v>
      </c>
      <c r="J332" s="24">
        <f ca="1">IFERROR(__xludf.DUMMYFUNCTION("""COMPUTED_VALUE"""),11203)</f>
        <v>11203</v>
      </c>
      <c r="K332" s="20" t="str">
        <f ca="1">IFERROR(__xludf.DUMMYFUNCTION("""COMPUTED_VALUE"""),"9am-6pm/fri 8am-3pm")</f>
        <v>9am-6pm/fri 8am-3pm</v>
      </c>
    </row>
    <row r="333" spans="1:11" ht="12.75">
      <c r="A333" s="20" t="str">
        <f ca="1">IFERROR(__xludf.DUMMYFUNCTION("""COMPUTED_VALUE"""),"CTS")</f>
        <v>CTS</v>
      </c>
      <c r="B333" s="20" t="str">
        <f ca="1">IFERROR(__xludf.DUMMYFUNCTION("""COMPUTED_VALUE"""),"PCR + Rapid Antigen + Flu")</f>
        <v>PCR + Rapid Antigen + Flu</v>
      </c>
      <c r="C333" s="20" t="str">
        <f ca="1">IFERROR(__xludf.DUMMYFUNCTION("""COMPUTED_VALUE"""),"4+")</f>
        <v>4+</v>
      </c>
      <c r="D333" s="22">
        <f ca="1">IFERROR(__xludf.DUMMYFUNCTION("""COMPUTED_VALUE"""),44571)</f>
        <v>44571</v>
      </c>
      <c r="E333" s="22">
        <f ca="1">IFERROR(__xludf.DUMMYFUNCTION("""COMPUTED_VALUE"""),44577)</f>
        <v>44577</v>
      </c>
      <c r="F333" s="20" t="str">
        <f ca="1">IFERROR(__xludf.DUMMYFUNCTION("""COMPUTED_VALUE"""),"closed 1/15 and 1/16")</f>
        <v>closed 1/15 and 1/16</v>
      </c>
      <c r="G333" s="20" t="str">
        <f ca="1">IFERROR(__xludf.DUMMYFUNCTION("""COMPUTED_VALUE"""),"760 Broadway")</f>
        <v>760 Broadway</v>
      </c>
      <c r="H333" s="20" t="str">
        <f ca="1">IFERROR(__xludf.DUMMYFUNCTION("""COMPUTED_VALUE"""),"760 Broadway")</f>
        <v>760 Broadway</v>
      </c>
      <c r="I333" s="20" t="str">
        <f ca="1">IFERROR(__xludf.DUMMYFUNCTION("""COMPUTED_VALUE"""),"Brooklyn")</f>
        <v>Brooklyn</v>
      </c>
      <c r="J333" s="24">
        <f ca="1">IFERROR(__xludf.DUMMYFUNCTION("""COMPUTED_VALUE"""),11206)</f>
        <v>11206</v>
      </c>
      <c r="K333" s="20" t="str">
        <f ca="1">IFERROR(__xludf.DUMMYFUNCTION("""COMPUTED_VALUE"""),"9am-6pm/fri 8am-3pm")</f>
        <v>9am-6pm/fri 8am-3pm</v>
      </c>
    </row>
    <row r="334" spans="1:11" ht="12.75">
      <c r="A334" s="20" t="str">
        <f ca="1">IFERROR(__xludf.DUMMYFUNCTION("""COMPUTED_VALUE"""),"CTS")</f>
        <v>CTS</v>
      </c>
      <c r="B334" s="20" t="str">
        <f ca="1">IFERROR(__xludf.DUMMYFUNCTION("""COMPUTED_VALUE"""),"PCR + Rapid Antigen + Flu")</f>
        <v>PCR + Rapid Antigen + Flu</v>
      </c>
      <c r="C334" s="20" t="str">
        <f ca="1">IFERROR(__xludf.DUMMYFUNCTION("""COMPUTED_VALUE"""),"4+")</f>
        <v>4+</v>
      </c>
      <c r="D334" s="22">
        <f ca="1">IFERROR(__xludf.DUMMYFUNCTION("""COMPUTED_VALUE"""),44571)</f>
        <v>44571</v>
      </c>
      <c r="E334" s="22">
        <f ca="1">IFERROR(__xludf.DUMMYFUNCTION("""COMPUTED_VALUE"""),44577)</f>
        <v>44577</v>
      </c>
      <c r="F334" s="20" t="str">
        <f ca="1">IFERROR(__xludf.DUMMYFUNCTION("""COMPUTED_VALUE"""),"closed 1/15 and 1/16")</f>
        <v>closed 1/15 and 1/16</v>
      </c>
      <c r="G334" s="20" t="str">
        <f ca="1">IFERROR(__xludf.DUMMYFUNCTION("""COMPUTED_VALUE"""),"121 Dekalb Ave")</f>
        <v>121 Dekalb Ave</v>
      </c>
      <c r="H334" s="20" t="str">
        <f ca="1">IFERROR(__xludf.DUMMYFUNCTION("""COMPUTED_VALUE"""),"121 Dekalb Ave")</f>
        <v>121 Dekalb Ave</v>
      </c>
      <c r="I334" s="20" t="str">
        <f ca="1">IFERROR(__xludf.DUMMYFUNCTION("""COMPUTED_VALUE"""),"Brooklyn")</f>
        <v>Brooklyn</v>
      </c>
      <c r="J334" s="24">
        <f ca="1">IFERROR(__xludf.DUMMYFUNCTION("""COMPUTED_VALUE"""),11201)</f>
        <v>11201</v>
      </c>
      <c r="K334" s="20" t="str">
        <f ca="1">IFERROR(__xludf.DUMMYFUNCTION("""COMPUTED_VALUE"""),"9am-6pm/fri 8am-3pm")</f>
        <v>9am-6pm/fri 8am-3pm</v>
      </c>
    </row>
    <row r="335" spans="1:11" ht="12.75">
      <c r="A335" s="20" t="str">
        <f ca="1">IFERROR(__xludf.DUMMYFUNCTION("""COMPUTED_VALUE"""),"CTS")</f>
        <v>CTS</v>
      </c>
      <c r="B335" s="20" t="str">
        <f ca="1">IFERROR(__xludf.DUMMYFUNCTION("""COMPUTED_VALUE"""),"PCR + Rapid Antigen + Flu")</f>
        <v>PCR + Rapid Antigen + Flu</v>
      </c>
      <c r="C335" s="20" t="str">
        <f ca="1">IFERROR(__xludf.DUMMYFUNCTION("""COMPUTED_VALUE"""),"4+")</f>
        <v>4+</v>
      </c>
      <c r="D335" s="22">
        <f ca="1">IFERROR(__xludf.DUMMYFUNCTION("""COMPUTED_VALUE"""),44571)</f>
        <v>44571</v>
      </c>
      <c r="E335" s="22">
        <f ca="1">IFERROR(__xludf.DUMMYFUNCTION("""COMPUTED_VALUE"""),44577)</f>
        <v>44577</v>
      </c>
      <c r="F335" s="20" t="str">
        <f ca="1">IFERROR(__xludf.DUMMYFUNCTION("""COMPUTED_VALUE"""),"closed 1/15 and 1/16")</f>
        <v>closed 1/15 and 1/16</v>
      </c>
      <c r="G335" s="20" t="str">
        <f ca="1">IFERROR(__xludf.DUMMYFUNCTION("""COMPUTED_VALUE"""),"82-37 164th Street")</f>
        <v>82-37 164th Street</v>
      </c>
      <c r="H335" s="20" t="str">
        <f ca="1">IFERROR(__xludf.DUMMYFUNCTION("""COMPUTED_VALUE"""),"82-37 164th Street")</f>
        <v>82-37 164th Street</v>
      </c>
      <c r="I335" s="20" t="str">
        <f ca="1">IFERROR(__xludf.DUMMYFUNCTION("""COMPUTED_VALUE"""),"Queens")</f>
        <v>Queens</v>
      </c>
      <c r="J335" s="24">
        <f ca="1">IFERROR(__xludf.DUMMYFUNCTION("""COMPUTED_VALUE"""),11432)</f>
        <v>11432</v>
      </c>
      <c r="K335" s="20" t="str">
        <f ca="1">IFERROR(__xludf.DUMMYFUNCTION("""COMPUTED_VALUE"""),"9am-6pm/fri 8am-3pm")</f>
        <v>9am-6pm/fri 8am-3pm</v>
      </c>
    </row>
    <row r="336" spans="1:11" ht="12.75">
      <c r="A336" s="20" t="str">
        <f ca="1">IFERROR(__xludf.DUMMYFUNCTION("""COMPUTED_VALUE"""),"CTS")</f>
        <v>CTS</v>
      </c>
      <c r="B336" s="20" t="str">
        <f ca="1">IFERROR(__xludf.DUMMYFUNCTION("""COMPUTED_VALUE"""),"PCR + Rapid Antigen + Flu")</f>
        <v>PCR + Rapid Antigen + Flu</v>
      </c>
      <c r="C336" s="20" t="str">
        <f ca="1">IFERROR(__xludf.DUMMYFUNCTION("""COMPUTED_VALUE"""),"4+")</f>
        <v>4+</v>
      </c>
      <c r="D336" s="22">
        <f ca="1">IFERROR(__xludf.DUMMYFUNCTION("""COMPUTED_VALUE"""),44571)</f>
        <v>44571</v>
      </c>
      <c r="E336" s="22">
        <f ca="1">IFERROR(__xludf.DUMMYFUNCTION("""COMPUTED_VALUE"""),44577)</f>
        <v>44577</v>
      </c>
      <c r="F336" s="20" t="str">
        <f ca="1">IFERROR(__xludf.DUMMYFUNCTION("""COMPUTED_VALUE"""),"closed 1/15 and 1/16")</f>
        <v>closed 1/15 and 1/16</v>
      </c>
      <c r="G336" s="20" t="str">
        <f ca="1">IFERROR(__xludf.DUMMYFUNCTION("""COMPUTED_VALUE"""),"67 West 137th street")</f>
        <v>67 West 137th street</v>
      </c>
      <c r="H336" s="20" t="str">
        <f ca="1">IFERROR(__xludf.DUMMYFUNCTION("""COMPUTED_VALUE"""),"67 West 137th street")</f>
        <v>67 West 137th street</v>
      </c>
      <c r="I336" s="20" t="str">
        <f ca="1">IFERROR(__xludf.DUMMYFUNCTION("""COMPUTED_VALUE"""),"Manhattan")</f>
        <v>Manhattan</v>
      </c>
      <c r="J336" s="24">
        <f ca="1">IFERROR(__xludf.DUMMYFUNCTION("""COMPUTED_VALUE"""),10037)</f>
        <v>10037</v>
      </c>
      <c r="K336" s="20" t="str">
        <f ca="1">IFERROR(__xludf.DUMMYFUNCTION("""COMPUTED_VALUE"""),"9am-6pm/fri 8am-3pm")</f>
        <v>9am-6pm/fri 8am-3pm</v>
      </c>
    </row>
    <row r="337" spans="1:11" ht="12.75">
      <c r="A337" s="20" t="str">
        <f ca="1">IFERROR(__xludf.DUMMYFUNCTION("""COMPUTED_VALUE"""),"CTS")</f>
        <v>CTS</v>
      </c>
      <c r="B337" s="20" t="str">
        <f ca="1">IFERROR(__xludf.DUMMYFUNCTION("""COMPUTED_VALUE"""),"PCR + Rapid Antigen + Flu")</f>
        <v>PCR + Rapid Antigen + Flu</v>
      </c>
      <c r="C337" s="20" t="str">
        <f ca="1">IFERROR(__xludf.DUMMYFUNCTION("""COMPUTED_VALUE"""),"4+")</f>
        <v>4+</v>
      </c>
      <c r="D337" s="22">
        <f ca="1">IFERROR(__xludf.DUMMYFUNCTION("""COMPUTED_VALUE"""),44571)</f>
        <v>44571</v>
      </c>
      <c r="E337" s="22">
        <f ca="1">IFERROR(__xludf.DUMMYFUNCTION("""COMPUTED_VALUE"""),44577)</f>
        <v>44577</v>
      </c>
      <c r="F337" s="20" t="str">
        <f ca="1">IFERROR(__xludf.DUMMYFUNCTION("""COMPUTED_VALUE"""),"closed 1/15 and 1/16")</f>
        <v>closed 1/15 and 1/16</v>
      </c>
      <c r="G337" s="20" t="str">
        <f ca="1">IFERROR(__xludf.DUMMYFUNCTION("""COMPUTED_VALUE"""),"3425 Kossuth Ave")</f>
        <v>3425 Kossuth Ave</v>
      </c>
      <c r="H337" s="20" t="str">
        <f ca="1">IFERROR(__xludf.DUMMYFUNCTION("""COMPUTED_VALUE"""),"3425 Kossuth Ave")</f>
        <v>3425 Kossuth Ave</v>
      </c>
      <c r="I337" s="20" t="str">
        <f ca="1">IFERROR(__xludf.DUMMYFUNCTION("""COMPUTED_VALUE"""),"Bronx")</f>
        <v>Bronx</v>
      </c>
      <c r="J337" s="24">
        <f ca="1">IFERROR(__xludf.DUMMYFUNCTION("""COMPUTED_VALUE"""),10467)</f>
        <v>10467</v>
      </c>
      <c r="K337" s="20" t="str">
        <f ca="1">IFERROR(__xludf.DUMMYFUNCTION("""COMPUTED_VALUE"""),"9am-6pm/fri 8am-3pm")</f>
        <v>9am-6pm/fri 8am-3pm</v>
      </c>
    </row>
    <row r="338" spans="1:11" ht="12.75">
      <c r="A338" s="20" t="str">
        <f ca="1">IFERROR(__xludf.DUMMYFUNCTION("""COMPUTED_VALUE"""),"CTS")</f>
        <v>CTS</v>
      </c>
      <c r="B338" s="20" t="str">
        <f ca="1">IFERROR(__xludf.DUMMYFUNCTION("""COMPUTED_VALUE"""),"PCR + Rapid Antigen + Flu")</f>
        <v>PCR + Rapid Antigen + Flu</v>
      </c>
      <c r="C338" s="20" t="str">
        <f ca="1">IFERROR(__xludf.DUMMYFUNCTION("""COMPUTED_VALUE"""),"4+")</f>
        <v>4+</v>
      </c>
      <c r="D338" s="22">
        <f ca="1">IFERROR(__xludf.DUMMYFUNCTION("""COMPUTED_VALUE"""),44571)</f>
        <v>44571</v>
      </c>
      <c r="E338" s="22">
        <f ca="1">IFERROR(__xludf.DUMMYFUNCTION("""COMPUTED_VALUE"""),44577)</f>
        <v>44577</v>
      </c>
      <c r="F338" s="20" t="str">
        <f ca="1">IFERROR(__xludf.DUMMYFUNCTION("""COMPUTED_VALUE"""),"closed 1/15 and 1/16")</f>
        <v>closed 1/15 and 1/16</v>
      </c>
      <c r="G338" s="20" t="str">
        <f ca="1">IFERROR(__xludf.DUMMYFUNCTION("""COMPUTED_VALUE"""),"1901 1st Ave")</f>
        <v>1901 1st Ave</v>
      </c>
      <c r="H338" s="20" t="str">
        <f ca="1">IFERROR(__xludf.DUMMYFUNCTION("""COMPUTED_VALUE"""),"1901 1st Ave")</f>
        <v>1901 1st Ave</v>
      </c>
      <c r="I338" s="20" t="str">
        <f ca="1">IFERROR(__xludf.DUMMYFUNCTION("""COMPUTED_VALUE"""),"Manhattan")</f>
        <v>Manhattan</v>
      </c>
      <c r="J338" s="24">
        <f ca="1">IFERROR(__xludf.DUMMYFUNCTION("""COMPUTED_VALUE"""),10029)</f>
        <v>10029</v>
      </c>
      <c r="K338" s="20" t="str">
        <f ca="1">IFERROR(__xludf.DUMMYFUNCTION("""COMPUTED_VALUE"""),"9am-6pm/fri 8am-3pm")</f>
        <v>9am-6pm/fri 8am-3pm</v>
      </c>
    </row>
    <row r="339" spans="1:11" ht="12.75">
      <c r="A339" s="20" t="str">
        <f ca="1">IFERROR(__xludf.DUMMYFUNCTION("""COMPUTED_VALUE"""),"Premier")</f>
        <v>Premier</v>
      </c>
      <c r="B339" s="20" t="str">
        <f ca="1">IFERROR(__xludf.DUMMYFUNCTION("""COMPUTED_VALUE"""),"PCR")</f>
        <v>PCR</v>
      </c>
      <c r="C339" s="20" t="str">
        <f ca="1">IFERROR(__xludf.DUMMYFUNCTION("""COMPUTED_VALUE"""),"4+")</f>
        <v>4+</v>
      </c>
      <c r="D339" s="22">
        <f ca="1">IFERROR(__xludf.DUMMYFUNCTION("""COMPUTED_VALUE"""),44571)</f>
        <v>44571</v>
      </c>
      <c r="E339" s="22">
        <f ca="1">IFERROR(__xludf.DUMMYFUNCTION("""COMPUTED_VALUE"""),44577)</f>
        <v>44577</v>
      </c>
      <c r="F339" s="20" t="str">
        <f ca="1">IFERROR(__xludf.DUMMYFUNCTION("""COMPUTED_VALUE"""),"Closed Saturday")</f>
        <v>Closed Saturday</v>
      </c>
      <c r="G339" s="20" t="str">
        <f ca="1">IFERROR(__xludf.DUMMYFUNCTION("""COMPUTED_VALUE"""),"Beach 39th Street PCR Testing")</f>
        <v>Beach 39th Street PCR Testing</v>
      </c>
      <c r="H339" s="20" t="str">
        <f ca="1">IFERROR(__xludf.DUMMYFUNCTION("""COMPUTED_VALUE"""),"Beach 39 St between Rockaway Beach Boulevard and Beach Channel Drive, Queens, NY 11697")</f>
        <v>Beach 39 St between Rockaway Beach Boulevard and Beach Channel Drive, Queens, NY 11697</v>
      </c>
      <c r="I339" s="20" t="str">
        <f ca="1">IFERROR(__xludf.DUMMYFUNCTION("""COMPUTED_VALUE"""),"Queens")</f>
        <v>Queens</v>
      </c>
      <c r="J339" s="24">
        <f ca="1">IFERROR(__xludf.DUMMYFUNCTION("""COMPUTED_VALUE"""),11697)</f>
        <v>11697</v>
      </c>
      <c r="K339" s="20" t="str">
        <f ca="1">IFERROR(__xludf.DUMMYFUNCTION("""COMPUTED_VALUE"""),"8:30 am- 4pm")</f>
        <v>8:30 am- 4pm</v>
      </c>
    </row>
    <row r="340" spans="1:11" ht="12.75">
      <c r="A340" s="20" t="str">
        <f ca="1">IFERROR(__xludf.DUMMYFUNCTION("""COMPUTED_VALUE"""),"Premier")</f>
        <v>Premier</v>
      </c>
      <c r="B340" s="20" t="str">
        <f ca="1">IFERROR(__xludf.DUMMYFUNCTION("""COMPUTED_VALUE"""),"PCR")</f>
        <v>PCR</v>
      </c>
      <c r="C340" s="20" t="str">
        <f ca="1">IFERROR(__xludf.DUMMYFUNCTION("""COMPUTED_VALUE"""),"4+")</f>
        <v>4+</v>
      </c>
      <c r="D340" s="22">
        <f ca="1">IFERROR(__xludf.DUMMYFUNCTION("""COMPUTED_VALUE"""),44571)</f>
        <v>44571</v>
      </c>
      <c r="E340" s="22">
        <f ca="1">IFERROR(__xludf.DUMMYFUNCTION("""COMPUTED_VALUE"""),44577)</f>
        <v>44577</v>
      </c>
      <c r="F340" s="20" t="str">
        <f ca="1">IFERROR(__xludf.DUMMYFUNCTION("""COMPUTED_VALUE"""),"Closed Saturday")</f>
        <v>Closed Saturday</v>
      </c>
      <c r="G340" s="20" t="str">
        <f ca="1">IFERROR(__xludf.DUMMYFUNCTION("""COMPUTED_VALUE"""),"Rosedale")</f>
        <v>Rosedale</v>
      </c>
      <c r="H340" s="20" t="str">
        <f ca="1">IFERROR(__xludf.DUMMYFUNCTION("""COMPUTED_VALUE"""),"Brookville Blvd &amp; 147th Ave, Rosedale, NY 11422")</f>
        <v>Brookville Blvd &amp; 147th Ave, Rosedale, NY 11422</v>
      </c>
      <c r="I340" s="20" t="str">
        <f ca="1">IFERROR(__xludf.DUMMYFUNCTION("""COMPUTED_VALUE"""),"Queens")</f>
        <v>Queens</v>
      </c>
      <c r="J340" s="24">
        <f ca="1">IFERROR(__xludf.DUMMYFUNCTION("""COMPUTED_VALUE"""),11422)</f>
        <v>11422</v>
      </c>
      <c r="K340" s="20" t="str">
        <f ca="1">IFERROR(__xludf.DUMMYFUNCTION("""COMPUTED_VALUE"""),"8:30 am- 4pm")</f>
        <v>8:30 am- 4pm</v>
      </c>
    </row>
    <row r="341" spans="1:11" ht="12.75">
      <c r="A341" s="20" t="str">
        <f ca="1">IFERROR(__xludf.DUMMYFUNCTION("""COMPUTED_VALUE"""),"Premier")</f>
        <v>Premier</v>
      </c>
      <c r="B341" s="20" t="str">
        <f ca="1">IFERROR(__xludf.DUMMYFUNCTION("""COMPUTED_VALUE"""),"PCR")</f>
        <v>PCR</v>
      </c>
      <c r="C341" s="20" t="str">
        <f ca="1">IFERROR(__xludf.DUMMYFUNCTION("""COMPUTED_VALUE"""),"4+")</f>
        <v>4+</v>
      </c>
      <c r="D341" s="22">
        <f ca="1">IFERROR(__xludf.DUMMYFUNCTION("""COMPUTED_VALUE"""),44571)</f>
        <v>44571</v>
      </c>
      <c r="E341" s="22">
        <f ca="1">IFERROR(__xludf.DUMMYFUNCTION("""COMPUTED_VALUE"""),44577)</f>
        <v>44577</v>
      </c>
      <c r="F341" s="20" t="str">
        <f ca="1">IFERROR(__xludf.DUMMYFUNCTION("""COMPUTED_VALUE"""),"Closed Saturday")</f>
        <v>Closed Saturday</v>
      </c>
      <c r="G341" s="20" t="str">
        <f ca="1">IFERROR(__xludf.DUMMYFUNCTION("""COMPUTED_VALUE"""),"Sephardic Community Center")</f>
        <v>Sephardic Community Center</v>
      </c>
      <c r="H341" s="20" t="str">
        <f ca="1">IFERROR(__xludf.DUMMYFUNCTION("""COMPUTED_VALUE"""),"1901 Ocean Pkwy, Brooklyn, NY 11223")</f>
        <v>1901 Ocean Pkwy, Brooklyn, NY 11223</v>
      </c>
      <c r="I341" s="20" t="str">
        <f ca="1">IFERROR(__xludf.DUMMYFUNCTION("""COMPUTED_VALUE"""),"Brooklyn")</f>
        <v>Brooklyn</v>
      </c>
      <c r="J341" s="24">
        <f ca="1">IFERROR(__xludf.DUMMYFUNCTION("""COMPUTED_VALUE"""),11223)</f>
        <v>11223</v>
      </c>
      <c r="K341" s="20" t="str">
        <f ca="1">IFERROR(__xludf.DUMMYFUNCTION("""COMPUTED_VALUE"""),"8:30 am - 4:30 pm")</f>
        <v>8:30 am - 4:30 pm</v>
      </c>
    </row>
    <row r="342" spans="1:11" ht="12.75">
      <c r="A342" s="20" t="str">
        <f ca="1">IFERROR(__xludf.DUMMYFUNCTION("""COMPUTED_VALUE"""),"Premier")</f>
        <v>Premier</v>
      </c>
      <c r="B342" s="20" t="str">
        <f ca="1">IFERROR(__xludf.DUMMYFUNCTION("""COMPUTED_VALUE"""),"Rapid Antigen")</f>
        <v>Rapid Antigen</v>
      </c>
      <c r="C342" s="20" t="str">
        <f ca="1">IFERROR(__xludf.DUMMYFUNCTION("""COMPUTED_VALUE"""),"4+")</f>
        <v>4+</v>
      </c>
      <c r="D342" s="22">
        <f ca="1">IFERROR(__xludf.DUMMYFUNCTION("""COMPUTED_VALUE"""),44571)</f>
        <v>44571</v>
      </c>
      <c r="E342" s="22">
        <f ca="1">IFERROR(__xludf.DUMMYFUNCTION("""COMPUTED_VALUE"""),44577)</f>
        <v>44577</v>
      </c>
      <c r="F342" s="20" t="str">
        <f ca="1">IFERROR(__xludf.DUMMYFUNCTION("""COMPUTED_VALUE"""),"Closed Saturday/Modified hours on Thu/Fri/Sun 8:30 to 4:00pm")</f>
        <v>Closed Saturday/Modified hours on Thu/Fri/Sun 8:30 to 4:00pm</v>
      </c>
      <c r="G342" s="20" t="str">
        <f ca="1">IFERROR(__xludf.DUMMYFUNCTION("""COMPUTED_VALUE"""),"CultureLab")</f>
        <v>CultureLab</v>
      </c>
      <c r="H342" s="20" t="str">
        <f ca="1">IFERROR(__xludf.DUMMYFUNCTION("""COMPUTED_VALUE"""),"5-25 46th Ave")</f>
        <v>5-25 46th Ave</v>
      </c>
      <c r="I342" s="20" t="str">
        <f ca="1">IFERROR(__xludf.DUMMYFUNCTION("""COMPUTED_VALUE"""),"Queens")</f>
        <v>Queens</v>
      </c>
      <c r="J342" s="24">
        <f ca="1">IFERROR(__xludf.DUMMYFUNCTION("""COMPUTED_VALUE"""),11101)</f>
        <v>11101</v>
      </c>
      <c r="K342" s="20" t="str">
        <f ca="1">IFERROR(__xludf.DUMMYFUNCTION("""COMPUTED_VALUE"""),"8:30am-6pm")</f>
        <v>8:30am-6pm</v>
      </c>
    </row>
    <row r="343" spans="1:11" ht="12.75">
      <c r="A343" s="20" t="str">
        <f ca="1">IFERROR(__xludf.DUMMYFUNCTION("""COMPUTED_VALUE"""),"Premier")</f>
        <v>Premier</v>
      </c>
      <c r="B343" s="20" t="str">
        <f ca="1">IFERROR(__xludf.DUMMYFUNCTION("""COMPUTED_VALUE"""),"Rapid Antigen")</f>
        <v>Rapid Antigen</v>
      </c>
      <c r="C343" s="20" t="str">
        <f ca="1">IFERROR(__xludf.DUMMYFUNCTION("""COMPUTED_VALUE"""),"4+")</f>
        <v>4+</v>
      </c>
      <c r="D343" s="22">
        <f ca="1">IFERROR(__xludf.DUMMYFUNCTION("""COMPUTED_VALUE"""),44571)</f>
        <v>44571</v>
      </c>
      <c r="E343" s="22">
        <f ca="1">IFERROR(__xludf.DUMMYFUNCTION("""COMPUTED_VALUE"""),44575)</f>
        <v>44575</v>
      </c>
      <c r="F343" s="20" t="str">
        <f ca="1">IFERROR(__xludf.DUMMYFUNCTION("""COMPUTED_VALUE"""),"M-F")</f>
        <v>M-F</v>
      </c>
      <c r="G343" s="20" t="str">
        <f ca="1">IFERROR(__xludf.DUMMYFUNCTION("""COMPUTED_VALUE"""),"Andrew Jackson Senior Center")</f>
        <v>Andrew Jackson Senior Center</v>
      </c>
      <c r="H343" s="20" t="str">
        <f ca="1">IFERROR(__xludf.DUMMYFUNCTION("""COMPUTED_VALUE"""),"325 E 156th Street")</f>
        <v>325 E 156th Street</v>
      </c>
      <c r="I343" s="20" t="str">
        <f ca="1">IFERROR(__xludf.DUMMYFUNCTION("""COMPUTED_VALUE"""),"Bronx")</f>
        <v>Bronx</v>
      </c>
      <c r="J343" s="24">
        <f ca="1">IFERROR(__xludf.DUMMYFUNCTION("""COMPUTED_VALUE"""),10451)</f>
        <v>10451</v>
      </c>
      <c r="K343" s="20" t="str">
        <f ca="1">IFERROR(__xludf.DUMMYFUNCTION("""COMPUTED_VALUE"""),"8:30-4pm")</f>
        <v>8:30-4pm</v>
      </c>
    </row>
    <row r="344" spans="1:11" ht="12.75">
      <c r="A344" s="20" t="str">
        <f ca="1">IFERROR(__xludf.DUMMYFUNCTION("""COMPUTED_VALUE"""),"Premier")</f>
        <v>Premier</v>
      </c>
      <c r="B344" s="20" t="str">
        <f ca="1">IFERROR(__xludf.DUMMYFUNCTION("""COMPUTED_VALUE"""),"Rapid Antigen")</f>
        <v>Rapid Antigen</v>
      </c>
      <c r="C344" s="20" t="str">
        <f ca="1">IFERROR(__xludf.DUMMYFUNCTION("""COMPUTED_VALUE"""),"4+")</f>
        <v>4+</v>
      </c>
      <c r="D344" s="22">
        <f ca="1">IFERROR(__xludf.DUMMYFUNCTION("""COMPUTED_VALUE"""),44571)</f>
        <v>44571</v>
      </c>
      <c r="E344" s="22">
        <f ca="1">IFERROR(__xludf.DUMMYFUNCTION("""COMPUTED_VALUE"""),44575)</f>
        <v>44575</v>
      </c>
      <c r="F344" s="20" t="str">
        <f ca="1">IFERROR(__xludf.DUMMYFUNCTION("""COMPUTED_VALUE"""),"M-F")</f>
        <v>M-F</v>
      </c>
      <c r="G344" s="20" t="str">
        <f ca="1">IFERROR(__xludf.DUMMYFUNCTION("""COMPUTED_VALUE"""),"Cassidy-Lafayette Senior Center")</f>
        <v>Cassidy-Lafayette Senior Center</v>
      </c>
      <c r="H344" s="20" t="str">
        <f ca="1">IFERROR(__xludf.DUMMYFUNCTION("""COMPUTED_VALUE"""),"126 Cassidy Place")</f>
        <v>126 Cassidy Place</v>
      </c>
      <c r="I344" s="20" t="str">
        <f ca="1">IFERROR(__xludf.DUMMYFUNCTION("""COMPUTED_VALUE"""),"Staten Island")</f>
        <v>Staten Island</v>
      </c>
      <c r="J344" s="24">
        <f ca="1">IFERROR(__xludf.DUMMYFUNCTION("""COMPUTED_VALUE"""),10301)</f>
        <v>10301</v>
      </c>
      <c r="K344" s="20" t="str">
        <f ca="1">IFERROR(__xludf.DUMMYFUNCTION("""COMPUTED_VALUE"""),"8:30-4pm")</f>
        <v>8:30-4pm</v>
      </c>
    </row>
  </sheetData>
  <mergeCells count="1">
    <mergeCell ref="A1:D1"/>
  </mergeCells>
  <conditionalFormatting sqref="A4:E193">
    <cfRule type="containsBlanks" dxfId="2" priority="1">
      <formula>LEN(TRIM(A4))=0</formula>
    </cfRule>
  </conditionalFormatting>
  <conditionalFormatting sqref="A4:E193">
    <cfRule type="containsBlanks" dxfId="1" priority="2">
      <formula>LEN(TRIM(A4))=0</formula>
    </cfRule>
  </conditionalFormatting>
  <conditionalFormatting sqref="J89">
    <cfRule type="notContainsBlanks" dxfId="0" priority="3">
      <formula>LEN(TRIM(J89))&gt;0</formula>
    </cfRule>
  </conditionalFormatting>
  <hyperlinks>
    <hyperlink ref="F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Advertise (EOW)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Murphy, Katherine</cp:lastModifiedBy>
  <dcterms:modified xsi:type="dcterms:W3CDTF">2022-01-07T19:01:20Z</dcterms:modified>
</cp:coreProperties>
</file>