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1 PF Ridership\"/>
    </mc:Choice>
  </mc:AlternateContent>
  <bookViews>
    <workbookView xWindow="0" yWindow="0" windowWidth="19200" windowHeight="6980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FC)'!$A$1:$N$65</definedName>
    <definedName name="_xlnm.Print_Area" localSheetId="0">'Weekday Totals'!$A$1:$Q$77</definedName>
  </definedNames>
  <calcPr calcId="152511" calcOnSave="0"/>
</workbook>
</file>

<file path=xl/calcChain.xml><?xml version="1.0" encoding="utf-8"?>
<calcChain xmlns="http://schemas.openxmlformats.org/spreadsheetml/2006/main">
  <c r="I69" i="4" l="1"/>
  <c r="AM56" i="10" l="1"/>
  <c r="AM57" i="10"/>
  <c r="AM55" i="10"/>
  <c r="O15" i="3" l="1"/>
  <c r="F13" i="3"/>
  <c r="C45" i="5"/>
  <c r="C37" i="5"/>
  <c r="C36" i="5"/>
  <c r="AM27" i="10" l="1"/>
  <c r="AM24" i="10"/>
  <c r="AM22" i="10"/>
  <c r="E31" i="10"/>
  <c r="D31" i="10"/>
  <c r="E32" i="10"/>
  <c r="D32" i="10"/>
  <c r="H29" i="10"/>
  <c r="G29" i="10"/>
  <c r="F29" i="10"/>
  <c r="E29" i="10"/>
  <c r="D29" i="10"/>
  <c r="C29" i="10"/>
  <c r="AF64" i="10" l="1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E62" i="10"/>
  <c r="D62" i="10"/>
  <c r="C62" i="10"/>
  <c r="D7" i="4" l="1"/>
  <c r="E7" i="4"/>
  <c r="F7" i="4"/>
  <c r="G7" i="4"/>
  <c r="H7" i="4"/>
  <c r="C7" i="4"/>
  <c r="R12" i="3"/>
  <c r="P12" i="3"/>
  <c r="O12" i="3"/>
  <c r="N12" i="3"/>
  <c r="L12" i="3"/>
  <c r="K12" i="3"/>
  <c r="I12" i="3"/>
  <c r="G12" i="3"/>
  <c r="F12" i="3"/>
  <c r="E12" i="3"/>
  <c r="D12" i="3"/>
  <c r="C12" i="3"/>
  <c r="AM17" i="10"/>
  <c r="AM16" i="10"/>
  <c r="AM15" i="10"/>
  <c r="AM14" i="10"/>
  <c r="AM13" i="10"/>
  <c r="AM12" i="10"/>
  <c r="AM11" i="10"/>
  <c r="E18" i="10"/>
  <c r="D19" i="10"/>
  <c r="C19" i="10"/>
  <c r="D18" i="10"/>
  <c r="C18" i="10"/>
  <c r="N64" i="6" l="1"/>
  <c r="N40" i="6"/>
  <c r="F62" i="10"/>
  <c r="K57" i="3"/>
  <c r="K58" i="3"/>
  <c r="K56" i="3"/>
  <c r="I56" i="3"/>
  <c r="I58" i="3"/>
  <c r="C58" i="3"/>
  <c r="C56" i="3"/>
  <c r="AE62" i="10"/>
  <c r="AM50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G64" i="10"/>
  <c r="AH64" i="10"/>
  <c r="AI64" i="10"/>
  <c r="AJ64" i="10"/>
  <c r="AK64" i="10"/>
  <c r="AL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N74" i="6" l="1"/>
  <c r="N68" i="6"/>
  <c r="W27" i="3" l="1"/>
  <c r="W28" i="3"/>
  <c r="W29" i="3"/>
  <c r="W30" i="3"/>
  <c r="W31" i="3"/>
  <c r="W32" i="3"/>
  <c r="W33" i="3"/>
  <c r="W34" i="3" l="1"/>
  <c r="I20" i="2"/>
  <c r="I31" i="2"/>
  <c r="L13" i="2"/>
  <c r="L24" i="2"/>
  <c r="I16" i="4"/>
  <c r="I13" i="4"/>
  <c r="W20" i="3"/>
  <c r="W17" i="3"/>
  <c r="W10" i="3"/>
  <c r="D14" i="3"/>
  <c r="D25" i="3"/>
  <c r="AM28" i="10"/>
  <c r="AM26" i="10"/>
  <c r="AM25" i="10"/>
  <c r="AM23" i="10"/>
  <c r="C32" i="10" s="1"/>
  <c r="W7" i="10" l="1"/>
  <c r="Y7" i="10"/>
  <c r="AA7" i="10"/>
  <c r="AB7" i="10"/>
  <c r="AC7" i="10"/>
  <c r="AE53" i="10"/>
  <c r="AD53" i="10"/>
  <c r="K54" i="6" s="1"/>
  <c r="AC53" i="10"/>
  <c r="AB53" i="10"/>
  <c r="AA53" i="10"/>
  <c r="Z53" i="10"/>
  <c r="Y53" i="10"/>
  <c r="X53" i="10"/>
  <c r="W53" i="10"/>
  <c r="V53" i="10"/>
  <c r="U53" i="10"/>
  <c r="T53" i="10"/>
  <c r="S53" i="10"/>
  <c r="I25" i="3"/>
  <c r="I36" i="3"/>
  <c r="I47" i="3"/>
  <c r="K62" i="6" s="1"/>
  <c r="J36" i="3"/>
  <c r="J45" i="3"/>
  <c r="J47" i="3"/>
  <c r="H47" i="3"/>
  <c r="I45" i="3"/>
  <c r="W43" i="3"/>
  <c r="C58" i="5"/>
  <c r="C47" i="5"/>
  <c r="C46" i="5"/>
  <c r="C25" i="5"/>
  <c r="C14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I39" i="4"/>
  <c r="I38" i="4"/>
  <c r="I37" i="4"/>
  <c r="I36" i="4"/>
  <c r="I35" i="4"/>
  <c r="I34" i="4"/>
  <c r="I33" i="4"/>
  <c r="W44" i="3"/>
  <c r="W38" i="3"/>
  <c r="W42" i="3"/>
  <c r="W41" i="3"/>
  <c r="W40" i="3"/>
  <c r="W39" i="3"/>
  <c r="V47" i="3"/>
  <c r="U47" i="3"/>
  <c r="T47" i="3"/>
  <c r="S47" i="3"/>
  <c r="R47" i="3"/>
  <c r="Q47" i="3"/>
  <c r="P47" i="3"/>
  <c r="O47" i="3"/>
  <c r="N47" i="3"/>
  <c r="M47" i="3"/>
  <c r="L47" i="3"/>
  <c r="K47" i="3"/>
  <c r="G47" i="3"/>
  <c r="F47" i="3"/>
  <c r="E47" i="3"/>
  <c r="D47" i="3"/>
  <c r="C47" i="3"/>
  <c r="AM49" i="10"/>
  <c r="AM48" i="10"/>
  <c r="AM47" i="10"/>
  <c r="AM46" i="10"/>
  <c r="AM45" i="10"/>
  <c r="AM44" i="10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AM5" i="10"/>
  <c r="AK51" i="10"/>
  <c r="AL51" i="10"/>
  <c r="AE51" i="10"/>
  <c r="Z51" i="10"/>
  <c r="AE42" i="10"/>
  <c r="AE40" i="10"/>
  <c r="Z42" i="10"/>
  <c r="Z40" i="10"/>
  <c r="N51" i="10"/>
  <c r="C34" i="5"/>
  <c r="C12" i="5"/>
  <c r="C23" i="5"/>
  <c r="L44" i="2"/>
  <c r="I6" i="4"/>
  <c r="I5" i="4"/>
  <c r="L36" i="2"/>
  <c r="I25" i="4"/>
  <c r="I22" i="4"/>
  <c r="I46" i="4"/>
  <c r="I55" i="4"/>
  <c r="AM37" i="10"/>
  <c r="N54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H54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E54" i="6" s="1"/>
  <c r="AE31" i="10"/>
  <c r="AF31" i="10"/>
  <c r="AG31" i="10"/>
  <c r="AH31" i="10"/>
  <c r="AI31" i="10"/>
  <c r="AJ31" i="10"/>
  <c r="AK31" i="10"/>
  <c r="AL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K58" i="6" l="1"/>
  <c r="H58" i="6"/>
  <c r="I7" i="4"/>
  <c r="AM54" i="10"/>
  <c r="L69" i="10"/>
  <c r="E69" i="10"/>
  <c r="C69" i="10"/>
  <c r="W47" i="3"/>
  <c r="W45" i="3"/>
  <c r="K50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I8" i="4"/>
  <c r="D68" i="10"/>
  <c r="U69" i="10"/>
  <c r="D69" i="10"/>
  <c r="F69" i="10"/>
  <c r="M69" i="10"/>
  <c r="S69" i="10"/>
  <c r="AM7" i="10"/>
  <c r="H50" i="6"/>
  <c r="E52" i="6"/>
  <c r="B56" i="6"/>
  <c r="H52" i="6"/>
  <c r="H56" i="6"/>
  <c r="E56" i="6"/>
  <c r="B50" i="6"/>
  <c r="N50" i="6"/>
  <c r="K56" i="6"/>
  <c r="I42" i="4"/>
  <c r="E50" i="6"/>
  <c r="N52" i="6"/>
  <c r="W68" i="10"/>
  <c r="S68" i="10"/>
  <c r="T68" i="10"/>
  <c r="N56" i="6"/>
  <c r="V69" i="10"/>
  <c r="V68" i="10"/>
  <c r="U68" i="10"/>
  <c r="K52" i="6"/>
  <c r="H80" i="2"/>
  <c r="I80" i="2"/>
  <c r="I40" i="4"/>
  <c r="AM52" i="10"/>
  <c r="AM51" i="10"/>
  <c r="AM53" i="10"/>
  <c r="K12" i="6" s="1"/>
  <c r="B52" i="6"/>
  <c r="E62" i="4"/>
  <c r="F62" i="4"/>
  <c r="E63" i="4"/>
  <c r="F63" i="4"/>
  <c r="E64" i="4"/>
  <c r="F64" i="4"/>
  <c r="E65" i="4"/>
  <c r="F65" i="4"/>
  <c r="E51" i="4"/>
  <c r="F51" i="4"/>
  <c r="E52" i="4"/>
  <c r="E53" i="4"/>
  <c r="K22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8" i="4"/>
  <c r="F8" i="4"/>
  <c r="E9" i="4"/>
  <c r="F9" i="4"/>
  <c r="E10" i="4"/>
  <c r="F10" i="4"/>
  <c r="N62" i="6"/>
  <c r="E62" i="6"/>
  <c r="J23" i="3"/>
  <c r="J24" i="3"/>
  <c r="J25" i="3"/>
  <c r="E58" i="6" s="1"/>
  <c r="J26" i="3"/>
  <c r="J12" i="3"/>
  <c r="J13" i="3"/>
  <c r="J14" i="3"/>
  <c r="B58" i="6" s="1"/>
  <c r="J15" i="3"/>
  <c r="C68" i="4" l="1"/>
  <c r="B22" i="14" s="1"/>
  <c r="C69" i="4"/>
  <c r="AM8" i="10"/>
  <c r="W22" i="3"/>
  <c r="W21" i="3"/>
  <c r="W18" i="3"/>
  <c r="W16" i="3"/>
  <c r="W11" i="3"/>
  <c r="W9" i="3"/>
  <c r="W8" i="3"/>
  <c r="W7" i="3"/>
  <c r="W6" i="3"/>
  <c r="W5" i="3"/>
  <c r="W12" i="3" l="1"/>
  <c r="W14" i="3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J59" i="3" l="1"/>
  <c r="J58" i="3"/>
  <c r="J57" i="3"/>
  <c r="J56" i="3"/>
  <c r="J48" i="3"/>
  <c r="J46" i="3"/>
  <c r="J37" i="3"/>
  <c r="J35" i="3"/>
  <c r="J34" i="3"/>
  <c r="I62" i="3" l="1"/>
  <c r="I63" i="3"/>
  <c r="N58" i="6"/>
  <c r="I23" i="3"/>
  <c r="I24" i="3"/>
  <c r="I26" i="3"/>
  <c r="I13" i="3"/>
  <c r="I14" i="3"/>
  <c r="I15" i="3"/>
  <c r="I59" i="3"/>
  <c r="I57" i="3"/>
  <c r="I48" i="3"/>
  <c r="I46" i="3"/>
  <c r="I37" i="3"/>
  <c r="H62" i="6"/>
  <c r="I35" i="3"/>
  <c r="I34" i="3"/>
  <c r="H62" i="3" l="1"/>
  <c r="H63" i="3"/>
  <c r="B62" i="6"/>
  <c r="D65" i="4"/>
  <c r="V56" i="3" l="1"/>
  <c r="W50" i="3"/>
  <c r="W51" i="3"/>
  <c r="W49" i="3"/>
  <c r="W36" i="3"/>
  <c r="W19" i="3"/>
  <c r="W23" i="3" l="1"/>
  <c r="W25" i="3"/>
  <c r="W58" i="3"/>
  <c r="N4" i="6" s="1"/>
  <c r="W56" i="3"/>
  <c r="K4" i="6"/>
  <c r="H4" i="6"/>
  <c r="W37" i="3"/>
  <c r="W26" i="3"/>
  <c r="W24" i="3"/>
  <c r="W13" i="3"/>
  <c r="W35" i="3"/>
  <c r="B4" i="6"/>
  <c r="W48" i="3"/>
  <c r="W46" i="3"/>
  <c r="W15" i="3"/>
  <c r="D48" i="3"/>
  <c r="E48" i="3"/>
  <c r="F48" i="3"/>
  <c r="G48" i="3"/>
  <c r="H48" i="3"/>
  <c r="K48" i="3"/>
  <c r="L48" i="3"/>
  <c r="M48" i="3"/>
  <c r="N48" i="3"/>
  <c r="O48" i="3"/>
  <c r="P48" i="3"/>
  <c r="Q48" i="3"/>
  <c r="R48" i="3"/>
  <c r="S48" i="3"/>
  <c r="T48" i="3"/>
  <c r="U48" i="3"/>
  <c r="V48" i="3"/>
  <c r="D46" i="3"/>
  <c r="E46" i="3"/>
  <c r="F46" i="3"/>
  <c r="G46" i="3"/>
  <c r="H46" i="3"/>
  <c r="K46" i="3"/>
  <c r="L46" i="3"/>
  <c r="M46" i="3"/>
  <c r="N46" i="3"/>
  <c r="O46" i="3"/>
  <c r="P46" i="3"/>
  <c r="Q46" i="3"/>
  <c r="R46" i="3"/>
  <c r="S46" i="3"/>
  <c r="T46" i="3"/>
  <c r="U46" i="3"/>
  <c r="V46" i="3"/>
  <c r="D45" i="3"/>
  <c r="E45" i="3"/>
  <c r="F45" i="3"/>
  <c r="G45" i="3"/>
  <c r="H45" i="3"/>
  <c r="K45" i="3"/>
  <c r="L45" i="3"/>
  <c r="M45" i="3"/>
  <c r="N45" i="3"/>
  <c r="O45" i="3"/>
  <c r="P45" i="3"/>
  <c r="Q45" i="3"/>
  <c r="R45" i="3"/>
  <c r="S45" i="3"/>
  <c r="T45" i="3"/>
  <c r="U45" i="3"/>
  <c r="V45" i="3"/>
  <c r="D37" i="3"/>
  <c r="E37" i="3"/>
  <c r="F37" i="3"/>
  <c r="G37" i="3"/>
  <c r="H37" i="3"/>
  <c r="K37" i="3"/>
  <c r="L37" i="3"/>
  <c r="M37" i="3"/>
  <c r="N37" i="3"/>
  <c r="O37" i="3"/>
  <c r="P37" i="3"/>
  <c r="Q37" i="3"/>
  <c r="R37" i="3"/>
  <c r="S37" i="3"/>
  <c r="T37" i="3"/>
  <c r="U37" i="3"/>
  <c r="V37" i="3"/>
  <c r="D36" i="3"/>
  <c r="E36" i="3"/>
  <c r="F36" i="3"/>
  <c r="G36" i="3"/>
  <c r="H36" i="3"/>
  <c r="H22" i="6" s="1"/>
  <c r="K36" i="3"/>
  <c r="L36" i="3"/>
  <c r="M36" i="3"/>
  <c r="N36" i="3"/>
  <c r="O36" i="3"/>
  <c r="P36" i="3"/>
  <c r="Q36" i="3"/>
  <c r="R36" i="3"/>
  <c r="S36" i="3"/>
  <c r="T36" i="3"/>
  <c r="U36" i="3"/>
  <c r="V36" i="3"/>
  <c r="D35" i="3"/>
  <c r="E35" i="3"/>
  <c r="F35" i="3"/>
  <c r="G35" i="3"/>
  <c r="H35" i="3"/>
  <c r="K35" i="3"/>
  <c r="L35" i="3"/>
  <c r="M35" i="3"/>
  <c r="N35" i="3"/>
  <c r="O35" i="3"/>
  <c r="P35" i="3"/>
  <c r="Q35" i="3"/>
  <c r="R35" i="3"/>
  <c r="S35" i="3"/>
  <c r="T35" i="3"/>
  <c r="U35" i="3"/>
  <c r="V35" i="3"/>
  <c r="D34" i="3"/>
  <c r="E34" i="3"/>
  <c r="F34" i="3"/>
  <c r="G34" i="3"/>
  <c r="H34" i="3"/>
  <c r="K34" i="3"/>
  <c r="L34" i="3"/>
  <c r="M34" i="3"/>
  <c r="N34" i="3"/>
  <c r="O34" i="3"/>
  <c r="P34" i="3"/>
  <c r="Q34" i="3"/>
  <c r="R34" i="3"/>
  <c r="S34" i="3"/>
  <c r="T34" i="3"/>
  <c r="U34" i="3"/>
  <c r="V34" i="3"/>
  <c r="D26" i="3"/>
  <c r="E26" i="3"/>
  <c r="F26" i="3"/>
  <c r="G26" i="3"/>
  <c r="H26" i="3"/>
  <c r="K26" i="3"/>
  <c r="L26" i="3"/>
  <c r="M26" i="3"/>
  <c r="N26" i="3"/>
  <c r="O26" i="3"/>
  <c r="P26" i="3"/>
  <c r="Q26" i="3"/>
  <c r="R26" i="3"/>
  <c r="S26" i="3"/>
  <c r="T26" i="3"/>
  <c r="U26" i="3"/>
  <c r="V26" i="3"/>
  <c r="E25" i="3"/>
  <c r="F25" i="3"/>
  <c r="G25" i="3"/>
  <c r="H25" i="3"/>
  <c r="E22" i="6" s="1"/>
  <c r="K25" i="3"/>
  <c r="L25" i="3"/>
  <c r="M25" i="3"/>
  <c r="N25" i="3"/>
  <c r="O25" i="3"/>
  <c r="P25" i="3"/>
  <c r="Q25" i="3"/>
  <c r="R25" i="3"/>
  <c r="S25" i="3"/>
  <c r="T25" i="3"/>
  <c r="U25" i="3"/>
  <c r="V25" i="3"/>
  <c r="D24" i="3"/>
  <c r="E24" i="3"/>
  <c r="F24" i="3"/>
  <c r="G24" i="3"/>
  <c r="H24" i="3"/>
  <c r="K24" i="3"/>
  <c r="L24" i="3"/>
  <c r="M24" i="3"/>
  <c r="N24" i="3"/>
  <c r="O24" i="3"/>
  <c r="P24" i="3"/>
  <c r="Q24" i="3"/>
  <c r="R24" i="3"/>
  <c r="S24" i="3"/>
  <c r="T24" i="3"/>
  <c r="U24" i="3"/>
  <c r="V24" i="3"/>
  <c r="D23" i="3"/>
  <c r="E23" i="3"/>
  <c r="F23" i="3"/>
  <c r="G23" i="3"/>
  <c r="H23" i="3"/>
  <c r="K23" i="3"/>
  <c r="L23" i="3"/>
  <c r="M23" i="3"/>
  <c r="N23" i="3"/>
  <c r="O23" i="3"/>
  <c r="P23" i="3"/>
  <c r="Q23" i="3"/>
  <c r="R23" i="3"/>
  <c r="S23" i="3"/>
  <c r="T23" i="3"/>
  <c r="U23" i="3"/>
  <c r="V23" i="3"/>
  <c r="D15" i="3"/>
  <c r="E15" i="3"/>
  <c r="F15" i="3"/>
  <c r="G15" i="3"/>
  <c r="H15" i="3"/>
  <c r="K15" i="3"/>
  <c r="L15" i="3"/>
  <c r="M15" i="3"/>
  <c r="N15" i="3"/>
  <c r="P15" i="3"/>
  <c r="Q15" i="3"/>
  <c r="R15" i="3"/>
  <c r="S15" i="3"/>
  <c r="T15" i="3"/>
  <c r="U15" i="3"/>
  <c r="V15" i="3"/>
  <c r="E14" i="3"/>
  <c r="F14" i="3"/>
  <c r="G14" i="3"/>
  <c r="H14" i="3"/>
  <c r="B22" i="6" s="1"/>
  <c r="K14" i="3"/>
  <c r="L14" i="3"/>
  <c r="M14" i="3"/>
  <c r="N14" i="3"/>
  <c r="O14" i="3"/>
  <c r="P14" i="3"/>
  <c r="Q14" i="3"/>
  <c r="R14" i="3"/>
  <c r="S14" i="3"/>
  <c r="T14" i="3"/>
  <c r="U14" i="3"/>
  <c r="V14" i="3"/>
  <c r="D13" i="3"/>
  <c r="E13" i="3"/>
  <c r="G13" i="3"/>
  <c r="H13" i="3"/>
  <c r="K13" i="3"/>
  <c r="L13" i="3"/>
  <c r="M13" i="3"/>
  <c r="N13" i="3"/>
  <c r="O13" i="3"/>
  <c r="P13" i="3"/>
  <c r="Q13" i="3"/>
  <c r="R13" i="3"/>
  <c r="S13" i="3"/>
  <c r="T13" i="3"/>
  <c r="U13" i="3"/>
  <c r="V13" i="3"/>
  <c r="H12" i="3"/>
  <c r="M12" i="3"/>
  <c r="Q12" i="3"/>
  <c r="S12" i="3"/>
  <c r="T12" i="3"/>
  <c r="U12" i="3"/>
  <c r="V12" i="3"/>
  <c r="W59" i="3"/>
  <c r="V59" i="3"/>
  <c r="U59" i="3"/>
  <c r="T59" i="3"/>
  <c r="S59" i="3"/>
  <c r="R59" i="3"/>
  <c r="Q59" i="3"/>
  <c r="P59" i="3"/>
  <c r="O59" i="3"/>
  <c r="V58" i="3"/>
  <c r="U58" i="3"/>
  <c r="T58" i="3"/>
  <c r="S58" i="3"/>
  <c r="R58" i="3"/>
  <c r="Q58" i="3"/>
  <c r="P58" i="3"/>
  <c r="O58" i="3"/>
  <c r="W57" i="3"/>
  <c r="V57" i="3"/>
  <c r="U57" i="3"/>
  <c r="T57" i="3"/>
  <c r="S57" i="3"/>
  <c r="R57" i="3"/>
  <c r="Q57" i="3"/>
  <c r="P57" i="3"/>
  <c r="O57" i="3"/>
  <c r="U56" i="3"/>
  <c r="T56" i="3"/>
  <c r="S56" i="3"/>
  <c r="R56" i="3"/>
  <c r="Q56" i="3"/>
  <c r="P56" i="3"/>
  <c r="O56" i="3"/>
  <c r="N63" i="3" l="1"/>
  <c r="G62" i="3"/>
  <c r="B24" i="14" s="1"/>
  <c r="G63" i="3"/>
  <c r="N62" i="3"/>
  <c r="H24" i="6"/>
  <c r="E4" i="6"/>
  <c r="B24" i="6"/>
  <c r="N64" i="3"/>
  <c r="N65" i="3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AM39" i="10" l="1"/>
  <c r="AM38" i="10"/>
  <c r="AM36" i="10"/>
  <c r="AM35" i="10"/>
  <c r="AM34" i="10"/>
  <c r="AM33" i="10"/>
  <c r="B14" i="14"/>
  <c r="AM40" i="10" l="1"/>
  <c r="AM42" i="10"/>
  <c r="AM29" i="10"/>
  <c r="AM18" i="10"/>
  <c r="AM20" i="10"/>
  <c r="B12" i="6" s="1"/>
  <c r="AM21" i="10"/>
  <c r="AM19" i="10"/>
  <c r="AM41" i="10"/>
  <c r="AM43" i="10"/>
  <c r="AM31" i="10"/>
  <c r="AM30" i="10"/>
  <c r="AM32" i="10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B60" i="6"/>
  <c r="F41" i="2" l="1"/>
  <c r="N66" i="6" l="1"/>
  <c r="N44" i="6"/>
  <c r="N72" i="6"/>
  <c r="N70" i="6"/>
  <c r="N60" i="6"/>
  <c r="K66" i="6"/>
  <c r="K64" i="6"/>
  <c r="K72" i="6"/>
  <c r="K70" i="6"/>
  <c r="K68" i="6"/>
  <c r="K60" i="6"/>
  <c r="H66" i="6"/>
  <c r="H64" i="6"/>
  <c r="H72" i="6"/>
  <c r="H70" i="6"/>
  <c r="H68" i="6"/>
  <c r="H60" i="6"/>
  <c r="E66" i="6"/>
  <c r="E64" i="6"/>
  <c r="E72" i="6"/>
  <c r="E70" i="6"/>
  <c r="E68" i="6"/>
  <c r="B60" i="14" l="1"/>
  <c r="B54" i="14"/>
  <c r="Q68" i="10"/>
  <c r="B70" i="14" s="1"/>
  <c r="M68" i="10"/>
  <c r="B62" i="14" s="1"/>
  <c r="B56" i="14"/>
  <c r="E68" i="10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B64" i="6"/>
  <c r="E74" i="6"/>
  <c r="K74" i="6"/>
  <c r="B68" i="6"/>
  <c r="B72" i="6"/>
  <c r="B70" i="6"/>
  <c r="B54" i="6"/>
  <c r="B66" i="6"/>
  <c r="B74" i="6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J52" i="2"/>
  <c r="K52" i="2"/>
  <c r="F42" i="2"/>
  <c r="E42" i="2"/>
  <c r="H34" i="6" s="1"/>
  <c r="D40" i="2"/>
  <c r="D54" i="2"/>
  <c r="D53" i="2"/>
  <c r="D52" i="2"/>
  <c r="D51" i="2"/>
  <c r="E54" i="2"/>
  <c r="E53" i="2"/>
  <c r="K34" i="6" s="1"/>
  <c r="E52" i="2"/>
  <c r="F54" i="2"/>
  <c r="F53" i="2"/>
  <c r="F52" i="2"/>
  <c r="G42" i="2"/>
  <c r="G41" i="2"/>
  <c r="J18" i="2" l="1"/>
  <c r="C56" i="5"/>
  <c r="C67" i="5"/>
  <c r="C69" i="5"/>
  <c r="C57" i="5"/>
  <c r="C59" i="5"/>
  <c r="D67" i="5"/>
  <c r="C68" i="5"/>
  <c r="D68" i="5" s="1"/>
  <c r="C70" i="5"/>
  <c r="D70" i="5" s="1"/>
  <c r="E60" i="6"/>
  <c r="K1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B46" i="6" s="1"/>
  <c r="J20" i="2"/>
  <c r="B48" i="6"/>
  <c r="I18" i="2"/>
  <c r="H18" i="2"/>
  <c r="G20" i="4"/>
  <c r="C20" i="4"/>
  <c r="I11" i="4"/>
  <c r="I12" i="4"/>
  <c r="I14" i="4"/>
  <c r="I15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B26" i="6" s="1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K20" i="6" s="1"/>
  <c r="D53" i="4"/>
  <c r="C53" i="4"/>
  <c r="K18" i="6" s="1"/>
  <c r="G42" i="4"/>
  <c r="C15" i="3"/>
  <c r="C14" i="3"/>
  <c r="C45" i="3"/>
  <c r="G68" i="10"/>
  <c r="B42" i="14" s="1"/>
  <c r="N42" i="6"/>
  <c r="N34" i="6"/>
  <c r="N36" i="6"/>
  <c r="N38" i="6"/>
  <c r="I68" i="10"/>
  <c r="B38" i="14" s="1"/>
  <c r="C37" i="3"/>
  <c r="C36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25" i="3"/>
  <c r="C24" i="3"/>
  <c r="C23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B34" i="6" s="1"/>
  <c r="D20" i="2"/>
  <c r="B28" i="6" s="1"/>
  <c r="E18" i="2"/>
  <c r="D18" i="2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4" i="6" s="1"/>
  <c r="E32" i="2"/>
  <c r="D32" i="2"/>
  <c r="D31" i="2"/>
  <c r="E28" i="6" s="1"/>
  <c r="D30" i="2"/>
  <c r="D29" i="2"/>
  <c r="J21" i="2"/>
  <c r="H21" i="2"/>
  <c r="F21" i="2"/>
  <c r="E21" i="2"/>
  <c r="D21" i="2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56" i="3"/>
  <c r="E62" i="3" s="1"/>
  <c r="H57" i="3"/>
  <c r="H58" i="3"/>
  <c r="H59" i="3"/>
  <c r="E56" i="3"/>
  <c r="E57" i="3"/>
  <c r="E58" i="3"/>
  <c r="E59" i="3"/>
  <c r="H19" i="2"/>
  <c r="D19" i="2"/>
  <c r="C13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D69" i="11"/>
  <c r="D58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56" i="3"/>
  <c r="F73" i="2"/>
  <c r="C12" i="11"/>
  <c r="C67" i="11"/>
  <c r="C23" i="11"/>
  <c r="C34" i="11"/>
  <c r="C45" i="11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35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58" i="3"/>
  <c r="M58" i="3"/>
  <c r="N58" i="3"/>
  <c r="L56" i="3"/>
  <c r="M56" i="3"/>
  <c r="N56" i="3"/>
  <c r="C34" i="3"/>
  <c r="G55" i="8"/>
  <c r="G56" i="8"/>
  <c r="G54" i="8"/>
  <c r="G10" i="8"/>
  <c r="B55" i="8"/>
  <c r="G33" i="8"/>
  <c r="G32" i="8"/>
  <c r="C48" i="3"/>
  <c r="C59" i="8"/>
  <c r="H29" i="2"/>
  <c r="C46" i="3"/>
  <c r="C37" i="8"/>
  <c r="C15" i="5"/>
  <c r="F74" i="2"/>
  <c r="F76" i="2"/>
  <c r="H41" i="2"/>
  <c r="H43" i="2"/>
  <c r="C48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3" i="3"/>
  <c r="D75" i="2"/>
  <c r="C26" i="5"/>
  <c r="C59" i="3"/>
  <c r="C57" i="3"/>
  <c r="C35" i="3"/>
  <c r="C26" i="3"/>
  <c r="D74" i="2"/>
  <c r="D73" i="2"/>
  <c r="D76" i="2"/>
  <c r="C24" i="5"/>
  <c r="N57" i="3"/>
  <c r="M57" i="3"/>
  <c r="L57" i="3"/>
  <c r="G57" i="3"/>
  <c r="F57" i="3"/>
  <c r="D57" i="3"/>
  <c r="G56" i="3"/>
  <c r="F56" i="3"/>
  <c r="N59" i="3"/>
  <c r="M59" i="3"/>
  <c r="L59" i="3"/>
  <c r="K59" i="3"/>
  <c r="G59" i="3"/>
  <c r="F59" i="3"/>
  <c r="D59" i="3"/>
  <c r="G58" i="3"/>
  <c r="F58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F74" i="5" l="1"/>
  <c r="B10" i="14" s="1"/>
  <c r="B73" i="5"/>
  <c r="F75" i="5"/>
  <c r="I79" i="2"/>
  <c r="B52" i="14" s="1"/>
  <c r="D63" i="3"/>
  <c r="D62" i="3"/>
  <c r="D69" i="5"/>
  <c r="B74" i="5"/>
  <c r="B55" i="10"/>
  <c r="B56" i="10" s="1"/>
  <c r="B57" i="10" s="1"/>
  <c r="D68" i="4"/>
  <c r="F62" i="3"/>
  <c r="H18" i="6"/>
  <c r="N20" i="6"/>
  <c r="N18" i="6"/>
  <c r="AM65" i="10"/>
  <c r="AM64" i="10"/>
  <c r="E74" i="10" s="1"/>
  <c r="AM62" i="10"/>
  <c r="E73" i="10" s="1"/>
  <c r="AM63" i="10"/>
  <c r="I29" i="4"/>
  <c r="I51" i="4"/>
  <c r="I53" i="4"/>
  <c r="H79" i="2"/>
  <c r="L53" i="2"/>
  <c r="K8" i="6" s="1"/>
  <c r="L51" i="2"/>
  <c r="I18" i="4"/>
  <c r="E63" i="3"/>
  <c r="N22" i="6"/>
  <c r="L62" i="2"/>
  <c r="I62" i="4"/>
  <c r="K10" i="6"/>
  <c r="K26" i="6"/>
  <c r="H10" i="6"/>
  <c r="H26" i="6"/>
  <c r="F76" i="5"/>
  <c r="E10" i="6"/>
  <c r="E26" i="6"/>
  <c r="F63" i="3"/>
  <c r="E18" i="6"/>
  <c r="B18" i="6"/>
  <c r="N26" i="6"/>
  <c r="D69" i="4"/>
  <c r="B69" i="4"/>
  <c r="B68" i="4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K79" i="2"/>
  <c r="H20" i="6"/>
  <c r="E20" i="6"/>
  <c r="H68" i="10"/>
  <c r="B44" i="14" s="1"/>
  <c r="D79" i="2"/>
  <c r="B30" i="14" s="1"/>
  <c r="B20" i="6"/>
  <c r="E79" i="2"/>
  <c r="B34" i="14" s="1"/>
  <c r="J79" i="2"/>
  <c r="B10" i="6"/>
  <c r="B40" i="6"/>
  <c r="E12" i="6"/>
  <c r="B42" i="6"/>
  <c r="B38" i="6"/>
  <c r="B36" i="6"/>
  <c r="I64" i="4"/>
  <c r="N6" i="6" s="1"/>
  <c r="I63" i="4"/>
  <c r="I65" i="4"/>
  <c r="I52" i="4"/>
  <c r="I54" i="4"/>
  <c r="F73" i="5"/>
  <c r="I41" i="4"/>
  <c r="H6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N76" i="6" l="1"/>
  <c r="N12" i="6"/>
  <c r="N14" i="6" s="1"/>
  <c r="E76" i="6"/>
  <c r="I68" i="4"/>
  <c r="K6" i="6"/>
  <c r="K14" i="6" s="1"/>
  <c r="B6" i="14"/>
  <c r="B6" i="6"/>
  <c r="I71" i="4"/>
  <c r="E75" i="10"/>
  <c r="E76" i="10"/>
  <c r="I70" i="4"/>
  <c r="B20" i="14"/>
  <c r="B28" i="14"/>
  <c r="B50" i="14"/>
  <c r="B12" i="14"/>
  <c r="B26" i="14"/>
  <c r="H12" i="6"/>
  <c r="K76" i="6"/>
  <c r="H76" i="6"/>
  <c r="E6" i="6"/>
  <c r="E14" i="6" s="1"/>
  <c r="H14" i="6" l="1"/>
  <c r="F79" i="2"/>
  <c r="B32" i="14" l="1"/>
  <c r="G19" i="2"/>
  <c r="G21" i="2"/>
  <c r="G18" i="2"/>
  <c r="G79" i="2" s="1"/>
  <c r="B36" i="14" s="1"/>
  <c r="G20" i="2"/>
  <c r="B32" i="6" s="1"/>
  <c r="B76" i="6" s="1"/>
  <c r="L12" i="2"/>
  <c r="L18" i="2" l="1"/>
  <c r="L20" i="2"/>
  <c r="B8" i="6" s="1"/>
  <c r="B14" i="6" s="1"/>
  <c r="M80" i="2"/>
  <c r="B8" i="14" s="1"/>
  <c r="B16" i="14" s="1"/>
  <c r="L19" i="2"/>
  <c r="M82" i="2" s="1"/>
  <c r="L21" i="2"/>
  <c r="M81" i="2" s="1"/>
  <c r="G80" i="2"/>
  <c r="M79" i="2" l="1"/>
  <c r="Q22" i="6" s="1"/>
  <c r="Q28" i="6" s="1"/>
  <c r="Q13" i="6"/>
  <c r="Q18" i="6"/>
  <c r="B80" i="2"/>
  <c r="B79" i="2"/>
  <c r="B76" i="14"/>
</calcChain>
</file>

<file path=xl/sharedStrings.xml><?xml version="1.0" encoding="utf-8"?>
<sst xmlns="http://schemas.openxmlformats.org/spreadsheetml/2006/main" count="858" uniqueCount="132">
  <si>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</si>
  <si>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</si>
  <si>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</si>
  <si>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</si>
  <si>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</si>
  <si>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</si>
  <si>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</si>
  <si>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</si>
  <si>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</si>
  <si>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</si>
  <si>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</si>
  <si>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</si>
  <si>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</si>
  <si>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</si>
  <si>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</si>
  <si>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</si>
  <si>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</si>
  <si>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</si>
  <si>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</si>
  <si>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</si>
  <si>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</si>
  <si>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</si>
  <si>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</si>
  <si>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</si>
  <si>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</si>
  <si>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</si>
  <si>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</si>
  <si>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</si>
  <si>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</si>
  <si>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</si>
  <si>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</si>
  <si>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</si>
  <si>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</si>
  <si>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</si>
  <si>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</si>
  <si>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</si>
  <si>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</si>
  <si>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</si>
  <si>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</si>
  <si>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</si>
  <si>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</si>
  <si>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</si>
  <si>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</si>
  <si>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</si>
  <si>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</si>
  <si>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</si>
  <si>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</si>
  <si>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</si>
  <si>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</si>
  <si>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</si>
  <si>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</si>
  <si>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</si>
  <si>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</si>
  <si>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</si>
  <si>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</si>
  <si>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</si>
  <si>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</si>
  <si>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</si>
  <si>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</si>
  <si>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</si>
  <si>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</si>
  <si>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</si>
  <si>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</si>
  <si>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</si>
  <si>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</si>
  <si>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</si>
  <si>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</si>
  <si>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</si>
  <si>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</si>
  <si>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</si>
  <si>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</si>
  <si>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</si>
  <si>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</si>
  <si>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</si>
  <si>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</si>
  <si>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</si>
  <si>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</si>
  <si>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</si>
  <si>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</si>
  <si>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</si>
  <si>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</si>
  <si>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</si>
  <si>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</si>
  <si>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</si>
  <si>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</si>
  <si>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</si>
  <si>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</si>
  <si>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</si>
  <si>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</si>
  <si>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</si>
  <si>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</si>
  <si>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</si>
  <si>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</si>
  <si>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</si>
  <si>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</si>
  <si>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</si>
  <si>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</si>
  <si>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</si>
  <si>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</si>
  <si>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</si>
  <si>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</si>
  <si>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</si>
  <si>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</si>
  <si>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</si>
  <si>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</si>
  <si>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</si>
  <si>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</si>
  <si>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</si>
  <si>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</si>
  <si>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</si>
  <si>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</si>
  <si>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</si>
  <si>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</si>
  <si>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</si>
  <si>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</si>
  <si>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</si>
  <si>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</si>
  <si>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</si>
  <si>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</si>
  <si>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</si>
  <si>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</si>
  <si>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</si>
  <si>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</si>
  <si>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</si>
  <si>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</si>
  <si>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</si>
  <si>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</si>
  <si>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3/1/21 --3/5/21</t>
  </si>
  <si>
    <t>3/8/2021--3/12/2021</t>
  </si>
  <si>
    <t>3/15/21--3/19/21</t>
  </si>
  <si>
    <t>3/22/21 -- 3/26/21</t>
  </si>
  <si>
    <t>3/29/21 -- 3/31/21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</si>
</sst>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F800]dddd\,\ mmmm\ dd\,\ yyyy"/>
    <numFmt numFmtId="167" formatCode="_(* #,##0_);_(* \(#,##0\);_(* &quot;&quot;_);_(@_)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816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9" fillId="0" borderId="19" xfId="0" applyNumberFormat="1" applyFont="1" applyFill="1" applyBorder="1" applyAlignment="1">
      <alignment horizontal="right"/>
    </xf>
    <xf numFmtId="1" fontId="19" fillId="0" borderId="40" xfId="0" applyNumberFormat="1" applyFont="1" applyFill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" fillId="0" borderId="40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9" fillId="0" borderId="19" xfId="0" applyNumberFormat="1" applyFont="1" applyBorder="1" applyAlignment="1">
      <alignment horizontal="right"/>
    </xf>
    <xf numFmtId="1" fontId="19" fillId="0" borderId="40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" fillId="0" borderId="36" xfId="0" applyNumberFormat="1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9" fillId="0" borderId="21" xfId="0" applyNumberFormat="1" applyFont="1" applyFill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" fillId="0" borderId="66" xfId="0" applyNumberFormat="1" applyFont="1" applyBorder="1" applyAlignment="1">
      <alignment horizontal="right"/>
    </xf>
    <xf numFmtId="1" fontId="1" fillId="0" borderId="37" xfId="0" applyNumberFormat="1" applyFont="1" applyFill="1" applyBorder="1" applyAlignment="1">
      <alignment horizontal="right"/>
    </xf>
    <xf numFmtId="1" fontId="1" fillId="0" borderId="73" xfId="0" applyNumberFormat="1" applyFont="1" applyFill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 wrapText="1"/>
    </xf>
    <xf numFmtId="1" fontId="1" fillId="0" borderId="68" xfId="0" applyNumberFormat="1" applyFont="1" applyFill="1" applyBorder="1" applyAlignment="1">
      <alignment horizontal="right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50" xfId="0" applyNumberFormat="1" applyFont="1" applyBorder="1" applyAlignment="1">
      <alignment horizontal="right"/>
    </xf>
    <xf numFmtId="3" fontId="21" fillId="5" borderId="19" xfId="0" applyNumberFormat="1" applyFont="1" applyFill="1" applyBorder="1" applyAlignment="1">
      <alignment horizontal="right"/>
    </xf>
    <xf numFmtId="167" fontId="0" fillId="0" borderId="21" xfId="0" applyNumberFormat="1" applyBorder="1"/>
    <xf numFmtId="0" fontId="0" fillId="0" borderId="21" xfId="0" applyBorder="1"/>
    <xf numFmtId="3" fontId="12" fillId="0" borderId="17" xfId="0" applyNumberFormat="1" applyFont="1" applyFill="1" applyBorder="1" applyAlignment="1">
      <alignment horizontal="right"/>
    </xf>
    <xf numFmtId="0" fontId="0" fillId="0" borderId="17" xfId="0" applyFill="1" applyBorder="1"/>
    <xf numFmtId="3" fontId="12" fillId="0" borderId="35" xfId="0" applyNumberFormat="1" applyFont="1" applyBorder="1" applyAlignment="1">
      <alignment horizontal="right"/>
    </xf>
    <xf numFmtId="3" fontId="12" fillId="4" borderId="18" xfId="0" applyNumberFormat="1" applyFont="1" applyFill="1" applyBorder="1" applyAlignment="1">
      <alignment horizontal="right"/>
    </xf>
    <xf numFmtId="41" fontId="1" fillId="0" borderId="21" xfId="0" applyNumberFormat="1" applyFont="1" applyBorder="1" applyAlignment="1">
      <alignment horizontal="right"/>
    </xf>
    <xf numFmtId="41" fontId="1" fillId="0" borderId="28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0" fontId="29" fillId="0" borderId="0" xfId="0" applyFont="1" applyFill="1" applyAlignment="1">
      <alignment horizontal="right"/>
    </xf>
    <xf numFmtId="3" fontId="19" fillId="0" borderId="42" xfId="0" applyNumberFormat="1" applyFont="1" applyFill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20" fillId="3" borderId="3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 wrapText="1"/>
    </xf>
    <xf numFmtId="3" fontId="20" fillId="4" borderId="29" xfId="0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N12" sqref="N12:N13"/>
    </sheetView>
  </sheetViews>
  <sheetFormatPr defaultColWidth="9.1796875" defaultRowHeight="12.5" x14ac:dyDescent="0.25"/>
  <cols>
    <col min="1" max="1" width="26.54296875" style="96" bestFit="1" customWidth="1"/>
    <col min="2" max="2" width="8.81640625" style="96" customWidth="1"/>
    <col min="3" max="3" width="3.54296875" style="96" customWidth="1"/>
    <col min="4" max="4" width="26.54296875" style="96" bestFit="1" customWidth="1"/>
    <col min="5" max="5" width="8.7265625" style="96" bestFit="1" customWidth="1"/>
    <col min="6" max="6" width="3.7265625" style="96" customWidth="1"/>
    <col min="7" max="7" width="26.54296875" style="96" bestFit="1" customWidth="1"/>
    <col min="8" max="8" width="7.54296875" style="96" bestFit="1" customWidth="1"/>
    <col min="9" max="9" width="3.7265625" style="96" customWidth="1"/>
    <col min="10" max="10" width="26.54296875" style="96" bestFit="1" customWidth="1"/>
    <col min="11" max="11" width="11.1796875" style="96" customWidth="1"/>
    <col min="12" max="12" width="3.7265625" style="96" customWidth="1"/>
    <col min="13" max="13" width="26.54296875" style="358" bestFit="1" customWidth="1"/>
    <col min="14" max="14" width="11.1796875" style="358" customWidth="1"/>
    <col min="15" max="15" width="3.7265625" style="96" customWidth="1"/>
    <col min="16" max="16" width="36.54296875" style="96" bestFit="1" customWidth="1"/>
    <col min="17" max="17" width="9.1796875" style="96" bestFit="1" customWidth="1"/>
    <col min="18" max="18" width="61.7265625" style="96" bestFit="1" customWidth="1"/>
    <col min="19" max="16384" width="9.1796875" style="96"/>
  </cols>
  <sheetData>
    <row r="1" spans="1:17" x14ac:dyDescent="0.25">
      <c r="A1" s="612" t="s">
        <v>41</v>
      </c>
      <c r="B1" s="613"/>
      <c r="C1" s="80"/>
      <c r="D1" s="612" t="s">
        <v>41</v>
      </c>
      <c r="E1" s="613"/>
      <c r="F1" s="41"/>
      <c r="G1" s="612" t="s">
        <v>41</v>
      </c>
      <c r="H1" s="613"/>
      <c r="I1" s="81"/>
      <c r="J1" s="612" t="s">
        <v>41</v>
      </c>
      <c r="K1" s="613"/>
      <c r="L1" s="81"/>
      <c r="M1" s="612" t="s">
        <v>41</v>
      </c>
      <c r="N1" s="661"/>
    </row>
    <row r="2" spans="1:17" ht="15.75" customHeight="1" x14ac:dyDescent="0.25">
      <c r="A2" s="621" t="s">
        <v>127</v>
      </c>
      <c r="B2" s="621"/>
      <c r="C2" s="82"/>
      <c r="D2" s="614" t="s">
        <v>128</v>
      </c>
      <c r="E2" s="615"/>
      <c r="F2" s="82"/>
      <c r="G2" s="614" t="s">
        <v>129</v>
      </c>
      <c r="H2" s="615"/>
      <c r="I2" s="83"/>
      <c r="J2" s="619" t="s">
        <v>130</v>
      </c>
      <c r="K2" s="620"/>
      <c r="L2" s="81"/>
      <c r="M2" s="619" t="s">
        <v>131</v>
      </c>
      <c r="N2" s="620"/>
    </row>
    <row r="3" spans="1:17" ht="13" thickBot="1" x14ac:dyDescent="0.3">
      <c r="A3" s="616" t="s">
        <v>42</v>
      </c>
      <c r="B3" s="617"/>
      <c r="C3" s="80"/>
      <c r="D3" s="616" t="s">
        <v>42</v>
      </c>
      <c r="E3" s="617"/>
      <c r="F3" s="81"/>
      <c r="G3" s="616" t="s">
        <v>42</v>
      </c>
      <c r="H3" s="617"/>
      <c r="I3" s="81"/>
      <c r="J3" s="616" t="s">
        <v>42</v>
      </c>
      <c r="K3" s="618"/>
      <c r="L3" s="81"/>
      <c r="M3" s="616" t="s">
        <v>42</v>
      </c>
      <c r="N3" s="662"/>
    </row>
    <row r="4" spans="1:17" s="97" customFormat="1" ht="13" customHeight="1" x14ac:dyDescent="0.25">
      <c r="A4" s="609" t="s">
        <v>43</v>
      </c>
      <c r="B4" s="596">
        <f>'NY Waterway-(Port Imperial FC)'!W14</f>
        <v>14097</v>
      </c>
      <c r="C4" s="7"/>
      <c r="D4" s="609" t="s">
        <v>43</v>
      </c>
      <c r="E4" s="596">
        <f>'NY Waterway-(Port Imperial FC)'!W25</f>
        <v>16565</v>
      </c>
      <c r="F4" s="84"/>
      <c r="G4" s="609" t="s">
        <v>43</v>
      </c>
      <c r="H4" s="596">
        <f>'NY Waterway-(Port Imperial FC)'!W36</f>
        <v>14715</v>
      </c>
      <c r="I4" s="84"/>
      <c r="J4" s="609" t="s">
        <v>43</v>
      </c>
      <c r="K4" s="596">
        <f>'NY Waterway-(Port Imperial FC)'!W47</f>
        <v>18864</v>
      </c>
      <c r="L4" s="84"/>
      <c r="M4" s="609" t="s">
        <v>43</v>
      </c>
      <c r="N4" s="596">
        <f>'NY Waterway-(Port Imperial FC)'!W58</f>
        <v>12343</v>
      </c>
    </row>
    <row r="5" spans="1:17" s="97" customFormat="1" ht="13" customHeight="1" thickBot="1" x14ac:dyDescent="0.3">
      <c r="A5" s="610"/>
      <c r="B5" s="597"/>
      <c r="C5" s="8"/>
      <c r="D5" s="610"/>
      <c r="E5" s="597"/>
      <c r="F5" s="84"/>
      <c r="G5" s="610"/>
      <c r="H5" s="611"/>
      <c r="I5" s="84"/>
      <c r="J5" s="610"/>
      <c r="K5" s="611"/>
      <c r="L5" s="84"/>
      <c r="M5" s="610"/>
      <c r="N5" s="611"/>
    </row>
    <row r="6" spans="1:17" s="97" customFormat="1" ht="13" customHeight="1" x14ac:dyDescent="0.25">
      <c r="A6" s="609" t="s">
        <v>44</v>
      </c>
      <c r="B6" s="596">
        <f>SUM(SeaStreak!I20)</f>
        <v>2990</v>
      </c>
      <c r="C6" s="7"/>
      <c r="D6" s="609" t="s">
        <v>44</v>
      </c>
      <c r="E6" s="596">
        <f>SUM(SeaStreak!I31)</f>
        <v>3248</v>
      </c>
      <c r="F6" s="84"/>
      <c r="G6" s="609" t="s">
        <v>44</v>
      </c>
      <c r="H6" s="596">
        <f>SUM(SeaStreak!I42)</f>
        <v>2947</v>
      </c>
      <c r="I6" s="84"/>
      <c r="J6" s="609" t="s">
        <v>44</v>
      </c>
      <c r="K6" s="596">
        <f>SUM(SeaStreak!I53)</f>
        <v>3355</v>
      </c>
      <c r="L6" s="84"/>
      <c r="M6" s="609" t="s">
        <v>44</v>
      </c>
      <c r="N6" s="596">
        <f>SeaStreak!I64</f>
        <v>2048</v>
      </c>
    </row>
    <row r="7" spans="1:17" s="97" customFormat="1" ht="13" customHeight="1" thickBot="1" x14ac:dyDescent="0.3">
      <c r="A7" s="622"/>
      <c r="B7" s="597"/>
      <c r="C7" s="85"/>
      <c r="D7" s="622"/>
      <c r="E7" s="611"/>
      <c r="F7" s="84"/>
      <c r="G7" s="622"/>
      <c r="H7" s="611"/>
      <c r="I7" s="84"/>
      <c r="J7" s="622"/>
      <c r="K7" s="611"/>
      <c r="L7" s="84"/>
      <c r="M7" s="622"/>
      <c r="N7" s="611"/>
    </row>
    <row r="8" spans="1:17" s="97" customFormat="1" ht="13" customHeight="1" x14ac:dyDescent="0.25">
      <c r="A8" s="598" t="s">
        <v>45</v>
      </c>
      <c r="B8" s="596">
        <f>SUM('New York Water Taxi'!L20)</f>
        <v>1537</v>
      </c>
      <c r="C8" s="9"/>
      <c r="D8" s="598" t="s">
        <v>45</v>
      </c>
      <c r="E8" s="623">
        <f>SUM('New York Water Taxi'!L31)</f>
        <v>1604</v>
      </c>
      <c r="F8" s="84"/>
      <c r="G8" s="598" t="s">
        <v>45</v>
      </c>
      <c r="H8" s="623">
        <f>SUM('New York Water Taxi'!L42)</f>
        <v>1426</v>
      </c>
      <c r="I8" s="84"/>
      <c r="J8" s="598" t="s">
        <v>45</v>
      </c>
      <c r="K8" s="623">
        <f>SUM('New York Water Taxi'!L53)</f>
        <v>1539</v>
      </c>
      <c r="L8" s="84"/>
      <c r="M8" s="598" t="s">
        <v>45</v>
      </c>
      <c r="N8" s="623">
        <f>'New York Water Taxi'!L64</f>
        <v>871</v>
      </c>
    </row>
    <row r="9" spans="1:17" s="97" customFormat="1" ht="13" customHeight="1" thickBot="1" x14ac:dyDescent="0.3">
      <c r="A9" s="604"/>
      <c r="B9" s="597"/>
      <c r="C9" s="86"/>
      <c r="D9" s="604"/>
      <c r="E9" s="624"/>
      <c r="F9" s="84"/>
      <c r="G9" s="604"/>
      <c r="H9" s="625"/>
      <c r="I9" s="84"/>
      <c r="J9" s="604"/>
      <c r="K9" s="625"/>
      <c r="L9" s="84"/>
      <c r="M9" s="604"/>
      <c r="N9" s="625"/>
    </row>
    <row r="10" spans="1:17" s="97" customFormat="1" ht="13" customHeight="1" x14ac:dyDescent="0.25">
      <c r="A10" s="630" t="s">
        <v>31</v>
      </c>
      <c r="B10" s="596">
        <f>'Liberty Landing Ferry'!C14</f>
        <v>0</v>
      </c>
      <c r="C10" s="9"/>
      <c r="D10" s="630" t="s">
        <v>31</v>
      </c>
      <c r="E10" s="623">
        <f>'Liberty Landing Ferry'!C25</f>
        <v>0</v>
      </c>
      <c r="F10" s="84"/>
      <c r="G10" s="630" t="s">
        <v>31</v>
      </c>
      <c r="H10" s="623">
        <f>'Liberty Landing Ferry'!C36</f>
        <v>0</v>
      </c>
      <c r="I10" s="84"/>
      <c r="J10" s="630" t="s">
        <v>31</v>
      </c>
      <c r="K10" s="623">
        <f>'Liberty Landing Ferry'!C47</f>
        <v>0</v>
      </c>
      <c r="L10" s="84"/>
      <c r="M10" s="630" t="s">
        <v>31</v>
      </c>
      <c r="N10" s="623">
        <f>'Liberty Landing Ferry'!C58</f>
        <v>0</v>
      </c>
    </row>
    <row r="11" spans="1:17" s="97" customFormat="1" ht="13" customHeight="1" thickBot="1" x14ac:dyDescent="0.3">
      <c r="A11" s="631"/>
      <c r="B11" s="597"/>
      <c r="C11" s="86"/>
      <c r="D11" s="631"/>
      <c r="E11" s="624"/>
      <c r="F11" s="84"/>
      <c r="G11" s="631"/>
      <c r="H11" s="625"/>
      <c r="I11" s="84"/>
      <c r="J11" s="631"/>
      <c r="K11" s="625"/>
      <c r="L11" s="84"/>
      <c r="M11" s="631"/>
      <c r="N11" s="625"/>
    </row>
    <row r="12" spans="1:17" s="177" customFormat="1" ht="13" customHeight="1" thickBot="1" x14ac:dyDescent="0.3">
      <c r="A12" s="630" t="s">
        <v>67</v>
      </c>
      <c r="B12" s="623">
        <f>'NYC Ferry'!AM20</f>
        <v>29207</v>
      </c>
      <c r="C12" s="86"/>
      <c r="D12" s="630" t="s">
        <v>67</v>
      </c>
      <c r="E12" s="623">
        <f>'NYC Ferry'!AM31</f>
        <v>42972</v>
      </c>
      <c r="F12" s="176"/>
      <c r="G12" s="630" t="s">
        <v>67</v>
      </c>
      <c r="H12" s="623">
        <f>'NYC Ferry'!AM42</f>
        <v>27287</v>
      </c>
      <c r="I12" s="176"/>
      <c r="J12" s="630" t="s">
        <v>67</v>
      </c>
      <c r="K12" s="623">
        <f>'NYC Ferry'!AM53</f>
        <v>39981</v>
      </c>
      <c r="L12" s="176"/>
      <c r="M12" s="630" t="s">
        <v>67</v>
      </c>
      <c r="N12" s="623">
        <f>'NYC Ferry'!AM64</f>
        <v>33847</v>
      </c>
    </row>
    <row r="13" spans="1:17" s="177" customFormat="1" ht="13" customHeight="1" thickBot="1" x14ac:dyDescent="0.3">
      <c r="A13" s="631"/>
      <c r="B13" s="624"/>
      <c r="C13" s="86"/>
      <c r="D13" s="631"/>
      <c r="E13" s="624"/>
      <c r="F13" s="176"/>
      <c r="G13" s="631"/>
      <c r="H13" s="624"/>
      <c r="I13" s="176"/>
      <c r="J13" s="631"/>
      <c r="K13" s="624"/>
      <c r="L13" s="176"/>
      <c r="M13" s="631"/>
      <c r="N13" s="624"/>
      <c r="P13" s="626" t="s">
        <v>113</v>
      </c>
      <c r="Q13" s="628" t="e">
        <f>AVERAGE('NYC Ferry'!E76,'NY Waterway-(Port Imperial FC)'!N64,SeaStreak!I70,'New York Water Taxi'!M81,'Liberty Landing Ferry'!F75)</f>
        <v>#DIV/0!</v>
      </c>
    </row>
    <row r="14" spans="1:17" s="88" customFormat="1" ht="13" customHeight="1" x14ac:dyDescent="0.25">
      <c r="A14" s="626" t="s">
        <v>17</v>
      </c>
      <c r="B14" s="628">
        <f>SUM(B4:B13)</f>
        <v>47831</v>
      </c>
      <c r="C14" s="10"/>
      <c r="D14" s="626" t="s">
        <v>17</v>
      </c>
      <c r="E14" s="628">
        <f>SUM(E4:E13)</f>
        <v>64389</v>
      </c>
      <c r="F14" s="87"/>
      <c r="G14" s="626" t="s">
        <v>17</v>
      </c>
      <c r="H14" s="628">
        <f>SUM(H4:H13)</f>
        <v>46375</v>
      </c>
      <c r="I14" s="87"/>
      <c r="J14" s="626" t="s">
        <v>17</v>
      </c>
      <c r="K14" s="628">
        <f>SUM(K4:K13)</f>
        <v>63739</v>
      </c>
      <c r="L14" s="87"/>
      <c r="M14" s="626" t="s">
        <v>17</v>
      </c>
      <c r="N14" s="628">
        <f>SUM(N4:N13)</f>
        <v>49109</v>
      </c>
      <c r="P14" s="663"/>
      <c r="Q14" s="648"/>
    </row>
    <row r="15" spans="1:17" s="88" customFormat="1" ht="13" customHeight="1" thickBot="1" x14ac:dyDescent="0.3">
      <c r="A15" s="627"/>
      <c r="B15" s="629"/>
      <c r="C15" s="89"/>
      <c r="D15" s="627"/>
      <c r="E15" s="629"/>
      <c r="F15" s="87"/>
      <c r="G15" s="627"/>
      <c r="H15" s="629"/>
      <c r="I15" s="87"/>
      <c r="J15" s="627"/>
      <c r="K15" s="629"/>
      <c r="L15" s="87"/>
      <c r="M15" s="627"/>
      <c r="N15" s="629"/>
      <c r="P15" s="663"/>
      <c r="Q15" s="648"/>
    </row>
    <row r="16" spans="1:17" s="97" customFormat="1" ht="13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66"/>
      <c r="N16" s="367"/>
      <c r="P16" s="664"/>
      <c r="Q16" s="649"/>
    </row>
    <row r="17" spans="1:17" ht="13" thickBot="1" x14ac:dyDescent="0.3">
      <c r="A17" s="632" t="s">
        <v>46</v>
      </c>
      <c r="B17" s="633"/>
      <c r="C17" s="80"/>
      <c r="D17" s="632" t="s">
        <v>46</v>
      </c>
      <c r="E17" s="633"/>
      <c r="F17" s="81"/>
      <c r="G17" s="632" t="s">
        <v>46</v>
      </c>
      <c r="H17" s="633"/>
      <c r="I17" s="81"/>
      <c r="J17" s="632" t="s">
        <v>46</v>
      </c>
      <c r="K17" s="634"/>
      <c r="L17" s="81"/>
      <c r="M17" s="632" t="s">
        <v>46</v>
      </c>
      <c r="N17" s="659"/>
      <c r="P17" s="10"/>
      <c r="Q17" s="10"/>
    </row>
    <row r="18" spans="1:17" ht="13" customHeight="1" x14ac:dyDescent="0.25">
      <c r="A18" s="609" t="s">
        <v>10</v>
      </c>
      <c r="B18" s="596">
        <f>SUM('NY Waterway-(Port Imperial FC)'!C14:G14, 'New York Water Taxi'!J20:J20, SeaStreak!C20:D20,'NYC Ferry'!C20,'NYC Ferry'!J20,'NYC Ferry'!M20,'NYC Ferry'!T20,'NYC Ferry'!AA20,'NYC Ferry'!AF20,'NYC Ferry'!AK20)</f>
        <v>6702</v>
      </c>
      <c r="C18" s="7"/>
      <c r="D18" s="609" t="s">
        <v>10</v>
      </c>
      <c r="E18" s="596">
        <f>SUM('NY Waterway-(Port Imperial FC)'!C25:G25, 'New York Water Taxi'!J31:J31, SeaStreak!C31:D31,'NYC Ferry'!C31,'NYC Ferry'!J31,'NYC Ferry'!M31,'NYC Ferry'!T31,'NYC Ferry'!AA31,'NYC Ferry'!AF31,'NYC Ferry'!AK31)</f>
        <v>9654</v>
      </c>
      <c r="F18" s="81"/>
      <c r="G18" s="609" t="s">
        <v>10</v>
      </c>
      <c r="H18" s="596">
        <f>SUM('NY Waterway-(Port Imperial FC)'!C36:G36, 'New York Water Taxi'!J42:J42, SeaStreak!C42:D42,'NYC Ferry'!C42,'NYC Ferry'!J42,'NYC Ferry'!M42,'NYC Ferry'!T42,'NYC Ferry'!AA42,'NYC Ferry'!AF42,'NYC Ferry'!AK42)</f>
        <v>6586</v>
      </c>
      <c r="I18" s="81"/>
      <c r="J18" s="609" t="s">
        <v>10</v>
      </c>
      <c r="K18" s="596">
        <f>SUM('NY Waterway-(Port Imperial FC)'!C47:G47, 'New York Water Taxi'!J53:J53, SeaStreak!C53:D53,'NYC Ferry'!C53,'NYC Ferry'!J53,'NYC Ferry'!M53,'NYC Ferry'!T53,'NYC Ferry'!AA53,'NYC Ferry'!AF53,'NYC Ferry'!AK53)</f>
        <v>9081</v>
      </c>
      <c r="L18" s="81"/>
      <c r="M18" s="609" t="s">
        <v>10</v>
      </c>
      <c r="N18" s="596">
        <f>SUM('NY Waterway-(Port Imperial FC)'!C58:G58, 'New York Water Taxi'!J64:J64, SeaStreak!C64:D64,'NYC Ferry'!C64,'NYC Ferry'!J64,'NYC Ferry'!M64,'NYC Ferry'!T64,'NYC Ferry'!AA64,'NYC Ferry'!AF64,'NYC Ferry'!AK64)</f>
        <v>6644</v>
      </c>
      <c r="P18" s="650" t="s">
        <v>114</v>
      </c>
      <c r="Q18" s="653" t="e">
        <f>SUM('NYC Ferry'!E76,'NY Waterway-(Port Imperial FC)'!N64,SeaStreak!I70,'New York Water Taxi'!M81,'Liberty Landing Ferry'!F75)</f>
        <v>#DIV/0!</v>
      </c>
    </row>
    <row r="19" spans="1:17" ht="13" customHeight="1" thickBot="1" x14ac:dyDescent="0.3">
      <c r="A19" s="610"/>
      <c r="B19" s="611"/>
      <c r="C19" s="8"/>
      <c r="D19" s="610"/>
      <c r="E19" s="597"/>
      <c r="F19" s="81"/>
      <c r="G19" s="610"/>
      <c r="H19" s="597"/>
      <c r="I19" s="81"/>
      <c r="J19" s="610"/>
      <c r="K19" s="597"/>
      <c r="L19" s="81"/>
      <c r="M19" s="610"/>
      <c r="N19" s="611"/>
      <c r="P19" s="651"/>
      <c r="Q19" s="654"/>
    </row>
    <row r="20" spans="1:17" ht="13" customHeight="1" thickBot="1" x14ac:dyDescent="0.3">
      <c r="A20" s="609" t="s">
        <v>13</v>
      </c>
      <c r="B20" s="596">
        <f>SUM(SeaStreak!G20:H20,'New York Water Taxi'!H20,'NYC Ferry'!I20,'NYC Ferry'!V20,'NYC Ferry'!AB20,'NYC Ferry'!AI20)</f>
        <v>8822</v>
      </c>
      <c r="C20" s="7"/>
      <c r="D20" s="609" t="s">
        <v>13</v>
      </c>
      <c r="E20" s="596">
        <f>SUM(SeaStreak!G31:H31,'New York Water Taxi'!H31, 'NYC Ferry'!I31,'NYC Ferry'!V31,'NYC Ferry'!AB31,'NYC Ferry'!AI31)</f>
        <v>11179</v>
      </c>
      <c r="F20" s="81"/>
      <c r="G20" s="609" t="s">
        <v>13</v>
      </c>
      <c r="H20" s="596">
        <f>SUM(SeaStreak!G42:H42,'New York Water Taxi'!H42, 'NYC Ferry'!I42,'NYC Ferry'!V42,'NYC Ferry'!AB42,'NYC Ferry'!AI42)</f>
        <v>8198</v>
      </c>
      <c r="I20" s="81"/>
      <c r="J20" s="609" t="s">
        <v>13</v>
      </c>
      <c r="K20" s="596">
        <f>SUM(SeaStreak!G53:H53,'New York Water Taxi'!H53,'NYC Ferry'!I53,'NYC Ferry'!V53,'NYC Ferry'!AB53,'NYC Ferry'!AI53)</f>
        <v>10517</v>
      </c>
      <c r="L20" s="81"/>
      <c r="M20" s="609" t="s">
        <v>13</v>
      </c>
      <c r="N20" s="596">
        <f>SUM(SeaStreak!G64:H64,'New York Water Taxi'!H64,'NYC Ferry'!I64,'NYC Ferry'!V64,'NYC Ferry'!AB64,'NYC Ferry'!AI64)</f>
        <v>5207</v>
      </c>
      <c r="P20" s="652"/>
      <c r="Q20" s="655"/>
    </row>
    <row r="21" spans="1:17" ht="13" customHeight="1" thickBot="1" x14ac:dyDescent="0.3">
      <c r="A21" s="622"/>
      <c r="B21" s="611"/>
      <c r="C21" s="85"/>
      <c r="D21" s="622"/>
      <c r="E21" s="636"/>
      <c r="F21" s="81"/>
      <c r="G21" s="622"/>
      <c r="H21" s="636"/>
      <c r="I21" s="81"/>
      <c r="J21" s="622"/>
      <c r="K21" s="636"/>
      <c r="L21" s="81"/>
      <c r="M21" s="622"/>
      <c r="N21" s="636"/>
      <c r="P21" s="360"/>
      <c r="Q21" s="363"/>
    </row>
    <row r="22" spans="1:17" ht="13" customHeight="1" x14ac:dyDescent="0.25">
      <c r="A22" s="598" t="s">
        <v>63</v>
      </c>
      <c r="B22" s="596">
        <f xml:space="preserve"> SUM('NY Waterway-(Port Imperial FC)'!H14,SeaStreak!E20:F20)</f>
        <v>1532</v>
      </c>
      <c r="C22" s="8"/>
      <c r="D22" s="598" t="s">
        <v>63</v>
      </c>
      <c r="E22" s="596">
        <f>SUM( 'NY Waterway-(Port Imperial FC)'!H25,SeaStreak!E31:F31)</f>
        <v>1625</v>
      </c>
      <c r="F22" s="81"/>
      <c r="G22" s="598" t="s">
        <v>63</v>
      </c>
      <c r="H22" s="596">
        <f>SUM( 'NY Waterway-(Port Imperial FC)'!H36,SeaStreak!E42:F42)</f>
        <v>1588</v>
      </c>
      <c r="I22" s="81"/>
      <c r="J22" s="598" t="s">
        <v>63</v>
      </c>
      <c r="K22" s="596">
        <f>SUM('NY Waterway-(Port Imperial FC)'!H47,SeaStreak!E53:F53)</f>
        <v>1754</v>
      </c>
      <c r="L22" s="81"/>
      <c r="M22" s="598" t="s">
        <v>63</v>
      </c>
      <c r="N22" s="596">
        <f>SUM('NY Waterway-(Port Imperial FC)'!H58,SeaStreak!E64:F64)</f>
        <v>1086</v>
      </c>
      <c r="P22" s="650" t="s">
        <v>115</v>
      </c>
      <c r="Q22" s="653">
        <f>SUM('NYC Ferry'!E74,'NY Waterway-(Port Imperial FC)'!N62,SeaStreak!I68,'New York Water Taxi'!M79,'Liberty Landing Ferry'!F73)</f>
        <v>271443</v>
      </c>
    </row>
    <row r="23" spans="1:17" ht="13" customHeight="1" thickBot="1" x14ac:dyDescent="0.3">
      <c r="A23" s="599"/>
      <c r="B23" s="611"/>
      <c r="C23" s="8"/>
      <c r="D23" s="599"/>
      <c r="E23" s="597"/>
      <c r="F23" s="81"/>
      <c r="G23" s="599"/>
      <c r="H23" s="597"/>
      <c r="I23" s="81"/>
      <c r="J23" s="599"/>
      <c r="K23" s="597"/>
      <c r="L23" s="81"/>
      <c r="M23" s="660"/>
      <c r="N23" s="597"/>
      <c r="P23" s="651"/>
      <c r="Q23" s="654"/>
    </row>
    <row r="24" spans="1:17" ht="13" customHeight="1" thickBot="1" x14ac:dyDescent="0.3">
      <c r="A24" s="598" t="s">
        <v>8</v>
      </c>
      <c r="B24" s="623">
        <f>SUM('NY Waterway-(Port Imperial FC)'!O14:V14)</f>
        <v>6838</v>
      </c>
      <c r="C24" s="9"/>
      <c r="D24" s="598" t="s">
        <v>8</v>
      </c>
      <c r="E24" s="623">
        <f>SUM('NY Waterway-(Port Imperial FC)'!O25:V25)</f>
        <v>7826</v>
      </c>
      <c r="F24" s="81"/>
      <c r="G24" s="598" t="s">
        <v>8</v>
      </c>
      <c r="H24" s="623">
        <f>SUM('NY Waterway-(Port Imperial FC)'!O36:V36)</f>
        <v>6831</v>
      </c>
      <c r="I24" s="81"/>
      <c r="J24" s="598" t="s">
        <v>8</v>
      </c>
      <c r="K24" s="623">
        <f>SUM('NY Waterway-(Port Imperial FC)'!O47:V47)</f>
        <v>8400</v>
      </c>
      <c r="L24" s="81"/>
      <c r="M24" s="598" t="s">
        <v>8</v>
      </c>
      <c r="N24" s="623">
        <f>SUM('NY Waterway-(Port Imperial FC)'!O58:V58)</f>
        <v>5782</v>
      </c>
      <c r="P24" s="652"/>
      <c r="Q24" s="655"/>
    </row>
    <row r="25" spans="1:17" ht="13" customHeight="1" thickBot="1" x14ac:dyDescent="0.3">
      <c r="A25" s="599"/>
      <c r="B25" s="625"/>
      <c r="C25" s="83"/>
      <c r="D25" s="599"/>
      <c r="E25" s="625"/>
      <c r="F25" s="81"/>
      <c r="G25" s="599"/>
      <c r="H25" s="646"/>
      <c r="I25" s="81"/>
      <c r="J25" s="599"/>
      <c r="K25" s="647"/>
      <c r="L25" s="81"/>
      <c r="M25" s="660"/>
      <c r="N25" s="646"/>
      <c r="P25" s="361"/>
      <c r="Q25" s="364"/>
    </row>
    <row r="26" spans="1:17" ht="13" customHeight="1" thickBot="1" x14ac:dyDescent="0.3">
      <c r="A26" s="598" t="s">
        <v>9</v>
      </c>
      <c r="B26" s="623">
        <f>SUM('NY Waterway-(Port Imperial FC)'!K14:N14, 'Liberty Landing Ferry'!C14, 'New York Water Taxi'!C20)</f>
        <v>4065</v>
      </c>
      <c r="C26" s="9"/>
      <c r="D26" s="598" t="s">
        <v>9</v>
      </c>
      <c r="E26" s="602">
        <f>SUM('NY Waterway-(Port Imperial FC)'!K25:N25, 'Liberty Landing Ferry'!C25, 'New York Water Taxi'!C31)</f>
        <v>5201</v>
      </c>
      <c r="F26" s="81"/>
      <c r="G26" s="598" t="s">
        <v>9</v>
      </c>
      <c r="H26" s="623">
        <f>SUM('NY Waterway-(Port Imperial FC)'!K36:N36, 'Liberty Landing Ferry'!C36, 'New York Water Taxi'!C42)</f>
        <v>4092</v>
      </c>
      <c r="I26" s="81"/>
      <c r="J26" s="598" t="s">
        <v>9</v>
      </c>
      <c r="K26" s="623">
        <f>SUM('NY Waterway-(Port Imperial FC)'!K47:N47, 'Liberty Landing Ferry'!C47, 'New York Water Taxi'!C53)</f>
        <v>5179</v>
      </c>
      <c r="L26" s="81"/>
      <c r="M26" s="598" t="s">
        <v>9</v>
      </c>
      <c r="N26" s="623">
        <f>SUM('NY Waterway-(Port Imperial FC)'!K58:N58,'Liberty Landing Ferry'!C58,'New York Water Taxi'!C64)</f>
        <v>4071</v>
      </c>
      <c r="P26" s="362" t="s">
        <v>104</v>
      </c>
      <c r="Q26" s="365">
        <v>23</v>
      </c>
    </row>
    <row r="27" spans="1:17" ht="13" customHeight="1" thickBot="1" x14ac:dyDescent="0.3">
      <c r="A27" s="604"/>
      <c r="B27" s="625"/>
      <c r="C27" s="86"/>
      <c r="D27" s="604"/>
      <c r="E27" s="624"/>
      <c r="F27" s="81"/>
      <c r="G27" s="604"/>
      <c r="H27" s="624"/>
      <c r="I27" s="81"/>
      <c r="J27" s="604"/>
      <c r="K27" s="624"/>
      <c r="L27" s="81"/>
      <c r="M27" s="604"/>
      <c r="N27" s="624"/>
      <c r="P27" s="360"/>
      <c r="Q27" s="363"/>
    </row>
    <row r="28" spans="1:17" s="95" customFormat="1" ht="13" customHeight="1" x14ac:dyDescent="0.25">
      <c r="A28" s="598" t="s">
        <v>7</v>
      </c>
      <c r="B28" s="602">
        <f>SUM('New York Water Taxi'!D20)</f>
        <v>0</v>
      </c>
      <c r="C28" s="10"/>
      <c r="D28" s="598" t="s">
        <v>7</v>
      </c>
      <c r="E28" s="602">
        <f>SUM('New York Water Taxi'!D31)</f>
        <v>0</v>
      </c>
      <c r="F28" s="94"/>
      <c r="G28" s="598" t="s">
        <v>7</v>
      </c>
      <c r="H28" s="602">
        <f>SUM('New York Water Taxi'!D42)</f>
        <v>0</v>
      </c>
      <c r="I28" s="94"/>
      <c r="J28" s="598" t="s">
        <v>7</v>
      </c>
      <c r="K28" s="602">
        <f>SUM('New York Water Taxi'!D53)</f>
        <v>0</v>
      </c>
      <c r="L28" s="94"/>
      <c r="M28" s="598" t="s">
        <v>7</v>
      </c>
      <c r="N28" s="602">
        <f>SUM('New York Water Taxi'!D64)</f>
        <v>0</v>
      </c>
      <c r="P28" s="650" t="s">
        <v>105</v>
      </c>
      <c r="Q28" s="656">
        <f>Q22/Q26</f>
        <v>11801.869565217392</v>
      </c>
    </row>
    <row r="29" spans="1:17" s="95" customFormat="1" ht="13" customHeight="1" thickBot="1" x14ac:dyDescent="0.3">
      <c r="A29" s="604"/>
      <c r="B29" s="603"/>
      <c r="C29" s="89"/>
      <c r="D29" s="604"/>
      <c r="E29" s="635"/>
      <c r="F29" s="94"/>
      <c r="G29" s="604"/>
      <c r="H29" s="635"/>
      <c r="I29" s="94"/>
      <c r="J29" s="604"/>
      <c r="K29" s="635"/>
      <c r="L29" s="94"/>
      <c r="M29" s="604"/>
      <c r="N29" s="635"/>
      <c r="P29" s="651"/>
      <c r="Q29" s="657"/>
    </row>
    <row r="30" spans="1:17" ht="12.75" customHeight="1" thickBot="1" x14ac:dyDescent="0.3">
      <c r="A30" s="598" t="s">
        <v>91</v>
      </c>
      <c r="B30" s="602">
        <f>SUM('New York Water Taxi'!F20)</f>
        <v>0</v>
      </c>
      <c r="C30" s="81"/>
      <c r="D30" s="598" t="s">
        <v>91</v>
      </c>
      <c r="E30" s="602">
        <f>SUM('New York Water Taxi'!F31)</f>
        <v>0</v>
      </c>
      <c r="F30" s="81"/>
      <c r="G30" s="598" t="s">
        <v>91</v>
      </c>
      <c r="H30" s="602">
        <f>SUM('New York Water Taxi'!F42)</f>
        <v>0</v>
      </c>
      <c r="I30" s="81"/>
      <c r="J30" s="598" t="s">
        <v>91</v>
      </c>
      <c r="K30" s="602">
        <f>SUM('New York Water Taxi'!F53)</f>
        <v>0</v>
      </c>
      <c r="L30" s="81"/>
      <c r="M30" s="598" t="s">
        <v>91</v>
      </c>
      <c r="N30" s="602">
        <f>SUM('New York Water Taxi'!F64)</f>
        <v>0</v>
      </c>
      <c r="P30" s="652"/>
      <c r="Q30" s="658"/>
    </row>
    <row r="31" spans="1:17" ht="13" thickBot="1" x14ac:dyDescent="0.3">
      <c r="A31" s="604"/>
      <c r="B31" s="603"/>
      <c r="C31" s="81"/>
      <c r="D31" s="604"/>
      <c r="E31" s="606"/>
      <c r="F31" s="81"/>
      <c r="G31" s="604"/>
      <c r="H31" s="605"/>
      <c r="I31" s="81"/>
      <c r="J31" s="604"/>
      <c r="K31" s="606"/>
      <c r="L31" s="81"/>
      <c r="M31" s="604"/>
      <c r="N31" s="605"/>
    </row>
    <row r="32" spans="1:17" ht="12.75" customHeight="1" x14ac:dyDescent="0.25">
      <c r="A32" s="598" t="s">
        <v>88</v>
      </c>
      <c r="B32" s="602">
        <f>('New York Water Taxi'!G20)</f>
        <v>0</v>
      </c>
      <c r="C32" s="81"/>
      <c r="D32" s="598" t="s">
        <v>88</v>
      </c>
      <c r="E32" s="602">
        <f>'New York Water Taxi'!G31</f>
        <v>0</v>
      </c>
      <c r="F32" s="81"/>
      <c r="G32" s="598" t="s">
        <v>88</v>
      </c>
      <c r="H32" s="602">
        <f>'New York Water Taxi'!G42</f>
        <v>0</v>
      </c>
      <c r="I32" s="81"/>
      <c r="J32" s="598" t="s">
        <v>88</v>
      </c>
      <c r="K32" s="602">
        <f>'New York Water Taxi'!G53</f>
        <v>0</v>
      </c>
      <c r="L32" s="81"/>
      <c r="M32" s="598" t="s">
        <v>88</v>
      </c>
      <c r="N32" s="602">
        <f>SUM('New York Water Taxi'!G64)</f>
        <v>0</v>
      </c>
    </row>
    <row r="33" spans="1:14" ht="14.25" customHeight="1" thickBot="1" x14ac:dyDescent="0.3">
      <c r="A33" s="604"/>
      <c r="B33" s="603"/>
      <c r="C33" s="81"/>
      <c r="D33" s="604"/>
      <c r="E33" s="639"/>
      <c r="F33" s="81"/>
      <c r="G33" s="604"/>
      <c r="H33" s="608"/>
      <c r="I33" s="81"/>
      <c r="J33" s="604"/>
      <c r="K33" s="603"/>
      <c r="L33" s="81"/>
      <c r="M33" s="604"/>
      <c r="N33" s="603"/>
    </row>
    <row r="34" spans="1:14" x14ac:dyDescent="0.25">
      <c r="A34" s="600" t="s">
        <v>58</v>
      </c>
      <c r="B34" s="602">
        <f>SUM('NYC Ferry'!D20,'NYC Ferry'!N20,'New York Water Taxi'!E20)</f>
        <v>1387</v>
      </c>
      <c r="C34" s="81"/>
      <c r="D34" s="600" t="s">
        <v>58</v>
      </c>
      <c r="E34" s="602">
        <f>SUM('NYC Ferry'!D31,'NYC Ferry'!N31,'New York Water Taxi'!E31)</f>
        <v>2715</v>
      </c>
      <c r="F34" s="81"/>
      <c r="G34" s="600" t="s">
        <v>58</v>
      </c>
      <c r="H34" s="602">
        <f>SUM('NYC Ferry'!D42,'NYC Ferry'!N42,'New York Water Taxi'!E42)</f>
        <v>1317</v>
      </c>
      <c r="I34" s="81"/>
      <c r="J34" s="600" t="s">
        <v>58</v>
      </c>
      <c r="K34" s="602">
        <f>SUM('NYC Ferry'!D53,'NYC Ferry'!N53,'New York Water Taxi'!E53)</f>
        <v>2501</v>
      </c>
      <c r="L34" s="81"/>
      <c r="M34" s="600" t="s">
        <v>58</v>
      </c>
      <c r="N34" s="602">
        <f>SUM('NYC Ferry'!D64,'NYC Ferry'!N64,'New York Water Taxi'!E64)</f>
        <v>2818</v>
      </c>
    </row>
    <row r="35" spans="1:14" ht="13" thickBot="1" x14ac:dyDescent="0.3">
      <c r="A35" s="601"/>
      <c r="B35" s="603"/>
      <c r="C35" s="81"/>
      <c r="D35" s="601"/>
      <c r="E35" s="603"/>
      <c r="F35" s="81"/>
      <c r="G35" s="601"/>
      <c r="H35" s="603"/>
      <c r="I35" s="81"/>
      <c r="J35" s="601"/>
      <c r="K35" s="603"/>
      <c r="L35" s="81"/>
      <c r="M35" s="601"/>
      <c r="N35" s="603"/>
    </row>
    <row r="36" spans="1:14" ht="12.75" customHeight="1" x14ac:dyDescent="0.25">
      <c r="A36" s="600" t="s">
        <v>59</v>
      </c>
      <c r="B36" s="602">
        <f>SUM('NYC Ferry'!E20)</f>
        <v>803</v>
      </c>
      <c r="C36" s="81"/>
      <c r="D36" s="600" t="s">
        <v>59</v>
      </c>
      <c r="E36" s="602">
        <f>SUM('NYC Ferry'!E31)</f>
        <v>1137</v>
      </c>
      <c r="F36" s="81"/>
      <c r="G36" s="600" t="s">
        <v>59</v>
      </c>
      <c r="H36" s="602">
        <f>SUM('NYC Ferry'!E42)</f>
        <v>726</v>
      </c>
      <c r="I36" s="81"/>
      <c r="J36" s="600" t="s">
        <v>59</v>
      </c>
      <c r="K36" s="602">
        <f>SUM('NYC Ferry'!E53)</f>
        <v>983</v>
      </c>
      <c r="L36" s="81"/>
      <c r="M36" s="600" t="s">
        <v>59</v>
      </c>
      <c r="N36" s="602">
        <f>SUM('NYC Ferry'!E64)</f>
        <v>1665</v>
      </c>
    </row>
    <row r="37" spans="1:14" ht="13.5" customHeight="1" thickBot="1" x14ac:dyDescent="0.3">
      <c r="A37" s="601"/>
      <c r="B37" s="603"/>
      <c r="C37" s="81"/>
      <c r="D37" s="601"/>
      <c r="E37" s="603"/>
      <c r="F37" s="81"/>
      <c r="G37" s="601"/>
      <c r="H37" s="603"/>
      <c r="I37" s="81"/>
      <c r="J37" s="601"/>
      <c r="K37" s="603"/>
      <c r="L37" s="81"/>
      <c r="M37" s="601"/>
      <c r="N37" s="603"/>
    </row>
    <row r="38" spans="1:14" ht="12.75" customHeight="1" x14ac:dyDescent="0.25">
      <c r="A38" s="600" t="s">
        <v>11</v>
      </c>
      <c r="B38" s="602">
        <f>SUM('NYC Ferry'!F20)</f>
        <v>1761</v>
      </c>
      <c r="C38" s="81"/>
      <c r="D38" s="600" t="s">
        <v>11</v>
      </c>
      <c r="E38" s="602">
        <f>SUM('NYC Ferry'!F31)</f>
        <v>2458</v>
      </c>
      <c r="F38" s="81"/>
      <c r="G38" s="600" t="s">
        <v>11</v>
      </c>
      <c r="H38" s="602">
        <f>SUM('NYC Ferry'!F42)</f>
        <v>1597</v>
      </c>
      <c r="I38" s="81"/>
      <c r="J38" s="600" t="s">
        <v>11</v>
      </c>
      <c r="K38" s="602">
        <f>SUM('NYC Ferry'!F53)</f>
        <v>2368</v>
      </c>
      <c r="L38" s="81"/>
      <c r="M38" s="600" t="s">
        <v>11</v>
      </c>
      <c r="N38" s="602">
        <f>SUM('NYC Ferry'!F64)</f>
        <v>1933</v>
      </c>
    </row>
    <row r="39" spans="1:14" ht="13.5" customHeight="1" thickBot="1" x14ac:dyDescent="0.3">
      <c r="A39" s="601"/>
      <c r="B39" s="603"/>
      <c r="C39" s="81"/>
      <c r="D39" s="601"/>
      <c r="E39" s="603"/>
      <c r="F39" s="81"/>
      <c r="G39" s="601"/>
      <c r="H39" s="603"/>
      <c r="I39" s="81"/>
      <c r="J39" s="601"/>
      <c r="K39" s="603"/>
      <c r="L39" s="81"/>
      <c r="M39" s="601"/>
      <c r="N39" s="603"/>
    </row>
    <row r="40" spans="1:14" ht="12.75" customHeight="1" x14ac:dyDescent="0.25">
      <c r="A40" s="600" t="s">
        <v>12</v>
      </c>
      <c r="B40" s="602">
        <f>SUM('NYC Ferry'!G20)</f>
        <v>1419</v>
      </c>
      <c r="C40" s="81"/>
      <c r="D40" s="600" t="s">
        <v>12</v>
      </c>
      <c r="E40" s="602">
        <f>SUM('NYC Ferry'!G31)</f>
        <v>1720</v>
      </c>
      <c r="F40" s="81"/>
      <c r="G40" s="600" t="s">
        <v>12</v>
      </c>
      <c r="H40" s="602">
        <f>SUM('NYC Ferry'!G42)</f>
        <v>1317</v>
      </c>
      <c r="I40" s="81"/>
      <c r="J40" s="600" t="s">
        <v>12</v>
      </c>
      <c r="K40" s="602">
        <f>SUM('NYC Ferry'!G53)</f>
        <v>1652</v>
      </c>
      <c r="L40" s="81"/>
      <c r="M40" s="600" t="s">
        <v>12</v>
      </c>
      <c r="N40" s="602">
        <f>SUM('NYC Ferry'!G64)</f>
        <v>1659</v>
      </c>
    </row>
    <row r="41" spans="1:14" ht="13.5" customHeight="1" thickBot="1" x14ac:dyDescent="0.3">
      <c r="A41" s="601"/>
      <c r="B41" s="603"/>
      <c r="C41" s="81"/>
      <c r="D41" s="601"/>
      <c r="E41" s="603"/>
      <c r="F41" s="81"/>
      <c r="G41" s="601"/>
      <c r="H41" s="603"/>
      <c r="I41" s="81"/>
      <c r="J41" s="601"/>
      <c r="K41" s="603"/>
      <c r="L41" s="81"/>
      <c r="M41" s="601"/>
      <c r="N41" s="603"/>
    </row>
    <row r="42" spans="1:14" ht="12.75" customHeight="1" x14ac:dyDescent="0.25">
      <c r="A42" s="600" t="s">
        <v>84</v>
      </c>
      <c r="B42" s="602">
        <f>SUM('NYC Ferry'!H20,)</f>
        <v>1156</v>
      </c>
      <c r="C42" s="81"/>
      <c r="D42" s="600" t="s">
        <v>84</v>
      </c>
      <c r="E42" s="602">
        <f>SUM('NYC Ferry'!H31)</f>
        <v>1805</v>
      </c>
      <c r="F42" s="81"/>
      <c r="G42" s="600" t="s">
        <v>84</v>
      </c>
      <c r="H42" s="602">
        <f>SUM('NYC Ferry'!H42)</f>
        <v>901</v>
      </c>
      <c r="I42" s="81"/>
      <c r="J42" s="600" t="s">
        <v>84</v>
      </c>
      <c r="K42" s="602">
        <f>SUM('NYC Ferry'!H53)</f>
        <v>1679</v>
      </c>
      <c r="L42" s="81"/>
      <c r="M42" s="600" t="s">
        <v>84</v>
      </c>
      <c r="N42" s="602">
        <f>SUM('NYC Ferry'!H64,)</f>
        <v>955</v>
      </c>
    </row>
    <row r="43" spans="1:14" ht="13.5" customHeight="1" thickBot="1" x14ac:dyDescent="0.3">
      <c r="A43" s="601"/>
      <c r="B43" s="603"/>
      <c r="C43" s="81"/>
      <c r="D43" s="601"/>
      <c r="E43" s="603"/>
      <c r="F43" s="81"/>
      <c r="G43" s="601"/>
      <c r="H43" s="603"/>
      <c r="I43" s="81"/>
      <c r="J43" s="601"/>
      <c r="K43" s="603"/>
      <c r="L43" s="81"/>
      <c r="M43" s="601"/>
      <c r="N43" s="603"/>
    </row>
    <row r="44" spans="1:14" ht="12.75" customHeight="1" x14ac:dyDescent="0.25">
      <c r="A44" s="600" t="s">
        <v>72</v>
      </c>
      <c r="B44" s="602">
        <f>SUM('NYC Ferry'!P20)</f>
        <v>254</v>
      </c>
      <c r="C44" s="81"/>
      <c r="D44" s="600" t="s">
        <v>72</v>
      </c>
      <c r="E44" s="602">
        <f>SUM('NYC Ferry'!P31)</f>
        <v>376</v>
      </c>
      <c r="F44" s="81"/>
      <c r="G44" s="600" t="s">
        <v>72</v>
      </c>
      <c r="H44" s="602">
        <f>SUM('NYC Ferry'!P42)</f>
        <v>243</v>
      </c>
      <c r="I44" s="81"/>
      <c r="J44" s="600" t="s">
        <v>72</v>
      </c>
      <c r="K44" s="602">
        <f>SUM('NYC Ferry'!P53)</f>
        <v>370</v>
      </c>
      <c r="L44" s="81"/>
      <c r="M44" s="600" t="s">
        <v>72</v>
      </c>
      <c r="N44" s="602">
        <f>SUM('NYC Ferry'!P64)</f>
        <v>1025</v>
      </c>
    </row>
    <row r="45" spans="1:14" ht="13.5" customHeight="1" thickBot="1" x14ac:dyDescent="0.3">
      <c r="A45" s="601"/>
      <c r="B45" s="603"/>
      <c r="C45" s="81"/>
      <c r="D45" s="601"/>
      <c r="E45" s="603"/>
      <c r="F45" s="81"/>
      <c r="G45" s="601"/>
      <c r="H45" s="603"/>
      <c r="I45" s="81"/>
      <c r="J45" s="601"/>
      <c r="K45" s="603"/>
      <c r="L45" s="81"/>
      <c r="M45" s="601"/>
      <c r="N45" s="603"/>
    </row>
    <row r="46" spans="1:14" ht="13.5" customHeight="1" x14ac:dyDescent="0.25">
      <c r="A46" s="600" t="s">
        <v>97</v>
      </c>
      <c r="B46" s="602">
        <f>'New York Water Taxi'!K20</f>
        <v>0</v>
      </c>
      <c r="C46" s="81"/>
      <c r="D46" s="600" t="s">
        <v>97</v>
      </c>
      <c r="E46" s="602">
        <f>'New York Water Taxi'!K31</f>
        <v>0</v>
      </c>
      <c r="F46" s="81"/>
      <c r="G46" s="600" t="s">
        <v>97</v>
      </c>
      <c r="H46" s="602">
        <f>SUM('New York Water Taxi'!K42)</f>
        <v>0</v>
      </c>
      <c r="I46" s="81"/>
      <c r="J46" s="600" t="s">
        <v>97</v>
      </c>
      <c r="K46" s="602">
        <f>'New York Water Taxi'!K53</f>
        <v>0</v>
      </c>
      <c r="L46" s="81"/>
      <c r="M46" s="600" t="s">
        <v>97</v>
      </c>
      <c r="N46" s="602">
        <f>SUM('New York Water Taxi'!K64)</f>
        <v>0</v>
      </c>
    </row>
    <row r="47" spans="1:14" ht="13.5" customHeight="1" thickBot="1" x14ac:dyDescent="0.3">
      <c r="A47" s="601"/>
      <c r="B47" s="603"/>
      <c r="C47" s="81"/>
      <c r="D47" s="601"/>
      <c r="E47" s="603"/>
      <c r="F47" s="81"/>
      <c r="G47" s="601"/>
      <c r="H47" s="644"/>
      <c r="I47" s="81"/>
      <c r="J47" s="601"/>
      <c r="K47" s="644"/>
      <c r="L47" s="81"/>
      <c r="M47" s="601"/>
      <c r="N47" s="644"/>
    </row>
    <row r="48" spans="1:14" ht="13.5" customHeight="1" x14ac:dyDescent="0.25">
      <c r="A48" s="637" t="s">
        <v>103</v>
      </c>
      <c r="B48" s="602">
        <f>SUM('NYC Ferry'!K20,'NYC Ferry'!Q20,'New York Water Taxi'!I20)</f>
        <v>1347</v>
      </c>
      <c r="C48" s="81"/>
      <c r="D48" s="637" t="s">
        <v>103</v>
      </c>
      <c r="E48" s="602">
        <f>SUM('NYC Ferry'!K31,'NYC Ferry'!Q31,'New York Water Taxi'!I31)</f>
        <v>1642</v>
      </c>
      <c r="F48" s="81"/>
      <c r="G48" s="637" t="s">
        <v>103</v>
      </c>
      <c r="H48" s="602">
        <f>SUM('NYC Ferry'!K42,'NYC Ferry'!Q42,'New York Water Taxi'!I42)</f>
        <v>1301</v>
      </c>
      <c r="I48" s="81"/>
      <c r="J48" s="637" t="s">
        <v>103</v>
      </c>
      <c r="K48" s="602">
        <f>SUM('NYC Ferry'!K53,'NYC Ferry'!Q53,'New York Water Taxi'!I53)</f>
        <v>1628</v>
      </c>
      <c r="L48" s="81"/>
      <c r="M48" s="637" t="s">
        <v>103</v>
      </c>
      <c r="N48" s="602">
        <f>SUM('NYC Ferry'!K64,'NYC Ferry'!Q64,'New York Water Taxi'!I64)</f>
        <v>1936</v>
      </c>
    </row>
    <row r="49" spans="1:14" ht="13.5" customHeight="1" thickBot="1" x14ac:dyDescent="0.3">
      <c r="A49" s="638"/>
      <c r="B49" s="603"/>
      <c r="C49" s="81"/>
      <c r="D49" s="638"/>
      <c r="E49" s="603"/>
      <c r="F49" s="81"/>
      <c r="G49" s="638"/>
      <c r="H49" s="608"/>
      <c r="I49" s="81"/>
      <c r="J49" s="638"/>
      <c r="K49" s="608"/>
      <c r="L49" s="81"/>
      <c r="M49" s="638"/>
      <c r="N49" s="608"/>
    </row>
    <row r="50" spans="1:14" ht="13.5" customHeight="1" x14ac:dyDescent="0.25">
      <c r="A50" s="600" t="s">
        <v>78</v>
      </c>
      <c r="B50" s="602">
        <f>SUM('NYC Ferry'!AH20,'NYC Ferry'!AE20)</f>
        <v>459</v>
      </c>
      <c r="C50" s="81"/>
      <c r="D50" s="600" t="s">
        <v>78</v>
      </c>
      <c r="E50" s="602">
        <f>SUM('NYC Ferry'!AH31,'NYC Ferry'!AE31,)</f>
        <v>706</v>
      </c>
      <c r="F50" s="81"/>
      <c r="G50" s="600" t="s">
        <v>78</v>
      </c>
      <c r="H50" s="607">
        <f>SUM('NYC Ferry'!AH42,'NYC Ferry'!AE42)</f>
        <v>418</v>
      </c>
      <c r="I50" s="81"/>
      <c r="J50" s="600" t="s">
        <v>78</v>
      </c>
      <c r="K50" s="607">
        <f>SUM('NYC Ferry'!AH53,'NYC Ferry'!AE53,)</f>
        <v>667</v>
      </c>
      <c r="L50" s="81"/>
      <c r="M50" s="600" t="s">
        <v>78</v>
      </c>
      <c r="N50" s="607">
        <f>SUM('NYC Ferry'!AH64,'NYC Ferry'!AE64,)</f>
        <v>1140</v>
      </c>
    </row>
    <row r="51" spans="1:14" ht="13.5" customHeight="1" thickBot="1" x14ac:dyDescent="0.3">
      <c r="A51" s="601"/>
      <c r="B51" s="603"/>
      <c r="C51" s="81"/>
      <c r="D51" s="601"/>
      <c r="E51" s="603"/>
      <c r="F51" s="81"/>
      <c r="G51" s="601"/>
      <c r="H51" s="608"/>
      <c r="I51" s="81"/>
      <c r="J51" s="601"/>
      <c r="K51" s="608"/>
      <c r="L51" s="81"/>
      <c r="M51" s="601"/>
      <c r="N51" s="608"/>
    </row>
    <row r="52" spans="1:14" ht="13.5" customHeight="1" x14ac:dyDescent="0.25">
      <c r="A52" s="600" t="s">
        <v>79</v>
      </c>
      <c r="B52" s="602">
        <f>SUM('NYC Ferry'!AG20,'NYC Ferry'!S20,)</f>
        <v>98</v>
      </c>
      <c r="C52" s="81"/>
      <c r="D52" s="600" t="s">
        <v>79</v>
      </c>
      <c r="E52" s="602">
        <f>SUM('NYC Ferry'!AG31,'NYC Ferry'!S31,)</f>
        <v>228</v>
      </c>
      <c r="F52" s="81"/>
      <c r="G52" s="600" t="s">
        <v>79</v>
      </c>
      <c r="H52" s="607">
        <f>SUM('NYC Ferry'!AG42,'NYC Ferry'!S42,)</f>
        <v>103</v>
      </c>
      <c r="I52" s="81"/>
      <c r="J52" s="600" t="s">
        <v>79</v>
      </c>
      <c r="K52" s="607">
        <f>SUM('NYC Ferry'!AG53,'NYC Ferry'!S53,)</f>
        <v>235</v>
      </c>
      <c r="L52" s="81"/>
      <c r="M52" s="600" t="s">
        <v>79</v>
      </c>
      <c r="N52" s="607">
        <f>SUM('NYC Ferry'!AG64,'NYC Ferry'!S64,)</f>
        <v>953</v>
      </c>
    </row>
    <row r="53" spans="1:14" ht="13.5" customHeight="1" thickBot="1" x14ac:dyDescent="0.3">
      <c r="A53" s="601"/>
      <c r="B53" s="603"/>
      <c r="C53" s="81"/>
      <c r="D53" s="601"/>
      <c r="E53" s="603"/>
      <c r="F53" s="81"/>
      <c r="G53" s="601"/>
      <c r="H53" s="608"/>
      <c r="I53" s="81"/>
      <c r="J53" s="601"/>
      <c r="K53" s="608"/>
      <c r="L53" s="81"/>
      <c r="M53" s="601"/>
      <c r="N53" s="608"/>
    </row>
    <row r="54" spans="1:14" ht="13.5" customHeight="1" x14ac:dyDescent="0.25">
      <c r="A54" s="600" t="s">
        <v>81</v>
      </c>
      <c r="B54" s="602">
        <f>SUM('NYC Ferry'!AD20)</f>
        <v>1364</v>
      </c>
      <c r="C54" s="81"/>
      <c r="D54" s="600" t="s">
        <v>81</v>
      </c>
      <c r="E54" s="602">
        <f>SUM('NYC Ferry'!AD31,)</f>
        <v>1821</v>
      </c>
      <c r="F54" s="81"/>
      <c r="G54" s="600" t="s">
        <v>81</v>
      </c>
      <c r="H54" s="607">
        <f>SUM('NYC Ferry'!AD42,)</f>
        <v>1245</v>
      </c>
      <c r="I54" s="81"/>
      <c r="J54" s="600" t="s">
        <v>81</v>
      </c>
      <c r="K54" s="607">
        <f>SUM('NYC Ferry'!AD53,)</f>
        <v>1687</v>
      </c>
      <c r="L54" s="81"/>
      <c r="M54" s="600" t="s">
        <v>81</v>
      </c>
      <c r="N54" s="607">
        <f>SUM('NYC Ferry'!AD64,)</f>
        <v>911</v>
      </c>
    </row>
    <row r="55" spans="1:14" ht="13.5" customHeight="1" thickBot="1" x14ac:dyDescent="0.3">
      <c r="A55" s="601"/>
      <c r="B55" s="603"/>
      <c r="C55" s="81"/>
      <c r="D55" s="601"/>
      <c r="E55" s="603"/>
      <c r="F55" s="81"/>
      <c r="G55" s="601"/>
      <c r="H55" s="608"/>
      <c r="I55" s="81"/>
      <c r="J55" s="601"/>
      <c r="K55" s="608"/>
      <c r="L55" s="81"/>
      <c r="M55" s="601"/>
      <c r="N55" s="608"/>
    </row>
    <row r="56" spans="1:14" ht="13.5" customHeight="1" x14ac:dyDescent="0.25">
      <c r="A56" s="600" t="s">
        <v>80</v>
      </c>
      <c r="B56" s="602">
        <f>SUM('NYC Ferry'!AC20,'NYC Ferry'!Z20)</f>
        <v>2045</v>
      </c>
      <c r="C56" s="81"/>
      <c r="D56" s="600" t="s">
        <v>80</v>
      </c>
      <c r="E56" s="602">
        <f>SUM('NYC Ferry'!AC31,'NYC Ferry'!Z31)</f>
        <v>3241</v>
      </c>
      <c r="F56" s="81"/>
      <c r="G56" s="600" t="s">
        <v>80</v>
      </c>
      <c r="H56" s="607">
        <f>SUM('NYC Ferry'!AC42,'NYC Ferry'!Z42)</f>
        <v>1947</v>
      </c>
      <c r="I56" s="81"/>
      <c r="J56" s="600" t="s">
        <v>80</v>
      </c>
      <c r="K56" s="607">
        <f>SUM('NYC Ferry'!AC53,'NYC Ferry'!Z53)</f>
        <v>2812</v>
      </c>
      <c r="L56" s="81"/>
      <c r="M56" s="600" t="s">
        <v>80</v>
      </c>
      <c r="N56" s="607">
        <f>SUM('NYC Ferry'!AC64,'NYC Ferry'!Z64)</f>
        <v>1924</v>
      </c>
    </row>
    <row r="57" spans="1:14" ht="13.5" customHeight="1" thickBot="1" x14ac:dyDescent="0.3">
      <c r="A57" s="601"/>
      <c r="B57" s="603"/>
      <c r="C57" s="81"/>
      <c r="D57" s="601"/>
      <c r="E57" s="603"/>
      <c r="F57" s="81"/>
      <c r="G57" s="601"/>
      <c r="H57" s="608"/>
      <c r="I57" s="81"/>
      <c r="J57" s="601"/>
      <c r="K57" s="608"/>
      <c r="L57" s="81"/>
      <c r="M57" s="601"/>
      <c r="N57" s="608"/>
    </row>
    <row r="58" spans="1:14" ht="12.75" customHeight="1" x14ac:dyDescent="0.25">
      <c r="A58" s="600" t="s">
        <v>126</v>
      </c>
      <c r="B58" s="602">
        <f>SUM('NYC Ferry'!O20,,'NY Waterway-(Port Imperial FC)'!J14)</f>
        <v>361</v>
      </c>
      <c r="C58" s="81"/>
      <c r="D58" s="600" t="s">
        <v>126</v>
      </c>
      <c r="E58" s="602">
        <f>SUM('NYC Ferry'!O31,'NY Waterway-(Port Imperial FC)'!J25)</f>
        <v>663</v>
      </c>
      <c r="F58" s="81"/>
      <c r="G58" s="600" t="s">
        <v>126</v>
      </c>
      <c r="H58" s="602">
        <f>SUM('NYC Ferry'!O42,'NY Waterway-(Port Imperial FC)'!J36)</f>
        <v>352</v>
      </c>
      <c r="I58" s="81"/>
      <c r="J58" s="600" t="s">
        <v>126</v>
      </c>
      <c r="K58" s="602">
        <f>SUM('NYC Ferry'!O53,'NY Waterway-(Port Imperial FC)'!J47)</f>
        <v>645</v>
      </c>
      <c r="L58" s="81"/>
      <c r="M58" s="600" t="s">
        <v>126</v>
      </c>
      <c r="N58" s="602">
        <f>SUM('NYC Ferry'!O64,,'NY Waterway-(Port Imperial FC)'!J58)</f>
        <v>853</v>
      </c>
    </row>
    <row r="59" spans="1:14" ht="13.5" customHeight="1" thickBot="1" x14ac:dyDescent="0.3">
      <c r="A59" s="601"/>
      <c r="B59" s="603"/>
      <c r="C59" s="81"/>
      <c r="D59" s="601"/>
      <c r="E59" s="603"/>
      <c r="F59" s="81"/>
      <c r="G59" s="601"/>
      <c r="H59" s="603"/>
      <c r="I59" s="81"/>
      <c r="J59" s="601"/>
      <c r="K59" s="603"/>
      <c r="L59" s="81"/>
      <c r="M59" s="601"/>
      <c r="N59" s="603"/>
    </row>
    <row r="60" spans="1:14" ht="13.5" customHeight="1" x14ac:dyDescent="0.25">
      <c r="A60" s="640" t="s">
        <v>123</v>
      </c>
      <c r="B60" s="602">
        <f>'NYC Ferry'!AL20</f>
        <v>0</v>
      </c>
      <c r="C60" s="81"/>
      <c r="D60" s="640" t="s">
        <v>123</v>
      </c>
      <c r="E60" s="602">
        <f>'NYC Ferry'!AL31</f>
        <v>0</v>
      </c>
      <c r="F60" s="81"/>
      <c r="G60" s="640" t="s">
        <v>123</v>
      </c>
      <c r="H60" s="644">
        <f>'NYC Ferry'!AL42</f>
        <v>0</v>
      </c>
      <c r="I60" s="81"/>
      <c r="J60" s="640" t="s">
        <v>123</v>
      </c>
      <c r="K60" s="644">
        <f>SUM('NYC Ferry'!AL53)</f>
        <v>0</v>
      </c>
      <c r="L60" s="81"/>
      <c r="M60" s="640" t="s">
        <v>123</v>
      </c>
      <c r="N60" s="644">
        <f>SUM('NYC Ferry'!AL64,)</f>
        <v>0</v>
      </c>
    </row>
    <row r="61" spans="1:14" ht="13.5" customHeight="1" thickBot="1" x14ac:dyDescent="0.3">
      <c r="A61" s="638"/>
      <c r="B61" s="603"/>
      <c r="C61" s="81"/>
      <c r="D61" s="638"/>
      <c r="E61" s="603"/>
      <c r="F61" s="81"/>
      <c r="G61" s="638"/>
      <c r="H61" s="603"/>
      <c r="I61" s="81"/>
      <c r="J61" s="638"/>
      <c r="K61" s="603"/>
      <c r="L61" s="81"/>
      <c r="M61" s="638"/>
      <c r="N61" s="603"/>
    </row>
    <row r="62" spans="1:14" ht="13.5" customHeight="1" x14ac:dyDescent="0.25">
      <c r="A62" s="640" t="s">
        <v>124</v>
      </c>
      <c r="B62" s="602">
        <f>'NY Waterway-(Port Imperial FC)'!I14</f>
        <v>1415</v>
      </c>
      <c r="C62" s="81"/>
      <c r="D62" s="640" t="s">
        <v>124</v>
      </c>
      <c r="E62" s="602">
        <f>'NY Waterway-(Port Imperial FC)'!I25</f>
        <v>1605</v>
      </c>
      <c r="F62" s="81"/>
      <c r="G62" s="640" t="s">
        <v>124</v>
      </c>
      <c r="H62" s="644">
        <f>'NY Waterway-(Port Imperial FC)'!I36</f>
        <v>2021</v>
      </c>
      <c r="I62" s="81"/>
      <c r="J62" s="640" t="s">
        <v>124</v>
      </c>
      <c r="K62" s="644">
        <f>SUM(,'NY Waterway-(Port Imperial FC)'!I47)</f>
        <v>3510</v>
      </c>
      <c r="L62" s="81"/>
      <c r="M62" s="640" t="s">
        <v>124</v>
      </c>
      <c r="N62" s="644">
        <f>'NY Waterway-(Port Imperial FC)'!I58</f>
        <v>1224</v>
      </c>
    </row>
    <row r="63" spans="1:14" ht="13.5" customHeight="1" thickBot="1" x14ac:dyDescent="0.3">
      <c r="A63" s="638"/>
      <c r="B63" s="603"/>
      <c r="C63" s="81"/>
      <c r="D63" s="638"/>
      <c r="E63" s="603"/>
      <c r="F63" s="81"/>
      <c r="G63" s="638"/>
      <c r="H63" s="603"/>
      <c r="I63" s="81"/>
      <c r="J63" s="638"/>
      <c r="K63" s="603"/>
      <c r="L63" s="81"/>
      <c r="M63" s="638"/>
      <c r="N63" s="603"/>
    </row>
    <row r="64" spans="1:14" ht="13.5" customHeight="1" x14ac:dyDescent="0.25">
      <c r="A64" s="600" t="s">
        <v>71</v>
      </c>
      <c r="B64" s="602">
        <f>'NYC Ferry'!R20</f>
        <v>273</v>
      </c>
      <c r="C64" s="81"/>
      <c r="D64" s="600" t="s">
        <v>71</v>
      </c>
      <c r="E64" s="602">
        <f>'NYC Ferry'!R31</f>
        <v>620</v>
      </c>
      <c r="F64" s="81"/>
      <c r="G64" s="600" t="s">
        <v>71</v>
      </c>
      <c r="H64" s="644">
        <f>'NYC Ferry'!R42</f>
        <v>245</v>
      </c>
      <c r="I64" s="81"/>
      <c r="J64" s="600" t="s">
        <v>71</v>
      </c>
      <c r="K64" s="644">
        <f>'NYC Ferry'!R53</f>
        <v>516</v>
      </c>
      <c r="L64" s="81"/>
      <c r="M64" s="600" t="s">
        <v>71</v>
      </c>
      <c r="N64" s="644">
        <f>SUM('NYC Ferry'!R64)</f>
        <v>744</v>
      </c>
    </row>
    <row r="65" spans="1:14" ht="13.5" customHeight="1" thickBot="1" x14ac:dyDescent="0.3">
      <c r="A65" s="601"/>
      <c r="B65" s="603"/>
      <c r="C65" s="81"/>
      <c r="D65" s="601"/>
      <c r="E65" s="603"/>
      <c r="F65" s="81"/>
      <c r="G65" s="601"/>
      <c r="H65" s="603"/>
      <c r="I65" s="81"/>
      <c r="J65" s="601"/>
      <c r="K65" s="603"/>
      <c r="L65" s="81"/>
      <c r="M65" s="601"/>
      <c r="N65" s="603"/>
    </row>
    <row r="66" spans="1:14" ht="13.5" customHeight="1" x14ac:dyDescent="0.25">
      <c r="A66" s="645" t="s">
        <v>66</v>
      </c>
      <c r="B66" s="602">
        <f>'NYC Ferry'!L20</f>
        <v>931</v>
      </c>
      <c r="C66" s="81"/>
      <c r="D66" s="645" t="s">
        <v>66</v>
      </c>
      <c r="E66" s="602">
        <f>'NYC Ferry'!L31</f>
        <v>1445</v>
      </c>
      <c r="F66" s="81"/>
      <c r="G66" s="645" t="s">
        <v>66</v>
      </c>
      <c r="H66" s="644">
        <f>'NYC Ferry'!L42</f>
        <v>888</v>
      </c>
      <c r="I66" s="81"/>
      <c r="J66" s="645" t="s">
        <v>66</v>
      </c>
      <c r="K66" s="644">
        <f>'NYC Ferry'!L53</f>
        <v>1243</v>
      </c>
      <c r="L66" s="81"/>
      <c r="M66" s="645" t="s">
        <v>66</v>
      </c>
      <c r="N66" s="644">
        <f>SUM('NYC Ferry'!L64)</f>
        <v>792</v>
      </c>
    </row>
    <row r="67" spans="1:14" ht="13.5" customHeight="1" thickBot="1" x14ac:dyDescent="0.3">
      <c r="A67" s="601"/>
      <c r="B67" s="603"/>
      <c r="C67" s="81"/>
      <c r="D67" s="601"/>
      <c r="E67" s="603"/>
      <c r="F67" s="81"/>
      <c r="G67" s="601"/>
      <c r="H67" s="603"/>
      <c r="I67" s="81"/>
      <c r="J67" s="601"/>
      <c r="K67" s="603"/>
      <c r="L67" s="81"/>
      <c r="M67" s="601"/>
      <c r="N67" s="603"/>
    </row>
    <row r="68" spans="1:14" ht="13.5" customHeight="1" x14ac:dyDescent="0.25">
      <c r="A68" s="645" t="s">
        <v>73</v>
      </c>
      <c r="B68" s="602">
        <f>SUM('NYC Ferry'!Y20)</f>
        <v>1430</v>
      </c>
      <c r="C68" s="81"/>
      <c r="D68" s="645" t="s">
        <v>73</v>
      </c>
      <c r="E68" s="602">
        <f>SUM('NYC Ferry'!Y31)</f>
        <v>2076</v>
      </c>
      <c r="F68" s="81"/>
      <c r="G68" s="645" t="s">
        <v>73</v>
      </c>
      <c r="H68" s="644">
        <f>SUM('NYC Ferry'!Y42)</f>
        <v>1390</v>
      </c>
      <c r="I68" s="81"/>
      <c r="J68" s="645" t="s">
        <v>73</v>
      </c>
      <c r="K68" s="644">
        <f>SUM('NYC Ferry'!Y53)</f>
        <v>1926</v>
      </c>
      <c r="L68" s="81"/>
      <c r="M68" s="645" t="s">
        <v>73</v>
      </c>
      <c r="N68" s="644">
        <f>SUM('NYC Ferry'!Y64)</f>
        <v>1553</v>
      </c>
    </row>
    <row r="69" spans="1:14" ht="13.5" customHeight="1" thickBot="1" x14ac:dyDescent="0.3">
      <c r="A69" s="601"/>
      <c r="B69" s="603"/>
      <c r="C69" s="81"/>
      <c r="D69" s="601"/>
      <c r="E69" s="603"/>
      <c r="F69" s="81"/>
      <c r="G69" s="601"/>
      <c r="H69" s="603"/>
      <c r="I69" s="81"/>
      <c r="J69" s="601"/>
      <c r="K69" s="603"/>
      <c r="L69" s="81"/>
      <c r="M69" s="601"/>
      <c r="N69" s="603"/>
    </row>
    <row r="70" spans="1:14" ht="13.5" customHeight="1" x14ac:dyDescent="0.25">
      <c r="A70" s="645" t="s">
        <v>74</v>
      </c>
      <c r="B70" s="602">
        <f>SUM('NYC Ferry'!X20)</f>
        <v>799</v>
      </c>
      <c r="C70" s="81"/>
      <c r="D70" s="645" t="s">
        <v>74</v>
      </c>
      <c r="E70" s="602">
        <f>SUM('NYC Ferry'!X31)</f>
        <v>1210</v>
      </c>
      <c r="F70" s="81"/>
      <c r="G70" s="645" t="s">
        <v>74</v>
      </c>
      <c r="H70" s="644">
        <f>SUM('NYC Ferry'!X42)</f>
        <v>735</v>
      </c>
      <c r="I70" s="81"/>
      <c r="J70" s="645" t="s">
        <v>74</v>
      </c>
      <c r="K70" s="644">
        <f>SUM('NYC Ferry'!X53)</f>
        <v>1109</v>
      </c>
      <c r="L70" s="81"/>
      <c r="M70" s="645" t="s">
        <v>74</v>
      </c>
      <c r="N70" s="644">
        <f>SUM('NYC Ferry'!X64)</f>
        <v>1463</v>
      </c>
    </row>
    <row r="71" spans="1:14" ht="13.5" customHeight="1" thickBot="1" x14ac:dyDescent="0.3">
      <c r="A71" s="601"/>
      <c r="B71" s="603"/>
      <c r="C71" s="81"/>
      <c r="D71" s="601"/>
      <c r="E71" s="603"/>
      <c r="F71" s="81"/>
      <c r="G71" s="601"/>
      <c r="H71" s="603"/>
      <c r="I71" s="81"/>
      <c r="J71" s="601"/>
      <c r="K71" s="603"/>
      <c r="L71" s="81"/>
      <c r="M71" s="601"/>
      <c r="N71" s="603"/>
    </row>
    <row r="72" spans="1:14" ht="13.5" customHeight="1" x14ac:dyDescent="0.25">
      <c r="A72" s="600" t="s">
        <v>101</v>
      </c>
      <c r="B72" s="602">
        <f>'NYC Ferry'!U20</f>
        <v>886</v>
      </c>
      <c r="C72" s="81"/>
      <c r="D72" s="600" t="s">
        <v>101</v>
      </c>
      <c r="E72" s="602">
        <f>'NYC Ferry'!U31</f>
        <v>1106</v>
      </c>
      <c r="F72" s="81"/>
      <c r="G72" s="600" t="s">
        <v>101</v>
      </c>
      <c r="H72" s="602">
        <f>'NYC Ferry'!U42</f>
        <v>809</v>
      </c>
      <c r="I72" s="81"/>
      <c r="J72" s="600" t="s">
        <v>101</v>
      </c>
      <c r="K72" s="602">
        <f>'NYC Ferry'!U53</f>
        <v>1043</v>
      </c>
      <c r="L72" s="81"/>
      <c r="M72" s="600" t="s">
        <v>101</v>
      </c>
      <c r="N72" s="602">
        <f>SUM('NYC Ferry'!U64)</f>
        <v>1008</v>
      </c>
    </row>
    <row r="73" spans="1:14" ht="13.5" customHeight="1" thickBot="1" x14ac:dyDescent="0.3">
      <c r="A73" s="601"/>
      <c r="B73" s="603"/>
      <c r="C73" s="81"/>
      <c r="D73" s="601"/>
      <c r="E73" s="603"/>
      <c r="F73" s="81"/>
      <c r="G73" s="601"/>
      <c r="H73" s="603"/>
      <c r="I73" s="81"/>
      <c r="J73" s="601"/>
      <c r="K73" s="603"/>
      <c r="L73" s="81"/>
      <c r="M73" s="601"/>
      <c r="N73" s="603"/>
    </row>
    <row r="74" spans="1:14" ht="13.5" customHeight="1" x14ac:dyDescent="0.25">
      <c r="A74" s="600" t="s">
        <v>60</v>
      </c>
      <c r="B74" s="602">
        <f>SUM('NYC Ferry'!W20,'NYC Ferry'!AJ20)</f>
        <v>1684</v>
      </c>
      <c r="C74" s="81"/>
      <c r="D74" s="600" t="s">
        <v>60</v>
      </c>
      <c r="E74" s="602">
        <f>SUM(,'NYC Ferry'!W31, 'NYC Ferry'!AJ31)</f>
        <v>2330</v>
      </c>
      <c r="F74" s="81"/>
      <c r="G74" s="600" t="s">
        <v>60</v>
      </c>
      <c r="H74" s="602">
        <f>SUM(,'NYC Ferry'!W42,'NYC Ferry'!AJ42)</f>
        <v>1525</v>
      </c>
      <c r="I74" s="81"/>
      <c r="J74" s="600" t="s">
        <v>60</v>
      </c>
      <c r="K74" s="602">
        <f>SUM('NYC Ferry'!W53,'NYC Ferry'!AJ53)</f>
        <v>2234</v>
      </c>
      <c r="L74" s="81"/>
      <c r="M74" s="600" t="s">
        <v>60</v>
      </c>
      <c r="N74" s="602">
        <f>SUM('NYC Ferry'!W64,'NYC Ferry'!AJ64)</f>
        <v>1763</v>
      </c>
    </row>
    <row r="75" spans="1:14" ht="13.5" customHeight="1" thickBot="1" x14ac:dyDescent="0.3">
      <c r="A75" s="601"/>
      <c r="B75" s="603"/>
      <c r="C75" s="81"/>
      <c r="D75" s="601"/>
      <c r="E75" s="603"/>
      <c r="F75" s="81"/>
      <c r="G75" s="601"/>
      <c r="H75" s="603"/>
      <c r="I75" s="81"/>
      <c r="J75" s="601"/>
      <c r="K75" s="603"/>
      <c r="L75" s="81"/>
      <c r="M75" s="601"/>
      <c r="N75" s="603"/>
    </row>
    <row r="76" spans="1:14" x14ac:dyDescent="0.25">
      <c r="A76" s="641" t="s">
        <v>17</v>
      </c>
      <c r="B76" s="628">
        <f>SUM(B18:B75)</f>
        <v>47831</v>
      </c>
      <c r="C76" s="81"/>
      <c r="D76" s="641" t="s">
        <v>17</v>
      </c>
      <c r="E76" s="628">
        <f>SUM(E18:E75)</f>
        <v>64389</v>
      </c>
      <c r="F76" s="81"/>
      <c r="G76" s="641" t="s">
        <v>17</v>
      </c>
      <c r="H76" s="628">
        <f>SUM(H18:H75)</f>
        <v>46375</v>
      </c>
      <c r="I76" s="81"/>
      <c r="J76" s="643" t="s">
        <v>17</v>
      </c>
      <c r="K76" s="628">
        <f>SUM(K18:K75)</f>
        <v>63739</v>
      </c>
      <c r="L76" s="81"/>
      <c r="M76" s="643" t="s">
        <v>17</v>
      </c>
      <c r="N76" s="628">
        <f>SUM(N18:N75)</f>
        <v>49109</v>
      </c>
    </row>
    <row r="77" spans="1:14" ht="13" thickBot="1" x14ac:dyDescent="0.3">
      <c r="A77" s="642"/>
      <c r="B77" s="629"/>
      <c r="C77" s="81"/>
      <c r="D77" s="642"/>
      <c r="E77" s="629"/>
      <c r="F77" s="81"/>
      <c r="G77" s="642"/>
      <c r="H77" s="629"/>
      <c r="I77" s="81"/>
      <c r="J77" s="642"/>
      <c r="K77" s="629"/>
      <c r="L77" s="81"/>
      <c r="M77" s="642"/>
      <c r="N77" s="629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8"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1:N1"/>
    <mergeCell ref="M3:N3"/>
    <mergeCell ref="M4:M5"/>
    <mergeCell ref="N4:N5"/>
    <mergeCell ref="M6:M7"/>
    <mergeCell ref="N6:N7"/>
    <mergeCell ref="M8:M9"/>
    <mergeCell ref="N8:N9"/>
    <mergeCell ref="P13:P16"/>
    <mergeCell ref="M2:N2"/>
    <mergeCell ref="M10:M11"/>
    <mergeCell ref="N10:N11"/>
    <mergeCell ref="M12:M13"/>
    <mergeCell ref="N12:N13"/>
    <mergeCell ref="M14:M15"/>
    <mergeCell ref="N14:N15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M17:N17"/>
    <mergeCell ref="M18:M19"/>
    <mergeCell ref="N18:N19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D2:E2"/>
    <mergeCell ref="G2:H2"/>
    <mergeCell ref="A3:B3"/>
    <mergeCell ref="D3:E3"/>
    <mergeCell ref="G3:H3"/>
    <mergeCell ref="J3:K3"/>
    <mergeCell ref="J2:K2"/>
    <mergeCell ref="A2:B2"/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77:D77 C18:D18 C34 E35:F35 E37:F37 F36 E39:F39 F38 E41:F41 F40 E43:F43 F42 A33 E33:F33 F34 H35:I35 H37:I37 I36 H39:I39 I38 H41:I41 I40 H43:I43 I42 H33:I33 I34 K35:L35 K37:L37 K39:L39 K41:L41 K43:L43 K33:L33 C38 C40 C58 C60 F18:G18 F58 F60 I18:J18 I58 I60 L58 L60 A61 I61 A15 I15:L15 I77:J77 A25 A24 C24:D24 F24:G24 I24:J24 L24 C15:G15 A76 C76:D76 F76:G76 I76:J76 L76 C35 C37 C39 C41 C43 C19:L19 C59 C32:C33 C61 C25:L25 C27:L27 C26:D26 F26:G26 C29:L29 C28:D28 F28:G28 I28:L28 F77:G77 L77 L26 I26:J26 E59:F59 F32 I32 L32 A31 C30:C31 E31:F31 H31:I31 K31:L31 F30 I30 L30 E61:F61 K61:L61 H59:I59 K59:L5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ColWidth="9.1796875" defaultRowHeight="12.5" outlineLevelRow="1" x14ac:dyDescent="0.25"/>
  <cols>
    <col min="1" max="1" width="18.7265625" style="59" bestFit="1" customWidth="1"/>
    <col min="2" max="2" width="10.1796875" style="59" bestFit="1" customWidth="1"/>
    <col min="3" max="7" width="15.7265625" style="59" customWidth="1"/>
    <col min="8" max="8" width="16.26953125" style="59" bestFit="1" customWidth="1"/>
    <col min="9" max="16384" width="9.1796875" style="59"/>
  </cols>
  <sheetData>
    <row r="1" spans="1:7" ht="15" customHeight="1" x14ac:dyDescent="0.25">
      <c r="B1" s="121"/>
      <c r="C1" s="766" t="s">
        <v>44</v>
      </c>
      <c r="D1" s="756"/>
      <c r="E1" s="766"/>
      <c r="F1" s="757"/>
      <c r="G1" s="751" t="s">
        <v>17</v>
      </c>
    </row>
    <row r="2" spans="1:7" ht="15" customHeight="1" thickBot="1" x14ac:dyDescent="0.3">
      <c r="B2" s="121"/>
      <c r="C2" s="794"/>
      <c r="D2" s="812"/>
      <c r="E2" s="794"/>
      <c r="F2" s="795"/>
      <c r="G2" s="752"/>
    </row>
    <row r="3" spans="1:7" x14ac:dyDescent="0.25">
      <c r="A3" s="760" t="s">
        <v>49</v>
      </c>
      <c r="B3" s="814" t="s">
        <v>50</v>
      </c>
      <c r="C3" s="728" t="s">
        <v>47</v>
      </c>
      <c r="D3" s="804" t="s">
        <v>48</v>
      </c>
      <c r="E3" s="728"/>
      <c r="F3" s="804"/>
      <c r="G3" s="752"/>
    </row>
    <row r="4" spans="1:7" ht="14.25" customHeight="1" thickBot="1" x14ac:dyDescent="0.3">
      <c r="A4" s="761"/>
      <c r="B4" s="815"/>
      <c r="C4" s="761"/>
      <c r="D4" s="763"/>
      <c r="E4" s="761"/>
      <c r="F4" s="763"/>
      <c r="G4" s="752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3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799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92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92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93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799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92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92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93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3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799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92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92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93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799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92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92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93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799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92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92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93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799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92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92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93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809" t="s">
        <v>56</v>
      </c>
      <c r="F72" s="813"/>
      <c r="G72" s="810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811" t="s">
        <v>27</v>
      </c>
      <c r="F73" s="784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707" t="s">
        <v>28</v>
      </c>
      <c r="F74" s="707"/>
      <c r="G74" s="99">
        <f>SUM(G58, G47, G36, G25, G14, G69)</f>
        <v>0</v>
      </c>
    </row>
    <row r="75" spans="1:7" ht="30" customHeight="1" x14ac:dyDescent="0.25">
      <c r="E75" s="811" t="s">
        <v>57</v>
      </c>
      <c r="F75" s="784"/>
      <c r="G75" s="99">
        <f>AVERAGE(G12, G23, G34, G45, G56, G67)</f>
        <v>0</v>
      </c>
    </row>
    <row r="76" spans="1:7" ht="30" customHeight="1" x14ac:dyDescent="0.25">
      <c r="E76" s="707" t="s">
        <v>20</v>
      </c>
      <c r="F76" s="707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K21" sqref="K21"/>
    </sheetView>
  </sheetViews>
  <sheetFormatPr defaultRowHeight="14.5" x14ac:dyDescent="0.35"/>
  <cols>
    <col min="1" max="1" width="22.453125" bestFit="1" customWidth="1"/>
    <col min="2" max="2" width="18.1796875" customWidth="1"/>
  </cols>
  <sheetData>
    <row r="1" spans="1:2" ht="15" thickBot="1" x14ac:dyDescent="0.4">
      <c r="A1" s="665" t="s">
        <v>116</v>
      </c>
      <c r="B1" s="666"/>
    </row>
    <row r="2" spans="1:2" ht="15" thickBot="1" x14ac:dyDescent="0.4">
      <c r="A2" s="667"/>
      <c r="B2" s="668"/>
    </row>
    <row r="3" spans="1:2" ht="15" thickBot="1" x14ac:dyDescent="0.4">
      <c r="A3" s="632" t="s">
        <v>42</v>
      </c>
      <c r="B3" s="669"/>
    </row>
    <row r="4" spans="1:2" ht="12.75" customHeight="1" x14ac:dyDescent="0.35">
      <c r="A4" s="609" t="s">
        <v>43</v>
      </c>
      <c r="B4" s="596">
        <f>'NY Waterway-(Port Imperial FC)'!N63</f>
        <v>86004</v>
      </c>
    </row>
    <row r="5" spans="1:2" ht="13.5" customHeight="1" thickBot="1" x14ac:dyDescent="0.4">
      <c r="A5" s="610"/>
      <c r="B5" s="611"/>
    </row>
    <row r="6" spans="1:2" ht="12.75" customHeight="1" x14ac:dyDescent="0.35">
      <c r="A6" s="609" t="s">
        <v>44</v>
      </c>
      <c r="B6" s="596">
        <f>(SeaStreak!I69)</f>
        <v>17189</v>
      </c>
    </row>
    <row r="7" spans="1:2" ht="13.5" customHeight="1" thickBot="1" x14ac:dyDescent="0.4">
      <c r="A7" s="670"/>
      <c r="B7" s="611"/>
    </row>
    <row r="8" spans="1:2" ht="12.75" customHeight="1" x14ac:dyDescent="0.35">
      <c r="A8" s="598" t="s">
        <v>45</v>
      </c>
      <c r="B8" s="623">
        <f>'New York Water Taxi'!M80</f>
        <v>6977</v>
      </c>
    </row>
    <row r="9" spans="1:2" ht="13.5" customHeight="1" thickBot="1" x14ac:dyDescent="0.4">
      <c r="A9" s="671"/>
      <c r="B9" s="625"/>
    </row>
    <row r="10" spans="1:2" ht="12.75" customHeight="1" x14ac:dyDescent="0.35">
      <c r="A10" s="630" t="s">
        <v>31</v>
      </c>
      <c r="B10" s="623">
        <f>('Liberty Landing Ferry'!F74)</f>
        <v>0</v>
      </c>
    </row>
    <row r="11" spans="1:2" ht="13.5" customHeight="1" thickBot="1" x14ac:dyDescent="0.4">
      <c r="A11" s="674"/>
      <c r="B11" s="625"/>
    </row>
    <row r="12" spans="1:2" ht="13.5" customHeight="1" x14ac:dyDescent="0.35">
      <c r="A12" s="630" t="s">
        <v>67</v>
      </c>
      <c r="B12" s="623">
        <f>'NYC Ferry'!E73</f>
        <v>242713</v>
      </c>
    </row>
    <row r="13" spans="1:2" ht="13.5" customHeight="1" thickBot="1" x14ac:dyDescent="0.4">
      <c r="A13" s="674"/>
      <c r="B13" s="625"/>
    </row>
    <row r="14" spans="1:2" ht="13.5" hidden="1" customHeight="1" x14ac:dyDescent="0.35">
      <c r="A14" s="630" t="s">
        <v>62</v>
      </c>
      <c r="B14" s="623">
        <f>'Water Tours'!F74</f>
        <v>0</v>
      </c>
    </row>
    <row r="15" spans="1:2" ht="13.5" hidden="1" customHeight="1" thickBot="1" x14ac:dyDescent="0.4">
      <c r="A15" s="674"/>
      <c r="B15" s="625"/>
    </row>
    <row r="16" spans="1:2" x14ac:dyDescent="0.35">
      <c r="A16" s="626" t="s">
        <v>17</v>
      </c>
      <c r="B16" s="628">
        <f>SUM(B4:B15)</f>
        <v>352883</v>
      </c>
    </row>
    <row r="17" spans="1:2" ht="15" thickBot="1" x14ac:dyDescent="0.4">
      <c r="A17" s="672"/>
      <c r="B17" s="673"/>
    </row>
    <row r="18" spans="1:2" ht="15" thickBot="1" x14ac:dyDescent="0.4">
      <c r="A18" s="39"/>
      <c r="B18" s="40"/>
    </row>
    <row r="19" spans="1:2" ht="15" thickBot="1" x14ac:dyDescent="0.4">
      <c r="A19" s="632" t="s">
        <v>46</v>
      </c>
      <c r="B19" s="669"/>
    </row>
    <row r="20" spans="1:2" x14ac:dyDescent="0.35">
      <c r="A20" s="609" t="s">
        <v>10</v>
      </c>
      <c r="B20" s="596">
        <f>SUM('NYC Ferry'!C68,'NY Waterway-(Port Imperial FC)'!D62,SeaStreak!B68,'New York Water Taxi'!J79,)</f>
        <v>50948</v>
      </c>
    </row>
    <row r="21" spans="1:2" ht="15" thickBot="1" x14ac:dyDescent="0.4">
      <c r="A21" s="610"/>
      <c r="B21" s="611"/>
    </row>
    <row r="22" spans="1:2" x14ac:dyDescent="0.35">
      <c r="A22" s="609" t="s">
        <v>63</v>
      </c>
      <c r="B22" s="596">
        <f>SeaStreak!C68</f>
        <v>8763</v>
      </c>
    </row>
    <row r="23" spans="1:2" ht="15" thickBot="1" x14ac:dyDescent="0.4">
      <c r="A23" s="610"/>
      <c r="B23" s="611"/>
    </row>
    <row r="24" spans="1:2" x14ac:dyDescent="0.35">
      <c r="A24" s="598" t="s">
        <v>8</v>
      </c>
      <c r="B24" s="623">
        <f>'NY Waterway-(Port Imperial FC)'!G62</f>
        <v>44838</v>
      </c>
    </row>
    <row r="25" spans="1:2" ht="15" thickBot="1" x14ac:dyDescent="0.4">
      <c r="A25" s="675"/>
      <c r="B25" s="625"/>
    </row>
    <row r="26" spans="1:2" x14ac:dyDescent="0.35">
      <c r="A26" s="609" t="s">
        <v>13</v>
      </c>
      <c r="B26" s="596">
        <f>SUM('NYC Ferry'!D68,SeaStreak!D68,'New York Water Taxi'!H79,)</f>
        <v>55934</v>
      </c>
    </row>
    <row r="27" spans="1:2" ht="15" thickBot="1" x14ac:dyDescent="0.4">
      <c r="A27" s="670"/>
      <c r="B27" s="611"/>
    </row>
    <row r="28" spans="1:2" ht="12.75" customHeight="1" x14ac:dyDescent="0.35">
      <c r="A28" s="609" t="s">
        <v>106</v>
      </c>
      <c r="B28" s="596">
        <f>SUM('NY Waterway-(Port Imperial FC)'!F62,'Liberty Landing Ferry'!B73)</f>
        <v>22608</v>
      </c>
    </row>
    <row r="29" spans="1:2" ht="15" thickBot="1" x14ac:dyDescent="0.4">
      <c r="A29" s="670"/>
      <c r="B29" s="611"/>
    </row>
    <row r="30" spans="1:2" x14ac:dyDescent="0.35">
      <c r="A30" s="598" t="s">
        <v>7</v>
      </c>
      <c r="B30" s="602">
        <f>SUM('New York Water Taxi'!D79)</f>
        <v>0</v>
      </c>
    </row>
    <row r="31" spans="1:2" ht="15" thickBot="1" x14ac:dyDescent="0.4">
      <c r="A31" s="671"/>
      <c r="B31" s="603"/>
    </row>
    <row r="32" spans="1:2" x14ac:dyDescent="0.35">
      <c r="A32" s="609" t="s">
        <v>91</v>
      </c>
      <c r="B32" s="602">
        <f>SUM('New York Water Taxi'!F79)</f>
        <v>0</v>
      </c>
    </row>
    <row r="33" spans="1:6" ht="15" thickBot="1" x14ac:dyDescent="0.4">
      <c r="A33" s="670"/>
      <c r="B33" s="603"/>
    </row>
    <row r="34" spans="1:6" ht="13.5" customHeight="1" x14ac:dyDescent="0.35">
      <c r="A34" s="600" t="s">
        <v>58</v>
      </c>
      <c r="B34" s="602">
        <f>SUM('NYC Ferry'!E68,'New York Water Taxi'!E79)</f>
        <v>17501</v>
      </c>
    </row>
    <row r="35" spans="1:6" ht="14.25" customHeight="1" thickBot="1" x14ac:dyDescent="0.4">
      <c r="A35" s="601"/>
      <c r="B35" s="603"/>
    </row>
    <row r="36" spans="1:6" ht="14.25" customHeight="1" x14ac:dyDescent="0.35">
      <c r="A36" s="600" t="s">
        <v>88</v>
      </c>
      <c r="B36" s="602">
        <f>SUM('New York Water Taxi'!G79)</f>
        <v>0</v>
      </c>
    </row>
    <row r="37" spans="1:6" ht="14.25" customHeight="1" thickBot="1" x14ac:dyDescent="0.4">
      <c r="A37" s="601"/>
      <c r="B37" s="603"/>
    </row>
    <row r="38" spans="1:6" ht="13.5" customHeight="1" x14ac:dyDescent="0.35">
      <c r="A38" s="600" t="s">
        <v>59</v>
      </c>
      <c r="B38" s="602">
        <f>SUM('NYC Ferry'!I68)</f>
        <v>6966</v>
      </c>
    </row>
    <row r="39" spans="1:6" ht="14.25" customHeight="1" thickBot="1" x14ac:dyDescent="0.4">
      <c r="A39" s="601"/>
      <c r="B39" s="603"/>
    </row>
    <row r="40" spans="1:6" ht="13.5" customHeight="1" x14ac:dyDescent="0.35">
      <c r="A40" s="600" t="s">
        <v>11</v>
      </c>
      <c r="B40" s="602">
        <f>SUM('NYC Ferry'!J68)</f>
        <v>14672</v>
      </c>
    </row>
    <row r="41" spans="1:6" ht="14.25" customHeight="1" thickBot="1" x14ac:dyDescent="0.4">
      <c r="A41" s="601"/>
      <c r="B41" s="603"/>
    </row>
    <row r="42" spans="1:6" ht="13.5" customHeight="1" x14ac:dyDescent="0.35">
      <c r="A42" s="600" t="s">
        <v>12</v>
      </c>
      <c r="B42" s="602">
        <f>SUM('NYC Ferry'!G68)</f>
        <v>10151</v>
      </c>
    </row>
    <row r="43" spans="1:6" ht="14.25" customHeight="1" thickBot="1" x14ac:dyDescent="0.4">
      <c r="A43" s="601"/>
      <c r="B43" s="603"/>
    </row>
    <row r="44" spans="1:6" ht="13.5" customHeight="1" x14ac:dyDescent="0.35">
      <c r="A44" s="600" t="s">
        <v>94</v>
      </c>
      <c r="B44" s="602">
        <f>SUM('NYC Ferry'!H68)</f>
        <v>10243</v>
      </c>
    </row>
    <row r="45" spans="1:6" ht="14.25" customHeight="1" thickBot="1" x14ac:dyDescent="0.4">
      <c r="A45" s="601"/>
      <c r="B45" s="603"/>
    </row>
    <row r="46" spans="1:6" ht="14.25" customHeight="1" x14ac:dyDescent="0.35">
      <c r="A46" s="600" t="s">
        <v>29</v>
      </c>
      <c r="B46" s="602">
        <f>SUM('NYC Ferry'!W68,'NY Waterway-(Port Imperial FC)'!H62)</f>
        <v>10034</v>
      </c>
      <c r="F46" s="6"/>
    </row>
    <row r="47" spans="1:6" ht="14.25" customHeight="1" thickBot="1" x14ac:dyDescent="0.4">
      <c r="A47" s="601"/>
      <c r="B47" s="603"/>
    </row>
    <row r="48" spans="1:6" ht="14.25" customHeight="1" x14ac:dyDescent="0.35">
      <c r="A48" s="600" t="s">
        <v>72</v>
      </c>
      <c r="B48" s="602">
        <f>SUM('NYC Ferry'!N68)</f>
        <v>3222</v>
      </c>
    </row>
    <row r="49" spans="1:2" ht="14.25" customHeight="1" thickBot="1" x14ac:dyDescent="0.4">
      <c r="A49" s="601"/>
      <c r="B49" s="603"/>
    </row>
    <row r="50" spans="1:2" ht="14.25" customHeight="1" x14ac:dyDescent="0.35">
      <c r="A50" s="600" t="s">
        <v>97</v>
      </c>
      <c r="B50" s="602">
        <f>SUM('New York Water Taxi'!K79)</f>
        <v>0</v>
      </c>
    </row>
    <row r="51" spans="1:2" ht="14.25" customHeight="1" thickBot="1" x14ac:dyDescent="0.4">
      <c r="A51" s="601"/>
      <c r="B51" s="603"/>
    </row>
    <row r="52" spans="1:2" ht="14.25" customHeight="1" x14ac:dyDescent="0.35">
      <c r="A52" s="637" t="s">
        <v>107</v>
      </c>
      <c r="B52" s="602">
        <f>SUM('NYC Ferry'!K68,'New York Water Taxi'!I79)</f>
        <v>9243</v>
      </c>
    </row>
    <row r="53" spans="1:2" ht="14.25" customHeight="1" thickBot="1" x14ac:dyDescent="0.4">
      <c r="A53" s="638"/>
      <c r="B53" s="603"/>
    </row>
    <row r="54" spans="1:2" ht="14.25" customHeight="1" x14ac:dyDescent="0.35">
      <c r="A54" s="600" t="s">
        <v>78</v>
      </c>
      <c r="B54" s="602">
        <f>SUM('NYC Ferry'!V68)</f>
        <v>4271</v>
      </c>
    </row>
    <row r="55" spans="1:2" ht="14.25" customHeight="1" thickBot="1" x14ac:dyDescent="0.4">
      <c r="A55" s="601"/>
      <c r="B55" s="603"/>
    </row>
    <row r="56" spans="1:2" ht="14.25" customHeight="1" x14ac:dyDescent="0.35">
      <c r="A56" s="600" t="s">
        <v>79</v>
      </c>
      <c r="B56" s="602">
        <f>SUM('NYC Ferry'!U68)</f>
        <v>2351</v>
      </c>
    </row>
    <row r="57" spans="1:2" ht="14.25" customHeight="1" thickBot="1" x14ac:dyDescent="0.4">
      <c r="A57" s="601"/>
      <c r="B57" s="603"/>
    </row>
    <row r="58" spans="1:2" ht="14.25" customHeight="1" x14ac:dyDescent="0.35">
      <c r="A58" s="600" t="s">
        <v>81</v>
      </c>
      <c r="B58" s="602">
        <f>SUM('NYC Ferry'!T68)</f>
        <v>8753</v>
      </c>
    </row>
    <row r="59" spans="1:2" ht="14.25" customHeight="1" thickBot="1" x14ac:dyDescent="0.4">
      <c r="A59" s="601"/>
      <c r="B59" s="603"/>
    </row>
    <row r="60" spans="1:2" ht="14.25" customHeight="1" x14ac:dyDescent="0.35">
      <c r="A60" s="600" t="s">
        <v>80</v>
      </c>
      <c r="B60" s="602">
        <f>SUM('NYC Ferry'!S68)</f>
        <v>17413</v>
      </c>
    </row>
    <row r="61" spans="1:2" ht="14.25" customHeight="1" thickBot="1" x14ac:dyDescent="0.4">
      <c r="A61" s="601"/>
      <c r="B61" s="603"/>
    </row>
    <row r="62" spans="1:2" ht="14.25" customHeight="1" x14ac:dyDescent="0.35">
      <c r="A62" s="676" t="s">
        <v>95</v>
      </c>
      <c r="B62" s="602">
        <f>SUM('NYC Ferry'!M68,'NY Waterway-(Port Imperial FC)'!I62)</f>
        <v>4176</v>
      </c>
    </row>
    <row r="63" spans="1:2" ht="14.25" customHeight="1" thickBot="1" x14ac:dyDescent="0.4">
      <c r="A63" s="677"/>
      <c r="B63" s="603"/>
    </row>
    <row r="64" spans="1:2" ht="14.25" customHeight="1" x14ac:dyDescent="0.35">
      <c r="A64" s="600" t="s">
        <v>109</v>
      </c>
      <c r="B64" s="602">
        <f>SUM('NYC Ferry'!O68)</f>
        <v>3960</v>
      </c>
    </row>
    <row r="65" spans="1:2" ht="14.25" customHeight="1" thickBot="1" x14ac:dyDescent="0.4">
      <c r="A65" s="601"/>
      <c r="B65" s="603"/>
    </row>
    <row r="66" spans="1:2" ht="14.25" customHeight="1" x14ac:dyDescent="0.35">
      <c r="A66" s="600" t="s">
        <v>66</v>
      </c>
      <c r="B66" s="602">
        <f>SUM('NYC Ferry'!L68)</f>
        <v>7604</v>
      </c>
    </row>
    <row r="67" spans="1:2" ht="14.25" customHeight="1" thickBot="1" x14ac:dyDescent="0.4">
      <c r="A67" s="601"/>
      <c r="B67" s="603"/>
    </row>
    <row r="68" spans="1:2" ht="14.25" customHeight="1" x14ac:dyDescent="0.35">
      <c r="A68" s="600" t="s">
        <v>73</v>
      </c>
      <c r="B68" s="602">
        <f>SUM('NYC Ferry'!R68)</f>
        <v>11979</v>
      </c>
    </row>
    <row r="69" spans="1:2" ht="14.25" customHeight="1" thickBot="1" x14ac:dyDescent="0.4">
      <c r="A69" s="601"/>
      <c r="B69" s="603"/>
    </row>
    <row r="70" spans="1:2" ht="14.25" customHeight="1" x14ac:dyDescent="0.35">
      <c r="A70" s="600" t="s">
        <v>74</v>
      </c>
      <c r="B70" s="602">
        <f>SUM('NYC Ferry'!Q68)</f>
        <v>7851</v>
      </c>
    </row>
    <row r="71" spans="1:2" ht="14.25" customHeight="1" thickBot="1" x14ac:dyDescent="0.4">
      <c r="A71" s="601"/>
      <c r="B71" s="603"/>
    </row>
    <row r="72" spans="1:2" ht="14.25" customHeight="1" x14ac:dyDescent="0.35">
      <c r="A72" s="600" t="s">
        <v>101</v>
      </c>
      <c r="B72" s="602">
        <f>SUM('NYC Ferry'!P68)</f>
        <v>6070</v>
      </c>
    </row>
    <row r="73" spans="1:2" ht="14.25" customHeight="1" thickBot="1" x14ac:dyDescent="0.4">
      <c r="A73" s="601"/>
      <c r="B73" s="603"/>
    </row>
    <row r="74" spans="1:2" ht="14.25" customHeight="1" x14ac:dyDescent="0.35">
      <c r="A74" s="600" t="s">
        <v>60</v>
      </c>
      <c r="B74" s="602">
        <f>SUM('NYC Ferry'!F68)</f>
        <v>13332</v>
      </c>
    </row>
    <row r="75" spans="1:2" ht="14.25" customHeight="1" thickBot="1" x14ac:dyDescent="0.4">
      <c r="A75" s="601"/>
      <c r="B75" s="603"/>
    </row>
    <row r="76" spans="1:2" x14ac:dyDescent="0.35">
      <c r="A76" s="641" t="s">
        <v>17</v>
      </c>
      <c r="B76" s="628">
        <f>SUM(B20:B75)</f>
        <v>352883</v>
      </c>
    </row>
    <row r="77" spans="1:2" ht="15" thickBot="1" x14ac:dyDescent="0.4">
      <c r="A77" s="678"/>
      <c r="B77" s="673"/>
    </row>
    <row r="81" spans="9:10" x14ac:dyDescent="0.35">
      <c r="I81" s="6"/>
      <c r="J81" s="6"/>
    </row>
    <row r="82" spans="9:10" x14ac:dyDescent="0.35">
      <c r="I82" s="6"/>
      <c r="J82" s="6"/>
    </row>
    <row r="83" spans="9:10" x14ac:dyDescent="0.35">
      <c r="I83" s="6"/>
      <c r="J83" s="6"/>
    </row>
    <row r="84" spans="9:10" x14ac:dyDescent="0.35">
      <c r="I84" s="6"/>
      <c r="J84" s="6"/>
    </row>
    <row r="85" spans="9:10" x14ac:dyDescent="0.35">
      <c r="I85" s="6"/>
      <c r="J85" s="6"/>
    </row>
    <row r="86" spans="9:10" x14ac:dyDescent="0.35">
      <c r="I86" s="6"/>
      <c r="J86" s="6"/>
    </row>
    <row r="87" spans="9:10" x14ac:dyDescent="0.35">
      <c r="I87" s="6"/>
      <c r="J87" s="6"/>
    </row>
    <row r="88" spans="9:10" x14ac:dyDescent="0.35">
      <c r="I88" s="6"/>
      <c r="J88" s="6"/>
    </row>
    <row r="89" spans="9:10" x14ac:dyDescent="0.35">
      <c r="I89" s="6"/>
      <c r="J89" s="6"/>
    </row>
    <row r="90" spans="9:10" x14ac:dyDescent="0.35">
      <c r="I90" s="6"/>
      <c r="J90" s="6"/>
    </row>
    <row r="91" spans="9:10" x14ac:dyDescent="0.35">
      <c r="I91" s="6"/>
      <c r="J91" s="6"/>
    </row>
    <row r="92" spans="9:10" x14ac:dyDescent="0.35">
      <c r="J92" s="6"/>
    </row>
    <row r="93" spans="9:10" x14ac:dyDescent="0.35">
      <c r="J93" s="6"/>
    </row>
    <row r="94" spans="9:10" x14ac:dyDescent="0.35">
      <c r="I94" s="6"/>
      <c r="J94" s="6"/>
    </row>
    <row r="95" spans="9:10" x14ac:dyDescent="0.35">
      <c r="I95" s="6"/>
      <c r="J95" s="6"/>
    </row>
    <row r="96" spans="9:10" x14ac:dyDescent="0.35">
      <c r="I96" s="6"/>
      <c r="J96" s="6"/>
    </row>
    <row r="97" spans="9:10" x14ac:dyDescent="0.35">
      <c r="I97" s="6"/>
      <c r="J97" s="6"/>
    </row>
    <row r="98" spans="9:10" x14ac:dyDescent="0.35">
      <c r="I98" s="6"/>
      <c r="J98" s="6"/>
    </row>
    <row r="99" spans="9:10" x14ac:dyDescent="0.35">
      <c r="I99" s="6"/>
      <c r="J99" s="6"/>
    </row>
    <row r="100" spans="9:10" x14ac:dyDescent="0.35">
      <c r="I100" s="6"/>
      <c r="J100" s="6"/>
    </row>
    <row r="101" spans="9:10" x14ac:dyDescent="0.35">
      <c r="I101" s="6"/>
      <c r="J101" s="6"/>
    </row>
    <row r="102" spans="9:10" x14ac:dyDescent="0.35">
      <c r="I102" s="6"/>
      <c r="J102" s="6"/>
    </row>
    <row r="103" spans="9:10" x14ac:dyDescent="0.35">
      <c r="I103" s="6"/>
      <c r="J103" s="6"/>
    </row>
    <row r="104" spans="9:10" x14ac:dyDescent="0.35">
      <c r="I104" s="6"/>
      <c r="J104" s="6"/>
    </row>
    <row r="105" spans="9:10" x14ac:dyDescent="0.35">
      <c r="I105" s="6"/>
      <c r="J105" s="6"/>
    </row>
    <row r="106" spans="9:10" x14ac:dyDescent="0.35">
      <c r="I106" s="6"/>
      <c r="J106" s="6"/>
    </row>
    <row r="107" spans="9:10" x14ac:dyDescent="0.35">
      <c r="I107" s="6"/>
    </row>
    <row r="108" spans="9:10" x14ac:dyDescent="0.35">
      <c r="I108" s="6"/>
      <c r="J108" s="6"/>
    </row>
    <row r="109" spans="9:10" x14ac:dyDescent="0.35">
      <c r="I109" s="6"/>
    </row>
    <row r="110" spans="9:10" x14ac:dyDescent="0.35">
      <c r="I110" s="6"/>
      <c r="J110" s="6"/>
    </row>
    <row r="111" spans="9:10" x14ac:dyDescent="0.35">
      <c r="I111" s="6"/>
      <c r="J111" s="6"/>
    </row>
    <row r="112" spans="9:10" x14ac:dyDescent="0.35">
      <c r="I112" s="6"/>
      <c r="J112" s="6"/>
    </row>
    <row r="113" spans="9:10" x14ac:dyDescent="0.35">
      <c r="I113" s="6"/>
      <c r="J113" s="6"/>
    </row>
  </sheetData>
  <mergeCells count="76">
    <mergeCell ref="A54:A55"/>
    <mergeCell ref="A56:A57"/>
    <mergeCell ref="B54:B55"/>
    <mergeCell ref="A60:A61"/>
    <mergeCell ref="B58:B59"/>
    <mergeCell ref="B60:B6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24:A25"/>
    <mergeCell ref="B24:B25"/>
    <mergeCell ref="A26:A27"/>
    <mergeCell ref="B26:B27"/>
    <mergeCell ref="A22:A23"/>
    <mergeCell ref="B22:B23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M65" sqref="AM65"/>
    </sheetView>
  </sheetViews>
  <sheetFormatPr defaultRowHeight="14.5" x14ac:dyDescent="0.35"/>
  <cols>
    <col min="1" max="1" width="18.7265625" style="1" bestFit="1" customWidth="1"/>
    <col min="2" max="2" width="10.7265625" style="120" bestFit="1" customWidth="1"/>
    <col min="3" max="3" width="17.54296875" style="120" customWidth="1"/>
    <col min="4" max="4" width="17.54296875" style="1" customWidth="1"/>
    <col min="5" max="5" width="14.54296875" style="1" customWidth="1"/>
    <col min="6" max="6" width="13.7265625" style="1" customWidth="1"/>
    <col min="7" max="8" width="11.7265625" style="1" customWidth="1"/>
    <col min="9" max="9" width="14.81640625" style="1" bestFit="1" customWidth="1"/>
    <col min="10" max="10" width="13" style="1" customWidth="1"/>
    <col min="11" max="11" width="11.7265625" style="1" customWidth="1"/>
    <col min="12" max="14" width="11.7265625" style="213" customWidth="1"/>
    <col min="15" max="15" width="13.26953125" style="1" customWidth="1"/>
    <col min="16" max="16" width="11.7265625" style="1" customWidth="1"/>
    <col min="17" max="27" width="11.7265625" style="213" customWidth="1"/>
    <col min="28" max="28" width="13.453125" customWidth="1"/>
    <col min="29" max="29" width="11" customWidth="1"/>
    <col min="30" max="30" width="10.81640625" style="251" bestFit="1" customWidth="1"/>
    <col min="31" max="31" width="10.81640625" style="215" customWidth="1"/>
    <col min="32" max="32" width="11.7265625" style="213" customWidth="1"/>
    <col min="33" max="33" width="14.26953125" customWidth="1"/>
    <col min="34" max="34" width="12.453125" customWidth="1"/>
    <col min="35" max="35" width="10.81640625" customWidth="1"/>
    <col min="36" max="36" width="10.54296875" customWidth="1"/>
    <col min="37" max="37" width="9.1796875" style="215"/>
    <col min="38" max="38" width="10.54296875" style="215" customWidth="1"/>
  </cols>
  <sheetData>
    <row r="1" spans="1:39" ht="15" customHeight="1" x14ac:dyDescent="0.35">
      <c r="A1" s="710" t="s">
        <v>49</v>
      </c>
      <c r="B1" s="713" t="s">
        <v>50</v>
      </c>
      <c r="C1" s="715" t="s">
        <v>65</v>
      </c>
      <c r="D1" s="716"/>
      <c r="E1" s="716"/>
      <c r="F1" s="716"/>
      <c r="G1" s="716"/>
      <c r="H1" s="716"/>
      <c r="I1" s="717"/>
      <c r="J1" s="679" t="s">
        <v>66</v>
      </c>
      <c r="K1" s="680"/>
      <c r="L1" s="681"/>
      <c r="M1" s="679" t="s">
        <v>70</v>
      </c>
      <c r="N1" s="680"/>
      <c r="O1" s="680"/>
      <c r="P1" s="680"/>
      <c r="Q1" s="680"/>
      <c r="R1" s="680"/>
      <c r="S1" s="681"/>
      <c r="T1" s="679" t="s">
        <v>73</v>
      </c>
      <c r="U1" s="680"/>
      <c r="V1" s="680"/>
      <c r="W1" s="680"/>
      <c r="X1" s="680"/>
      <c r="Y1" s="680"/>
      <c r="Z1" s="681"/>
      <c r="AA1" s="679" t="s">
        <v>81</v>
      </c>
      <c r="AB1" s="680"/>
      <c r="AC1" s="680"/>
      <c r="AD1" s="680"/>
      <c r="AE1" s="681"/>
      <c r="AF1" s="725" t="s">
        <v>77</v>
      </c>
      <c r="AG1" s="726"/>
      <c r="AH1" s="726"/>
      <c r="AI1" s="726"/>
      <c r="AJ1" s="727"/>
      <c r="AK1" s="737" t="s">
        <v>100</v>
      </c>
      <c r="AL1" s="738"/>
      <c r="AM1" s="732"/>
    </row>
    <row r="2" spans="1:39" ht="15.75" customHeight="1" thickBot="1" x14ac:dyDescent="0.4">
      <c r="A2" s="711"/>
      <c r="B2" s="714"/>
      <c r="C2" s="718"/>
      <c r="D2" s="719"/>
      <c r="E2" s="719"/>
      <c r="F2" s="719"/>
      <c r="G2" s="719"/>
      <c r="H2" s="719"/>
      <c r="I2" s="720"/>
      <c r="J2" s="682"/>
      <c r="K2" s="683"/>
      <c r="L2" s="684"/>
      <c r="M2" s="696"/>
      <c r="N2" s="697"/>
      <c r="O2" s="697"/>
      <c r="P2" s="697"/>
      <c r="Q2" s="697"/>
      <c r="R2" s="697"/>
      <c r="S2" s="698"/>
      <c r="T2" s="682"/>
      <c r="U2" s="683"/>
      <c r="V2" s="683"/>
      <c r="W2" s="683"/>
      <c r="X2" s="683"/>
      <c r="Y2" s="683"/>
      <c r="Z2" s="684"/>
      <c r="AA2" s="682"/>
      <c r="AB2" s="683"/>
      <c r="AC2" s="683"/>
      <c r="AD2" s="683"/>
      <c r="AE2" s="684"/>
      <c r="AF2" s="728"/>
      <c r="AG2" s="729"/>
      <c r="AH2" s="729"/>
      <c r="AI2" s="729"/>
      <c r="AJ2" s="730"/>
      <c r="AK2" s="739"/>
      <c r="AL2" s="740"/>
      <c r="AM2" s="733"/>
    </row>
    <row r="3" spans="1:39" ht="15" customHeight="1" x14ac:dyDescent="0.35">
      <c r="A3" s="711"/>
      <c r="B3" s="714"/>
      <c r="C3" s="699" t="s">
        <v>10</v>
      </c>
      <c r="D3" s="685" t="s">
        <v>58</v>
      </c>
      <c r="E3" s="685" t="s">
        <v>59</v>
      </c>
      <c r="F3" s="685" t="s">
        <v>11</v>
      </c>
      <c r="G3" s="685" t="s">
        <v>12</v>
      </c>
      <c r="H3" s="685" t="s">
        <v>94</v>
      </c>
      <c r="I3" s="694" t="s">
        <v>13</v>
      </c>
      <c r="J3" s="699" t="s">
        <v>10</v>
      </c>
      <c r="K3" s="685" t="s">
        <v>103</v>
      </c>
      <c r="L3" s="694" t="s">
        <v>66</v>
      </c>
      <c r="M3" s="699" t="s">
        <v>10</v>
      </c>
      <c r="N3" s="685" t="s">
        <v>58</v>
      </c>
      <c r="O3" s="685" t="s">
        <v>110</v>
      </c>
      <c r="P3" s="685" t="s">
        <v>72</v>
      </c>
      <c r="Q3" s="685" t="s">
        <v>103</v>
      </c>
      <c r="R3" s="685" t="s">
        <v>71</v>
      </c>
      <c r="S3" s="694" t="s">
        <v>79</v>
      </c>
      <c r="T3" s="691" t="s">
        <v>10</v>
      </c>
      <c r="U3" s="685" t="s">
        <v>101</v>
      </c>
      <c r="V3" s="685" t="s">
        <v>13</v>
      </c>
      <c r="W3" s="685" t="s">
        <v>60</v>
      </c>
      <c r="X3" s="685" t="s">
        <v>74</v>
      </c>
      <c r="Y3" s="689" t="s">
        <v>73</v>
      </c>
      <c r="Z3" s="687" t="s">
        <v>80</v>
      </c>
      <c r="AA3" s="699" t="s">
        <v>10</v>
      </c>
      <c r="AB3" s="685" t="s">
        <v>13</v>
      </c>
      <c r="AC3" s="685" t="s">
        <v>80</v>
      </c>
      <c r="AD3" s="685" t="s">
        <v>81</v>
      </c>
      <c r="AE3" s="694" t="s">
        <v>78</v>
      </c>
      <c r="AF3" s="691" t="s">
        <v>10</v>
      </c>
      <c r="AG3" s="685" t="s">
        <v>79</v>
      </c>
      <c r="AH3" s="685" t="s">
        <v>78</v>
      </c>
      <c r="AI3" s="685" t="s">
        <v>13</v>
      </c>
      <c r="AJ3" s="694" t="s">
        <v>60</v>
      </c>
      <c r="AK3" s="699" t="s">
        <v>10</v>
      </c>
      <c r="AL3" s="694" t="s">
        <v>29</v>
      </c>
      <c r="AM3" s="733"/>
    </row>
    <row r="4" spans="1:39" ht="39" customHeight="1" thickBot="1" x14ac:dyDescent="0.4">
      <c r="A4" s="712"/>
      <c r="B4" s="714"/>
      <c r="C4" s="702"/>
      <c r="D4" s="705"/>
      <c r="E4" s="705"/>
      <c r="F4" s="705"/>
      <c r="G4" s="705"/>
      <c r="H4" s="705"/>
      <c r="I4" s="704"/>
      <c r="J4" s="702"/>
      <c r="K4" s="705"/>
      <c r="L4" s="704"/>
      <c r="M4" s="700"/>
      <c r="N4" s="686"/>
      <c r="O4" s="686"/>
      <c r="P4" s="686"/>
      <c r="Q4" s="686"/>
      <c r="R4" s="686"/>
      <c r="S4" s="695"/>
      <c r="T4" s="692"/>
      <c r="U4" s="693"/>
      <c r="V4" s="686"/>
      <c r="W4" s="686"/>
      <c r="X4" s="686"/>
      <c r="Y4" s="690"/>
      <c r="Z4" s="688"/>
      <c r="AA4" s="731"/>
      <c r="AB4" s="736"/>
      <c r="AC4" s="736"/>
      <c r="AD4" s="735"/>
      <c r="AE4" s="745"/>
      <c r="AF4" s="744"/>
      <c r="AG4" s="743"/>
      <c r="AH4" s="743"/>
      <c r="AI4" s="743"/>
      <c r="AJ4" s="742"/>
      <c r="AK4" s="741"/>
      <c r="AL4" s="704"/>
      <c r="AM4" s="734"/>
    </row>
    <row r="5" spans="1:39" s="347" customFormat="1" ht="14" hidden="1" thickBot="1" x14ac:dyDescent="0.3">
      <c r="A5" s="136"/>
      <c r="B5" s="446"/>
      <c r="C5" s="497"/>
      <c r="D5" s="449"/>
      <c r="E5" s="449"/>
      <c r="F5" s="449"/>
      <c r="G5" s="449"/>
      <c r="H5" s="449"/>
      <c r="I5" s="499"/>
      <c r="J5" s="501"/>
      <c r="K5" s="449"/>
      <c r="L5" s="494"/>
      <c r="M5" s="212"/>
      <c r="N5" s="194"/>
      <c r="O5" s="194"/>
      <c r="P5" s="194"/>
      <c r="Q5" s="243"/>
      <c r="R5" s="194"/>
      <c r="S5" s="206"/>
      <c r="T5" s="497"/>
      <c r="U5" s="449"/>
      <c r="V5" s="449"/>
      <c r="W5" s="449"/>
      <c r="X5" s="449"/>
      <c r="Y5" s="449"/>
      <c r="Z5" s="494"/>
      <c r="AA5" s="208"/>
      <c r="AB5" s="170"/>
      <c r="AC5" s="195"/>
      <c r="AD5" s="195"/>
      <c r="AE5" s="204"/>
      <c r="AF5" s="497"/>
      <c r="AG5" s="449"/>
      <c r="AH5" s="449"/>
      <c r="AI5" s="449"/>
      <c r="AJ5" s="494"/>
      <c r="AK5" s="448"/>
      <c r="AL5" s="450"/>
      <c r="AM5" s="174">
        <f>SUM(C5:AL5)</f>
        <v>0</v>
      </c>
    </row>
    <row r="6" spans="1:39" s="347" customFormat="1" ht="14" hidden="1" thickBot="1" x14ac:dyDescent="0.3">
      <c r="A6" s="136"/>
      <c r="B6" s="447"/>
      <c r="C6" s="498"/>
      <c r="D6" s="493"/>
      <c r="E6" s="493"/>
      <c r="F6" s="493"/>
      <c r="G6" s="493"/>
      <c r="H6" s="493"/>
      <c r="I6" s="500"/>
      <c r="J6" s="502"/>
      <c r="K6" s="493"/>
      <c r="L6" s="495"/>
      <c r="M6" s="492"/>
      <c r="N6" s="493"/>
      <c r="O6" s="493"/>
      <c r="P6" s="493"/>
      <c r="Q6" s="495"/>
      <c r="R6" s="195"/>
      <c r="S6" s="204"/>
      <c r="T6" s="498"/>
      <c r="U6" s="493"/>
      <c r="V6" s="493"/>
      <c r="W6" s="493"/>
      <c r="X6" s="493"/>
      <c r="Y6" s="493"/>
      <c r="Z6" s="495"/>
      <c r="AA6" s="208"/>
      <c r="AB6" s="170"/>
      <c r="AC6" s="195"/>
      <c r="AD6" s="195"/>
      <c r="AE6" s="204"/>
      <c r="AF6" s="498"/>
      <c r="AG6" s="493"/>
      <c r="AH6" s="493"/>
      <c r="AI6" s="493"/>
      <c r="AJ6" s="495"/>
      <c r="AK6" s="492"/>
      <c r="AL6" s="205"/>
      <c r="AM6" s="174"/>
    </row>
    <row r="7" spans="1:39" ht="15" hidden="1" thickBot="1" x14ac:dyDescent="0.4">
      <c r="A7" s="144" t="s">
        <v>19</v>
      </c>
      <c r="B7" s="703" t="s">
        <v>117</v>
      </c>
      <c r="C7" s="496">
        <f>SUM(C5:C6)</f>
        <v>0</v>
      </c>
      <c r="D7" s="496">
        <f>SUM(D5:D6)</f>
        <v>0</v>
      </c>
      <c r="E7" s="496">
        <f t="shared" ref="E7:AJ7" si="0">SUM(E5:E6)</f>
        <v>0</v>
      </c>
      <c r="F7" s="496">
        <f>SUM(F5:F6)</f>
        <v>0</v>
      </c>
      <c r="G7" s="496">
        <f t="shared" si="0"/>
        <v>0</v>
      </c>
      <c r="H7" s="496">
        <f>SUM(H5:H6)</f>
        <v>0</v>
      </c>
      <c r="I7" s="496">
        <f t="shared" si="0"/>
        <v>0</v>
      </c>
      <c r="J7" s="496">
        <f t="shared" si="0"/>
        <v>0</v>
      </c>
      <c r="K7" s="496">
        <f t="shared" si="0"/>
        <v>0</v>
      </c>
      <c r="L7" s="496">
        <f t="shared" si="0"/>
        <v>0</v>
      </c>
      <c r="M7" s="496">
        <f t="shared" si="0"/>
        <v>0</v>
      </c>
      <c r="N7" s="496">
        <f t="shared" si="0"/>
        <v>0</v>
      </c>
      <c r="O7" s="496">
        <f t="shared" si="0"/>
        <v>0</v>
      </c>
      <c r="P7" s="496">
        <f t="shared" si="0"/>
        <v>0</v>
      </c>
      <c r="Q7" s="496">
        <f t="shared" si="0"/>
        <v>0</v>
      </c>
      <c r="R7" s="496">
        <f t="shared" si="0"/>
        <v>0</v>
      </c>
      <c r="S7" s="496">
        <f t="shared" si="0"/>
        <v>0</v>
      </c>
      <c r="T7" s="496">
        <f>SUM(T5:T6)</f>
        <v>0</v>
      </c>
      <c r="U7" s="496">
        <f>SUM(U5:U6)</f>
        <v>0</v>
      </c>
      <c r="V7" s="496">
        <f t="shared" si="0"/>
        <v>0</v>
      </c>
      <c r="W7" s="496">
        <f>SUM(W5:W6)</f>
        <v>0</v>
      </c>
      <c r="X7" s="496">
        <f t="shared" si="0"/>
        <v>0</v>
      </c>
      <c r="Y7" s="496">
        <f>SUM(Y5:Y6)</f>
        <v>0</v>
      </c>
      <c r="Z7" s="496">
        <f t="shared" si="0"/>
        <v>0</v>
      </c>
      <c r="AA7" s="496">
        <f>SUM(AA5:AA6)</f>
        <v>0</v>
      </c>
      <c r="AB7" s="496">
        <f>SUM(AB5:AB6)</f>
        <v>0</v>
      </c>
      <c r="AC7" s="496">
        <f>SUM(AC5:AC6)</f>
        <v>0</v>
      </c>
      <c r="AD7" s="496">
        <f t="shared" si="0"/>
        <v>0</v>
      </c>
      <c r="AE7" s="496">
        <f>SUM(AE5:AE6)</f>
        <v>0</v>
      </c>
      <c r="AF7" s="496">
        <f t="shared" si="0"/>
        <v>0</v>
      </c>
      <c r="AG7" s="496">
        <f t="shared" si="0"/>
        <v>0</v>
      </c>
      <c r="AH7" s="496">
        <f t="shared" si="0"/>
        <v>0</v>
      </c>
      <c r="AI7" s="496">
        <f t="shared" si="0"/>
        <v>0</v>
      </c>
      <c r="AJ7" s="496">
        <f t="shared" si="0"/>
        <v>0</v>
      </c>
      <c r="AK7" s="496">
        <f>SUM(AK5:AK6)</f>
        <v>0</v>
      </c>
      <c r="AL7" s="496">
        <f>SUM(AL5:AL6)</f>
        <v>0</v>
      </c>
      <c r="AM7" s="496">
        <f>SUM(AM5:AM6)</f>
        <v>0</v>
      </c>
    </row>
    <row r="8" spans="1:39" ht="15" hidden="1" thickBot="1" x14ac:dyDescent="0.4">
      <c r="A8" s="101" t="s">
        <v>21</v>
      </c>
      <c r="B8" s="701"/>
      <c r="C8" s="209" t="e">
        <f>AVERAGE(C5:C6)</f>
        <v>#DIV/0!</v>
      </c>
      <c r="D8" s="209" t="e">
        <f t="shared" ref="D8:AM8" si="1">AVERAGE(D5:D6)</f>
        <v>#DIV/0!</v>
      </c>
      <c r="E8" s="209" t="e">
        <f t="shared" si="1"/>
        <v>#DIV/0!</v>
      </c>
      <c r="F8" s="209" t="e">
        <f t="shared" si="1"/>
        <v>#DIV/0!</v>
      </c>
      <c r="G8" s="209" t="e">
        <f t="shared" si="1"/>
        <v>#DIV/0!</v>
      </c>
      <c r="H8" s="209" t="e">
        <f t="shared" si="1"/>
        <v>#DIV/0!</v>
      </c>
      <c r="I8" s="209" t="e">
        <f t="shared" si="1"/>
        <v>#DIV/0!</v>
      </c>
      <c r="J8" s="209" t="e">
        <f t="shared" si="1"/>
        <v>#DIV/0!</v>
      </c>
      <c r="K8" s="209" t="e">
        <f t="shared" si="1"/>
        <v>#DIV/0!</v>
      </c>
      <c r="L8" s="209" t="e">
        <f t="shared" si="1"/>
        <v>#DIV/0!</v>
      </c>
      <c r="M8" s="209" t="e">
        <f t="shared" si="1"/>
        <v>#DIV/0!</v>
      </c>
      <c r="N8" s="209" t="e">
        <f t="shared" si="1"/>
        <v>#DIV/0!</v>
      </c>
      <c r="O8" s="209" t="e">
        <f t="shared" si="1"/>
        <v>#DIV/0!</v>
      </c>
      <c r="P8" s="209" t="e">
        <f t="shared" si="1"/>
        <v>#DIV/0!</v>
      </c>
      <c r="Q8" s="209" t="e">
        <f t="shared" si="1"/>
        <v>#DIV/0!</v>
      </c>
      <c r="R8" s="209" t="e">
        <f t="shared" si="1"/>
        <v>#DIV/0!</v>
      </c>
      <c r="S8" s="209" t="e">
        <f t="shared" si="1"/>
        <v>#DIV/0!</v>
      </c>
      <c r="T8" s="209" t="e">
        <f t="shared" si="1"/>
        <v>#DIV/0!</v>
      </c>
      <c r="U8" s="209" t="e">
        <f t="shared" si="1"/>
        <v>#DIV/0!</v>
      </c>
      <c r="V8" s="209" t="e">
        <f t="shared" si="1"/>
        <v>#DIV/0!</v>
      </c>
      <c r="W8" s="209" t="e">
        <f t="shared" si="1"/>
        <v>#DIV/0!</v>
      </c>
      <c r="X8" s="209" t="e">
        <f t="shared" si="1"/>
        <v>#DIV/0!</v>
      </c>
      <c r="Y8" s="209" t="e">
        <f t="shared" si="1"/>
        <v>#DIV/0!</v>
      </c>
      <c r="Z8" s="209" t="e">
        <f t="shared" si="1"/>
        <v>#DIV/0!</v>
      </c>
      <c r="AA8" s="209" t="e">
        <f t="shared" si="1"/>
        <v>#DIV/0!</v>
      </c>
      <c r="AB8" s="209" t="e">
        <f t="shared" si="1"/>
        <v>#DIV/0!</v>
      </c>
      <c r="AC8" s="209" t="e">
        <f t="shared" si="1"/>
        <v>#DIV/0!</v>
      </c>
      <c r="AD8" s="209" t="e">
        <f t="shared" si="1"/>
        <v>#DIV/0!</v>
      </c>
      <c r="AE8" s="209" t="e">
        <f t="shared" si="1"/>
        <v>#DIV/0!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 t="e">
        <f t="shared" si="1"/>
        <v>#DIV/0!</v>
      </c>
      <c r="AL8" s="209" t="e">
        <f t="shared" si="1"/>
        <v>#DIV/0!</v>
      </c>
      <c r="AM8" s="209">
        <f t="shared" si="1"/>
        <v>0</v>
      </c>
    </row>
    <row r="9" spans="1:39" ht="15" hidden="1" thickBot="1" x14ac:dyDescent="0.4">
      <c r="A9" s="26" t="s">
        <v>18</v>
      </c>
      <c r="B9" s="701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" hidden="1" thickBot="1" x14ac:dyDescent="0.4">
      <c r="A10" s="26" t="s">
        <v>20</v>
      </c>
      <c r="B10" s="701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customHeight="1" thickBot="1" x14ac:dyDescent="0.4">
      <c r="A11" s="136" t="s">
        <v>3</v>
      </c>
      <c r="B11" s="341">
        <v>44256</v>
      </c>
      <c r="C11" s="212">
        <v>195</v>
      </c>
      <c r="D11" s="194">
        <v>155</v>
      </c>
      <c r="E11" s="194">
        <v>134</v>
      </c>
      <c r="F11" s="194">
        <v>284</v>
      </c>
      <c r="G11" s="194">
        <v>251</v>
      </c>
      <c r="H11" s="194">
        <v>176</v>
      </c>
      <c r="I11" s="206">
        <v>547</v>
      </c>
      <c r="J11" s="212">
        <v>190</v>
      </c>
      <c r="K11" s="194">
        <v>77</v>
      </c>
      <c r="L11" s="206">
        <v>153</v>
      </c>
      <c r="M11" s="212">
        <v>151</v>
      </c>
      <c r="N11" s="194">
        <v>52</v>
      </c>
      <c r="O11" s="194">
        <v>70</v>
      </c>
      <c r="P11" s="194">
        <v>47</v>
      </c>
      <c r="Q11" s="243">
        <v>29</v>
      </c>
      <c r="R11" s="195">
        <v>60</v>
      </c>
      <c r="S11" s="204">
        <v>17</v>
      </c>
      <c r="T11" s="309">
        <v>141</v>
      </c>
      <c r="U11" s="194">
        <v>169</v>
      </c>
      <c r="V11" s="194">
        <v>430</v>
      </c>
      <c r="W11" s="194">
        <v>304</v>
      </c>
      <c r="X11" s="308">
        <v>150</v>
      </c>
      <c r="Y11" s="243">
        <v>243</v>
      </c>
      <c r="Z11" s="203">
        <v>191</v>
      </c>
      <c r="AA11" s="208">
        <v>229</v>
      </c>
      <c r="AB11" s="527">
        <v>193</v>
      </c>
      <c r="AC11" s="195">
        <v>187</v>
      </c>
      <c r="AD11" s="195">
        <v>237</v>
      </c>
      <c r="AE11" s="204">
        <v>74</v>
      </c>
      <c r="AF11" s="309"/>
      <c r="AG11" s="345"/>
      <c r="AH11" s="194"/>
      <c r="AI11" s="194"/>
      <c r="AJ11" s="206"/>
      <c r="AK11" s="212"/>
      <c r="AL11" s="206"/>
      <c r="AM11" s="174">
        <f t="shared" ref="AM11:AM17" si="2">SUM(C11:AL11)</f>
        <v>5136</v>
      </c>
    </row>
    <row r="12" spans="1:39" ht="15" thickBot="1" x14ac:dyDescent="0.4">
      <c r="A12" s="136" t="s">
        <v>4</v>
      </c>
      <c r="B12" s="341">
        <v>44257</v>
      </c>
      <c r="C12" s="245">
        <v>208</v>
      </c>
      <c r="D12" s="246">
        <v>173</v>
      </c>
      <c r="E12" s="246">
        <v>145</v>
      </c>
      <c r="F12" s="246">
        <v>306</v>
      </c>
      <c r="G12" s="246">
        <v>250</v>
      </c>
      <c r="H12" s="246">
        <v>194</v>
      </c>
      <c r="I12" s="343">
        <v>589</v>
      </c>
      <c r="J12" s="245">
        <v>170</v>
      </c>
      <c r="K12" s="246">
        <v>80</v>
      </c>
      <c r="L12" s="204">
        <v>147</v>
      </c>
      <c r="M12" s="208">
        <v>135</v>
      </c>
      <c r="N12" s="195">
        <v>52</v>
      </c>
      <c r="O12" s="195">
        <v>63</v>
      </c>
      <c r="P12" s="195">
        <v>42</v>
      </c>
      <c r="Q12" s="203">
        <v>33</v>
      </c>
      <c r="R12" s="195">
        <v>8</v>
      </c>
      <c r="S12" s="204">
        <v>7</v>
      </c>
      <c r="T12" s="217">
        <v>129</v>
      </c>
      <c r="U12" s="195">
        <v>166</v>
      </c>
      <c r="V12" s="195">
        <v>398</v>
      </c>
      <c r="W12" s="195">
        <v>305</v>
      </c>
      <c r="X12" s="195">
        <v>117</v>
      </c>
      <c r="Y12" s="203">
        <v>254</v>
      </c>
      <c r="Z12" s="203">
        <v>137</v>
      </c>
      <c r="AA12" s="208">
        <v>203</v>
      </c>
      <c r="AB12" s="246">
        <v>189</v>
      </c>
      <c r="AC12" s="195">
        <v>162</v>
      </c>
      <c r="AD12" s="195">
        <v>223</v>
      </c>
      <c r="AE12" s="204">
        <v>84</v>
      </c>
      <c r="AF12" s="217"/>
      <c r="AG12" s="346"/>
      <c r="AH12" s="195"/>
      <c r="AI12" s="195"/>
      <c r="AJ12" s="204"/>
      <c r="AK12" s="208"/>
      <c r="AL12" s="204"/>
      <c r="AM12" s="174">
        <f t="shared" si="2"/>
        <v>4969</v>
      </c>
    </row>
    <row r="13" spans="1:39" ht="15" thickBot="1" x14ac:dyDescent="0.4">
      <c r="A13" s="136" t="s">
        <v>5</v>
      </c>
      <c r="B13" s="341">
        <v>44258</v>
      </c>
      <c r="C13" s="245">
        <v>339</v>
      </c>
      <c r="D13" s="246">
        <v>340</v>
      </c>
      <c r="E13" s="246">
        <v>236</v>
      </c>
      <c r="F13" s="246">
        <v>461</v>
      </c>
      <c r="G13" s="246">
        <v>358</v>
      </c>
      <c r="H13" s="246">
        <v>292</v>
      </c>
      <c r="I13" s="343">
        <v>835</v>
      </c>
      <c r="J13" s="245">
        <v>260</v>
      </c>
      <c r="K13" s="246">
        <v>114</v>
      </c>
      <c r="L13" s="204">
        <v>247</v>
      </c>
      <c r="M13" s="208">
        <v>215</v>
      </c>
      <c r="N13" s="195">
        <v>113</v>
      </c>
      <c r="O13" s="195">
        <v>87</v>
      </c>
      <c r="P13" s="195">
        <v>64</v>
      </c>
      <c r="Q13" s="203">
        <v>38</v>
      </c>
      <c r="R13" s="195">
        <v>100</v>
      </c>
      <c r="S13" s="204">
        <v>30</v>
      </c>
      <c r="T13" s="217">
        <v>193</v>
      </c>
      <c r="U13" s="195">
        <v>194</v>
      </c>
      <c r="V13" s="195">
        <v>569</v>
      </c>
      <c r="W13" s="195">
        <v>429</v>
      </c>
      <c r="X13" s="195">
        <v>193</v>
      </c>
      <c r="Y13" s="203">
        <v>335</v>
      </c>
      <c r="Z13" s="203">
        <v>256</v>
      </c>
      <c r="AA13" s="208">
        <v>263</v>
      </c>
      <c r="AB13" s="246">
        <v>251</v>
      </c>
      <c r="AC13" s="195">
        <v>280</v>
      </c>
      <c r="AD13" s="195">
        <v>344</v>
      </c>
      <c r="AE13" s="204">
        <v>112</v>
      </c>
      <c r="AF13" s="217"/>
      <c r="AG13" s="195"/>
      <c r="AH13" s="195"/>
      <c r="AI13" s="195"/>
      <c r="AJ13" s="204"/>
      <c r="AK13" s="208"/>
      <c r="AL13" s="204"/>
      <c r="AM13" s="174">
        <f t="shared" si="2"/>
        <v>7548</v>
      </c>
    </row>
    <row r="14" spans="1:39" ht="15.75" customHeight="1" thickBot="1" x14ac:dyDescent="0.4">
      <c r="A14" s="136" t="s">
        <v>6</v>
      </c>
      <c r="B14" s="341">
        <v>44259</v>
      </c>
      <c r="C14" s="245">
        <v>231</v>
      </c>
      <c r="D14" s="246">
        <v>185</v>
      </c>
      <c r="E14" s="246">
        <v>143</v>
      </c>
      <c r="F14" s="246">
        <v>351</v>
      </c>
      <c r="G14" s="246">
        <v>283</v>
      </c>
      <c r="H14" s="246">
        <v>241</v>
      </c>
      <c r="I14" s="343">
        <v>595</v>
      </c>
      <c r="J14" s="245">
        <v>242</v>
      </c>
      <c r="K14" s="246">
        <v>103</v>
      </c>
      <c r="L14" s="204">
        <v>214</v>
      </c>
      <c r="M14" s="208">
        <v>156</v>
      </c>
      <c r="N14" s="195">
        <v>48</v>
      </c>
      <c r="O14" s="195">
        <v>79</v>
      </c>
      <c r="P14" s="195">
        <v>48</v>
      </c>
      <c r="Q14" s="203">
        <v>31</v>
      </c>
      <c r="R14" s="195">
        <v>57</v>
      </c>
      <c r="S14" s="204">
        <v>23</v>
      </c>
      <c r="T14" s="217">
        <v>172</v>
      </c>
      <c r="U14" s="195">
        <v>174</v>
      </c>
      <c r="V14" s="195">
        <v>473</v>
      </c>
      <c r="W14" s="195">
        <v>349</v>
      </c>
      <c r="X14" s="195">
        <v>168</v>
      </c>
      <c r="Y14" s="203">
        <v>307</v>
      </c>
      <c r="Z14" s="203">
        <v>222</v>
      </c>
      <c r="AA14" s="208">
        <v>221</v>
      </c>
      <c r="AB14" s="246">
        <v>230</v>
      </c>
      <c r="AC14" s="195">
        <v>227</v>
      </c>
      <c r="AD14" s="195">
        <v>290</v>
      </c>
      <c r="AE14" s="204">
        <v>105</v>
      </c>
      <c r="AF14" s="217"/>
      <c r="AG14" s="195"/>
      <c r="AH14" s="195"/>
      <c r="AI14" s="195"/>
      <c r="AJ14" s="204"/>
      <c r="AK14" s="208"/>
      <c r="AL14" s="204"/>
      <c r="AM14" s="174">
        <f t="shared" si="2"/>
        <v>5968</v>
      </c>
    </row>
    <row r="15" spans="1:39" ht="15" thickBot="1" x14ac:dyDescent="0.4">
      <c r="A15" s="136" t="s">
        <v>0</v>
      </c>
      <c r="B15" s="341">
        <v>44260</v>
      </c>
      <c r="C15" s="245">
        <v>205</v>
      </c>
      <c r="D15" s="246">
        <v>211</v>
      </c>
      <c r="E15" s="246">
        <v>145</v>
      </c>
      <c r="F15" s="246">
        <v>359</v>
      </c>
      <c r="G15" s="246">
        <v>277</v>
      </c>
      <c r="H15" s="246">
        <v>253</v>
      </c>
      <c r="I15" s="343">
        <v>622</v>
      </c>
      <c r="J15" s="245">
        <v>189</v>
      </c>
      <c r="K15" s="246">
        <v>69</v>
      </c>
      <c r="L15" s="204">
        <v>170</v>
      </c>
      <c r="M15" s="208">
        <v>153</v>
      </c>
      <c r="N15" s="195">
        <v>58</v>
      </c>
      <c r="O15" s="195">
        <v>62</v>
      </c>
      <c r="P15" s="195">
        <v>53</v>
      </c>
      <c r="Q15" s="203">
        <v>29</v>
      </c>
      <c r="R15" s="195">
        <v>48</v>
      </c>
      <c r="S15" s="204">
        <v>21</v>
      </c>
      <c r="T15" s="217">
        <v>144</v>
      </c>
      <c r="U15" s="195">
        <v>183</v>
      </c>
      <c r="V15" s="195">
        <v>426</v>
      </c>
      <c r="W15" s="195">
        <v>297</v>
      </c>
      <c r="X15" s="195">
        <v>171</v>
      </c>
      <c r="Y15" s="203">
        <v>291</v>
      </c>
      <c r="Z15" s="203">
        <v>187</v>
      </c>
      <c r="AA15" s="208">
        <v>189</v>
      </c>
      <c r="AB15" s="246">
        <v>224</v>
      </c>
      <c r="AC15" s="195">
        <v>196</v>
      </c>
      <c r="AD15" s="195">
        <v>270</v>
      </c>
      <c r="AE15" s="204">
        <v>84</v>
      </c>
      <c r="AF15" s="217"/>
      <c r="AG15" s="195"/>
      <c r="AH15" s="195"/>
      <c r="AI15" s="195"/>
      <c r="AJ15" s="204"/>
      <c r="AK15" s="208"/>
      <c r="AL15" s="204"/>
      <c r="AM15" s="174">
        <f t="shared" si="2"/>
        <v>5586</v>
      </c>
    </row>
    <row r="16" spans="1:39" ht="15" thickBot="1" x14ac:dyDescent="0.4">
      <c r="A16" s="136" t="s">
        <v>1</v>
      </c>
      <c r="B16" s="341">
        <v>44261</v>
      </c>
      <c r="C16" s="245">
        <v>258</v>
      </c>
      <c r="D16" s="246">
        <v>324</v>
      </c>
      <c r="E16" s="246">
        <v>136</v>
      </c>
      <c r="F16" s="246">
        <v>380</v>
      </c>
      <c r="G16" s="246">
        <v>212</v>
      </c>
      <c r="H16" s="246">
        <v>263</v>
      </c>
      <c r="I16" s="343">
        <v>659</v>
      </c>
      <c r="J16" s="245">
        <v>161</v>
      </c>
      <c r="K16" s="246">
        <v>42</v>
      </c>
      <c r="L16" s="204">
        <v>133</v>
      </c>
      <c r="M16" s="208">
        <v>172</v>
      </c>
      <c r="N16" s="195">
        <v>78</v>
      </c>
      <c r="O16" s="195">
        <v>66</v>
      </c>
      <c r="P16" s="195">
        <v>49</v>
      </c>
      <c r="Q16" s="203">
        <v>37</v>
      </c>
      <c r="R16" s="195">
        <v>83</v>
      </c>
      <c r="S16" s="204">
        <v>46</v>
      </c>
      <c r="T16" s="217">
        <v>121</v>
      </c>
      <c r="U16" s="195">
        <v>121</v>
      </c>
      <c r="V16" s="195">
        <v>276</v>
      </c>
      <c r="W16" s="195">
        <v>293</v>
      </c>
      <c r="X16" s="195">
        <v>180</v>
      </c>
      <c r="Y16" s="203">
        <v>297</v>
      </c>
      <c r="Z16" s="203">
        <v>263</v>
      </c>
      <c r="AA16" s="208">
        <v>107</v>
      </c>
      <c r="AB16" s="246">
        <v>110</v>
      </c>
      <c r="AC16" s="195">
        <v>116</v>
      </c>
      <c r="AD16" s="195">
        <v>149</v>
      </c>
      <c r="AE16" s="204">
        <v>55</v>
      </c>
      <c r="AF16" s="217"/>
      <c r="AG16" s="195"/>
      <c r="AH16" s="195"/>
      <c r="AI16" s="195"/>
      <c r="AJ16" s="204"/>
      <c r="AK16" s="208"/>
      <c r="AL16" s="204"/>
      <c r="AM16" s="174">
        <f t="shared" si="2"/>
        <v>5187</v>
      </c>
    </row>
    <row r="17" spans="1:39" ht="15" thickBot="1" x14ac:dyDescent="0.4">
      <c r="A17" s="136" t="s">
        <v>2</v>
      </c>
      <c r="B17" s="341">
        <v>44262</v>
      </c>
      <c r="C17" s="245">
        <v>292</v>
      </c>
      <c r="D17" s="246">
        <v>415</v>
      </c>
      <c r="E17" s="246">
        <v>137</v>
      </c>
      <c r="F17" s="246">
        <v>466</v>
      </c>
      <c r="G17" s="246">
        <v>283</v>
      </c>
      <c r="H17" s="246">
        <v>310</v>
      </c>
      <c r="I17" s="343">
        <v>542</v>
      </c>
      <c r="J17" s="245">
        <v>138</v>
      </c>
      <c r="K17" s="246">
        <v>39</v>
      </c>
      <c r="L17" s="204">
        <v>177</v>
      </c>
      <c r="M17" s="208">
        <v>189</v>
      </c>
      <c r="N17" s="195">
        <v>128</v>
      </c>
      <c r="O17" s="195">
        <v>125</v>
      </c>
      <c r="P17" s="195">
        <v>80</v>
      </c>
      <c r="Q17" s="203">
        <v>38</v>
      </c>
      <c r="R17" s="195">
        <v>106</v>
      </c>
      <c r="S17" s="204">
        <v>52</v>
      </c>
      <c r="T17" s="217">
        <v>140</v>
      </c>
      <c r="U17" s="195">
        <v>104</v>
      </c>
      <c r="V17" s="195">
        <v>290</v>
      </c>
      <c r="W17" s="195">
        <v>277</v>
      </c>
      <c r="X17" s="195">
        <v>194</v>
      </c>
      <c r="Y17" s="203">
        <v>319</v>
      </c>
      <c r="Z17" s="203">
        <v>267</v>
      </c>
      <c r="AA17" s="208">
        <v>109</v>
      </c>
      <c r="AB17" s="246">
        <v>76</v>
      </c>
      <c r="AC17" s="195">
        <v>142</v>
      </c>
      <c r="AD17" s="195">
        <v>101</v>
      </c>
      <c r="AE17" s="204">
        <v>103</v>
      </c>
      <c r="AF17" s="217"/>
      <c r="AG17" s="195"/>
      <c r="AH17" s="195"/>
      <c r="AI17" s="195"/>
      <c r="AJ17" s="204"/>
      <c r="AK17" s="208"/>
      <c r="AL17" s="204"/>
      <c r="AM17" s="174">
        <f t="shared" si="2"/>
        <v>5639</v>
      </c>
    </row>
    <row r="18" spans="1:39" ht="15" thickBot="1" x14ac:dyDescent="0.4">
      <c r="A18" s="144" t="s">
        <v>19</v>
      </c>
      <c r="B18" s="701" t="s">
        <v>22</v>
      </c>
      <c r="C18" s="209">
        <f>SUM(C11:C17)</f>
        <v>1728</v>
      </c>
      <c r="D18" s="209">
        <f>SUM(D11:D17)</f>
        <v>1803</v>
      </c>
      <c r="E18" s="209">
        <f>SUM(E11:E17)</f>
        <v>1076</v>
      </c>
      <c r="F18" s="209">
        <f t="shared" ref="F18:AL18" si="3">SUM(F11:F17)</f>
        <v>2607</v>
      </c>
      <c r="G18" s="209">
        <f t="shared" si="3"/>
        <v>1914</v>
      </c>
      <c r="H18" s="209">
        <f t="shared" si="3"/>
        <v>1729</v>
      </c>
      <c r="I18" s="209">
        <f t="shared" si="3"/>
        <v>4389</v>
      </c>
      <c r="J18" s="209">
        <f t="shared" si="3"/>
        <v>1350</v>
      </c>
      <c r="K18" s="209">
        <f t="shared" si="3"/>
        <v>524</v>
      </c>
      <c r="L18" s="209">
        <f t="shared" si="3"/>
        <v>1241</v>
      </c>
      <c r="M18" s="209">
        <f t="shared" si="3"/>
        <v>1171</v>
      </c>
      <c r="N18" s="209">
        <f t="shared" si="3"/>
        <v>529</v>
      </c>
      <c r="O18" s="209">
        <f t="shared" si="3"/>
        <v>552</v>
      </c>
      <c r="P18" s="209">
        <f t="shared" si="3"/>
        <v>383</v>
      </c>
      <c r="Q18" s="209">
        <f t="shared" si="3"/>
        <v>235</v>
      </c>
      <c r="R18" s="209">
        <f t="shared" si="3"/>
        <v>462</v>
      </c>
      <c r="S18" s="209">
        <f t="shared" si="3"/>
        <v>196</v>
      </c>
      <c r="T18" s="209">
        <f t="shared" si="3"/>
        <v>1040</v>
      </c>
      <c r="U18" s="209">
        <f t="shared" si="3"/>
        <v>1111</v>
      </c>
      <c r="V18" s="209">
        <f t="shared" si="3"/>
        <v>2862</v>
      </c>
      <c r="W18" s="209">
        <f t="shared" si="3"/>
        <v>2254</v>
      </c>
      <c r="X18" s="209">
        <f t="shared" si="3"/>
        <v>1173</v>
      </c>
      <c r="Y18" s="209">
        <f t="shared" si="3"/>
        <v>2046</v>
      </c>
      <c r="Z18" s="209">
        <f t="shared" si="3"/>
        <v>1523</v>
      </c>
      <c r="AA18" s="209">
        <f t="shared" si="3"/>
        <v>1321</v>
      </c>
      <c r="AB18" s="209">
        <f t="shared" si="3"/>
        <v>1273</v>
      </c>
      <c r="AC18" s="209">
        <f t="shared" si="3"/>
        <v>1310</v>
      </c>
      <c r="AD18" s="209">
        <f t="shared" si="3"/>
        <v>1614</v>
      </c>
      <c r="AE18" s="209">
        <f t="shared" si="3"/>
        <v>617</v>
      </c>
      <c r="AF18" s="209">
        <f t="shared" si="3"/>
        <v>0</v>
      </c>
      <c r="AG18" s="209">
        <f t="shared" si="3"/>
        <v>0</v>
      </c>
      <c r="AH18" s="209">
        <f t="shared" si="3"/>
        <v>0</v>
      </c>
      <c r="AI18" s="209">
        <f t="shared" si="3"/>
        <v>0</v>
      </c>
      <c r="AJ18" s="209">
        <f t="shared" si="3"/>
        <v>0</v>
      </c>
      <c r="AK18" s="209">
        <f t="shared" si="3"/>
        <v>0</v>
      </c>
      <c r="AL18" s="209">
        <f t="shared" si="3"/>
        <v>0</v>
      </c>
      <c r="AM18" s="209">
        <f>SUM(AM11:AM17)</f>
        <v>40033</v>
      </c>
    </row>
    <row r="19" spans="1:39" ht="15" thickBot="1" x14ac:dyDescent="0.4">
      <c r="A19" s="101" t="s">
        <v>21</v>
      </c>
      <c r="B19" s="701"/>
      <c r="C19" s="209">
        <f>AVERAGE(C11:C17)</f>
        <v>246.85714285714286</v>
      </c>
      <c r="D19" s="209">
        <f>AVERAGE(D11:D17)</f>
        <v>257.57142857142856</v>
      </c>
      <c r="E19" s="209">
        <f t="shared" ref="E19:AM19" si="4">AVERAGE(E11:E17)</f>
        <v>153.71428571428572</v>
      </c>
      <c r="F19" s="209">
        <f t="shared" si="4"/>
        <v>372.42857142857144</v>
      </c>
      <c r="G19" s="209">
        <f t="shared" si="4"/>
        <v>273.42857142857144</v>
      </c>
      <c r="H19" s="209">
        <f t="shared" si="4"/>
        <v>247</v>
      </c>
      <c r="I19" s="209">
        <f t="shared" si="4"/>
        <v>627</v>
      </c>
      <c r="J19" s="209">
        <f t="shared" si="4"/>
        <v>192.85714285714286</v>
      </c>
      <c r="K19" s="209">
        <f t="shared" si="4"/>
        <v>74.857142857142861</v>
      </c>
      <c r="L19" s="209">
        <f t="shared" si="4"/>
        <v>177.28571428571428</v>
      </c>
      <c r="M19" s="209">
        <f t="shared" si="4"/>
        <v>167.28571428571428</v>
      </c>
      <c r="N19" s="209">
        <f t="shared" si="4"/>
        <v>75.571428571428569</v>
      </c>
      <c r="O19" s="209">
        <f t="shared" si="4"/>
        <v>78.857142857142861</v>
      </c>
      <c r="P19" s="209">
        <f t="shared" si="4"/>
        <v>54.714285714285715</v>
      </c>
      <c r="Q19" s="209">
        <f t="shared" si="4"/>
        <v>33.571428571428569</v>
      </c>
      <c r="R19" s="209">
        <f t="shared" si="4"/>
        <v>66</v>
      </c>
      <c r="S19" s="209">
        <f t="shared" si="4"/>
        <v>28</v>
      </c>
      <c r="T19" s="209">
        <f t="shared" si="4"/>
        <v>148.57142857142858</v>
      </c>
      <c r="U19" s="209">
        <f t="shared" si="4"/>
        <v>158.71428571428572</v>
      </c>
      <c r="V19" s="209">
        <f t="shared" si="4"/>
        <v>408.85714285714283</v>
      </c>
      <c r="W19" s="209">
        <f t="shared" si="4"/>
        <v>322</v>
      </c>
      <c r="X19" s="209">
        <f t="shared" si="4"/>
        <v>167.57142857142858</v>
      </c>
      <c r="Y19" s="209">
        <f t="shared" si="4"/>
        <v>292.28571428571428</v>
      </c>
      <c r="Z19" s="209">
        <f t="shared" si="4"/>
        <v>217.57142857142858</v>
      </c>
      <c r="AA19" s="209">
        <f t="shared" si="4"/>
        <v>188.71428571428572</v>
      </c>
      <c r="AB19" s="209">
        <f t="shared" si="4"/>
        <v>181.85714285714286</v>
      </c>
      <c r="AC19" s="209">
        <f t="shared" si="4"/>
        <v>187.14285714285714</v>
      </c>
      <c r="AD19" s="209">
        <f t="shared" si="4"/>
        <v>230.57142857142858</v>
      </c>
      <c r="AE19" s="209">
        <f t="shared" si="4"/>
        <v>88.142857142857139</v>
      </c>
      <c r="AF19" s="209" t="e">
        <f t="shared" si="4"/>
        <v>#DIV/0!</v>
      </c>
      <c r="AG19" s="209" t="e">
        <f t="shared" si="4"/>
        <v>#DIV/0!</v>
      </c>
      <c r="AH19" s="209" t="e">
        <f t="shared" si="4"/>
        <v>#DIV/0!</v>
      </c>
      <c r="AI19" s="209" t="e">
        <f t="shared" si="4"/>
        <v>#DIV/0!</v>
      </c>
      <c r="AJ19" s="209" t="e">
        <f t="shared" si="4"/>
        <v>#DIV/0!</v>
      </c>
      <c r="AK19" s="209" t="e">
        <f t="shared" si="4"/>
        <v>#DIV/0!</v>
      </c>
      <c r="AL19" s="209" t="e">
        <f t="shared" si="4"/>
        <v>#DIV/0!</v>
      </c>
      <c r="AM19" s="209">
        <f t="shared" si="4"/>
        <v>5719</v>
      </c>
    </row>
    <row r="20" spans="1:39" ht="15" thickBot="1" x14ac:dyDescent="0.4">
      <c r="A20" s="26" t="s">
        <v>18</v>
      </c>
      <c r="B20" s="701"/>
      <c r="C20" s="210">
        <f>SUM(C11:C15)</f>
        <v>1178</v>
      </c>
      <c r="D20" s="210">
        <f t="shared" ref="D20:AL20" si="5">SUM(D11:D15)</f>
        <v>1064</v>
      </c>
      <c r="E20" s="210">
        <f t="shared" si="5"/>
        <v>803</v>
      </c>
      <c r="F20" s="210">
        <f t="shared" si="5"/>
        <v>1761</v>
      </c>
      <c r="G20" s="210">
        <f t="shared" si="5"/>
        <v>1419</v>
      </c>
      <c r="H20" s="210">
        <f t="shared" si="5"/>
        <v>1156</v>
      </c>
      <c r="I20" s="210">
        <f t="shared" si="5"/>
        <v>3188</v>
      </c>
      <c r="J20" s="210">
        <f t="shared" si="5"/>
        <v>1051</v>
      </c>
      <c r="K20" s="210">
        <f t="shared" si="5"/>
        <v>443</v>
      </c>
      <c r="L20" s="210">
        <f t="shared" si="5"/>
        <v>931</v>
      </c>
      <c r="M20" s="210">
        <f t="shared" si="5"/>
        <v>810</v>
      </c>
      <c r="N20" s="210">
        <f t="shared" si="5"/>
        <v>323</v>
      </c>
      <c r="O20" s="210">
        <f t="shared" si="5"/>
        <v>361</v>
      </c>
      <c r="P20" s="210">
        <f t="shared" si="5"/>
        <v>254</v>
      </c>
      <c r="Q20" s="210">
        <f t="shared" si="5"/>
        <v>160</v>
      </c>
      <c r="R20" s="210">
        <f t="shared" si="5"/>
        <v>273</v>
      </c>
      <c r="S20" s="210">
        <f t="shared" si="5"/>
        <v>98</v>
      </c>
      <c r="T20" s="210">
        <f t="shared" si="5"/>
        <v>779</v>
      </c>
      <c r="U20" s="210">
        <f t="shared" si="5"/>
        <v>886</v>
      </c>
      <c r="V20" s="210">
        <f t="shared" si="5"/>
        <v>2296</v>
      </c>
      <c r="W20" s="210">
        <f t="shared" si="5"/>
        <v>1684</v>
      </c>
      <c r="X20" s="210">
        <f t="shared" si="5"/>
        <v>799</v>
      </c>
      <c r="Y20" s="210">
        <f t="shared" si="5"/>
        <v>1430</v>
      </c>
      <c r="Z20" s="210">
        <f t="shared" si="5"/>
        <v>993</v>
      </c>
      <c r="AA20" s="210">
        <f t="shared" si="5"/>
        <v>1105</v>
      </c>
      <c r="AB20" s="210">
        <f t="shared" si="5"/>
        <v>1087</v>
      </c>
      <c r="AC20" s="210">
        <f t="shared" si="5"/>
        <v>1052</v>
      </c>
      <c r="AD20" s="210">
        <f t="shared" si="5"/>
        <v>1364</v>
      </c>
      <c r="AE20" s="210">
        <f t="shared" si="5"/>
        <v>459</v>
      </c>
      <c r="AF20" s="210">
        <f t="shared" si="5"/>
        <v>0</v>
      </c>
      <c r="AG20" s="210">
        <f t="shared" si="5"/>
        <v>0</v>
      </c>
      <c r="AH20" s="210">
        <f t="shared" si="5"/>
        <v>0</v>
      </c>
      <c r="AI20" s="210">
        <f t="shared" si="5"/>
        <v>0</v>
      </c>
      <c r="AJ20" s="210">
        <f t="shared" si="5"/>
        <v>0</v>
      </c>
      <c r="AK20" s="210">
        <f t="shared" si="5"/>
        <v>0</v>
      </c>
      <c r="AL20" s="210">
        <f t="shared" si="5"/>
        <v>0</v>
      </c>
      <c r="AM20" s="210">
        <f>SUM(AM11:AM15)</f>
        <v>29207</v>
      </c>
    </row>
    <row r="21" spans="1:39" ht="15" thickBot="1" x14ac:dyDescent="0.4">
      <c r="A21" s="26" t="s">
        <v>20</v>
      </c>
      <c r="B21" s="701"/>
      <c r="C21" s="210">
        <f>AVERAGE(C11:C15)</f>
        <v>235.6</v>
      </c>
      <c r="D21" s="210">
        <f t="shared" ref="D21:AM21" si="6">AVERAGE(D11:D15)</f>
        <v>212.8</v>
      </c>
      <c r="E21" s="210">
        <f t="shared" si="6"/>
        <v>160.6</v>
      </c>
      <c r="F21" s="210">
        <f t="shared" si="6"/>
        <v>352.2</v>
      </c>
      <c r="G21" s="210">
        <f t="shared" si="6"/>
        <v>283.8</v>
      </c>
      <c r="H21" s="210">
        <f t="shared" si="6"/>
        <v>231.2</v>
      </c>
      <c r="I21" s="210">
        <f t="shared" si="6"/>
        <v>637.6</v>
      </c>
      <c r="J21" s="210">
        <f t="shared" si="6"/>
        <v>210.2</v>
      </c>
      <c r="K21" s="210">
        <f t="shared" si="6"/>
        <v>88.6</v>
      </c>
      <c r="L21" s="210">
        <f t="shared" si="6"/>
        <v>186.2</v>
      </c>
      <c r="M21" s="210">
        <f t="shared" si="6"/>
        <v>162</v>
      </c>
      <c r="N21" s="210">
        <f t="shared" si="6"/>
        <v>64.599999999999994</v>
      </c>
      <c r="O21" s="210">
        <f t="shared" si="6"/>
        <v>72.2</v>
      </c>
      <c r="P21" s="210">
        <f t="shared" si="6"/>
        <v>50.8</v>
      </c>
      <c r="Q21" s="210">
        <f t="shared" si="6"/>
        <v>32</v>
      </c>
      <c r="R21" s="210">
        <f t="shared" si="6"/>
        <v>54.6</v>
      </c>
      <c r="S21" s="210">
        <f t="shared" si="6"/>
        <v>19.600000000000001</v>
      </c>
      <c r="T21" s="210">
        <f t="shared" si="6"/>
        <v>155.80000000000001</v>
      </c>
      <c r="U21" s="210">
        <f t="shared" si="6"/>
        <v>177.2</v>
      </c>
      <c r="V21" s="210">
        <f t="shared" si="6"/>
        <v>459.2</v>
      </c>
      <c r="W21" s="210">
        <f t="shared" si="6"/>
        <v>336.8</v>
      </c>
      <c r="X21" s="210">
        <f t="shared" si="6"/>
        <v>159.80000000000001</v>
      </c>
      <c r="Y21" s="210">
        <f t="shared" si="6"/>
        <v>286</v>
      </c>
      <c r="Z21" s="210">
        <f t="shared" si="6"/>
        <v>198.6</v>
      </c>
      <c r="AA21" s="210">
        <f t="shared" si="6"/>
        <v>221</v>
      </c>
      <c r="AB21" s="210">
        <f t="shared" si="6"/>
        <v>217.4</v>
      </c>
      <c r="AC21" s="210">
        <f t="shared" si="6"/>
        <v>210.4</v>
      </c>
      <c r="AD21" s="210">
        <f t="shared" si="6"/>
        <v>272.8</v>
      </c>
      <c r="AE21" s="210">
        <f t="shared" si="6"/>
        <v>91.8</v>
      </c>
      <c r="AF21" s="210" t="e">
        <f t="shared" si="6"/>
        <v>#DIV/0!</v>
      </c>
      <c r="AG21" s="210" t="e">
        <f t="shared" si="6"/>
        <v>#DIV/0!</v>
      </c>
      <c r="AH21" s="210" t="e">
        <f t="shared" si="6"/>
        <v>#DIV/0!</v>
      </c>
      <c r="AI21" s="210" t="e">
        <f t="shared" si="6"/>
        <v>#DIV/0!</v>
      </c>
      <c r="AJ21" s="210" t="e">
        <f t="shared" si="6"/>
        <v>#DIV/0!</v>
      </c>
      <c r="AK21" s="210" t="e">
        <f t="shared" si="6"/>
        <v>#DIV/0!</v>
      </c>
      <c r="AL21" s="210" t="e">
        <f t="shared" si="6"/>
        <v>#DIV/0!</v>
      </c>
      <c r="AM21" s="210">
        <f t="shared" si="6"/>
        <v>5841.4</v>
      </c>
    </row>
    <row r="22" spans="1:39" ht="15" thickBot="1" x14ac:dyDescent="0.4">
      <c r="A22" s="136" t="s">
        <v>3</v>
      </c>
      <c r="B22" s="342">
        <f>B17+1</f>
        <v>44263</v>
      </c>
      <c r="C22" s="245">
        <v>239</v>
      </c>
      <c r="D22" s="195">
        <v>192</v>
      </c>
      <c r="E22" s="195">
        <v>147</v>
      </c>
      <c r="F22" s="195">
        <v>319</v>
      </c>
      <c r="G22" s="195">
        <v>253</v>
      </c>
      <c r="H22" s="195">
        <v>214</v>
      </c>
      <c r="I22" s="204">
        <v>556</v>
      </c>
      <c r="J22" s="208">
        <v>203</v>
      </c>
      <c r="K22" s="195">
        <v>90</v>
      </c>
      <c r="L22" s="204">
        <v>179</v>
      </c>
      <c r="M22" s="208">
        <v>184</v>
      </c>
      <c r="N22" s="195">
        <v>68</v>
      </c>
      <c r="O22" s="195">
        <v>94</v>
      </c>
      <c r="P22" s="195">
        <v>46</v>
      </c>
      <c r="Q22" s="203">
        <v>31</v>
      </c>
      <c r="R22" s="195">
        <v>64</v>
      </c>
      <c r="S22" s="204">
        <v>13</v>
      </c>
      <c r="T22" s="217">
        <v>160</v>
      </c>
      <c r="U22" s="195">
        <v>188</v>
      </c>
      <c r="V22" s="195">
        <v>478</v>
      </c>
      <c r="W22" s="195">
        <v>320</v>
      </c>
      <c r="X22" s="195">
        <v>167</v>
      </c>
      <c r="Y22" s="203">
        <v>270</v>
      </c>
      <c r="Z22" s="203">
        <v>193</v>
      </c>
      <c r="AA22" s="208">
        <v>241</v>
      </c>
      <c r="AB22" s="170">
        <v>200</v>
      </c>
      <c r="AC22" s="195">
        <v>217</v>
      </c>
      <c r="AD22" s="195">
        <v>257</v>
      </c>
      <c r="AE22" s="204">
        <v>74</v>
      </c>
      <c r="AF22" s="217"/>
      <c r="AG22" s="195"/>
      <c r="AH22" s="195"/>
      <c r="AI22" s="195"/>
      <c r="AJ22" s="204"/>
      <c r="AK22" s="208"/>
      <c r="AL22" s="204"/>
      <c r="AM22" s="174">
        <f>SUM(C22:AL22)</f>
        <v>5657</v>
      </c>
    </row>
    <row r="23" spans="1:39" ht="15" thickBot="1" x14ac:dyDescent="0.4">
      <c r="A23" s="136" t="s">
        <v>4</v>
      </c>
      <c r="B23" s="342">
        <f t="shared" ref="B23:B28" si="7">B22+1</f>
        <v>44264</v>
      </c>
      <c r="C23" s="245">
        <v>400</v>
      </c>
      <c r="D23" s="195">
        <v>391</v>
      </c>
      <c r="E23" s="195">
        <v>249</v>
      </c>
      <c r="F23" s="195">
        <v>526</v>
      </c>
      <c r="G23" s="195">
        <v>365</v>
      </c>
      <c r="H23" s="195">
        <v>368</v>
      </c>
      <c r="I23" s="204">
        <v>858</v>
      </c>
      <c r="J23" s="208">
        <v>321</v>
      </c>
      <c r="K23" s="195">
        <v>127</v>
      </c>
      <c r="L23" s="204">
        <v>279</v>
      </c>
      <c r="M23" s="208">
        <v>297</v>
      </c>
      <c r="N23" s="195">
        <v>133</v>
      </c>
      <c r="O23" s="195">
        <v>146</v>
      </c>
      <c r="P23" s="195">
        <v>82</v>
      </c>
      <c r="Q23" s="203">
        <v>68</v>
      </c>
      <c r="R23" s="195">
        <v>111</v>
      </c>
      <c r="S23" s="204">
        <v>43</v>
      </c>
      <c r="T23" s="217">
        <v>259</v>
      </c>
      <c r="U23" s="170">
        <v>221</v>
      </c>
      <c r="V23" s="195">
        <v>575</v>
      </c>
      <c r="W23" s="195">
        <v>472</v>
      </c>
      <c r="X23" s="195">
        <v>249</v>
      </c>
      <c r="Y23" s="203">
        <v>420</v>
      </c>
      <c r="Z23" s="203">
        <v>336</v>
      </c>
      <c r="AA23" s="208">
        <v>334</v>
      </c>
      <c r="AB23" s="170">
        <v>248</v>
      </c>
      <c r="AC23" s="195">
        <v>292</v>
      </c>
      <c r="AD23" s="195">
        <v>336</v>
      </c>
      <c r="AE23" s="204">
        <v>137</v>
      </c>
      <c r="AF23" s="217"/>
      <c r="AG23" s="170"/>
      <c r="AH23" s="195"/>
      <c r="AI23" s="195"/>
      <c r="AJ23" s="204"/>
      <c r="AK23" s="208"/>
      <c r="AL23" s="204"/>
      <c r="AM23" s="174">
        <f t="shared" ref="AM23:AM28" si="8">SUM(C23:AL23)</f>
        <v>8643</v>
      </c>
    </row>
    <row r="24" spans="1:39" ht="15" thickBot="1" x14ac:dyDescent="0.4">
      <c r="A24" s="136" t="s">
        <v>5</v>
      </c>
      <c r="B24" s="342">
        <f t="shared" si="7"/>
        <v>44265</v>
      </c>
      <c r="C24" s="245">
        <v>328</v>
      </c>
      <c r="D24" s="195">
        <v>295</v>
      </c>
      <c r="E24" s="195">
        <v>208</v>
      </c>
      <c r="F24" s="195">
        <v>438</v>
      </c>
      <c r="G24" s="195">
        <v>328</v>
      </c>
      <c r="H24" s="195">
        <v>294</v>
      </c>
      <c r="I24" s="204">
        <v>833</v>
      </c>
      <c r="J24" s="208">
        <v>286</v>
      </c>
      <c r="K24" s="195">
        <v>100</v>
      </c>
      <c r="L24" s="204">
        <v>263</v>
      </c>
      <c r="M24" s="208">
        <v>195</v>
      </c>
      <c r="N24" s="195">
        <v>105</v>
      </c>
      <c r="O24" s="195">
        <v>114</v>
      </c>
      <c r="P24" s="195">
        <v>65</v>
      </c>
      <c r="Q24" s="203">
        <v>33</v>
      </c>
      <c r="R24" s="195">
        <v>90</v>
      </c>
      <c r="S24" s="204">
        <v>45</v>
      </c>
      <c r="T24" s="217">
        <v>224</v>
      </c>
      <c r="U24" s="195">
        <v>228</v>
      </c>
      <c r="V24" s="195">
        <v>702</v>
      </c>
      <c r="W24" s="195">
        <v>458</v>
      </c>
      <c r="X24" s="195">
        <v>223</v>
      </c>
      <c r="Y24" s="203">
        <v>359</v>
      </c>
      <c r="Z24" s="203">
        <v>289</v>
      </c>
      <c r="AA24" s="208">
        <v>275</v>
      </c>
      <c r="AB24" s="170">
        <v>255</v>
      </c>
      <c r="AC24" s="195">
        <v>320</v>
      </c>
      <c r="AD24" s="195">
        <v>351</v>
      </c>
      <c r="AE24" s="204">
        <v>178</v>
      </c>
      <c r="AF24" s="217"/>
      <c r="AG24" s="195"/>
      <c r="AH24" s="195"/>
      <c r="AI24" s="195"/>
      <c r="AJ24" s="204"/>
      <c r="AK24" s="208"/>
      <c r="AL24" s="204"/>
      <c r="AM24" s="174">
        <f>SUM(C24:AL24)</f>
        <v>7882</v>
      </c>
    </row>
    <row r="25" spans="1:39" ht="15" thickBot="1" x14ac:dyDescent="0.4">
      <c r="A25" s="136" t="s">
        <v>6</v>
      </c>
      <c r="B25" s="342">
        <f t="shared" si="7"/>
        <v>44266</v>
      </c>
      <c r="C25" s="245">
        <v>476</v>
      </c>
      <c r="D25" s="195">
        <v>601</v>
      </c>
      <c r="E25" s="195">
        <v>269</v>
      </c>
      <c r="F25" s="195">
        <v>586</v>
      </c>
      <c r="G25" s="195">
        <v>383</v>
      </c>
      <c r="H25" s="195">
        <v>465</v>
      </c>
      <c r="I25" s="204">
        <v>1013</v>
      </c>
      <c r="J25" s="208">
        <v>438</v>
      </c>
      <c r="K25" s="195">
        <v>135</v>
      </c>
      <c r="L25" s="204">
        <v>370</v>
      </c>
      <c r="M25" s="208">
        <v>327</v>
      </c>
      <c r="N25" s="195">
        <v>157</v>
      </c>
      <c r="O25" s="195">
        <v>167</v>
      </c>
      <c r="P25" s="195">
        <v>114</v>
      </c>
      <c r="Q25" s="203">
        <v>84</v>
      </c>
      <c r="R25" s="195">
        <v>133</v>
      </c>
      <c r="S25" s="204">
        <v>62</v>
      </c>
      <c r="T25" s="217">
        <v>376</v>
      </c>
      <c r="U25" s="195">
        <v>241</v>
      </c>
      <c r="V25" s="195">
        <v>697</v>
      </c>
      <c r="W25" s="195">
        <v>562</v>
      </c>
      <c r="X25" s="195">
        <v>242</v>
      </c>
      <c r="Y25" s="203">
        <v>510</v>
      </c>
      <c r="Z25" s="203">
        <v>355</v>
      </c>
      <c r="AA25" s="208">
        <v>368</v>
      </c>
      <c r="AB25" s="170">
        <v>327</v>
      </c>
      <c r="AC25" s="195">
        <v>385</v>
      </c>
      <c r="AD25" s="195">
        <v>436</v>
      </c>
      <c r="AE25" s="204">
        <v>165</v>
      </c>
      <c r="AF25" s="217"/>
      <c r="AG25" s="195"/>
      <c r="AH25" s="195"/>
      <c r="AI25" s="195"/>
      <c r="AJ25" s="204"/>
      <c r="AK25" s="208"/>
      <c r="AL25" s="204"/>
      <c r="AM25" s="174">
        <f t="shared" si="8"/>
        <v>10444</v>
      </c>
    </row>
    <row r="26" spans="1:39" ht="15" thickBot="1" x14ac:dyDescent="0.4">
      <c r="A26" s="136" t="s">
        <v>0</v>
      </c>
      <c r="B26" s="342">
        <f t="shared" si="7"/>
        <v>44267</v>
      </c>
      <c r="C26" s="245">
        <v>490</v>
      </c>
      <c r="D26" s="195">
        <v>583</v>
      </c>
      <c r="E26" s="195">
        <v>264</v>
      </c>
      <c r="F26" s="195">
        <v>589</v>
      </c>
      <c r="G26" s="195">
        <v>391</v>
      </c>
      <c r="H26" s="195">
        <v>464</v>
      </c>
      <c r="I26" s="204">
        <v>1102</v>
      </c>
      <c r="J26" s="208">
        <v>362</v>
      </c>
      <c r="K26" s="195">
        <v>156</v>
      </c>
      <c r="L26" s="204">
        <v>354</v>
      </c>
      <c r="M26" s="208">
        <v>296</v>
      </c>
      <c r="N26" s="195">
        <v>190</v>
      </c>
      <c r="O26" s="195">
        <v>142</v>
      </c>
      <c r="P26" s="195">
        <v>69</v>
      </c>
      <c r="Q26" s="203">
        <v>53</v>
      </c>
      <c r="R26" s="195">
        <v>222</v>
      </c>
      <c r="S26" s="204">
        <v>65</v>
      </c>
      <c r="T26" s="217">
        <v>290</v>
      </c>
      <c r="U26" s="195">
        <v>228</v>
      </c>
      <c r="V26" s="195">
        <v>605</v>
      </c>
      <c r="W26" s="195">
        <v>518</v>
      </c>
      <c r="X26" s="195">
        <v>329</v>
      </c>
      <c r="Y26" s="203">
        <v>517</v>
      </c>
      <c r="Z26" s="203">
        <v>422</v>
      </c>
      <c r="AA26" s="208">
        <v>352</v>
      </c>
      <c r="AB26" s="170">
        <v>268</v>
      </c>
      <c r="AC26" s="195">
        <v>432</v>
      </c>
      <c r="AD26" s="195">
        <v>441</v>
      </c>
      <c r="AE26" s="204">
        <v>152</v>
      </c>
      <c r="AF26" s="217"/>
      <c r="AG26" s="195"/>
      <c r="AH26" s="195"/>
      <c r="AI26" s="195"/>
      <c r="AJ26" s="204"/>
      <c r="AK26" s="208"/>
      <c r="AL26" s="204"/>
      <c r="AM26" s="174">
        <f t="shared" si="8"/>
        <v>10346</v>
      </c>
    </row>
    <row r="27" spans="1:39" ht="15" thickBot="1" x14ac:dyDescent="0.4">
      <c r="A27" s="136" t="s">
        <v>1</v>
      </c>
      <c r="B27" s="342">
        <f t="shared" si="7"/>
        <v>44268</v>
      </c>
      <c r="C27" s="245">
        <v>470</v>
      </c>
      <c r="D27" s="195">
        <v>794</v>
      </c>
      <c r="E27" s="195">
        <v>260</v>
      </c>
      <c r="F27" s="195">
        <v>641</v>
      </c>
      <c r="G27" s="195">
        <v>323</v>
      </c>
      <c r="H27" s="195">
        <v>460</v>
      </c>
      <c r="I27" s="204">
        <v>888</v>
      </c>
      <c r="J27" s="208">
        <v>250</v>
      </c>
      <c r="K27" s="195">
        <v>99</v>
      </c>
      <c r="L27" s="204">
        <v>330</v>
      </c>
      <c r="M27" s="208">
        <v>372</v>
      </c>
      <c r="N27" s="195">
        <v>253</v>
      </c>
      <c r="O27" s="195">
        <v>138</v>
      </c>
      <c r="P27" s="195">
        <v>155</v>
      </c>
      <c r="Q27" s="203">
        <v>91</v>
      </c>
      <c r="R27" s="195">
        <v>175</v>
      </c>
      <c r="S27" s="204">
        <v>97</v>
      </c>
      <c r="T27" s="217">
        <v>314</v>
      </c>
      <c r="U27" s="195">
        <v>144</v>
      </c>
      <c r="V27" s="195">
        <v>456</v>
      </c>
      <c r="W27" s="195">
        <v>477</v>
      </c>
      <c r="X27" s="195">
        <v>322</v>
      </c>
      <c r="Y27" s="203">
        <v>498</v>
      </c>
      <c r="Z27" s="203">
        <v>558</v>
      </c>
      <c r="AA27" s="208">
        <v>197</v>
      </c>
      <c r="AB27" s="170">
        <v>172</v>
      </c>
      <c r="AC27" s="195">
        <v>243</v>
      </c>
      <c r="AD27" s="195">
        <v>252</v>
      </c>
      <c r="AE27" s="204">
        <v>117</v>
      </c>
      <c r="AF27" s="217"/>
      <c r="AG27" s="195"/>
      <c r="AH27" s="195"/>
      <c r="AI27" s="195"/>
      <c r="AJ27" s="204"/>
      <c r="AK27" s="208"/>
      <c r="AL27" s="204"/>
      <c r="AM27" s="174">
        <f>SUM(C27:AL27)</f>
        <v>9546</v>
      </c>
    </row>
    <row r="28" spans="1:39" s="532" customFormat="1" ht="15" thickBot="1" x14ac:dyDescent="0.4">
      <c r="A28" s="136" t="s">
        <v>2</v>
      </c>
      <c r="B28" s="216">
        <f t="shared" si="7"/>
        <v>44269</v>
      </c>
      <c r="C28" s="245">
        <v>398</v>
      </c>
      <c r="D28" s="170">
        <v>621</v>
      </c>
      <c r="E28" s="170">
        <v>179</v>
      </c>
      <c r="F28" s="170">
        <v>388</v>
      </c>
      <c r="G28" s="170">
        <v>245</v>
      </c>
      <c r="H28" s="170">
        <v>377</v>
      </c>
      <c r="I28" s="207">
        <v>645</v>
      </c>
      <c r="J28" s="211">
        <v>197</v>
      </c>
      <c r="K28" s="170">
        <v>81</v>
      </c>
      <c r="L28" s="207">
        <v>214</v>
      </c>
      <c r="M28" s="211">
        <v>228</v>
      </c>
      <c r="N28" s="170">
        <v>177</v>
      </c>
      <c r="O28" s="170">
        <v>112</v>
      </c>
      <c r="P28" s="170">
        <v>80</v>
      </c>
      <c r="Q28" s="172">
        <v>36</v>
      </c>
      <c r="R28" s="170">
        <v>66</v>
      </c>
      <c r="S28" s="207">
        <v>51</v>
      </c>
      <c r="T28" s="244">
        <v>201</v>
      </c>
      <c r="U28" s="170">
        <v>132</v>
      </c>
      <c r="V28" s="170">
        <v>360</v>
      </c>
      <c r="W28" s="170">
        <v>424</v>
      </c>
      <c r="X28" s="170">
        <v>282</v>
      </c>
      <c r="Y28" s="172">
        <v>333</v>
      </c>
      <c r="Z28" s="172">
        <v>420</v>
      </c>
      <c r="AA28" s="211">
        <v>110</v>
      </c>
      <c r="AB28" s="170">
        <v>115</v>
      </c>
      <c r="AC28" s="170">
        <v>176</v>
      </c>
      <c r="AD28" s="170">
        <v>148</v>
      </c>
      <c r="AE28" s="207">
        <v>86</v>
      </c>
      <c r="AF28" s="244"/>
      <c r="AG28" s="170"/>
      <c r="AH28" s="170"/>
      <c r="AI28" s="170"/>
      <c r="AJ28" s="207"/>
      <c r="AK28" s="211"/>
      <c r="AL28" s="207"/>
      <c r="AM28" s="531">
        <f t="shared" si="8"/>
        <v>6882</v>
      </c>
    </row>
    <row r="29" spans="1:39" ht="15" thickBot="1" x14ac:dyDescent="0.4">
      <c r="A29" s="144" t="s">
        <v>19</v>
      </c>
      <c r="B29" s="701" t="s">
        <v>23</v>
      </c>
      <c r="C29" s="209">
        <f t="shared" ref="C29:H29" si="9">SUM(C22:C28)</f>
        <v>2801</v>
      </c>
      <c r="D29" s="209">
        <f t="shared" si="9"/>
        <v>3477</v>
      </c>
      <c r="E29" s="209">
        <f t="shared" si="9"/>
        <v>1576</v>
      </c>
      <c r="F29" s="209">
        <f t="shared" si="9"/>
        <v>3487</v>
      </c>
      <c r="G29" s="209">
        <f t="shared" si="9"/>
        <v>2288</v>
      </c>
      <c r="H29" s="209">
        <f t="shared" si="9"/>
        <v>2642</v>
      </c>
      <c r="I29" s="209">
        <f t="shared" ref="I29:AL29" si="10">SUM(I22:I28)</f>
        <v>5895</v>
      </c>
      <c r="J29" s="209">
        <f t="shared" si="10"/>
        <v>2057</v>
      </c>
      <c r="K29" s="209">
        <f t="shared" si="10"/>
        <v>788</v>
      </c>
      <c r="L29" s="209">
        <f t="shared" si="10"/>
        <v>1989</v>
      </c>
      <c r="M29" s="209">
        <f t="shared" si="10"/>
        <v>1899</v>
      </c>
      <c r="N29" s="209">
        <f t="shared" si="10"/>
        <v>1083</v>
      </c>
      <c r="O29" s="209">
        <f t="shared" si="10"/>
        <v>913</v>
      </c>
      <c r="P29" s="209">
        <f t="shared" si="10"/>
        <v>611</v>
      </c>
      <c r="Q29" s="209">
        <f t="shared" si="10"/>
        <v>396</v>
      </c>
      <c r="R29" s="209">
        <f t="shared" si="10"/>
        <v>861</v>
      </c>
      <c r="S29" s="209">
        <f t="shared" si="10"/>
        <v>376</v>
      </c>
      <c r="T29" s="209">
        <f t="shared" si="10"/>
        <v>1824</v>
      </c>
      <c r="U29" s="209">
        <f t="shared" si="10"/>
        <v>1382</v>
      </c>
      <c r="V29" s="209">
        <f t="shared" si="10"/>
        <v>3873</v>
      </c>
      <c r="W29" s="209">
        <f t="shared" si="10"/>
        <v>3231</v>
      </c>
      <c r="X29" s="209">
        <f t="shared" si="10"/>
        <v>1814</v>
      </c>
      <c r="Y29" s="209">
        <f t="shared" si="10"/>
        <v>2907</v>
      </c>
      <c r="Z29" s="209">
        <f t="shared" si="10"/>
        <v>2573</v>
      </c>
      <c r="AA29" s="209">
        <f t="shared" si="10"/>
        <v>1877</v>
      </c>
      <c r="AB29" s="209">
        <f t="shared" si="10"/>
        <v>1585</v>
      </c>
      <c r="AC29" s="209">
        <f t="shared" si="10"/>
        <v>2065</v>
      </c>
      <c r="AD29" s="209">
        <f t="shared" si="10"/>
        <v>2221</v>
      </c>
      <c r="AE29" s="209">
        <f t="shared" si="10"/>
        <v>909</v>
      </c>
      <c r="AF29" s="209">
        <f t="shared" si="10"/>
        <v>0</v>
      </c>
      <c r="AG29" s="209">
        <f t="shared" si="10"/>
        <v>0</v>
      </c>
      <c r="AH29" s="209">
        <f t="shared" si="10"/>
        <v>0</v>
      </c>
      <c r="AI29" s="209">
        <f t="shared" si="10"/>
        <v>0</v>
      </c>
      <c r="AJ29" s="209">
        <f t="shared" si="10"/>
        <v>0</v>
      </c>
      <c r="AK29" s="209">
        <f t="shared" si="10"/>
        <v>0</v>
      </c>
      <c r="AL29" s="209">
        <f t="shared" si="10"/>
        <v>0</v>
      </c>
      <c r="AM29" s="209">
        <f>SUM(AM22:AM28)</f>
        <v>59400</v>
      </c>
    </row>
    <row r="30" spans="1:39" ht="15" thickBot="1" x14ac:dyDescent="0.4">
      <c r="A30" s="101" t="s">
        <v>21</v>
      </c>
      <c r="B30" s="701"/>
      <c r="C30" s="209">
        <f>AVERAGE(C22:C28)</f>
        <v>400.14285714285717</v>
      </c>
      <c r="D30" s="209">
        <f t="shared" ref="D30:AM30" si="11">AVERAGE(D22:D28)</f>
        <v>496.71428571428572</v>
      </c>
      <c r="E30" s="209">
        <f t="shared" si="11"/>
        <v>225.14285714285714</v>
      </c>
      <c r="F30" s="209">
        <f t="shared" si="11"/>
        <v>498.14285714285717</v>
      </c>
      <c r="G30" s="209">
        <f t="shared" si="11"/>
        <v>326.85714285714283</v>
      </c>
      <c r="H30" s="209">
        <f t="shared" si="11"/>
        <v>377.42857142857144</v>
      </c>
      <c r="I30" s="209">
        <f t="shared" si="11"/>
        <v>842.14285714285711</v>
      </c>
      <c r="J30" s="209">
        <f t="shared" si="11"/>
        <v>293.85714285714283</v>
      </c>
      <c r="K30" s="209">
        <f t="shared" si="11"/>
        <v>112.57142857142857</v>
      </c>
      <c r="L30" s="209">
        <f t="shared" si="11"/>
        <v>284.14285714285717</v>
      </c>
      <c r="M30" s="209">
        <f t="shared" si="11"/>
        <v>271.28571428571428</v>
      </c>
      <c r="N30" s="209">
        <f t="shared" si="11"/>
        <v>154.71428571428572</v>
      </c>
      <c r="O30" s="209">
        <f t="shared" si="11"/>
        <v>130.42857142857142</v>
      </c>
      <c r="P30" s="209">
        <f t="shared" si="11"/>
        <v>87.285714285714292</v>
      </c>
      <c r="Q30" s="209">
        <f t="shared" si="11"/>
        <v>56.571428571428569</v>
      </c>
      <c r="R30" s="209">
        <f t="shared" si="11"/>
        <v>123</v>
      </c>
      <c r="S30" s="209">
        <f t="shared" si="11"/>
        <v>53.714285714285715</v>
      </c>
      <c r="T30" s="209">
        <f t="shared" si="11"/>
        <v>260.57142857142856</v>
      </c>
      <c r="U30" s="209">
        <f t="shared" si="11"/>
        <v>197.42857142857142</v>
      </c>
      <c r="V30" s="209">
        <f t="shared" si="11"/>
        <v>553.28571428571433</v>
      </c>
      <c r="W30" s="209">
        <f t="shared" si="11"/>
        <v>461.57142857142856</v>
      </c>
      <c r="X30" s="209">
        <f t="shared" si="11"/>
        <v>259.14285714285717</v>
      </c>
      <c r="Y30" s="209">
        <f t="shared" si="11"/>
        <v>415.28571428571428</v>
      </c>
      <c r="Z30" s="209">
        <f t="shared" si="11"/>
        <v>367.57142857142856</v>
      </c>
      <c r="AA30" s="209">
        <f t="shared" si="11"/>
        <v>268.14285714285717</v>
      </c>
      <c r="AB30" s="209">
        <f t="shared" si="11"/>
        <v>226.42857142857142</v>
      </c>
      <c r="AC30" s="209">
        <f t="shared" si="11"/>
        <v>295</v>
      </c>
      <c r="AD30" s="209">
        <f t="shared" si="11"/>
        <v>317.28571428571428</v>
      </c>
      <c r="AE30" s="209">
        <f t="shared" si="11"/>
        <v>129.85714285714286</v>
      </c>
      <c r="AF30" s="209" t="e">
        <f t="shared" si="11"/>
        <v>#DIV/0!</v>
      </c>
      <c r="AG30" s="209" t="e">
        <f t="shared" si="11"/>
        <v>#DIV/0!</v>
      </c>
      <c r="AH30" s="209" t="e">
        <f t="shared" si="11"/>
        <v>#DIV/0!</v>
      </c>
      <c r="AI30" s="209" t="e">
        <f t="shared" si="11"/>
        <v>#DIV/0!</v>
      </c>
      <c r="AJ30" s="209" t="e">
        <f t="shared" si="11"/>
        <v>#DIV/0!</v>
      </c>
      <c r="AK30" s="209" t="e">
        <f t="shared" si="11"/>
        <v>#DIV/0!</v>
      </c>
      <c r="AL30" s="209" t="e">
        <f t="shared" si="11"/>
        <v>#DIV/0!</v>
      </c>
      <c r="AM30" s="209">
        <f t="shared" si="11"/>
        <v>8485.7142857142862</v>
      </c>
    </row>
    <row r="31" spans="1:39" ht="15" thickBot="1" x14ac:dyDescent="0.4">
      <c r="A31" s="26" t="s">
        <v>18</v>
      </c>
      <c r="B31" s="701"/>
      <c r="C31" s="210">
        <f>SUM(C22:C26)</f>
        <v>1933</v>
      </c>
      <c r="D31" s="210">
        <f>SUM(D22:D26)</f>
        <v>2062</v>
      </c>
      <c r="E31" s="210">
        <f>SUM(E22:E26)</f>
        <v>1137</v>
      </c>
      <c r="F31" s="210">
        <f t="shared" ref="F31:AM31" si="12">SUM(F22:F26)</f>
        <v>2458</v>
      </c>
      <c r="G31" s="210">
        <f t="shared" si="12"/>
        <v>1720</v>
      </c>
      <c r="H31" s="210">
        <f t="shared" si="12"/>
        <v>1805</v>
      </c>
      <c r="I31" s="210">
        <f t="shared" si="12"/>
        <v>4362</v>
      </c>
      <c r="J31" s="210">
        <f t="shared" si="12"/>
        <v>1610</v>
      </c>
      <c r="K31" s="210">
        <f t="shared" si="12"/>
        <v>608</v>
      </c>
      <c r="L31" s="210">
        <f t="shared" si="12"/>
        <v>1445</v>
      </c>
      <c r="M31" s="210">
        <f t="shared" si="12"/>
        <v>1299</v>
      </c>
      <c r="N31" s="210">
        <f t="shared" si="12"/>
        <v>653</v>
      </c>
      <c r="O31" s="210">
        <f t="shared" si="12"/>
        <v>663</v>
      </c>
      <c r="P31" s="210">
        <f t="shared" si="12"/>
        <v>376</v>
      </c>
      <c r="Q31" s="210">
        <f t="shared" si="12"/>
        <v>269</v>
      </c>
      <c r="R31" s="210">
        <f t="shared" si="12"/>
        <v>620</v>
      </c>
      <c r="S31" s="210">
        <f t="shared" si="12"/>
        <v>228</v>
      </c>
      <c r="T31" s="210">
        <f t="shared" si="12"/>
        <v>1309</v>
      </c>
      <c r="U31" s="210">
        <f t="shared" si="12"/>
        <v>1106</v>
      </c>
      <c r="V31" s="210">
        <f t="shared" si="12"/>
        <v>3057</v>
      </c>
      <c r="W31" s="210">
        <f t="shared" si="12"/>
        <v>2330</v>
      </c>
      <c r="X31" s="210">
        <f t="shared" si="12"/>
        <v>1210</v>
      </c>
      <c r="Y31" s="210">
        <f t="shared" si="12"/>
        <v>2076</v>
      </c>
      <c r="Z31" s="210">
        <f t="shared" si="12"/>
        <v>1595</v>
      </c>
      <c r="AA31" s="210">
        <f t="shared" si="12"/>
        <v>1570</v>
      </c>
      <c r="AB31" s="210">
        <f t="shared" si="12"/>
        <v>1298</v>
      </c>
      <c r="AC31" s="210">
        <f t="shared" si="12"/>
        <v>1646</v>
      </c>
      <c r="AD31" s="210">
        <f t="shared" si="12"/>
        <v>1821</v>
      </c>
      <c r="AE31" s="210">
        <f t="shared" si="12"/>
        <v>706</v>
      </c>
      <c r="AF31" s="210">
        <f t="shared" si="12"/>
        <v>0</v>
      </c>
      <c r="AG31" s="210">
        <f t="shared" si="12"/>
        <v>0</v>
      </c>
      <c r="AH31" s="210">
        <f t="shared" si="12"/>
        <v>0</v>
      </c>
      <c r="AI31" s="210">
        <f t="shared" si="12"/>
        <v>0</v>
      </c>
      <c r="AJ31" s="210">
        <f t="shared" si="12"/>
        <v>0</v>
      </c>
      <c r="AK31" s="210">
        <f t="shared" si="12"/>
        <v>0</v>
      </c>
      <c r="AL31" s="210">
        <f t="shared" si="12"/>
        <v>0</v>
      </c>
      <c r="AM31" s="210">
        <f t="shared" si="12"/>
        <v>42972</v>
      </c>
    </row>
    <row r="32" spans="1:39" ht="15" thickBot="1" x14ac:dyDescent="0.4">
      <c r="A32" s="26" t="s">
        <v>20</v>
      </c>
      <c r="B32" s="701"/>
      <c r="C32" s="210">
        <f>AVERAGE(C22:CQ26)</f>
        <v>572.96</v>
      </c>
      <c r="D32" s="210">
        <f>AVERAGE(D22:D26)</f>
        <v>412.4</v>
      </c>
      <c r="E32" s="210">
        <f>AVERAGE(E22:E26)</f>
        <v>227.4</v>
      </c>
      <c r="F32" s="210">
        <f t="shared" ref="F32:AM32" si="13">AVERAGE(F22:F26)</f>
        <v>491.6</v>
      </c>
      <c r="G32" s="210">
        <f t="shared" si="13"/>
        <v>344</v>
      </c>
      <c r="H32" s="210">
        <f t="shared" si="13"/>
        <v>361</v>
      </c>
      <c r="I32" s="210">
        <f t="shared" si="13"/>
        <v>872.4</v>
      </c>
      <c r="J32" s="210">
        <f t="shared" si="13"/>
        <v>322</v>
      </c>
      <c r="K32" s="210">
        <f t="shared" si="13"/>
        <v>121.6</v>
      </c>
      <c r="L32" s="210">
        <f t="shared" si="13"/>
        <v>289</v>
      </c>
      <c r="M32" s="210">
        <f t="shared" si="13"/>
        <v>259.8</v>
      </c>
      <c r="N32" s="210">
        <f t="shared" si="13"/>
        <v>130.6</v>
      </c>
      <c r="O32" s="210">
        <f t="shared" si="13"/>
        <v>132.6</v>
      </c>
      <c r="P32" s="210">
        <f t="shared" si="13"/>
        <v>75.2</v>
      </c>
      <c r="Q32" s="210">
        <f t="shared" si="13"/>
        <v>53.8</v>
      </c>
      <c r="R32" s="210">
        <f t="shared" si="13"/>
        <v>124</v>
      </c>
      <c r="S32" s="210">
        <f t="shared" si="13"/>
        <v>45.6</v>
      </c>
      <c r="T32" s="210">
        <f t="shared" si="13"/>
        <v>261.8</v>
      </c>
      <c r="U32" s="210">
        <f t="shared" si="13"/>
        <v>221.2</v>
      </c>
      <c r="V32" s="210">
        <f t="shared" si="13"/>
        <v>611.4</v>
      </c>
      <c r="W32" s="210">
        <f t="shared" si="13"/>
        <v>466</v>
      </c>
      <c r="X32" s="210">
        <f t="shared" si="13"/>
        <v>242</v>
      </c>
      <c r="Y32" s="210">
        <f t="shared" si="13"/>
        <v>415.2</v>
      </c>
      <c r="Z32" s="210">
        <f t="shared" si="13"/>
        <v>319</v>
      </c>
      <c r="AA32" s="210">
        <f t="shared" si="13"/>
        <v>314</v>
      </c>
      <c r="AB32" s="210">
        <f t="shared" si="13"/>
        <v>259.60000000000002</v>
      </c>
      <c r="AC32" s="210">
        <f t="shared" si="13"/>
        <v>329.2</v>
      </c>
      <c r="AD32" s="210">
        <f t="shared" si="13"/>
        <v>364.2</v>
      </c>
      <c r="AE32" s="210">
        <f t="shared" si="13"/>
        <v>141.19999999999999</v>
      </c>
      <c r="AF32" s="210" t="e">
        <f t="shared" si="13"/>
        <v>#DIV/0!</v>
      </c>
      <c r="AG32" s="210" t="e">
        <f t="shared" si="13"/>
        <v>#DIV/0!</v>
      </c>
      <c r="AH32" s="210" t="e">
        <f t="shared" si="13"/>
        <v>#DIV/0!</v>
      </c>
      <c r="AI32" s="210" t="e">
        <f t="shared" si="13"/>
        <v>#DIV/0!</v>
      </c>
      <c r="AJ32" s="210" t="e">
        <f t="shared" si="13"/>
        <v>#DIV/0!</v>
      </c>
      <c r="AK32" s="210" t="e">
        <f t="shared" si="13"/>
        <v>#DIV/0!</v>
      </c>
      <c r="AL32" s="210" t="e">
        <f t="shared" si="13"/>
        <v>#DIV/0!</v>
      </c>
      <c r="AM32" s="210">
        <f t="shared" si="13"/>
        <v>8594.4</v>
      </c>
    </row>
    <row r="33" spans="1:39" ht="15" thickBot="1" x14ac:dyDescent="0.4">
      <c r="A33" s="136" t="s">
        <v>3</v>
      </c>
      <c r="B33" s="216">
        <f>B28+1</f>
        <v>44270</v>
      </c>
      <c r="C33" s="245">
        <v>208</v>
      </c>
      <c r="D33" s="246">
        <v>196</v>
      </c>
      <c r="E33" s="170">
        <v>135</v>
      </c>
      <c r="F33" s="170">
        <v>298</v>
      </c>
      <c r="G33" s="170">
        <v>251</v>
      </c>
      <c r="H33" s="170">
        <v>189</v>
      </c>
      <c r="I33" s="207">
        <v>589</v>
      </c>
      <c r="J33" s="211">
        <v>173</v>
      </c>
      <c r="K33" s="170">
        <v>73</v>
      </c>
      <c r="L33" s="207">
        <v>138</v>
      </c>
      <c r="M33" s="211">
        <v>161</v>
      </c>
      <c r="N33" s="170">
        <v>40</v>
      </c>
      <c r="O33" s="170">
        <v>62</v>
      </c>
      <c r="P33" s="170">
        <v>50</v>
      </c>
      <c r="Q33" s="172">
        <v>46</v>
      </c>
      <c r="R33" s="170">
        <v>21</v>
      </c>
      <c r="S33" s="207">
        <v>15</v>
      </c>
      <c r="T33" s="244">
        <v>175</v>
      </c>
      <c r="U33" s="170">
        <v>163</v>
      </c>
      <c r="V33" s="170">
        <v>404</v>
      </c>
      <c r="W33" s="170">
        <v>289</v>
      </c>
      <c r="X33" s="170">
        <v>156</v>
      </c>
      <c r="Y33" s="172">
        <v>253</v>
      </c>
      <c r="Z33" s="172">
        <v>178</v>
      </c>
      <c r="AA33" s="211">
        <v>175</v>
      </c>
      <c r="AB33" s="170">
        <v>193</v>
      </c>
      <c r="AC33" s="170">
        <v>204</v>
      </c>
      <c r="AD33" s="170">
        <v>224</v>
      </c>
      <c r="AE33" s="207">
        <v>84</v>
      </c>
      <c r="AF33" s="244"/>
      <c r="AG33" s="170"/>
      <c r="AH33" s="170"/>
      <c r="AI33" s="170"/>
      <c r="AJ33" s="207"/>
      <c r="AK33" s="208"/>
      <c r="AL33" s="204"/>
      <c r="AM33" s="174">
        <f t="shared" ref="AM33:AM39" si="14">SUM(C33:AL33)</f>
        <v>5143</v>
      </c>
    </row>
    <row r="34" spans="1:39" ht="15" thickBot="1" x14ac:dyDescent="0.4">
      <c r="A34" s="136" t="s">
        <v>4</v>
      </c>
      <c r="B34" s="216">
        <f t="shared" ref="B34:B39" si="15">B33+1</f>
        <v>44271</v>
      </c>
      <c r="C34" s="245">
        <v>217</v>
      </c>
      <c r="D34" s="246">
        <v>163</v>
      </c>
      <c r="E34" s="170">
        <v>130</v>
      </c>
      <c r="F34" s="170">
        <v>296</v>
      </c>
      <c r="G34" s="170">
        <v>269</v>
      </c>
      <c r="H34" s="170">
        <v>201</v>
      </c>
      <c r="I34" s="207">
        <v>596</v>
      </c>
      <c r="J34" s="211">
        <v>241</v>
      </c>
      <c r="K34" s="170">
        <v>77</v>
      </c>
      <c r="L34" s="207">
        <v>182</v>
      </c>
      <c r="M34" s="211">
        <v>166</v>
      </c>
      <c r="N34" s="170">
        <v>45</v>
      </c>
      <c r="O34" s="170">
        <v>70</v>
      </c>
      <c r="P34" s="170">
        <v>40</v>
      </c>
      <c r="Q34" s="172">
        <v>36</v>
      </c>
      <c r="R34" s="170">
        <v>56</v>
      </c>
      <c r="S34" s="207">
        <v>18</v>
      </c>
      <c r="T34" s="244">
        <v>143</v>
      </c>
      <c r="U34" s="170">
        <v>163</v>
      </c>
      <c r="V34" s="170">
        <v>438</v>
      </c>
      <c r="W34" s="170">
        <v>297</v>
      </c>
      <c r="X34" s="170">
        <v>144</v>
      </c>
      <c r="Y34" s="172">
        <v>287</v>
      </c>
      <c r="Z34" s="172">
        <v>185</v>
      </c>
      <c r="AA34" s="211">
        <v>209</v>
      </c>
      <c r="AB34" s="170">
        <v>204</v>
      </c>
      <c r="AC34" s="170">
        <v>211</v>
      </c>
      <c r="AD34" s="170">
        <v>249</v>
      </c>
      <c r="AE34" s="207">
        <v>81</v>
      </c>
      <c r="AF34" s="244"/>
      <c r="AG34" s="170"/>
      <c r="AH34" s="170"/>
      <c r="AI34" s="170"/>
      <c r="AJ34" s="207"/>
      <c r="AK34" s="208"/>
      <c r="AL34" s="204"/>
      <c r="AM34" s="174">
        <f t="shared" si="14"/>
        <v>5414</v>
      </c>
    </row>
    <row r="35" spans="1:39" ht="15" thickBot="1" x14ac:dyDescent="0.4">
      <c r="A35" s="136" t="s">
        <v>5</v>
      </c>
      <c r="B35" s="216">
        <f t="shared" si="15"/>
        <v>44272</v>
      </c>
      <c r="C35" s="245">
        <v>294</v>
      </c>
      <c r="D35" s="246">
        <v>253</v>
      </c>
      <c r="E35" s="170">
        <v>167</v>
      </c>
      <c r="F35" s="170">
        <v>372</v>
      </c>
      <c r="G35" s="170">
        <v>303</v>
      </c>
      <c r="H35" s="170">
        <v>193</v>
      </c>
      <c r="I35" s="207">
        <v>658</v>
      </c>
      <c r="J35" s="211">
        <v>243</v>
      </c>
      <c r="K35" s="170">
        <v>114</v>
      </c>
      <c r="L35" s="207">
        <v>210</v>
      </c>
      <c r="M35" s="211">
        <v>194</v>
      </c>
      <c r="N35" s="170">
        <v>53</v>
      </c>
      <c r="O35" s="170">
        <v>97</v>
      </c>
      <c r="P35" s="170">
        <v>62</v>
      </c>
      <c r="Q35" s="172">
        <v>43</v>
      </c>
      <c r="R35" s="170">
        <v>77</v>
      </c>
      <c r="S35" s="207">
        <v>27</v>
      </c>
      <c r="T35" s="244">
        <v>170</v>
      </c>
      <c r="U35" s="170">
        <v>187</v>
      </c>
      <c r="V35" s="170">
        <v>492</v>
      </c>
      <c r="W35" s="170">
        <v>386</v>
      </c>
      <c r="X35" s="170">
        <v>182</v>
      </c>
      <c r="Y35" s="172">
        <v>307</v>
      </c>
      <c r="Z35" s="172">
        <v>210</v>
      </c>
      <c r="AA35" s="211">
        <v>245</v>
      </c>
      <c r="AB35" s="170">
        <v>246</v>
      </c>
      <c r="AC35" s="170">
        <v>252</v>
      </c>
      <c r="AD35" s="170">
        <v>263</v>
      </c>
      <c r="AE35" s="207">
        <v>87</v>
      </c>
      <c r="AF35" s="244"/>
      <c r="AG35" s="170"/>
      <c r="AH35" s="170"/>
      <c r="AI35" s="170"/>
      <c r="AJ35" s="207"/>
      <c r="AK35" s="208"/>
      <c r="AL35" s="204"/>
      <c r="AM35" s="174">
        <f t="shared" si="14"/>
        <v>6387</v>
      </c>
    </row>
    <row r="36" spans="1:39" ht="15" thickBot="1" x14ac:dyDescent="0.4">
      <c r="A36" s="136" t="s">
        <v>6</v>
      </c>
      <c r="B36" s="216">
        <f t="shared" si="15"/>
        <v>44273</v>
      </c>
      <c r="C36" s="245">
        <v>183</v>
      </c>
      <c r="D36" s="246">
        <v>157</v>
      </c>
      <c r="E36" s="170">
        <v>124</v>
      </c>
      <c r="F36" s="170">
        <v>274</v>
      </c>
      <c r="G36" s="170">
        <v>222</v>
      </c>
      <c r="H36" s="170">
        <v>158</v>
      </c>
      <c r="I36" s="207">
        <v>486</v>
      </c>
      <c r="J36" s="211">
        <v>173</v>
      </c>
      <c r="K36" s="170">
        <v>71</v>
      </c>
      <c r="L36" s="207">
        <v>154</v>
      </c>
      <c r="M36" s="211">
        <v>107</v>
      </c>
      <c r="N36" s="170">
        <v>38</v>
      </c>
      <c r="O36" s="170">
        <v>55</v>
      </c>
      <c r="P36" s="170">
        <v>32</v>
      </c>
      <c r="Q36" s="172">
        <v>27</v>
      </c>
      <c r="R36" s="170">
        <v>30</v>
      </c>
      <c r="S36" s="207">
        <v>13</v>
      </c>
      <c r="T36" s="244">
        <v>118</v>
      </c>
      <c r="U36" s="170">
        <v>138</v>
      </c>
      <c r="V36" s="170">
        <v>335</v>
      </c>
      <c r="W36" s="170">
        <v>251</v>
      </c>
      <c r="X36" s="170">
        <v>115</v>
      </c>
      <c r="Y36" s="172">
        <v>248</v>
      </c>
      <c r="Z36" s="172">
        <v>146</v>
      </c>
      <c r="AA36" s="211">
        <v>196</v>
      </c>
      <c r="AB36" s="170">
        <v>173</v>
      </c>
      <c r="AC36" s="170">
        <v>172</v>
      </c>
      <c r="AD36" s="170">
        <v>225</v>
      </c>
      <c r="AE36" s="207">
        <v>74</v>
      </c>
      <c r="AF36" s="244"/>
      <c r="AG36" s="170"/>
      <c r="AH36" s="170"/>
      <c r="AI36" s="170"/>
      <c r="AJ36" s="207"/>
      <c r="AK36" s="208"/>
      <c r="AL36" s="204"/>
      <c r="AM36" s="174">
        <f t="shared" si="14"/>
        <v>4495</v>
      </c>
    </row>
    <row r="37" spans="1:39" ht="15" thickBot="1" x14ac:dyDescent="0.4">
      <c r="A37" s="136" t="s">
        <v>0</v>
      </c>
      <c r="B37" s="216">
        <f t="shared" si="15"/>
        <v>44274</v>
      </c>
      <c r="C37" s="245">
        <v>256</v>
      </c>
      <c r="D37" s="246">
        <v>283</v>
      </c>
      <c r="E37" s="170">
        <v>170</v>
      </c>
      <c r="F37" s="170">
        <v>357</v>
      </c>
      <c r="G37" s="170">
        <v>272</v>
      </c>
      <c r="H37" s="170">
        <v>160</v>
      </c>
      <c r="I37" s="207">
        <v>664</v>
      </c>
      <c r="J37" s="211">
        <v>221</v>
      </c>
      <c r="K37" s="170">
        <v>95</v>
      </c>
      <c r="L37" s="207">
        <v>204</v>
      </c>
      <c r="M37" s="211">
        <v>178</v>
      </c>
      <c r="N37" s="170">
        <v>89</v>
      </c>
      <c r="O37" s="170">
        <v>68</v>
      </c>
      <c r="P37" s="170">
        <v>59</v>
      </c>
      <c r="Q37" s="172">
        <v>38</v>
      </c>
      <c r="R37" s="170">
        <v>61</v>
      </c>
      <c r="S37" s="207">
        <v>30</v>
      </c>
      <c r="T37" s="244">
        <v>140</v>
      </c>
      <c r="U37" s="195">
        <v>158</v>
      </c>
      <c r="V37" s="195">
        <v>414</v>
      </c>
      <c r="W37" s="195">
        <v>302</v>
      </c>
      <c r="X37" s="195">
        <v>138</v>
      </c>
      <c r="Y37" s="203">
        <v>295</v>
      </c>
      <c r="Z37" s="203">
        <v>219</v>
      </c>
      <c r="AA37" s="208">
        <v>229</v>
      </c>
      <c r="AB37" s="170">
        <v>202</v>
      </c>
      <c r="AC37" s="170">
        <v>170</v>
      </c>
      <c r="AD37" s="170">
        <v>284</v>
      </c>
      <c r="AE37" s="207">
        <v>92</v>
      </c>
      <c r="AF37" s="217"/>
      <c r="AG37" s="195"/>
      <c r="AH37" s="195"/>
      <c r="AI37" s="195"/>
      <c r="AJ37" s="204"/>
      <c r="AK37" s="208"/>
      <c r="AL37" s="204"/>
      <c r="AM37" s="174">
        <f>SUM(C37:AL37)</f>
        <v>5848</v>
      </c>
    </row>
    <row r="38" spans="1:39" ht="15" thickBot="1" x14ac:dyDescent="0.4">
      <c r="A38" s="136" t="s">
        <v>1</v>
      </c>
      <c r="B38" s="216">
        <f t="shared" si="15"/>
        <v>44275</v>
      </c>
      <c r="C38" s="245">
        <v>692</v>
      </c>
      <c r="D38" s="246">
        <v>843</v>
      </c>
      <c r="E38" s="170">
        <v>323</v>
      </c>
      <c r="F38" s="170">
        <v>715</v>
      </c>
      <c r="G38" s="170">
        <v>399</v>
      </c>
      <c r="H38" s="170">
        <v>649</v>
      </c>
      <c r="I38" s="207">
        <v>1072</v>
      </c>
      <c r="J38" s="211">
        <v>282</v>
      </c>
      <c r="K38" s="170">
        <v>112</v>
      </c>
      <c r="L38" s="207">
        <v>336</v>
      </c>
      <c r="M38" s="211">
        <v>548</v>
      </c>
      <c r="N38" s="170">
        <v>375</v>
      </c>
      <c r="O38" s="170">
        <v>224</v>
      </c>
      <c r="P38" s="170">
        <v>143</v>
      </c>
      <c r="Q38" s="172">
        <v>88</v>
      </c>
      <c r="R38" s="170">
        <v>312</v>
      </c>
      <c r="S38" s="207">
        <v>148</v>
      </c>
      <c r="T38" s="244">
        <v>393</v>
      </c>
      <c r="U38" s="195">
        <v>221</v>
      </c>
      <c r="V38" s="195">
        <v>532</v>
      </c>
      <c r="W38" s="195">
        <v>619</v>
      </c>
      <c r="X38" s="195">
        <v>404</v>
      </c>
      <c r="Y38" s="203">
        <v>607</v>
      </c>
      <c r="Z38" s="203">
        <v>585</v>
      </c>
      <c r="AA38" s="208">
        <v>219</v>
      </c>
      <c r="AB38" s="170">
        <v>150</v>
      </c>
      <c r="AC38" s="195">
        <v>260</v>
      </c>
      <c r="AD38" s="195">
        <v>245</v>
      </c>
      <c r="AE38" s="204">
        <v>131</v>
      </c>
      <c r="AF38" s="217"/>
      <c r="AG38" s="195"/>
      <c r="AH38" s="195"/>
      <c r="AI38" s="195"/>
      <c r="AJ38" s="204"/>
      <c r="AK38" s="208"/>
      <c r="AL38" s="204"/>
      <c r="AM38" s="174">
        <f t="shared" si="14"/>
        <v>11627</v>
      </c>
    </row>
    <row r="39" spans="1:39" ht="15" thickBot="1" x14ac:dyDescent="0.4">
      <c r="A39" s="136" t="s">
        <v>2</v>
      </c>
      <c r="B39" s="216">
        <f t="shared" si="15"/>
        <v>44276</v>
      </c>
      <c r="C39" s="245">
        <v>672</v>
      </c>
      <c r="D39" s="246">
        <v>836</v>
      </c>
      <c r="E39" s="170">
        <v>289</v>
      </c>
      <c r="F39" s="170">
        <v>770</v>
      </c>
      <c r="G39" s="170">
        <v>383</v>
      </c>
      <c r="H39" s="170">
        <v>680</v>
      </c>
      <c r="I39" s="207">
        <v>1016</v>
      </c>
      <c r="J39" s="211">
        <v>303</v>
      </c>
      <c r="K39" s="170">
        <v>106</v>
      </c>
      <c r="L39" s="207">
        <v>343</v>
      </c>
      <c r="M39" s="211">
        <v>526</v>
      </c>
      <c r="N39" s="170">
        <v>390</v>
      </c>
      <c r="O39" s="170">
        <v>260</v>
      </c>
      <c r="P39" s="170">
        <v>201</v>
      </c>
      <c r="Q39" s="172">
        <v>160</v>
      </c>
      <c r="R39" s="170">
        <v>385</v>
      </c>
      <c r="S39" s="207">
        <v>182</v>
      </c>
      <c r="T39" s="244">
        <v>479</v>
      </c>
      <c r="U39" s="170">
        <v>209</v>
      </c>
      <c r="V39" s="170">
        <v>542</v>
      </c>
      <c r="W39" s="170">
        <v>765</v>
      </c>
      <c r="X39" s="170">
        <v>453</v>
      </c>
      <c r="Y39" s="172">
        <v>678</v>
      </c>
      <c r="Z39" s="172">
        <v>666</v>
      </c>
      <c r="AA39" s="211">
        <v>295</v>
      </c>
      <c r="AB39" s="170">
        <v>195</v>
      </c>
      <c r="AC39" s="170">
        <v>331</v>
      </c>
      <c r="AD39" s="170">
        <v>281</v>
      </c>
      <c r="AE39" s="207">
        <v>195</v>
      </c>
      <c r="AF39" s="244"/>
      <c r="AG39" s="170"/>
      <c r="AH39" s="170"/>
      <c r="AI39" s="170"/>
      <c r="AJ39" s="207"/>
      <c r="AK39" s="211"/>
      <c r="AL39" s="207"/>
      <c r="AM39" s="174">
        <f t="shared" si="14"/>
        <v>12591</v>
      </c>
    </row>
    <row r="40" spans="1:39" ht="15" thickBot="1" x14ac:dyDescent="0.4">
      <c r="A40" s="144" t="s">
        <v>19</v>
      </c>
      <c r="B40" s="701" t="s">
        <v>24</v>
      </c>
      <c r="C40" s="209">
        <f>SUM(C33:C39)</f>
        <v>2522</v>
      </c>
      <c r="D40" s="209">
        <f t="shared" ref="D40:AL40" si="16">SUM(D33:D39)</f>
        <v>2731</v>
      </c>
      <c r="E40" s="209">
        <f t="shared" si="16"/>
        <v>1338</v>
      </c>
      <c r="F40" s="209">
        <f t="shared" si="16"/>
        <v>3082</v>
      </c>
      <c r="G40" s="209">
        <f t="shared" si="16"/>
        <v>2099</v>
      </c>
      <c r="H40" s="209">
        <f t="shared" si="16"/>
        <v>2230</v>
      </c>
      <c r="I40" s="209">
        <f t="shared" si="16"/>
        <v>5081</v>
      </c>
      <c r="J40" s="209">
        <f t="shared" si="16"/>
        <v>1636</v>
      </c>
      <c r="K40" s="209">
        <f t="shared" si="16"/>
        <v>648</v>
      </c>
      <c r="L40" s="209">
        <f t="shared" si="16"/>
        <v>1567</v>
      </c>
      <c r="M40" s="209">
        <f t="shared" si="16"/>
        <v>1880</v>
      </c>
      <c r="N40" s="209">
        <f t="shared" si="16"/>
        <v>1030</v>
      </c>
      <c r="O40" s="209">
        <f t="shared" si="16"/>
        <v>836</v>
      </c>
      <c r="P40" s="209">
        <f t="shared" si="16"/>
        <v>587</v>
      </c>
      <c r="Q40" s="209">
        <f t="shared" si="16"/>
        <v>438</v>
      </c>
      <c r="R40" s="209">
        <f t="shared" si="16"/>
        <v>942</v>
      </c>
      <c r="S40" s="209">
        <f t="shared" si="16"/>
        <v>433</v>
      </c>
      <c r="T40" s="209">
        <f t="shared" si="16"/>
        <v>1618</v>
      </c>
      <c r="U40" s="209">
        <f t="shared" si="16"/>
        <v>1239</v>
      </c>
      <c r="V40" s="209">
        <f t="shared" si="16"/>
        <v>3157</v>
      </c>
      <c r="W40" s="209">
        <f t="shared" si="16"/>
        <v>2909</v>
      </c>
      <c r="X40" s="209">
        <f t="shared" si="16"/>
        <v>1592</v>
      </c>
      <c r="Y40" s="209">
        <f t="shared" si="16"/>
        <v>2675</v>
      </c>
      <c r="Z40" s="209">
        <f>SUM(Z33:Z39)</f>
        <v>2189</v>
      </c>
      <c r="AA40" s="209">
        <f t="shared" si="16"/>
        <v>1568</v>
      </c>
      <c r="AB40" s="209">
        <f t="shared" si="16"/>
        <v>1363</v>
      </c>
      <c r="AC40" s="209">
        <f t="shared" si="16"/>
        <v>1600</v>
      </c>
      <c r="AD40" s="209">
        <f t="shared" si="16"/>
        <v>1771</v>
      </c>
      <c r="AE40" s="209">
        <f>SUM(AE33:AE39)</f>
        <v>744</v>
      </c>
      <c r="AF40" s="209">
        <f t="shared" si="16"/>
        <v>0</v>
      </c>
      <c r="AG40" s="209">
        <f t="shared" si="16"/>
        <v>0</v>
      </c>
      <c r="AH40" s="209">
        <f t="shared" si="16"/>
        <v>0</v>
      </c>
      <c r="AI40" s="209">
        <f t="shared" si="16"/>
        <v>0</v>
      </c>
      <c r="AJ40" s="209">
        <f t="shared" si="16"/>
        <v>0</v>
      </c>
      <c r="AK40" s="209">
        <f t="shared" si="16"/>
        <v>0</v>
      </c>
      <c r="AL40" s="209">
        <f t="shared" si="16"/>
        <v>0</v>
      </c>
      <c r="AM40" s="209">
        <f>SUM(AM33:AM39)</f>
        <v>51505</v>
      </c>
    </row>
    <row r="41" spans="1:39" ht="15" thickBot="1" x14ac:dyDescent="0.4">
      <c r="A41" s="101" t="s">
        <v>21</v>
      </c>
      <c r="B41" s="701"/>
      <c r="C41" s="209">
        <f>AVERAGE(C33:C39)</f>
        <v>360.28571428571428</v>
      </c>
      <c r="D41" s="209">
        <f t="shared" ref="D41:AM41" si="17">AVERAGE(D33:D39)</f>
        <v>390.14285714285717</v>
      </c>
      <c r="E41" s="209">
        <f t="shared" si="17"/>
        <v>191.14285714285714</v>
      </c>
      <c r="F41" s="209">
        <f t="shared" si="17"/>
        <v>440.28571428571428</v>
      </c>
      <c r="G41" s="209">
        <f t="shared" si="17"/>
        <v>299.85714285714283</v>
      </c>
      <c r="H41" s="209">
        <f t="shared" si="17"/>
        <v>318.57142857142856</v>
      </c>
      <c r="I41" s="209">
        <f t="shared" si="17"/>
        <v>725.85714285714289</v>
      </c>
      <c r="J41" s="209">
        <f t="shared" si="17"/>
        <v>233.71428571428572</v>
      </c>
      <c r="K41" s="209">
        <f t="shared" si="17"/>
        <v>92.571428571428569</v>
      </c>
      <c r="L41" s="209">
        <f t="shared" si="17"/>
        <v>223.85714285714286</v>
      </c>
      <c r="M41" s="209">
        <f t="shared" si="17"/>
        <v>268.57142857142856</v>
      </c>
      <c r="N41" s="209">
        <f t="shared" si="17"/>
        <v>147.14285714285714</v>
      </c>
      <c r="O41" s="209">
        <f t="shared" si="17"/>
        <v>119.42857142857143</v>
      </c>
      <c r="P41" s="209">
        <f t="shared" si="17"/>
        <v>83.857142857142861</v>
      </c>
      <c r="Q41" s="209">
        <f t="shared" si="17"/>
        <v>62.571428571428569</v>
      </c>
      <c r="R41" s="209">
        <f t="shared" si="17"/>
        <v>134.57142857142858</v>
      </c>
      <c r="S41" s="209">
        <f t="shared" si="17"/>
        <v>61.857142857142854</v>
      </c>
      <c r="T41" s="209">
        <f t="shared" si="17"/>
        <v>231.14285714285714</v>
      </c>
      <c r="U41" s="209">
        <f t="shared" si="17"/>
        <v>177</v>
      </c>
      <c r="V41" s="209">
        <f t="shared" si="17"/>
        <v>451</v>
      </c>
      <c r="W41" s="209">
        <f t="shared" si="17"/>
        <v>415.57142857142856</v>
      </c>
      <c r="X41" s="209">
        <f t="shared" si="17"/>
        <v>227.42857142857142</v>
      </c>
      <c r="Y41" s="209">
        <f t="shared" si="17"/>
        <v>382.14285714285717</v>
      </c>
      <c r="Z41" s="209">
        <f t="shared" si="17"/>
        <v>312.71428571428572</v>
      </c>
      <c r="AA41" s="209">
        <f t="shared" si="17"/>
        <v>224</v>
      </c>
      <c r="AB41" s="209">
        <f t="shared" si="17"/>
        <v>194.71428571428572</v>
      </c>
      <c r="AC41" s="209">
        <f t="shared" si="17"/>
        <v>228.57142857142858</v>
      </c>
      <c r="AD41" s="209">
        <f t="shared" si="17"/>
        <v>253</v>
      </c>
      <c r="AE41" s="209">
        <f t="shared" si="17"/>
        <v>106.28571428571429</v>
      </c>
      <c r="AF41" s="209" t="e">
        <f t="shared" si="17"/>
        <v>#DIV/0!</v>
      </c>
      <c r="AG41" s="209" t="e">
        <f t="shared" si="17"/>
        <v>#DIV/0!</v>
      </c>
      <c r="AH41" s="209" t="e">
        <f t="shared" si="17"/>
        <v>#DIV/0!</v>
      </c>
      <c r="AI41" s="209" t="e">
        <f t="shared" si="17"/>
        <v>#DIV/0!</v>
      </c>
      <c r="AJ41" s="209" t="e">
        <f t="shared" si="17"/>
        <v>#DIV/0!</v>
      </c>
      <c r="AK41" s="209" t="e">
        <f t="shared" si="17"/>
        <v>#DIV/0!</v>
      </c>
      <c r="AL41" s="209" t="e">
        <f t="shared" si="17"/>
        <v>#DIV/0!</v>
      </c>
      <c r="AM41" s="209">
        <f t="shared" si="17"/>
        <v>7357.8571428571431</v>
      </c>
    </row>
    <row r="42" spans="1:39" ht="15" thickBot="1" x14ac:dyDescent="0.4">
      <c r="A42" s="26" t="s">
        <v>18</v>
      </c>
      <c r="B42" s="701"/>
      <c r="C42" s="210">
        <f>SUM(C33:C37)</f>
        <v>1158</v>
      </c>
      <c r="D42" s="210">
        <f>SUM(D33:D37)</f>
        <v>1052</v>
      </c>
      <c r="E42" s="210">
        <f>SUM(E33:E37)</f>
        <v>726</v>
      </c>
      <c r="F42" s="210">
        <f>SUM(F33:F37)</f>
        <v>1597</v>
      </c>
      <c r="G42" s="210">
        <f t="shared" ref="G42:AL42" si="18">SUM(G33:G37)</f>
        <v>1317</v>
      </c>
      <c r="H42" s="210">
        <f t="shared" si="18"/>
        <v>901</v>
      </c>
      <c r="I42" s="210">
        <f t="shared" si="18"/>
        <v>2993</v>
      </c>
      <c r="J42" s="210">
        <f t="shared" si="18"/>
        <v>1051</v>
      </c>
      <c r="K42" s="210">
        <f t="shared" si="18"/>
        <v>430</v>
      </c>
      <c r="L42" s="210">
        <f t="shared" si="18"/>
        <v>888</v>
      </c>
      <c r="M42" s="210">
        <f t="shared" si="18"/>
        <v>806</v>
      </c>
      <c r="N42" s="210">
        <f t="shared" si="18"/>
        <v>265</v>
      </c>
      <c r="O42" s="210">
        <f t="shared" si="18"/>
        <v>352</v>
      </c>
      <c r="P42" s="210">
        <f t="shared" si="18"/>
        <v>243</v>
      </c>
      <c r="Q42" s="210">
        <f t="shared" si="18"/>
        <v>190</v>
      </c>
      <c r="R42" s="210">
        <f t="shared" si="18"/>
        <v>245</v>
      </c>
      <c r="S42" s="210">
        <f t="shared" si="18"/>
        <v>103</v>
      </c>
      <c r="T42" s="210">
        <f t="shared" si="18"/>
        <v>746</v>
      </c>
      <c r="U42" s="210">
        <f t="shared" si="18"/>
        <v>809</v>
      </c>
      <c r="V42" s="210">
        <f t="shared" si="18"/>
        <v>2083</v>
      </c>
      <c r="W42" s="210">
        <f t="shared" si="18"/>
        <v>1525</v>
      </c>
      <c r="X42" s="210">
        <f t="shared" si="18"/>
        <v>735</v>
      </c>
      <c r="Y42" s="210">
        <f t="shared" si="18"/>
        <v>1390</v>
      </c>
      <c r="Z42" s="210">
        <f>SUM(Z33:Z37)</f>
        <v>938</v>
      </c>
      <c r="AA42" s="210">
        <f t="shared" si="18"/>
        <v>1054</v>
      </c>
      <c r="AB42" s="210">
        <f t="shared" si="18"/>
        <v>1018</v>
      </c>
      <c r="AC42" s="210">
        <f t="shared" si="18"/>
        <v>1009</v>
      </c>
      <c r="AD42" s="210">
        <f t="shared" si="18"/>
        <v>1245</v>
      </c>
      <c r="AE42" s="210">
        <f>SUM(AE33:AE37)</f>
        <v>418</v>
      </c>
      <c r="AF42" s="210">
        <f t="shared" si="18"/>
        <v>0</v>
      </c>
      <c r="AG42" s="210">
        <f t="shared" si="18"/>
        <v>0</v>
      </c>
      <c r="AH42" s="210">
        <f t="shared" si="18"/>
        <v>0</v>
      </c>
      <c r="AI42" s="210">
        <f t="shared" si="18"/>
        <v>0</v>
      </c>
      <c r="AJ42" s="210">
        <f t="shared" si="18"/>
        <v>0</v>
      </c>
      <c r="AK42" s="210">
        <f t="shared" si="18"/>
        <v>0</v>
      </c>
      <c r="AL42" s="210">
        <f t="shared" si="18"/>
        <v>0</v>
      </c>
      <c r="AM42" s="210">
        <f>SUM(AM33:AM37)</f>
        <v>27287</v>
      </c>
    </row>
    <row r="43" spans="1:39" ht="15" thickBot="1" x14ac:dyDescent="0.4">
      <c r="A43" s="26" t="s">
        <v>20</v>
      </c>
      <c r="B43" s="701"/>
      <c r="C43" s="210">
        <f>AVERAGE(C33:C37)</f>
        <v>231.6</v>
      </c>
      <c r="D43" s="210">
        <f t="shared" ref="D43:AM43" si="19">AVERAGE(D33:D37)</f>
        <v>210.4</v>
      </c>
      <c r="E43" s="210">
        <f t="shared" si="19"/>
        <v>145.19999999999999</v>
      </c>
      <c r="F43" s="210">
        <f t="shared" si="19"/>
        <v>319.39999999999998</v>
      </c>
      <c r="G43" s="210">
        <f t="shared" si="19"/>
        <v>263.39999999999998</v>
      </c>
      <c r="H43" s="210">
        <f t="shared" si="19"/>
        <v>180.2</v>
      </c>
      <c r="I43" s="210">
        <f t="shared" si="19"/>
        <v>598.6</v>
      </c>
      <c r="J43" s="210">
        <f t="shared" si="19"/>
        <v>210.2</v>
      </c>
      <c r="K43" s="210">
        <f t="shared" si="19"/>
        <v>86</v>
      </c>
      <c r="L43" s="210">
        <f t="shared" si="19"/>
        <v>177.6</v>
      </c>
      <c r="M43" s="210">
        <f t="shared" si="19"/>
        <v>161.19999999999999</v>
      </c>
      <c r="N43" s="210">
        <f t="shared" si="19"/>
        <v>53</v>
      </c>
      <c r="O43" s="210">
        <f t="shared" si="19"/>
        <v>70.400000000000006</v>
      </c>
      <c r="P43" s="210">
        <f t="shared" si="19"/>
        <v>48.6</v>
      </c>
      <c r="Q43" s="210">
        <f t="shared" si="19"/>
        <v>38</v>
      </c>
      <c r="R43" s="210">
        <f t="shared" si="19"/>
        <v>49</v>
      </c>
      <c r="S43" s="210">
        <f t="shared" si="19"/>
        <v>20.6</v>
      </c>
      <c r="T43" s="210">
        <f t="shared" si="19"/>
        <v>149.19999999999999</v>
      </c>
      <c r="U43" s="210">
        <f t="shared" si="19"/>
        <v>161.80000000000001</v>
      </c>
      <c r="V43" s="210">
        <f t="shared" si="19"/>
        <v>416.6</v>
      </c>
      <c r="W43" s="210">
        <f t="shared" si="19"/>
        <v>305</v>
      </c>
      <c r="X43" s="210">
        <f t="shared" si="19"/>
        <v>147</v>
      </c>
      <c r="Y43" s="210">
        <f t="shared" si="19"/>
        <v>278</v>
      </c>
      <c r="Z43" s="210">
        <f t="shared" si="19"/>
        <v>187.6</v>
      </c>
      <c r="AA43" s="210">
        <f t="shared" si="19"/>
        <v>210.8</v>
      </c>
      <c r="AB43" s="210">
        <f t="shared" si="19"/>
        <v>203.6</v>
      </c>
      <c r="AC43" s="210">
        <f t="shared" si="19"/>
        <v>201.8</v>
      </c>
      <c r="AD43" s="210">
        <f t="shared" si="19"/>
        <v>249</v>
      </c>
      <c r="AE43" s="210">
        <f t="shared" si="19"/>
        <v>83.6</v>
      </c>
      <c r="AF43" s="210" t="e">
        <f t="shared" si="19"/>
        <v>#DIV/0!</v>
      </c>
      <c r="AG43" s="210" t="e">
        <f t="shared" si="19"/>
        <v>#DIV/0!</v>
      </c>
      <c r="AH43" s="210" t="e">
        <f t="shared" si="19"/>
        <v>#DIV/0!</v>
      </c>
      <c r="AI43" s="210" t="e">
        <f t="shared" si="19"/>
        <v>#DIV/0!</v>
      </c>
      <c r="AJ43" s="210" t="e">
        <f t="shared" si="19"/>
        <v>#DIV/0!</v>
      </c>
      <c r="AK43" s="210" t="e">
        <f t="shared" si="19"/>
        <v>#DIV/0!</v>
      </c>
      <c r="AL43" s="210" t="e">
        <f t="shared" si="19"/>
        <v>#DIV/0!</v>
      </c>
      <c r="AM43" s="210">
        <f t="shared" si="19"/>
        <v>5457.4</v>
      </c>
    </row>
    <row r="44" spans="1:39" ht="15" thickBot="1" x14ac:dyDescent="0.4">
      <c r="A44" s="136" t="s">
        <v>3</v>
      </c>
      <c r="B44" s="216">
        <f>B39+1</f>
        <v>44277</v>
      </c>
      <c r="C44" s="245">
        <v>415</v>
      </c>
      <c r="D44" s="195">
        <v>386</v>
      </c>
      <c r="E44" s="195">
        <v>206</v>
      </c>
      <c r="F44" s="195">
        <v>439</v>
      </c>
      <c r="G44" s="246">
        <v>346</v>
      </c>
      <c r="H44" s="195">
        <v>313</v>
      </c>
      <c r="I44" s="204">
        <v>802</v>
      </c>
      <c r="J44" s="208">
        <v>269</v>
      </c>
      <c r="K44" s="195">
        <v>140</v>
      </c>
      <c r="L44" s="204">
        <v>230</v>
      </c>
      <c r="M44" s="208">
        <v>293</v>
      </c>
      <c r="N44" s="195">
        <v>147</v>
      </c>
      <c r="O44" s="195">
        <v>134</v>
      </c>
      <c r="P44" s="195">
        <v>82</v>
      </c>
      <c r="Q44" s="203">
        <v>64</v>
      </c>
      <c r="R44" s="195">
        <v>139</v>
      </c>
      <c r="S44" s="204">
        <v>46</v>
      </c>
      <c r="T44" s="217">
        <v>226</v>
      </c>
      <c r="U44" s="195">
        <v>217</v>
      </c>
      <c r="V44" s="195">
        <v>582</v>
      </c>
      <c r="W44" s="195">
        <v>465</v>
      </c>
      <c r="X44" s="195">
        <v>271</v>
      </c>
      <c r="Y44" s="203">
        <v>364</v>
      </c>
      <c r="Z44" s="203">
        <v>294</v>
      </c>
      <c r="AA44" s="208">
        <v>308</v>
      </c>
      <c r="AB44" s="170">
        <v>233</v>
      </c>
      <c r="AC44" s="195">
        <v>287</v>
      </c>
      <c r="AD44" s="195">
        <v>351</v>
      </c>
      <c r="AE44" s="204">
        <v>128</v>
      </c>
      <c r="AF44" s="217"/>
      <c r="AG44" s="195"/>
      <c r="AH44" s="195"/>
      <c r="AI44" s="195"/>
      <c r="AJ44" s="204"/>
      <c r="AK44" s="208"/>
      <c r="AL44" s="204"/>
      <c r="AM44" s="174">
        <f t="shared" ref="AM44:AM49" si="20">SUM(C44:AL44)</f>
        <v>8177</v>
      </c>
    </row>
    <row r="45" spans="1:39" ht="15" thickBot="1" x14ac:dyDescent="0.4">
      <c r="A45" s="136" t="s">
        <v>4</v>
      </c>
      <c r="B45" s="216">
        <f t="shared" ref="B45:B50" si="21">B44+1</f>
        <v>44278</v>
      </c>
      <c r="C45" s="245">
        <v>423</v>
      </c>
      <c r="D45" s="195">
        <v>471</v>
      </c>
      <c r="E45" s="195">
        <v>195</v>
      </c>
      <c r="F45" s="195">
        <v>550</v>
      </c>
      <c r="G45" s="246">
        <v>357</v>
      </c>
      <c r="H45" s="195">
        <v>400</v>
      </c>
      <c r="I45" s="204">
        <v>888</v>
      </c>
      <c r="J45" s="208">
        <v>343</v>
      </c>
      <c r="K45" s="195">
        <v>126</v>
      </c>
      <c r="L45" s="204">
        <v>317</v>
      </c>
      <c r="M45" s="208">
        <v>280</v>
      </c>
      <c r="N45" s="195">
        <v>128</v>
      </c>
      <c r="O45" s="195">
        <v>128</v>
      </c>
      <c r="P45" s="195">
        <v>75</v>
      </c>
      <c r="Q45" s="203">
        <v>50</v>
      </c>
      <c r="R45" s="195">
        <v>115</v>
      </c>
      <c r="S45" s="204">
        <v>60</v>
      </c>
      <c r="T45" s="217">
        <v>283</v>
      </c>
      <c r="U45" s="195">
        <v>224</v>
      </c>
      <c r="V45" s="195">
        <v>609</v>
      </c>
      <c r="W45" s="195">
        <v>490</v>
      </c>
      <c r="X45" s="195">
        <v>233</v>
      </c>
      <c r="Y45" s="203">
        <v>394</v>
      </c>
      <c r="Z45" s="203">
        <v>303</v>
      </c>
      <c r="AA45" s="208">
        <v>324</v>
      </c>
      <c r="AB45" s="170">
        <v>282</v>
      </c>
      <c r="AC45" s="195">
        <v>271</v>
      </c>
      <c r="AD45" s="195">
        <v>333</v>
      </c>
      <c r="AE45" s="204">
        <v>122</v>
      </c>
      <c r="AF45" s="217"/>
      <c r="AG45" s="195"/>
      <c r="AH45" s="195"/>
      <c r="AI45" s="195"/>
      <c r="AJ45" s="204"/>
      <c r="AK45" s="208"/>
      <c r="AL45" s="204"/>
      <c r="AM45" s="174">
        <f t="shared" si="20"/>
        <v>8774</v>
      </c>
    </row>
    <row r="46" spans="1:39" ht="15" thickBot="1" x14ac:dyDescent="0.4">
      <c r="A46" s="136" t="s">
        <v>5</v>
      </c>
      <c r="B46" s="216">
        <f t="shared" si="21"/>
        <v>44279</v>
      </c>
      <c r="C46" s="245">
        <v>231</v>
      </c>
      <c r="D46" s="195">
        <v>145</v>
      </c>
      <c r="E46" s="195">
        <v>161</v>
      </c>
      <c r="F46" s="195">
        <v>306</v>
      </c>
      <c r="G46" s="246">
        <v>267</v>
      </c>
      <c r="H46" s="195">
        <v>216</v>
      </c>
      <c r="I46" s="204">
        <v>624</v>
      </c>
      <c r="J46" s="208">
        <v>235</v>
      </c>
      <c r="K46" s="195">
        <v>99</v>
      </c>
      <c r="L46" s="204">
        <v>193</v>
      </c>
      <c r="M46" s="208">
        <v>160</v>
      </c>
      <c r="N46" s="195">
        <v>46</v>
      </c>
      <c r="O46" s="195">
        <v>87</v>
      </c>
      <c r="P46" s="195">
        <v>48</v>
      </c>
      <c r="Q46" s="203">
        <v>39</v>
      </c>
      <c r="R46" s="195">
        <v>48</v>
      </c>
      <c r="S46" s="204">
        <v>21</v>
      </c>
      <c r="T46" s="217">
        <v>159</v>
      </c>
      <c r="U46" s="195">
        <v>161</v>
      </c>
      <c r="V46" s="195">
        <v>390</v>
      </c>
      <c r="W46" s="195">
        <v>297</v>
      </c>
      <c r="X46" s="195">
        <v>151</v>
      </c>
      <c r="Y46" s="203">
        <v>299</v>
      </c>
      <c r="Z46" s="203">
        <v>157</v>
      </c>
      <c r="AA46" s="208">
        <v>218</v>
      </c>
      <c r="AB46" s="170">
        <v>226</v>
      </c>
      <c r="AC46" s="195">
        <v>208</v>
      </c>
      <c r="AD46" s="195">
        <v>275</v>
      </c>
      <c r="AE46" s="204">
        <v>78</v>
      </c>
      <c r="AF46" s="217"/>
      <c r="AG46" s="195"/>
      <c r="AH46" s="195"/>
      <c r="AI46" s="195"/>
      <c r="AJ46" s="204"/>
      <c r="AK46" s="208"/>
      <c r="AL46" s="204"/>
      <c r="AM46" s="174">
        <f t="shared" si="20"/>
        <v>5545</v>
      </c>
    </row>
    <row r="47" spans="1:39" ht="15" thickBot="1" x14ac:dyDescent="0.4">
      <c r="A47" s="136" t="s">
        <v>6</v>
      </c>
      <c r="B47" s="216">
        <f t="shared" si="21"/>
        <v>44280</v>
      </c>
      <c r="C47" s="245">
        <v>389</v>
      </c>
      <c r="D47" s="195">
        <v>434</v>
      </c>
      <c r="E47" s="195">
        <v>228</v>
      </c>
      <c r="F47" s="195">
        <v>547</v>
      </c>
      <c r="G47" s="246">
        <v>379</v>
      </c>
      <c r="H47" s="195">
        <v>381</v>
      </c>
      <c r="I47" s="204">
        <v>866</v>
      </c>
      <c r="J47" s="208">
        <v>285</v>
      </c>
      <c r="K47" s="195">
        <v>110</v>
      </c>
      <c r="L47" s="204">
        <v>232</v>
      </c>
      <c r="M47" s="208">
        <v>277</v>
      </c>
      <c r="N47" s="195">
        <v>93</v>
      </c>
      <c r="O47" s="195">
        <v>158</v>
      </c>
      <c r="P47" s="195">
        <v>82</v>
      </c>
      <c r="Q47" s="203">
        <v>59</v>
      </c>
      <c r="R47" s="195">
        <v>142</v>
      </c>
      <c r="S47" s="204">
        <v>57</v>
      </c>
      <c r="T47" s="217">
        <v>237</v>
      </c>
      <c r="U47" s="195">
        <v>228</v>
      </c>
      <c r="V47" s="195">
        <v>635</v>
      </c>
      <c r="W47" s="195">
        <v>472</v>
      </c>
      <c r="X47" s="195">
        <v>223</v>
      </c>
      <c r="Y47" s="203">
        <v>447</v>
      </c>
      <c r="Z47" s="203">
        <v>316</v>
      </c>
      <c r="AA47" s="208">
        <v>328</v>
      </c>
      <c r="AB47" s="170">
        <v>277</v>
      </c>
      <c r="AC47" s="195">
        <v>333</v>
      </c>
      <c r="AD47" s="195">
        <v>385</v>
      </c>
      <c r="AE47" s="204">
        <v>174</v>
      </c>
      <c r="AF47" s="217"/>
      <c r="AG47" s="195"/>
      <c r="AH47" s="195"/>
      <c r="AI47" s="195"/>
      <c r="AJ47" s="204"/>
      <c r="AK47" s="208"/>
      <c r="AL47" s="204"/>
      <c r="AM47" s="174">
        <f t="shared" si="20"/>
        <v>8774</v>
      </c>
    </row>
    <row r="48" spans="1:39" ht="15" thickBot="1" x14ac:dyDescent="0.4">
      <c r="A48" s="136" t="s">
        <v>0</v>
      </c>
      <c r="B48" s="216">
        <f t="shared" si="21"/>
        <v>44281</v>
      </c>
      <c r="C48" s="245">
        <v>432</v>
      </c>
      <c r="D48" s="195">
        <v>488</v>
      </c>
      <c r="E48" s="195">
        <v>193</v>
      </c>
      <c r="F48" s="195">
        <v>526</v>
      </c>
      <c r="G48" s="246">
        <v>303</v>
      </c>
      <c r="H48" s="195">
        <v>369</v>
      </c>
      <c r="I48" s="204">
        <v>924</v>
      </c>
      <c r="J48" s="208">
        <v>326</v>
      </c>
      <c r="K48" s="195">
        <v>122</v>
      </c>
      <c r="L48" s="204">
        <v>271</v>
      </c>
      <c r="M48" s="208">
        <v>297</v>
      </c>
      <c r="N48" s="195">
        <v>163</v>
      </c>
      <c r="O48" s="195">
        <v>138</v>
      </c>
      <c r="P48" s="195">
        <v>83</v>
      </c>
      <c r="Q48" s="203">
        <v>88</v>
      </c>
      <c r="R48" s="195">
        <v>72</v>
      </c>
      <c r="S48" s="204">
        <v>51</v>
      </c>
      <c r="T48" s="217">
        <v>264</v>
      </c>
      <c r="U48" s="195">
        <v>213</v>
      </c>
      <c r="V48" s="195">
        <v>538</v>
      </c>
      <c r="W48" s="195">
        <v>510</v>
      </c>
      <c r="X48" s="195">
        <v>231</v>
      </c>
      <c r="Y48" s="203">
        <v>422</v>
      </c>
      <c r="Z48" s="203">
        <v>315</v>
      </c>
      <c r="AA48" s="208">
        <v>304</v>
      </c>
      <c r="AB48" s="170">
        <v>232</v>
      </c>
      <c r="AC48" s="195">
        <v>328</v>
      </c>
      <c r="AD48" s="195">
        <v>343</v>
      </c>
      <c r="AE48" s="204">
        <v>165</v>
      </c>
      <c r="AF48" s="217"/>
      <c r="AG48" s="195"/>
      <c r="AH48" s="195"/>
      <c r="AI48" s="195"/>
      <c r="AJ48" s="204"/>
      <c r="AK48" s="208"/>
      <c r="AL48" s="204"/>
      <c r="AM48" s="174">
        <f t="shared" si="20"/>
        <v>8711</v>
      </c>
    </row>
    <row r="49" spans="1:39" ht="15" thickBot="1" x14ac:dyDescent="0.4">
      <c r="A49" s="136" t="s">
        <v>1</v>
      </c>
      <c r="B49" s="216">
        <f t="shared" si="21"/>
        <v>44282</v>
      </c>
      <c r="C49" s="245">
        <v>886</v>
      </c>
      <c r="D49" s="195">
        <v>939</v>
      </c>
      <c r="E49" s="195">
        <v>262</v>
      </c>
      <c r="F49" s="195">
        <v>1022</v>
      </c>
      <c r="G49" s="246">
        <v>429</v>
      </c>
      <c r="H49" s="195">
        <v>913</v>
      </c>
      <c r="I49" s="204">
        <v>1249</v>
      </c>
      <c r="J49" s="208">
        <v>605</v>
      </c>
      <c r="K49" s="195">
        <v>218</v>
      </c>
      <c r="L49" s="204">
        <v>683</v>
      </c>
      <c r="M49" s="208">
        <v>588</v>
      </c>
      <c r="N49" s="195">
        <v>379</v>
      </c>
      <c r="O49" s="195">
        <v>333</v>
      </c>
      <c r="P49" s="195">
        <v>219</v>
      </c>
      <c r="Q49" s="203">
        <v>176</v>
      </c>
      <c r="R49" s="195">
        <v>381</v>
      </c>
      <c r="S49" s="204">
        <v>144</v>
      </c>
      <c r="T49" s="217">
        <v>562</v>
      </c>
      <c r="U49" s="195">
        <v>249</v>
      </c>
      <c r="V49" s="195">
        <v>581</v>
      </c>
      <c r="W49" s="195">
        <v>793</v>
      </c>
      <c r="X49" s="195">
        <v>601</v>
      </c>
      <c r="Y49" s="203">
        <v>770</v>
      </c>
      <c r="Z49" s="203">
        <v>864</v>
      </c>
      <c r="AA49" s="208">
        <v>367</v>
      </c>
      <c r="AB49" s="170">
        <v>245</v>
      </c>
      <c r="AC49" s="195">
        <v>402</v>
      </c>
      <c r="AD49" s="195">
        <v>496</v>
      </c>
      <c r="AE49" s="204">
        <v>170</v>
      </c>
      <c r="AF49" s="217"/>
      <c r="AG49" s="195"/>
      <c r="AH49" s="195"/>
      <c r="AI49" s="195"/>
      <c r="AJ49" s="204"/>
      <c r="AK49" s="208"/>
      <c r="AL49" s="204"/>
      <c r="AM49" s="174">
        <f t="shared" si="20"/>
        <v>15526</v>
      </c>
    </row>
    <row r="50" spans="1:39" ht="15" thickBot="1" x14ac:dyDescent="0.4">
      <c r="A50" s="136" t="s">
        <v>2</v>
      </c>
      <c r="B50" s="216">
        <f t="shared" si="21"/>
        <v>44283</v>
      </c>
      <c r="C50" s="245">
        <v>110</v>
      </c>
      <c r="D50" s="195">
        <v>171</v>
      </c>
      <c r="E50" s="195">
        <v>66</v>
      </c>
      <c r="F50" s="195">
        <v>173</v>
      </c>
      <c r="G50" s="246">
        <v>110</v>
      </c>
      <c r="H50" s="195">
        <v>95</v>
      </c>
      <c r="I50" s="204">
        <v>246</v>
      </c>
      <c r="J50" s="208">
        <v>72</v>
      </c>
      <c r="K50" s="195">
        <v>38</v>
      </c>
      <c r="L50" s="204">
        <v>89</v>
      </c>
      <c r="M50" s="208">
        <v>106</v>
      </c>
      <c r="N50" s="195">
        <v>40</v>
      </c>
      <c r="O50" s="195">
        <v>44</v>
      </c>
      <c r="P50" s="195">
        <v>27</v>
      </c>
      <c r="Q50" s="203">
        <v>28</v>
      </c>
      <c r="R50" s="195">
        <v>54</v>
      </c>
      <c r="S50" s="204">
        <v>14</v>
      </c>
      <c r="T50" s="217">
        <v>77</v>
      </c>
      <c r="U50" s="195">
        <v>38</v>
      </c>
      <c r="V50" s="195">
        <v>138</v>
      </c>
      <c r="W50" s="195">
        <v>148</v>
      </c>
      <c r="X50" s="195">
        <v>99</v>
      </c>
      <c r="Y50" s="203">
        <v>102</v>
      </c>
      <c r="Z50" s="203">
        <v>109</v>
      </c>
      <c r="AA50" s="208">
        <v>75</v>
      </c>
      <c r="AB50" s="170">
        <v>33</v>
      </c>
      <c r="AC50" s="195">
        <v>42</v>
      </c>
      <c r="AD50" s="195">
        <v>53</v>
      </c>
      <c r="AE50" s="204">
        <v>24</v>
      </c>
      <c r="AF50" s="217"/>
      <c r="AG50" s="195"/>
      <c r="AH50" s="195"/>
      <c r="AI50" s="195"/>
      <c r="AJ50" s="204"/>
      <c r="AK50" s="208"/>
      <c r="AL50" s="204"/>
      <c r="AM50" s="174">
        <f>SUM(C50:AL50)</f>
        <v>2421</v>
      </c>
    </row>
    <row r="51" spans="1:39" ht="15" thickBot="1" x14ac:dyDescent="0.4">
      <c r="A51" s="144" t="s">
        <v>19</v>
      </c>
      <c r="B51" s="701" t="s">
        <v>25</v>
      </c>
      <c r="C51" s="209">
        <f>SUM(C44:C50)</f>
        <v>2886</v>
      </c>
      <c r="D51" s="209">
        <f t="shared" ref="D51:AJ51" si="22">SUM(D44:D50)</f>
        <v>3034</v>
      </c>
      <c r="E51" s="209">
        <f t="shared" si="22"/>
        <v>1311</v>
      </c>
      <c r="F51" s="209">
        <f t="shared" si="22"/>
        <v>3563</v>
      </c>
      <c r="G51" s="209">
        <f t="shared" si="22"/>
        <v>2191</v>
      </c>
      <c r="H51" s="209">
        <f t="shared" si="22"/>
        <v>2687</v>
      </c>
      <c r="I51" s="209">
        <f t="shared" si="22"/>
        <v>5599</v>
      </c>
      <c r="J51" s="209">
        <f t="shared" si="22"/>
        <v>2135</v>
      </c>
      <c r="K51" s="209">
        <f t="shared" si="22"/>
        <v>853</v>
      </c>
      <c r="L51" s="209">
        <f t="shared" si="22"/>
        <v>2015</v>
      </c>
      <c r="M51" s="209">
        <f t="shared" si="22"/>
        <v>2001</v>
      </c>
      <c r="N51" s="209">
        <f>SUM(N44:N50)</f>
        <v>996</v>
      </c>
      <c r="O51" s="209">
        <f t="shared" si="22"/>
        <v>1022</v>
      </c>
      <c r="P51" s="209">
        <f t="shared" si="22"/>
        <v>616</v>
      </c>
      <c r="Q51" s="209">
        <f t="shared" si="22"/>
        <v>504</v>
      </c>
      <c r="R51" s="209">
        <f t="shared" si="22"/>
        <v>951</v>
      </c>
      <c r="S51" s="209">
        <f t="shared" si="22"/>
        <v>393</v>
      </c>
      <c r="T51" s="209">
        <f t="shared" si="22"/>
        <v>1808</v>
      </c>
      <c r="U51" s="209">
        <f t="shared" si="22"/>
        <v>1330</v>
      </c>
      <c r="V51" s="209">
        <f t="shared" si="22"/>
        <v>3473</v>
      </c>
      <c r="W51" s="209">
        <f t="shared" si="22"/>
        <v>3175</v>
      </c>
      <c r="X51" s="209">
        <f t="shared" si="22"/>
        <v>1809</v>
      </c>
      <c r="Y51" s="209">
        <f t="shared" si="22"/>
        <v>2798</v>
      </c>
      <c r="Z51" s="209">
        <f>SUM(Z44:Z50)</f>
        <v>2358</v>
      </c>
      <c r="AA51" s="209">
        <f t="shared" si="22"/>
        <v>1924</v>
      </c>
      <c r="AB51" s="209">
        <f t="shared" si="22"/>
        <v>1528</v>
      </c>
      <c r="AC51" s="209">
        <f t="shared" si="22"/>
        <v>1871</v>
      </c>
      <c r="AD51" s="209">
        <f t="shared" si="22"/>
        <v>2236</v>
      </c>
      <c r="AE51" s="209">
        <f>SUM(AE44:AE50)</f>
        <v>861</v>
      </c>
      <c r="AF51" s="209">
        <f t="shared" si="22"/>
        <v>0</v>
      </c>
      <c r="AG51" s="209">
        <f t="shared" si="22"/>
        <v>0</v>
      </c>
      <c r="AH51" s="209">
        <f t="shared" si="22"/>
        <v>0</v>
      </c>
      <c r="AI51" s="209">
        <f t="shared" si="22"/>
        <v>0</v>
      </c>
      <c r="AJ51" s="209">
        <f t="shared" si="22"/>
        <v>0</v>
      </c>
      <c r="AK51" s="209">
        <f>SUM(AK44:AK50)</f>
        <v>0</v>
      </c>
      <c r="AL51" s="209">
        <f>SUM(AL44:AL50)</f>
        <v>0</v>
      </c>
      <c r="AM51" s="209">
        <f>SUM(AM44:AM50)</f>
        <v>57928</v>
      </c>
    </row>
    <row r="52" spans="1:39" ht="15" thickBot="1" x14ac:dyDescent="0.4">
      <c r="A52" s="101" t="s">
        <v>21</v>
      </c>
      <c r="B52" s="701"/>
      <c r="C52" s="209">
        <f>AVERAGE(C44:C50)</f>
        <v>412.28571428571428</v>
      </c>
      <c r="D52" s="209">
        <f>AVERAGE(D44:D50)</f>
        <v>433.42857142857144</v>
      </c>
      <c r="E52" s="209">
        <f t="shared" ref="E52:AL52" si="23">AVERAGE(E44:E50)</f>
        <v>187.28571428571428</v>
      </c>
      <c r="F52" s="209">
        <f t="shared" si="23"/>
        <v>509</v>
      </c>
      <c r="G52" s="209">
        <f t="shared" si="23"/>
        <v>313</v>
      </c>
      <c r="H52" s="209">
        <f t="shared" si="23"/>
        <v>383.85714285714283</v>
      </c>
      <c r="I52" s="209">
        <f t="shared" si="23"/>
        <v>799.85714285714289</v>
      </c>
      <c r="J52" s="209">
        <f t="shared" si="23"/>
        <v>305</v>
      </c>
      <c r="K52" s="209">
        <f t="shared" si="23"/>
        <v>121.85714285714286</v>
      </c>
      <c r="L52" s="209">
        <f t="shared" si="23"/>
        <v>287.85714285714283</v>
      </c>
      <c r="M52" s="209">
        <f t="shared" si="23"/>
        <v>285.85714285714283</v>
      </c>
      <c r="N52" s="209">
        <f t="shared" si="23"/>
        <v>142.28571428571428</v>
      </c>
      <c r="O52" s="209">
        <f t="shared" si="23"/>
        <v>146</v>
      </c>
      <c r="P52" s="209">
        <f t="shared" si="23"/>
        <v>88</v>
      </c>
      <c r="Q52" s="209">
        <f t="shared" si="23"/>
        <v>72</v>
      </c>
      <c r="R52" s="209">
        <f t="shared" si="23"/>
        <v>135.85714285714286</v>
      </c>
      <c r="S52" s="209">
        <f t="shared" si="23"/>
        <v>56.142857142857146</v>
      </c>
      <c r="T52" s="209">
        <f t="shared" si="23"/>
        <v>258.28571428571428</v>
      </c>
      <c r="U52" s="209">
        <f t="shared" si="23"/>
        <v>190</v>
      </c>
      <c r="V52" s="209">
        <f t="shared" si="23"/>
        <v>496.14285714285717</v>
      </c>
      <c r="W52" s="209">
        <f t="shared" si="23"/>
        <v>453.57142857142856</v>
      </c>
      <c r="X52" s="209">
        <f t="shared" si="23"/>
        <v>258.42857142857144</v>
      </c>
      <c r="Y52" s="209">
        <f t="shared" si="23"/>
        <v>399.71428571428572</v>
      </c>
      <c r="Z52" s="209">
        <f t="shared" si="23"/>
        <v>336.85714285714283</v>
      </c>
      <c r="AA52" s="209">
        <f t="shared" si="23"/>
        <v>274.85714285714283</v>
      </c>
      <c r="AB52" s="209">
        <f t="shared" si="23"/>
        <v>218.28571428571428</v>
      </c>
      <c r="AC52" s="209">
        <f t="shared" si="23"/>
        <v>267.28571428571428</v>
      </c>
      <c r="AD52" s="209">
        <f t="shared" si="23"/>
        <v>319.42857142857144</v>
      </c>
      <c r="AE52" s="209">
        <f t="shared" si="23"/>
        <v>123</v>
      </c>
      <c r="AF52" s="209" t="e">
        <f t="shared" si="23"/>
        <v>#DIV/0!</v>
      </c>
      <c r="AG52" s="209" t="e">
        <f t="shared" si="23"/>
        <v>#DIV/0!</v>
      </c>
      <c r="AH52" s="209" t="e">
        <f t="shared" si="23"/>
        <v>#DIV/0!</v>
      </c>
      <c r="AI52" s="209" t="e">
        <f t="shared" si="23"/>
        <v>#DIV/0!</v>
      </c>
      <c r="AJ52" s="209" t="e">
        <f t="shared" si="23"/>
        <v>#DIV/0!</v>
      </c>
      <c r="AK52" s="209" t="e">
        <f t="shared" si="23"/>
        <v>#DIV/0!</v>
      </c>
      <c r="AL52" s="209" t="e">
        <f t="shared" si="23"/>
        <v>#DIV/0!</v>
      </c>
      <c r="AM52" s="209">
        <f>AVERAGE(AM44:AM50)</f>
        <v>8275.4285714285706</v>
      </c>
    </row>
    <row r="53" spans="1:39" ht="15" thickBot="1" x14ac:dyDescent="0.4">
      <c r="A53" s="26" t="s">
        <v>18</v>
      </c>
      <c r="B53" s="701"/>
      <c r="C53" s="210">
        <f t="shared" ref="C53:AE53" si="24">SUM(C44:C48)</f>
        <v>1890</v>
      </c>
      <c r="D53" s="210">
        <f t="shared" si="24"/>
        <v>1924</v>
      </c>
      <c r="E53" s="210">
        <f t="shared" si="24"/>
        <v>983</v>
      </c>
      <c r="F53" s="210">
        <f t="shared" si="24"/>
        <v>2368</v>
      </c>
      <c r="G53" s="210">
        <f t="shared" si="24"/>
        <v>1652</v>
      </c>
      <c r="H53" s="210">
        <f t="shared" si="24"/>
        <v>1679</v>
      </c>
      <c r="I53" s="210">
        <f t="shared" si="24"/>
        <v>4104</v>
      </c>
      <c r="J53" s="210">
        <f t="shared" si="24"/>
        <v>1458</v>
      </c>
      <c r="K53" s="210">
        <f t="shared" si="24"/>
        <v>597</v>
      </c>
      <c r="L53" s="210">
        <f t="shared" si="24"/>
        <v>1243</v>
      </c>
      <c r="M53" s="210">
        <f t="shared" si="24"/>
        <v>1307</v>
      </c>
      <c r="N53" s="210">
        <f t="shared" si="24"/>
        <v>577</v>
      </c>
      <c r="O53" s="210">
        <f t="shared" si="24"/>
        <v>645</v>
      </c>
      <c r="P53" s="210">
        <f t="shared" si="24"/>
        <v>370</v>
      </c>
      <c r="Q53" s="210">
        <f t="shared" si="24"/>
        <v>300</v>
      </c>
      <c r="R53" s="210">
        <f t="shared" si="24"/>
        <v>516</v>
      </c>
      <c r="S53" s="210">
        <f t="shared" si="24"/>
        <v>235</v>
      </c>
      <c r="T53" s="210">
        <f t="shared" si="24"/>
        <v>1169</v>
      </c>
      <c r="U53" s="210">
        <f t="shared" si="24"/>
        <v>1043</v>
      </c>
      <c r="V53" s="210">
        <f t="shared" si="24"/>
        <v>2754</v>
      </c>
      <c r="W53" s="210">
        <f t="shared" si="24"/>
        <v>2234</v>
      </c>
      <c r="X53" s="210">
        <f t="shared" si="24"/>
        <v>1109</v>
      </c>
      <c r="Y53" s="210">
        <f t="shared" si="24"/>
        <v>1926</v>
      </c>
      <c r="Z53" s="210">
        <f t="shared" si="24"/>
        <v>1385</v>
      </c>
      <c r="AA53" s="210">
        <f t="shared" si="24"/>
        <v>1482</v>
      </c>
      <c r="AB53" s="210">
        <f t="shared" si="24"/>
        <v>1250</v>
      </c>
      <c r="AC53" s="210">
        <f t="shared" si="24"/>
        <v>1427</v>
      </c>
      <c r="AD53" s="210">
        <f t="shared" si="24"/>
        <v>1687</v>
      </c>
      <c r="AE53" s="210">
        <f t="shared" si="24"/>
        <v>667</v>
      </c>
      <c r="AF53" s="210">
        <f t="shared" ref="AF53:AL53" si="25">SUM(AF44:AF48)</f>
        <v>0</v>
      </c>
      <c r="AG53" s="210">
        <f t="shared" si="25"/>
        <v>0</v>
      </c>
      <c r="AH53" s="210">
        <f t="shared" si="25"/>
        <v>0</v>
      </c>
      <c r="AI53" s="210">
        <f t="shared" si="25"/>
        <v>0</v>
      </c>
      <c r="AJ53" s="210">
        <f t="shared" si="25"/>
        <v>0</v>
      </c>
      <c r="AK53" s="210">
        <f>SUM(AK44:AK48)</f>
        <v>0</v>
      </c>
      <c r="AL53" s="210">
        <f t="shared" si="25"/>
        <v>0</v>
      </c>
      <c r="AM53" s="210">
        <f>SUM(AM44:AM48)</f>
        <v>39981</v>
      </c>
    </row>
    <row r="54" spans="1:39" ht="15" thickBot="1" x14ac:dyDescent="0.4">
      <c r="A54" s="26" t="s">
        <v>20</v>
      </c>
      <c r="B54" s="701"/>
      <c r="C54" s="210">
        <f>AVERAGE(C44:C48)</f>
        <v>378</v>
      </c>
      <c r="D54" s="210">
        <f t="shared" ref="D54:AL54" si="26">AVERAGE(D44:D48)</f>
        <v>384.8</v>
      </c>
      <c r="E54" s="210">
        <f t="shared" si="26"/>
        <v>196.6</v>
      </c>
      <c r="F54" s="210">
        <f t="shared" si="26"/>
        <v>473.6</v>
      </c>
      <c r="G54" s="210">
        <f t="shared" si="26"/>
        <v>330.4</v>
      </c>
      <c r="H54" s="210">
        <f t="shared" si="26"/>
        <v>335.8</v>
      </c>
      <c r="I54" s="210">
        <f t="shared" si="26"/>
        <v>820.8</v>
      </c>
      <c r="J54" s="210">
        <f t="shared" si="26"/>
        <v>291.60000000000002</v>
      </c>
      <c r="K54" s="210">
        <f t="shared" si="26"/>
        <v>119.4</v>
      </c>
      <c r="L54" s="210">
        <f t="shared" si="26"/>
        <v>248.6</v>
      </c>
      <c r="M54" s="210">
        <f t="shared" si="26"/>
        <v>261.39999999999998</v>
      </c>
      <c r="N54" s="210">
        <f t="shared" si="26"/>
        <v>115.4</v>
      </c>
      <c r="O54" s="210">
        <f t="shared" si="26"/>
        <v>129</v>
      </c>
      <c r="P54" s="210">
        <f t="shared" si="26"/>
        <v>74</v>
      </c>
      <c r="Q54" s="210">
        <f t="shared" si="26"/>
        <v>60</v>
      </c>
      <c r="R54" s="210">
        <f t="shared" si="26"/>
        <v>103.2</v>
      </c>
      <c r="S54" s="210">
        <f t="shared" si="26"/>
        <v>47</v>
      </c>
      <c r="T54" s="210">
        <f t="shared" si="26"/>
        <v>233.8</v>
      </c>
      <c r="U54" s="210">
        <f t="shared" si="26"/>
        <v>208.6</v>
      </c>
      <c r="V54" s="210">
        <f t="shared" si="26"/>
        <v>550.79999999999995</v>
      </c>
      <c r="W54" s="210">
        <f t="shared" si="26"/>
        <v>446.8</v>
      </c>
      <c r="X54" s="210">
        <f t="shared" si="26"/>
        <v>221.8</v>
      </c>
      <c r="Y54" s="210">
        <f t="shared" si="26"/>
        <v>385.2</v>
      </c>
      <c r="Z54" s="210">
        <f t="shared" si="26"/>
        <v>277</v>
      </c>
      <c r="AA54" s="210">
        <f t="shared" si="26"/>
        <v>296.39999999999998</v>
      </c>
      <c r="AB54" s="210">
        <f t="shared" si="26"/>
        <v>250</v>
      </c>
      <c r="AC54" s="210">
        <f t="shared" si="26"/>
        <v>285.39999999999998</v>
      </c>
      <c r="AD54" s="210">
        <f t="shared" si="26"/>
        <v>337.4</v>
      </c>
      <c r="AE54" s="210">
        <f t="shared" si="26"/>
        <v>133.4</v>
      </c>
      <c r="AF54" s="210" t="e">
        <f t="shared" si="26"/>
        <v>#DIV/0!</v>
      </c>
      <c r="AG54" s="210" t="e">
        <f t="shared" si="26"/>
        <v>#DIV/0!</v>
      </c>
      <c r="AH54" s="210" t="e">
        <f t="shared" si="26"/>
        <v>#DIV/0!</v>
      </c>
      <c r="AI54" s="210" t="e">
        <f t="shared" si="26"/>
        <v>#DIV/0!</v>
      </c>
      <c r="AJ54" s="210" t="e">
        <f t="shared" si="26"/>
        <v>#DIV/0!</v>
      </c>
      <c r="AK54" s="210" t="e">
        <f t="shared" si="26"/>
        <v>#DIV/0!</v>
      </c>
      <c r="AL54" s="210" t="e">
        <f t="shared" si="26"/>
        <v>#DIV/0!</v>
      </c>
      <c r="AM54" s="210">
        <f>AVERAGE(AM44:AM48)</f>
        <v>7996.2</v>
      </c>
    </row>
    <row r="55" spans="1:39" ht="15" thickBot="1" x14ac:dyDescent="0.4">
      <c r="A55" s="136" t="s">
        <v>3</v>
      </c>
      <c r="B55" s="216">
        <f>B50+1</f>
        <v>44284</v>
      </c>
      <c r="C55" s="245"/>
      <c r="D55" s="170">
        <v>284</v>
      </c>
      <c r="E55" s="170">
        <v>475</v>
      </c>
      <c r="F55" s="170">
        <v>142</v>
      </c>
      <c r="G55" s="246">
        <v>441</v>
      </c>
      <c r="H55" s="170">
        <v>314</v>
      </c>
      <c r="I55" s="207">
        <v>368</v>
      </c>
      <c r="J55" s="211">
        <v>799</v>
      </c>
      <c r="K55" s="170">
        <v>247</v>
      </c>
      <c r="L55" s="207">
        <v>99</v>
      </c>
      <c r="M55" s="211">
        <v>258</v>
      </c>
      <c r="N55" s="170">
        <v>266</v>
      </c>
      <c r="O55" s="170">
        <v>167</v>
      </c>
      <c r="P55" s="170">
        <v>121</v>
      </c>
      <c r="Q55" s="172">
        <v>72</v>
      </c>
      <c r="R55" s="170">
        <v>111</v>
      </c>
      <c r="S55" s="207">
        <v>66</v>
      </c>
      <c r="T55" s="244">
        <v>65</v>
      </c>
      <c r="U55" s="170">
        <v>248</v>
      </c>
      <c r="V55" s="170">
        <v>205</v>
      </c>
      <c r="W55" s="170">
        <v>485</v>
      </c>
      <c r="X55" s="170">
        <v>420</v>
      </c>
      <c r="Y55" s="172">
        <v>257</v>
      </c>
      <c r="Z55" s="172">
        <v>318</v>
      </c>
      <c r="AA55" s="211">
        <v>246</v>
      </c>
      <c r="AB55" s="170">
        <v>322</v>
      </c>
      <c r="AC55" s="170">
        <v>223</v>
      </c>
      <c r="AD55" s="170">
        <v>283</v>
      </c>
      <c r="AE55" s="207">
        <v>330</v>
      </c>
      <c r="AF55" s="244">
        <v>129</v>
      </c>
      <c r="AG55" s="170"/>
      <c r="AH55" s="170"/>
      <c r="AI55" s="170"/>
      <c r="AJ55" s="207"/>
      <c r="AK55" s="211"/>
      <c r="AL55" s="207"/>
      <c r="AM55" s="531">
        <f>SUM(C55:AL55)</f>
        <v>7761</v>
      </c>
    </row>
    <row r="56" spans="1:39" ht="15" thickBot="1" x14ac:dyDescent="0.4">
      <c r="A56" s="136" t="s">
        <v>4</v>
      </c>
      <c r="B56" s="216">
        <f t="shared" ref="B56:B57" si="27">B55+1</f>
        <v>44285</v>
      </c>
      <c r="C56" s="245"/>
      <c r="D56" s="170">
        <v>896</v>
      </c>
      <c r="E56" s="170">
        <v>729</v>
      </c>
      <c r="F56" s="170">
        <v>1099</v>
      </c>
      <c r="G56" s="246">
        <v>763</v>
      </c>
      <c r="H56" s="170">
        <v>348</v>
      </c>
      <c r="I56" s="207">
        <v>917</v>
      </c>
      <c r="J56" s="211">
        <v>822</v>
      </c>
      <c r="K56" s="170">
        <v>653</v>
      </c>
      <c r="L56" s="207">
        <v>329</v>
      </c>
      <c r="M56" s="211">
        <v>857</v>
      </c>
      <c r="N56" s="170">
        <v>395</v>
      </c>
      <c r="O56" s="170">
        <v>498</v>
      </c>
      <c r="P56" s="170">
        <v>687</v>
      </c>
      <c r="Q56" s="172">
        <v>109</v>
      </c>
      <c r="R56" s="170">
        <v>490</v>
      </c>
      <c r="S56" s="207">
        <v>683</v>
      </c>
      <c r="T56" s="244">
        <v>208</v>
      </c>
      <c r="U56" s="170">
        <v>436</v>
      </c>
      <c r="V56" s="170">
        <v>394</v>
      </c>
      <c r="W56" s="170">
        <v>750</v>
      </c>
      <c r="X56" s="170">
        <v>651</v>
      </c>
      <c r="Y56" s="172">
        <v>843</v>
      </c>
      <c r="Z56" s="172">
        <v>491</v>
      </c>
      <c r="AA56" s="211">
        <v>356</v>
      </c>
      <c r="AB56" s="170">
        <v>459</v>
      </c>
      <c r="AC56" s="170">
        <v>378</v>
      </c>
      <c r="AD56" s="170">
        <v>403</v>
      </c>
      <c r="AE56" s="207">
        <v>518</v>
      </c>
      <c r="AF56" s="244">
        <v>138</v>
      </c>
      <c r="AG56" s="170"/>
      <c r="AH56" s="170"/>
      <c r="AI56" s="170"/>
      <c r="AJ56" s="207"/>
      <c r="AK56" s="211"/>
      <c r="AL56" s="207"/>
      <c r="AM56" s="531">
        <f t="shared" ref="AM56:AM57" si="28">SUM(C56:AL56)</f>
        <v>16300</v>
      </c>
    </row>
    <row r="57" spans="1:39" ht="15" thickBot="1" x14ac:dyDescent="0.4">
      <c r="A57" s="136" t="s">
        <v>5</v>
      </c>
      <c r="B57" s="216">
        <f t="shared" si="27"/>
        <v>44286</v>
      </c>
      <c r="C57" s="245"/>
      <c r="D57" s="170">
        <v>685</v>
      </c>
      <c r="E57" s="170">
        <v>461</v>
      </c>
      <c r="F57" s="170">
        <v>692</v>
      </c>
      <c r="G57" s="246">
        <v>455</v>
      </c>
      <c r="H57" s="170">
        <v>293</v>
      </c>
      <c r="I57" s="207">
        <v>528</v>
      </c>
      <c r="J57" s="211">
        <v>647</v>
      </c>
      <c r="K57" s="170">
        <v>341</v>
      </c>
      <c r="L57" s="207">
        <v>364</v>
      </c>
      <c r="M57" s="211">
        <v>482</v>
      </c>
      <c r="N57" s="170">
        <v>292</v>
      </c>
      <c r="O57" s="170">
        <v>188</v>
      </c>
      <c r="P57" s="170">
        <v>217</v>
      </c>
      <c r="Q57" s="172">
        <v>88</v>
      </c>
      <c r="R57" s="170">
        <v>143</v>
      </c>
      <c r="S57" s="207">
        <v>204</v>
      </c>
      <c r="T57" s="244">
        <v>93</v>
      </c>
      <c r="U57" s="170">
        <v>324</v>
      </c>
      <c r="V57" s="170">
        <v>345</v>
      </c>
      <c r="W57" s="170">
        <v>528</v>
      </c>
      <c r="X57" s="170">
        <v>392</v>
      </c>
      <c r="Y57" s="172">
        <v>453</v>
      </c>
      <c r="Z57" s="172">
        <v>293</v>
      </c>
      <c r="AA57" s="211">
        <v>199</v>
      </c>
      <c r="AB57" s="170">
        <v>262</v>
      </c>
      <c r="AC57" s="170">
        <v>221</v>
      </c>
      <c r="AD57" s="170">
        <v>225</v>
      </c>
      <c r="AE57" s="207">
        <v>292</v>
      </c>
      <c r="AF57" s="244">
        <v>79</v>
      </c>
      <c r="AG57" s="170"/>
      <c r="AH57" s="170"/>
      <c r="AI57" s="170"/>
      <c r="AJ57" s="207"/>
      <c r="AK57" s="211"/>
      <c r="AL57" s="207"/>
      <c r="AM57" s="531">
        <f t="shared" si="28"/>
        <v>9786</v>
      </c>
    </row>
    <row r="58" spans="1:39" ht="15" hidden="1" thickBot="1" x14ac:dyDescent="0.4">
      <c r="A58" s="136"/>
      <c r="B58" s="216"/>
      <c r="C58" s="245"/>
      <c r="D58" s="195"/>
      <c r="E58" s="195"/>
      <c r="F58" s="195"/>
      <c r="G58" s="246"/>
      <c r="H58" s="195"/>
      <c r="I58" s="204"/>
      <c r="J58" s="208"/>
      <c r="K58" s="195"/>
      <c r="L58" s="204"/>
      <c r="M58" s="208"/>
      <c r="N58" s="195"/>
      <c r="O58" s="195"/>
      <c r="P58" s="195"/>
      <c r="Q58" s="203"/>
      <c r="R58" s="195"/>
      <c r="S58" s="204"/>
      <c r="T58" s="217"/>
      <c r="U58" s="195"/>
      <c r="V58" s="195"/>
      <c r="W58" s="195"/>
      <c r="X58" s="195"/>
      <c r="Y58" s="203"/>
      <c r="Z58" s="203"/>
      <c r="AA58" s="208"/>
      <c r="AB58" s="170"/>
      <c r="AC58" s="195"/>
      <c r="AD58" s="195"/>
      <c r="AE58" s="204"/>
      <c r="AF58" s="217"/>
      <c r="AG58" s="195"/>
      <c r="AH58" s="195"/>
      <c r="AI58" s="195"/>
      <c r="AJ58" s="204"/>
      <c r="AK58" s="208"/>
      <c r="AL58" s="204"/>
      <c r="AM58" s="174"/>
    </row>
    <row r="59" spans="1:39" ht="15" hidden="1" thickBot="1" x14ac:dyDescent="0.4">
      <c r="A59" s="136"/>
      <c r="B59" s="216"/>
      <c r="C59" s="344"/>
      <c r="D59" s="195"/>
      <c r="E59" s="195"/>
      <c r="F59" s="195"/>
      <c r="G59" s="195"/>
      <c r="H59" s="195"/>
      <c r="I59" s="204"/>
      <c r="J59" s="208"/>
      <c r="K59" s="195"/>
      <c r="L59" s="204"/>
      <c r="M59" s="208"/>
      <c r="N59" s="195"/>
      <c r="O59" s="195"/>
      <c r="P59" s="195"/>
      <c r="Q59" s="203"/>
      <c r="R59" s="195"/>
      <c r="S59" s="204"/>
      <c r="T59" s="217"/>
      <c r="U59" s="195"/>
      <c r="V59" s="195"/>
      <c r="W59" s="195"/>
      <c r="X59" s="195"/>
      <c r="Y59" s="203"/>
      <c r="Z59" s="203"/>
      <c r="AA59" s="208"/>
      <c r="AB59" s="170"/>
      <c r="AC59" s="195"/>
      <c r="AD59" s="195"/>
      <c r="AE59" s="204"/>
      <c r="AF59" s="217"/>
      <c r="AG59" s="195"/>
      <c r="AH59" s="195"/>
      <c r="AI59" s="195"/>
      <c r="AJ59" s="204"/>
      <c r="AK59" s="208"/>
      <c r="AL59" s="204"/>
      <c r="AM59" s="174"/>
    </row>
    <row r="60" spans="1:39" ht="15" hidden="1" thickBot="1" x14ac:dyDescent="0.4">
      <c r="A60" s="136"/>
      <c r="B60" s="216"/>
      <c r="C60" s="208"/>
      <c r="D60" s="195"/>
      <c r="E60" s="195"/>
      <c r="F60" s="195"/>
      <c r="G60" s="195"/>
      <c r="H60" s="195"/>
      <c r="I60" s="204"/>
      <c r="J60" s="208"/>
      <c r="K60" s="195"/>
      <c r="L60" s="204"/>
      <c r="M60" s="208"/>
      <c r="N60" s="195"/>
      <c r="O60" s="195"/>
      <c r="P60" s="195"/>
      <c r="Q60" s="203"/>
      <c r="R60" s="195"/>
      <c r="S60" s="204"/>
      <c r="T60" s="217"/>
      <c r="U60" s="195"/>
      <c r="V60" s="195"/>
      <c r="W60" s="195"/>
      <c r="X60" s="195"/>
      <c r="Y60" s="203"/>
      <c r="Z60" s="203"/>
      <c r="AA60" s="208"/>
      <c r="AB60" s="170"/>
      <c r="AC60" s="195"/>
      <c r="AD60" s="195"/>
      <c r="AE60" s="204"/>
      <c r="AF60" s="217"/>
      <c r="AG60" s="195"/>
      <c r="AH60" s="195"/>
      <c r="AI60" s="195"/>
      <c r="AJ60" s="204"/>
      <c r="AK60" s="208"/>
      <c r="AL60" s="204"/>
      <c r="AM60" s="174"/>
    </row>
    <row r="61" spans="1:39" ht="15" hidden="1" customHeight="1" thickBot="1" x14ac:dyDescent="0.4">
      <c r="A61" s="136"/>
      <c r="B61" s="216"/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" thickBot="1" x14ac:dyDescent="0.4">
      <c r="A62" s="144" t="s">
        <v>19</v>
      </c>
      <c r="B62" s="701" t="s">
        <v>26</v>
      </c>
      <c r="C62" s="209">
        <f>SUM(C55:C60)</f>
        <v>0</v>
      </c>
      <c r="D62" s="209">
        <f>SUM(D55:D60)</f>
        <v>1865</v>
      </c>
      <c r="E62" s="209">
        <f>SUM(E55:E60)</f>
        <v>1665</v>
      </c>
      <c r="F62" s="209">
        <f>SUM(F55:F60)</f>
        <v>1933</v>
      </c>
      <c r="G62" s="209">
        <f t="shared" ref="G62:AL62" si="29">SUM(G55:G60)</f>
        <v>1659</v>
      </c>
      <c r="H62" s="209">
        <f t="shared" si="29"/>
        <v>955</v>
      </c>
      <c r="I62" s="209">
        <f t="shared" si="29"/>
        <v>1813</v>
      </c>
      <c r="J62" s="209">
        <f t="shared" si="29"/>
        <v>2268</v>
      </c>
      <c r="K62" s="209">
        <f t="shared" si="29"/>
        <v>1241</v>
      </c>
      <c r="L62" s="209">
        <f t="shared" si="29"/>
        <v>792</v>
      </c>
      <c r="M62" s="209">
        <f t="shared" si="29"/>
        <v>1597</v>
      </c>
      <c r="N62" s="209">
        <f t="shared" si="29"/>
        <v>953</v>
      </c>
      <c r="O62" s="209">
        <f t="shared" si="29"/>
        <v>853</v>
      </c>
      <c r="P62" s="209">
        <f t="shared" si="29"/>
        <v>1025</v>
      </c>
      <c r="Q62" s="209">
        <f t="shared" si="29"/>
        <v>269</v>
      </c>
      <c r="R62" s="209">
        <f t="shared" si="29"/>
        <v>744</v>
      </c>
      <c r="S62" s="209">
        <f t="shared" si="29"/>
        <v>953</v>
      </c>
      <c r="T62" s="209">
        <f t="shared" si="29"/>
        <v>366</v>
      </c>
      <c r="U62" s="209">
        <f t="shared" si="29"/>
        <v>1008</v>
      </c>
      <c r="V62" s="209">
        <f t="shared" si="29"/>
        <v>944</v>
      </c>
      <c r="W62" s="209">
        <f t="shared" si="29"/>
        <v>1763</v>
      </c>
      <c r="X62" s="209">
        <f t="shared" si="29"/>
        <v>1463</v>
      </c>
      <c r="Y62" s="209">
        <f t="shared" si="29"/>
        <v>1553</v>
      </c>
      <c r="Z62" s="209">
        <f t="shared" si="29"/>
        <v>1102</v>
      </c>
      <c r="AA62" s="209">
        <f t="shared" si="29"/>
        <v>801</v>
      </c>
      <c r="AB62" s="209">
        <f t="shared" si="29"/>
        <v>1043</v>
      </c>
      <c r="AC62" s="209">
        <f t="shared" si="29"/>
        <v>822</v>
      </c>
      <c r="AD62" s="209">
        <f t="shared" si="29"/>
        <v>911</v>
      </c>
      <c r="AE62" s="209">
        <f>SUM(AE55:AE60)</f>
        <v>1140</v>
      </c>
      <c r="AF62" s="209">
        <f t="shared" si="29"/>
        <v>346</v>
      </c>
      <c r="AG62" s="209">
        <f t="shared" si="29"/>
        <v>0</v>
      </c>
      <c r="AH62" s="209">
        <f t="shared" si="29"/>
        <v>0</v>
      </c>
      <c r="AI62" s="209">
        <f t="shared" si="29"/>
        <v>0</v>
      </c>
      <c r="AJ62" s="209">
        <f t="shared" si="29"/>
        <v>0</v>
      </c>
      <c r="AK62" s="209">
        <f t="shared" si="29"/>
        <v>0</v>
      </c>
      <c r="AL62" s="209">
        <f t="shared" si="29"/>
        <v>0</v>
      </c>
      <c r="AM62" s="209">
        <f>SUM(AM55:AM60)</f>
        <v>33847</v>
      </c>
    </row>
    <row r="63" spans="1:39" ht="15" thickBot="1" x14ac:dyDescent="0.4">
      <c r="A63" s="101" t="s">
        <v>21</v>
      </c>
      <c r="B63" s="701"/>
      <c r="C63" s="209" t="e">
        <f>AVERAGE(C55:C60)</f>
        <v>#DIV/0!</v>
      </c>
      <c r="D63" s="209">
        <f t="shared" ref="D63:E63" si="30">AVERAGE(D55:D60)</f>
        <v>621.66666666666663</v>
      </c>
      <c r="E63" s="209">
        <f t="shared" si="30"/>
        <v>555</v>
      </c>
      <c r="F63" s="209">
        <f>AVERAGE(F55:F60)</f>
        <v>644.33333333333337</v>
      </c>
      <c r="G63" s="209">
        <f>AVERAGE(G55:G60)</f>
        <v>553</v>
      </c>
      <c r="H63" s="209">
        <f t="shared" ref="H63:AL63" si="31">AVERAGE(H55:H60)</f>
        <v>318.33333333333331</v>
      </c>
      <c r="I63" s="209">
        <f t="shared" si="31"/>
        <v>604.33333333333337</v>
      </c>
      <c r="J63" s="209">
        <f t="shared" si="31"/>
        <v>756</v>
      </c>
      <c r="K63" s="209">
        <f t="shared" si="31"/>
        <v>413.66666666666669</v>
      </c>
      <c r="L63" s="209">
        <f t="shared" si="31"/>
        <v>264</v>
      </c>
      <c r="M63" s="209">
        <f t="shared" si="31"/>
        <v>532.33333333333337</v>
      </c>
      <c r="N63" s="209">
        <f t="shared" si="31"/>
        <v>317.66666666666669</v>
      </c>
      <c r="O63" s="209">
        <f t="shared" si="31"/>
        <v>284.33333333333331</v>
      </c>
      <c r="P63" s="209">
        <f t="shared" si="31"/>
        <v>341.66666666666669</v>
      </c>
      <c r="Q63" s="209">
        <f t="shared" si="31"/>
        <v>89.666666666666671</v>
      </c>
      <c r="R63" s="209">
        <f t="shared" si="31"/>
        <v>248</v>
      </c>
      <c r="S63" s="209">
        <f t="shared" si="31"/>
        <v>317.66666666666669</v>
      </c>
      <c r="T63" s="209">
        <f t="shared" si="31"/>
        <v>122</v>
      </c>
      <c r="U63" s="209">
        <f t="shared" si="31"/>
        <v>336</v>
      </c>
      <c r="V63" s="209">
        <f t="shared" si="31"/>
        <v>314.66666666666669</v>
      </c>
      <c r="W63" s="209">
        <f t="shared" si="31"/>
        <v>587.66666666666663</v>
      </c>
      <c r="X63" s="209">
        <f t="shared" si="31"/>
        <v>487.66666666666669</v>
      </c>
      <c r="Y63" s="209">
        <f t="shared" si="31"/>
        <v>517.66666666666663</v>
      </c>
      <c r="Z63" s="209">
        <f t="shared" si="31"/>
        <v>367.33333333333331</v>
      </c>
      <c r="AA63" s="209">
        <f t="shared" si="31"/>
        <v>267</v>
      </c>
      <c r="AB63" s="209">
        <f t="shared" si="31"/>
        <v>347.66666666666669</v>
      </c>
      <c r="AC63" s="209">
        <f t="shared" si="31"/>
        <v>274</v>
      </c>
      <c r="AD63" s="209">
        <f t="shared" si="31"/>
        <v>303.66666666666669</v>
      </c>
      <c r="AE63" s="209">
        <f t="shared" si="31"/>
        <v>380</v>
      </c>
      <c r="AF63" s="209">
        <f t="shared" si="31"/>
        <v>115.33333333333333</v>
      </c>
      <c r="AG63" s="209" t="e">
        <f t="shared" si="31"/>
        <v>#DIV/0!</v>
      </c>
      <c r="AH63" s="209" t="e">
        <f t="shared" si="31"/>
        <v>#DIV/0!</v>
      </c>
      <c r="AI63" s="209" t="e">
        <f t="shared" si="31"/>
        <v>#DIV/0!</v>
      </c>
      <c r="AJ63" s="209" t="e">
        <f t="shared" si="31"/>
        <v>#DIV/0!</v>
      </c>
      <c r="AK63" s="209" t="e">
        <f t="shared" si="31"/>
        <v>#DIV/0!</v>
      </c>
      <c r="AL63" s="209" t="e">
        <f t="shared" si="31"/>
        <v>#DIV/0!</v>
      </c>
      <c r="AM63" s="209">
        <f>AVERAGE(AM55:AM60)</f>
        <v>11282.333333333334</v>
      </c>
    </row>
    <row r="64" spans="1:39" ht="15" thickBot="1" x14ac:dyDescent="0.4">
      <c r="A64" s="26" t="s">
        <v>18</v>
      </c>
      <c r="B64" s="701"/>
      <c r="C64" s="209">
        <f t="shared" ref="C64:AF64" si="32">SUM(C55:C59)</f>
        <v>0</v>
      </c>
      <c r="D64" s="209">
        <f t="shared" si="32"/>
        <v>1865</v>
      </c>
      <c r="E64" s="209">
        <f t="shared" si="32"/>
        <v>1665</v>
      </c>
      <c r="F64" s="209">
        <f t="shared" si="32"/>
        <v>1933</v>
      </c>
      <c r="G64" s="209">
        <f t="shared" si="32"/>
        <v>1659</v>
      </c>
      <c r="H64" s="209">
        <f t="shared" si="32"/>
        <v>955</v>
      </c>
      <c r="I64" s="209">
        <f t="shared" si="32"/>
        <v>1813</v>
      </c>
      <c r="J64" s="209">
        <f t="shared" si="32"/>
        <v>2268</v>
      </c>
      <c r="K64" s="209">
        <f t="shared" si="32"/>
        <v>1241</v>
      </c>
      <c r="L64" s="209">
        <f t="shared" si="32"/>
        <v>792</v>
      </c>
      <c r="M64" s="209">
        <f t="shared" si="32"/>
        <v>1597</v>
      </c>
      <c r="N64" s="209">
        <f t="shared" si="32"/>
        <v>953</v>
      </c>
      <c r="O64" s="209">
        <f t="shared" si="32"/>
        <v>853</v>
      </c>
      <c r="P64" s="209">
        <f t="shared" si="32"/>
        <v>1025</v>
      </c>
      <c r="Q64" s="209">
        <f t="shared" si="32"/>
        <v>269</v>
      </c>
      <c r="R64" s="209">
        <f t="shared" si="32"/>
        <v>744</v>
      </c>
      <c r="S64" s="209">
        <f t="shared" si="32"/>
        <v>953</v>
      </c>
      <c r="T64" s="209">
        <f t="shared" si="32"/>
        <v>366</v>
      </c>
      <c r="U64" s="209">
        <f t="shared" si="32"/>
        <v>1008</v>
      </c>
      <c r="V64" s="209">
        <f t="shared" si="32"/>
        <v>944</v>
      </c>
      <c r="W64" s="209">
        <f t="shared" si="32"/>
        <v>1763</v>
      </c>
      <c r="X64" s="209">
        <f t="shared" si="32"/>
        <v>1463</v>
      </c>
      <c r="Y64" s="209">
        <f t="shared" si="32"/>
        <v>1553</v>
      </c>
      <c r="Z64" s="209">
        <f t="shared" si="32"/>
        <v>1102</v>
      </c>
      <c r="AA64" s="209">
        <f t="shared" si="32"/>
        <v>801</v>
      </c>
      <c r="AB64" s="209">
        <f t="shared" si="32"/>
        <v>1043</v>
      </c>
      <c r="AC64" s="209">
        <f t="shared" si="32"/>
        <v>822</v>
      </c>
      <c r="AD64" s="209">
        <f t="shared" si="32"/>
        <v>911</v>
      </c>
      <c r="AE64" s="209">
        <f t="shared" si="32"/>
        <v>1140</v>
      </c>
      <c r="AF64" s="209">
        <f t="shared" si="32"/>
        <v>346</v>
      </c>
      <c r="AG64" s="209">
        <f t="shared" ref="AG64:AL64" si="33">SUM(AG55:AG59)</f>
        <v>0</v>
      </c>
      <c r="AH64" s="209">
        <f t="shared" si="33"/>
        <v>0</v>
      </c>
      <c r="AI64" s="209">
        <f t="shared" si="33"/>
        <v>0</v>
      </c>
      <c r="AJ64" s="209">
        <f t="shared" si="33"/>
        <v>0</v>
      </c>
      <c r="AK64" s="209">
        <f t="shared" si="33"/>
        <v>0</v>
      </c>
      <c r="AL64" s="209">
        <f t="shared" si="33"/>
        <v>0</v>
      </c>
      <c r="AM64" s="209">
        <f>SUM(AM55:AM59)</f>
        <v>33847</v>
      </c>
    </row>
    <row r="65" spans="1:39" ht="15" thickBot="1" x14ac:dyDescent="0.4">
      <c r="A65" s="26" t="s">
        <v>20</v>
      </c>
      <c r="B65" s="721"/>
      <c r="C65" s="37" t="e">
        <f>AVERAGE(C55:C59)</f>
        <v>#DIV/0!</v>
      </c>
      <c r="D65" s="37">
        <f t="shared" ref="D65:T65" si="34">AVERAGE(D55:D59)</f>
        <v>621.66666666666663</v>
      </c>
      <c r="E65" s="37">
        <f t="shared" si="34"/>
        <v>555</v>
      </c>
      <c r="F65" s="37">
        <f t="shared" si="34"/>
        <v>644.33333333333337</v>
      </c>
      <c r="G65" s="37">
        <f t="shared" si="34"/>
        <v>553</v>
      </c>
      <c r="H65" s="37">
        <f t="shared" si="34"/>
        <v>318.33333333333331</v>
      </c>
      <c r="I65" s="37">
        <f t="shared" si="34"/>
        <v>604.33333333333337</v>
      </c>
      <c r="J65" s="37">
        <f t="shared" si="34"/>
        <v>756</v>
      </c>
      <c r="K65" s="37">
        <f t="shared" si="34"/>
        <v>413.66666666666669</v>
      </c>
      <c r="L65" s="37">
        <f t="shared" si="34"/>
        <v>264</v>
      </c>
      <c r="M65" s="37">
        <f t="shared" si="34"/>
        <v>532.33333333333337</v>
      </c>
      <c r="N65" s="37">
        <f t="shared" si="34"/>
        <v>317.66666666666669</v>
      </c>
      <c r="O65" s="37">
        <f t="shared" si="34"/>
        <v>284.33333333333331</v>
      </c>
      <c r="P65" s="37">
        <f t="shared" si="34"/>
        <v>341.66666666666669</v>
      </c>
      <c r="Q65" s="37">
        <f t="shared" si="34"/>
        <v>89.666666666666671</v>
      </c>
      <c r="R65" s="37">
        <f t="shared" si="34"/>
        <v>248</v>
      </c>
      <c r="S65" s="37">
        <f t="shared" si="34"/>
        <v>317.66666666666669</v>
      </c>
      <c r="T65" s="37">
        <f t="shared" si="34"/>
        <v>122</v>
      </c>
      <c r="U65" s="37">
        <f>AVERAGE(U55:U59)</f>
        <v>336</v>
      </c>
      <c r="V65" s="37">
        <f t="shared" ref="V65:AL65" si="35">AVERAGE(V55:V59)</f>
        <v>314.66666666666669</v>
      </c>
      <c r="W65" s="37">
        <f t="shared" si="35"/>
        <v>587.66666666666663</v>
      </c>
      <c r="X65" s="37">
        <f t="shared" si="35"/>
        <v>487.66666666666669</v>
      </c>
      <c r="Y65" s="37">
        <f t="shared" si="35"/>
        <v>517.66666666666663</v>
      </c>
      <c r="Z65" s="37">
        <f t="shared" si="35"/>
        <v>367.33333333333331</v>
      </c>
      <c r="AA65" s="37">
        <f t="shared" si="35"/>
        <v>267</v>
      </c>
      <c r="AB65" s="37">
        <f t="shared" si="35"/>
        <v>347.66666666666669</v>
      </c>
      <c r="AC65" s="37">
        <f t="shared" si="35"/>
        <v>274</v>
      </c>
      <c r="AD65" s="37">
        <f t="shared" si="35"/>
        <v>303.66666666666669</v>
      </c>
      <c r="AE65" s="37">
        <f t="shared" si="35"/>
        <v>380</v>
      </c>
      <c r="AF65" s="37">
        <f t="shared" si="35"/>
        <v>115.33333333333333</v>
      </c>
      <c r="AG65" s="37" t="e">
        <f t="shared" si="35"/>
        <v>#DIV/0!</v>
      </c>
      <c r="AH65" s="37" t="e">
        <f t="shared" si="35"/>
        <v>#DIV/0!</v>
      </c>
      <c r="AI65" s="37" t="e">
        <f t="shared" si="35"/>
        <v>#DIV/0!</v>
      </c>
      <c r="AJ65" s="37" t="e">
        <f t="shared" si="35"/>
        <v>#DIV/0!</v>
      </c>
      <c r="AK65" s="37" t="e">
        <f t="shared" si="35"/>
        <v>#DIV/0!</v>
      </c>
      <c r="AL65" s="37" t="e">
        <f t="shared" si="35"/>
        <v>#DIV/0!</v>
      </c>
      <c r="AM65" s="37">
        <f>AVERAGE(AM55:AM59)</f>
        <v>11282.333333333334</v>
      </c>
    </row>
    <row r="66" spans="1:39" x14ac:dyDescent="0.3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44.25" customHeight="1" x14ac:dyDescent="0.3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8" t="s">
        <v>111</v>
      </c>
      <c r="N67" s="198" t="s">
        <v>72</v>
      </c>
      <c r="O67" s="198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C67" s="251"/>
      <c r="AD67" s="215"/>
      <c r="AE67" s="142"/>
      <c r="AF67" s="142"/>
      <c r="AG67" s="1"/>
      <c r="AJ67" s="215"/>
      <c r="AL67"/>
    </row>
    <row r="68" spans="1:39" ht="25" x14ac:dyDescent="0.3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42424</v>
      </c>
      <c r="D68" s="171">
        <f>SUM(I7,I18,V7,V18,AB7,AB18,AI7,AI18,I29,V29,AB29,AI29,,I40,V40,AB40,AI40,I51,V51,AB51,AI51,I62,V62,AB62,AI62)</f>
        <v>43878</v>
      </c>
      <c r="E68" s="171">
        <f>SUM(D7,D18,D29,D40,D51,N18,N29,N40,N51,N7,D62,N62)</f>
        <v>17501</v>
      </c>
      <c r="F68" s="171">
        <f>SUM(W7,W18,W29,W40,W51,AJ7,AJ18,AJ29,AJ40,AJ51,W62,AJ62)</f>
        <v>13332</v>
      </c>
      <c r="G68" s="171">
        <f>SUM(G7,G18,G29,G40,G51,G62)</f>
        <v>10151</v>
      </c>
      <c r="H68" s="171">
        <f>SUM(H7,H18,H29,H40,H51,H62)</f>
        <v>10243</v>
      </c>
      <c r="I68" s="171">
        <f>SUM(E7,E18,E29,E40,E51,E62)</f>
        <v>6966</v>
      </c>
      <c r="J68" s="171">
        <f>SUM(F7,F18,F29,F40,F51,F62)</f>
        <v>14672</v>
      </c>
      <c r="K68" s="171">
        <f>SUM(K7,K18,K29,K40,K51,Q7,Q18,Q29,Q40,Q51,K62,Q62)</f>
        <v>5896</v>
      </c>
      <c r="L68" s="171">
        <f>SUM(L7,L18,L29,L40,L51,L62)</f>
        <v>7604</v>
      </c>
      <c r="M68" s="199">
        <f>SUM(O7,O18,O29,O40,O51,O62)</f>
        <v>4176</v>
      </c>
      <c r="N68" s="199">
        <f>SUM(P7,P18,P29,P40,P51,P62)</f>
        <v>3222</v>
      </c>
      <c r="O68" s="171">
        <f>SUM(R7,R18,R29,R40,R51,R62)</f>
        <v>3960</v>
      </c>
      <c r="P68" s="171">
        <f>SUM(U7,U18,U29,U40,U51,U62)</f>
        <v>6070</v>
      </c>
      <c r="Q68" s="171">
        <f>SUM(X7,X18,X29,X40,X51,X62)</f>
        <v>7851</v>
      </c>
      <c r="R68" s="171">
        <f>SUM(Y7,Y18,Y29,Y40,Y51,Y62)</f>
        <v>11979</v>
      </c>
      <c r="S68" s="171">
        <f>SUM(AC7,AC18,AC29,AC40,AC51,AC62,Z7,Z18,Z29,Z40,Z51,Z62)</f>
        <v>17413</v>
      </c>
      <c r="T68" s="171">
        <f>SUM(AD7,AD18,AD29,AD40,AD51,AD62)</f>
        <v>8753</v>
      </c>
      <c r="U68" s="171">
        <f>SUM(AG7,AG18,AG29,AG40,AG51,AG62,S7,S18,S29,S40,S51,S62)</f>
        <v>2351</v>
      </c>
      <c r="V68" s="171">
        <f>SUM(AH7,AH18,AH29,AH40,AH51,AH62,AE7,AE18,AE29,AE40,AE51,AE62)</f>
        <v>4271</v>
      </c>
      <c r="W68" s="171">
        <f>SUM(AL7,AL18,AL29,AL40,AL51,AL62)</f>
        <v>0</v>
      </c>
      <c r="X68" s="175"/>
      <c r="Y68" s="175"/>
      <c r="Z68" s="175"/>
      <c r="AA68"/>
      <c r="AC68" s="251"/>
      <c r="AD68" s="215"/>
      <c r="AE68" s="175"/>
      <c r="AF68" s="175"/>
      <c r="AG68" s="1"/>
      <c r="AJ68" s="215"/>
      <c r="AL68"/>
    </row>
    <row r="69" spans="1:39" ht="25" x14ac:dyDescent="0.35">
      <c r="B69" s="38" t="s">
        <v>28</v>
      </c>
      <c r="C69" s="171">
        <f>SUM(C20,J20,M20,T20,,AA20,AF20,AK20,C31,J31,M31,T31,AA31,AF31,AK31,C42,J42,M42,T42,AA42,AF42,AK42,C53,J53,M53,T53,AA53,AF53,AK53,C64,J64,M64,T64,AA64,AF64,AK64)</f>
        <v>30143</v>
      </c>
      <c r="D69" s="171">
        <f>SUM(I20,V20,AB20,AI20,I31,V31,,AB31,AI31,I42,V42,AB42,AI42,,I53,V53,AB53,AI53,I64,V64,AB64,AI64)</f>
        <v>33290</v>
      </c>
      <c r="E69" s="171">
        <f>SUM(D20,D31,D42,D53,N20,N31,N42,N53,D64,N64,)</f>
        <v>10738</v>
      </c>
      <c r="F69" s="171">
        <f>SUM(W20,W31,W42,W53,AJ20,AJ31,AJ42,AJ53,W64,AJ64)</f>
        <v>9536</v>
      </c>
      <c r="G69" s="171">
        <f>SUM(G20,G31,G42,G53,G64)</f>
        <v>7767</v>
      </c>
      <c r="H69" s="171">
        <f>SUM(H20,H31,H42,H53,,H64)</f>
        <v>6496</v>
      </c>
      <c r="I69" s="171">
        <f>SUM(E20,E31,E42,E53,E64)</f>
        <v>5314</v>
      </c>
      <c r="J69" s="171">
        <f>SUM(F20,F31,F42,F53,F64)</f>
        <v>10117</v>
      </c>
      <c r="K69" s="171">
        <f>SUM(K20,K31,K42,K53,K64,Q20,Q31,Q42,Q53,Q64)</f>
        <v>4507</v>
      </c>
      <c r="L69" s="171">
        <f>SUM(L20,L31,L42,L53,L64)</f>
        <v>5299</v>
      </c>
      <c r="M69" s="171">
        <f>SUM(O20,O31,O42,O53,O64)</f>
        <v>2874</v>
      </c>
      <c r="N69" s="171">
        <f>SUM(P20,P31,P42,P53,P64)</f>
        <v>2268</v>
      </c>
      <c r="O69" s="171">
        <f>SUM(R20,R31,R42,R53,R64)</f>
        <v>2398</v>
      </c>
      <c r="P69" s="171">
        <f>SUM(U20,U31,U42,U53,U64)</f>
        <v>4852</v>
      </c>
      <c r="Q69" s="171">
        <f>SUM(X20,X31,X42,X53,X64)</f>
        <v>5316</v>
      </c>
      <c r="R69" s="171">
        <f>SUM(Y20,Y31,Y42,Y53,Y64)</f>
        <v>8375</v>
      </c>
      <c r="S69" s="171">
        <f>SUM(AC20,AC31,AC42,AC53,AC64,Z20,Z31,Z42,Z53,Z64)</f>
        <v>11969</v>
      </c>
      <c r="T69" s="171">
        <f>SUM(AD20,AD31,AD42,AD53,AD64)</f>
        <v>7028</v>
      </c>
      <c r="U69" s="171">
        <f>SUM(AG20,AG31,AG42,AG53,AG64,S20,S31,S42,S53,S64)</f>
        <v>1617</v>
      </c>
      <c r="V69" s="171">
        <f>SUM(AH20,AH31,AH42,AH53,AH64,AE20,AE31,AE42,AE53,AE64)</f>
        <v>3390</v>
      </c>
      <c r="W69" s="171">
        <f>SUM(AL20,AL31,AL42,AL53,AL64)</f>
        <v>0</v>
      </c>
      <c r="X69" s="197"/>
      <c r="Y69" s="197"/>
      <c r="Z69" s="197"/>
      <c r="AA69"/>
      <c r="AC69" s="251"/>
      <c r="AD69" s="215"/>
      <c r="AE69" s="197"/>
      <c r="AF69" s="197"/>
      <c r="AG69" s="1"/>
      <c r="AJ69" s="215"/>
      <c r="AL69"/>
    </row>
    <row r="70" spans="1:39" x14ac:dyDescent="0.35">
      <c r="B70" s="1"/>
      <c r="C70" s="1"/>
      <c r="E70" s="120"/>
    </row>
    <row r="71" spans="1:39" ht="15" thickBot="1" x14ac:dyDescent="0.4">
      <c r="B71" s="1"/>
      <c r="C71" s="1"/>
      <c r="E71" s="120"/>
      <c r="U71" s="214"/>
    </row>
    <row r="72" spans="1:39" ht="15" x14ac:dyDescent="0.35">
      <c r="B72" s="1"/>
      <c r="C72" s="722" t="s">
        <v>68</v>
      </c>
      <c r="D72" s="723"/>
      <c r="E72" s="724"/>
      <c r="AG72" s="1"/>
      <c r="AH72" s="1"/>
    </row>
    <row r="73" spans="1:39" x14ac:dyDescent="0.35">
      <c r="C73" s="706" t="s">
        <v>17</v>
      </c>
      <c r="D73" s="707"/>
      <c r="E73" s="373">
        <f>SUM(AM7,AM18,AM29,AM40,AM51,AM62)</f>
        <v>242713</v>
      </c>
      <c r="Q73" s="215"/>
      <c r="R73" s="215"/>
      <c r="S73" s="215"/>
      <c r="T73" s="215"/>
      <c r="U73" s="215"/>
      <c r="V73" s="215"/>
    </row>
    <row r="74" spans="1:39" x14ac:dyDescent="0.35">
      <c r="C74" s="706" t="s">
        <v>28</v>
      </c>
      <c r="D74" s="707"/>
      <c r="E74" s="392">
        <f>SUM(,AM20, AM31, AM42, AM53, AM64)</f>
        <v>173294</v>
      </c>
      <c r="N74" s="214"/>
    </row>
    <row r="75" spans="1:39" x14ac:dyDescent="0.35">
      <c r="C75" s="706" t="s">
        <v>118</v>
      </c>
      <c r="D75" s="707"/>
      <c r="E75" s="373">
        <f>AVERAGE(,AM63, AM52, AM41, AM30, AM19)</f>
        <v>6853.3888888888878</v>
      </c>
    </row>
    <row r="76" spans="1:39" ht="15" thickBot="1" x14ac:dyDescent="0.4">
      <c r="A76"/>
      <c r="B76"/>
      <c r="C76" s="708" t="s">
        <v>20</v>
      </c>
      <c r="D76" s="709"/>
      <c r="E76" s="298">
        <f>AVERAGE(AM21, AM32, AM43, AM54, AM65)</f>
        <v>7834.3466666666664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43" sqref="J43"/>
    </sheetView>
  </sheetViews>
  <sheetFormatPr defaultColWidth="9.1796875" defaultRowHeight="14.5" outlineLevelRow="1" x14ac:dyDescent="0.35"/>
  <cols>
    <col min="1" max="1" width="18.7265625" style="1" bestFit="1" customWidth="1"/>
    <col min="2" max="2" width="8.7265625" style="120" bestFit="1" customWidth="1"/>
    <col min="3" max="4" width="10.7265625" style="1" customWidth="1"/>
    <col min="5" max="5" width="10.54296875" style="1" bestFit="1" customWidth="1"/>
    <col min="6" max="6" width="12.26953125" style="1" bestFit="1" customWidth="1"/>
    <col min="7" max="7" width="10.7265625" style="1" customWidth="1"/>
    <col min="8" max="8" width="11.26953125" style="1" bestFit="1" customWidth="1"/>
    <col min="9" max="9" width="11.26953125" style="1" customWidth="1"/>
    <col min="10" max="10" width="14" style="1" customWidth="1"/>
    <col min="11" max="11" width="12.26953125" style="1" bestFit="1" customWidth="1"/>
    <col min="12" max="12" width="9.26953125" style="1" bestFit="1" customWidth="1"/>
    <col min="13" max="13" width="14.54296875" style="1" customWidth="1"/>
    <col min="14" max="14" width="12.26953125" style="1" bestFit="1" customWidth="1"/>
    <col min="15" max="22" width="15.7265625" style="11" customWidth="1"/>
    <col min="23" max="23" width="10.7265625" style="11" customWidth="1"/>
    <col min="24" max="16384" width="9.1796875" style="1"/>
  </cols>
  <sheetData>
    <row r="1" spans="1:23" ht="15" customHeight="1" x14ac:dyDescent="0.35">
      <c r="A1" s="23"/>
      <c r="B1" s="152"/>
      <c r="C1" s="766" t="s">
        <v>10</v>
      </c>
      <c r="D1" s="756"/>
      <c r="E1" s="756"/>
      <c r="F1" s="756"/>
      <c r="G1" s="756"/>
      <c r="H1" s="766" t="s">
        <v>120</v>
      </c>
      <c r="I1" s="757"/>
      <c r="J1" s="775" t="s">
        <v>119</v>
      </c>
      <c r="K1" s="699" t="s">
        <v>75</v>
      </c>
      <c r="L1" s="685"/>
      <c r="M1" s="685"/>
      <c r="N1" s="694"/>
      <c r="O1" s="756" t="s">
        <v>8</v>
      </c>
      <c r="P1" s="756"/>
      <c r="Q1" s="756"/>
      <c r="R1" s="756"/>
      <c r="S1" s="756"/>
      <c r="T1" s="756"/>
      <c r="U1" s="756"/>
      <c r="V1" s="757"/>
      <c r="W1" s="751" t="s">
        <v>17</v>
      </c>
    </row>
    <row r="2" spans="1:23" ht="15" customHeight="1" thickBot="1" x14ac:dyDescent="0.4">
      <c r="A2" s="24"/>
      <c r="B2" s="153"/>
      <c r="C2" s="767"/>
      <c r="D2" s="768"/>
      <c r="E2" s="768"/>
      <c r="F2" s="768"/>
      <c r="G2" s="768"/>
      <c r="H2" s="767"/>
      <c r="I2" s="774"/>
      <c r="J2" s="776"/>
      <c r="K2" s="769"/>
      <c r="L2" s="693"/>
      <c r="M2" s="693"/>
      <c r="N2" s="695"/>
      <c r="O2" s="758"/>
      <c r="P2" s="758"/>
      <c r="Q2" s="758"/>
      <c r="R2" s="758"/>
      <c r="S2" s="758"/>
      <c r="T2" s="758"/>
      <c r="U2" s="758"/>
      <c r="V2" s="759"/>
      <c r="W2" s="752"/>
    </row>
    <row r="3" spans="1:23" ht="15" customHeight="1" x14ac:dyDescent="0.35">
      <c r="A3" s="679" t="s">
        <v>49</v>
      </c>
      <c r="B3" s="781" t="s">
        <v>50</v>
      </c>
      <c r="C3" s="725" t="s">
        <v>14</v>
      </c>
      <c r="D3" s="726" t="s">
        <v>16</v>
      </c>
      <c r="E3" s="726" t="s">
        <v>15</v>
      </c>
      <c r="F3" s="726" t="s">
        <v>37</v>
      </c>
      <c r="G3" s="727" t="s">
        <v>38</v>
      </c>
      <c r="H3" s="770" t="s">
        <v>121</v>
      </c>
      <c r="I3" s="764" t="s">
        <v>122</v>
      </c>
      <c r="J3" s="710" t="s">
        <v>29</v>
      </c>
      <c r="K3" s="725" t="s">
        <v>14</v>
      </c>
      <c r="L3" s="726" t="s">
        <v>15</v>
      </c>
      <c r="M3" s="726" t="s">
        <v>76</v>
      </c>
      <c r="N3" s="727" t="s">
        <v>36</v>
      </c>
      <c r="O3" s="679" t="s">
        <v>32</v>
      </c>
      <c r="P3" s="754" t="s">
        <v>33</v>
      </c>
      <c r="Q3" s="680" t="s">
        <v>34</v>
      </c>
      <c r="R3" s="754" t="s">
        <v>35</v>
      </c>
      <c r="S3" s="681" t="s">
        <v>85</v>
      </c>
      <c r="T3" s="760" t="s">
        <v>14</v>
      </c>
      <c r="U3" s="762" t="s">
        <v>15</v>
      </c>
      <c r="V3" s="764" t="s">
        <v>76</v>
      </c>
      <c r="W3" s="752"/>
    </row>
    <row r="4" spans="1:23" ht="25.5" customHeight="1" thickBot="1" x14ac:dyDescent="0.4">
      <c r="A4" s="696"/>
      <c r="B4" s="782"/>
      <c r="C4" s="773"/>
      <c r="D4" s="772"/>
      <c r="E4" s="772"/>
      <c r="F4" s="772"/>
      <c r="G4" s="777"/>
      <c r="H4" s="771"/>
      <c r="I4" s="765"/>
      <c r="J4" s="712"/>
      <c r="K4" s="773"/>
      <c r="L4" s="772"/>
      <c r="M4" s="772"/>
      <c r="N4" s="777"/>
      <c r="O4" s="696"/>
      <c r="P4" s="755"/>
      <c r="Q4" s="697"/>
      <c r="R4" s="755"/>
      <c r="S4" s="698"/>
      <c r="T4" s="761"/>
      <c r="U4" s="763"/>
      <c r="V4" s="765"/>
      <c r="W4" s="753"/>
    </row>
    <row r="5" spans="1:23" ht="15" thickBot="1" x14ac:dyDescent="0.4">
      <c r="A5" s="25" t="s">
        <v>3</v>
      </c>
      <c r="B5" s="220">
        <v>44256</v>
      </c>
      <c r="C5" s="212">
        <v>105</v>
      </c>
      <c r="D5" s="194">
        <v>51</v>
      </c>
      <c r="E5" s="194">
        <v>37</v>
      </c>
      <c r="F5" s="14">
        <v>0</v>
      </c>
      <c r="G5" s="13">
        <v>185</v>
      </c>
      <c r="H5" s="309"/>
      <c r="I5" s="206">
        <v>260</v>
      </c>
      <c r="J5" s="469"/>
      <c r="K5" s="212">
        <v>424</v>
      </c>
      <c r="L5" s="194">
        <v>260</v>
      </c>
      <c r="M5" s="194"/>
      <c r="N5" s="13">
        <v>90</v>
      </c>
      <c r="O5" s="127">
        <v>769</v>
      </c>
      <c r="P5" s="14">
        <v>143</v>
      </c>
      <c r="Q5" s="14"/>
      <c r="R5" s="14">
        <v>267</v>
      </c>
      <c r="S5" s="13"/>
      <c r="T5" s="212"/>
      <c r="U5" s="194"/>
      <c r="V5" s="243"/>
      <c r="W5" s="16">
        <f t="shared" ref="W5:W11" si="0">SUM(C5:V5)</f>
        <v>2591</v>
      </c>
    </row>
    <row r="6" spans="1:23" s="3" customFormat="1" ht="15" outlineLevel="1" thickBot="1" x14ac:dyDescent="0.4">
      <c r="A6" s="25" t="s">
        <v>4</v>
      </c>
      <c r="B6" s="220">
        <v>44257</v>
      </c>
      <c r="C6" s="208">
        <v>92</v>
      </c>
      <c r="D6" s="195">
        <v>49</v>
      </c>
      <c r="E6" s="195">
        <v>37</v>
      </c>
      <c r="F6" s="20"/>
      <c r="G6" s="19">
        <v>163</v>
      </c>
      <c r="H6" s="217"/>
      <c r="I6" s="204">
        <v>247</v>
      </c>
      <c r="J6" s="193"/>
      <c r="K6" s="208">
        <v>464</v>
      </c>
      <c r="L6" s="195">
        <v>244</v>
      </c>
      <c r="M6" s="195"/>
      <c r="N6" s="19">
        <v>87</v>
      </c>
      <c r="O6" s="128">
        <v>886</v>
      </c>
      <c r="P6" s="20">
        <v>130</v>
      </c>
      <c r="Q6" s="20"/>
      <c r="R6" s="20">
        <v>324</v>
      </c>
      <c r="S6" s="19"/>
      <c r="T6" s="208"/>
      <c r="U6" s="195"/>
      <c r="V6" s="203"/>
      <c r="W6" s="252">
        <f t="shared" si="0"/>
        <v>2723</v>
      </c>
    </row>
    <row r="7" spans="1:23" s="3" customFormat="1" ht="15" outlineLevel="1" thickBot="1" x14ac:dyDescent="0.4">
      <c r="A7" s="25" t="s">
        <v>5</v>
      </c>
      <c r="B7" s="220">
        <v>44258</v>
      </c>
      <c r="C7" s="208">
        <v>113</v>
      </c>
      <c r="D7" s="195">
        <v>61</v>
      </c>
      <c r="E7" s="195">
        <v>46</v>
      </c>
      <c r="F7" s="239"/>
      <c r="G7" s="240">
        <v>217</v>
      </c>
      <c r="H7" s="217"/>
      <c r="I7" s="204">
        <v>269</v>
      </c>
      <c r="J7" s="193"/>
      <c r="K7" s="208">
        <v>553</v>
      </c>
      <c r="L7" s="195">
        <v>313</v>
      </c>
      <c r="M7" s="195"/>
      <c r="N7" s="240">
        <v>83</v>
      </c>
      <c r="O7" s="189">
        <v>994</v>
      </c>
      <c r="P7" s="239">
        <v>176</v>
      </c>
      <c r="Q7" s="239"/>
      <c r="R7" s="239">
        <v>384</v>
      </c>
      <c r="S7" s="240"/>
      <c r="T7" s="208"/>
      <c r="U7" s="195"/>
      <c r="V7" s="203"/>
      <c r="W7" s="252">
        <f t="shared" si="0"/>
        <v>3209</v>
      </c>
    </row>
    <row r="8" spans="1:23" s="3" customFormat="1" ht="15" customHeight="1" thickBot="1" x14ac:dyDescent="0.4">
      <c r="A8" s="25" t="s">
        <v>6</v>
      </c>
      <c r="B8" s="220">
        <v>44259</v>
      </c>
      <c r="C8" s="208">
        <v>89</v>
      </c>
      <c r="D8" s="195">
        <v>59</v>
      </c>
      <c r="E8" s="195">
        <v>36</v>
      </c>
      <c r="F8" s="20"/>
      <c r="G8" s="19">
        <v>180</v>
      </c>
      <c r="H8" s="217"/>
      <c r="I8" s="204">
        <v>301</v>
      </c>
      <c r="J8" s="193"/>
      <c r="K8" s="208">
        <v>516</v>
      </c>
      <c r="L8" s="170">
        <v>268</v>
      </c>
      <c r="M8" s="195"/>
      <c r="N8" s="19">
        <v>75</v>
      </c>
      <c r="O8" s="128">
        <v>913</v>
      </c>
      <c r="P8" s="20">
        <v>112</v>
      </c>
      <c r="Q8" s="20"/>
      <c r="R8" s="20">
        <v>397</v>
      </c>
      <c r="S8" s="19"/>
      <c r="T8" s="208"/>
      <c r="U8" s="195"/>
      <c r="V8" s="203"/>
      <c r="W8" s="252">
        <f t="shared" si="0"/>
        <v>2946</v>
      </c>
    </row>
    <row r="9" spans="1:23" s="3" customFormat="1" ht="15" customHeight="1" thickBot="1" x14ac:dyDescent="0.4">
      <c r="A9" s="25" t="s">
        <v>0</v>
      </c>
      <c r="B9" s="220">
        <v>44260</v>
      </c>
      <c r="C9" s="208">
        <v>76</v>
      </c>
      <c r="D9" s="195">
        <v>41</v>
      </c>
      <c r="E9" s="195">
        <v>22</v>
      </c>
      <c r="F9" s="20"/>
      <c r="G9" s="19">
        <v>120</v>
      </c>
      <c r="H9" s="217"/>
      <c r="I9" s="204">
        <v>338</v>
      </c>
      <c r="J9" s="193"/>
      <c r="K9" s="208">
        <v>391</v>
      </c>
      <c r="L9" s="195">
        <v>229</v>
      </c>
      <c r="M9" s="195"/>
      <c r="N9" s="19">
        <v>68</v>
      </c>
      <c r="O9" s="128">
        <v>893</v>
      </c>
      <c r="P9" s="20">
        <v>122</v>
      </c>
      <c r="Q9" s="20"/>
      <c r="R9" s="20">
        <v>328</v>
      </c>
      <c r="S9" s="19"/>
      <c r="T9" s="208"/>
      <c r="U9" s="195"/>
      <c r="V9" s="203"/>
      <c r="W9" s="252">
        <f t="shared" si="0"/>
        <v>2628</v>
      </c>
    </row>
    <row r="10" spans="1:23" s="2" customFormat="1" ht="15" thickBot="1" x14ac:dyDescent="0.4">
      <c r="A10" s="25" t="s">
        <v>1</v>
      </c>
      <c r="B10" s="220">
        <v>44261</v>
      </c>
      <c r="C10" s="208">
        <v>0</v>
      </c>
      <c r="D10" s="195">
        <v>0</v>
      </c>
      <c r="E10" s="195">
        <v>0</v>
      </c>
      <c r="F10" s="20"/>
      <c r="G10" s="19">
        <v>0</v>
      </c>
      <c r="H10" s="217"/>
      <c r="I10" s="204">
        <v>42</v>
      </c>
      <c r="J10" s="193"/>
      <c r="K10" s="208">
        <v>0</v>
      </c>
      <c r="L10" s="584">
        <v>0</v>
      </c>
      <c r="M10" s="195"/>
      <c r="N10" s="19">
        <v>0</v>
      </c>
      <c r="O10" s="128">
        <v>596</v>
      </c>
      <c r="P10" s="219">
        <v>0</v>
      </c>
      <c r="Q10" s="20"/>
      <c r="R10" s="20">
        <v>169</v>
      </c>
      <c r="S10" s="19"/>
      <c r="T10" s="208"/>
      <c r="U10" s="273"/>
      <c r="V10" s="203"/>
      <c r="W10" s="252">
        <f>SUM(C10:V10)</f>
        <v>807</v>
      </c>
    </row>
    <row r="11" spans="1:23" s="2" customFormat="1" ht="15" thickBot="1" x14ac:dyDescent="0.4">
      <c r="A11" s="25" t="s">
        <v>2</v>
      </c>
      <c r="B11" s="220">
        <v>44262</v>
      </c>
      <c r="C11" s="459">
        <v>0</v>
      </c>
      <c r="D11" s="460">
        <v>0</v>
      </c>
      <c r="E11" s="460">
        <v>0</v>
      </c>
      <c r="F11" s="452"/>
      <c r="G11" s="22">
        <v>0</v>
      </c>
      <c r="H11" s="461"/>
      <c r="I11" s="462">
        <v>11</v>
      </c>
      <c r="J11" s="463"/>
      <c r="K11" s="459">
        <v>0</v>
      </c>
      <c r="L11" s="584"/>
      <c r="M11" s="460"/>
      <c r="N11" s="22">
        <v>0</v>
      </c>
      <c r="O11" s="476">
        <v>448</v>
      </c>
      <c r="P11" s="477">
        <v>0</v>
      </c>
      <c r="Q11" s="477"/>
      <c r="R11" s="477">
        <v>190</v>
      </c>
      <c r="S11" s="478"/>
      <c r="T11" s="459"/>
      <c r="U11" s="460"/>
      <c r="V11" s="466"/>
      <c r="W11" s="464">
        <f t="shared" si="0"/>
        <v>649</v>
      </c>
    </row>
    <row r="12" spans="1:23" s="2" customFormat="1" ht="15" outlineLevel="1" thickBot="1" x14ac:dyDescent="0.4">
      <c r="A12" s="144" t="s">
        <v>19</v>
      </c>
      <c r="B12" s="778" t="s">
        <v>22</v>
      </c>
      <c r="C12" s="428">
        <f>SUM(C5:C11)</f>
        <v>475</v>
      </c>
      <c r="D12" s="429">
        <f>SUM(D5:D11)</f>
        <v>261</v>
      </c>
      <c r="E12" s="429">
        <f>SUM(E5:E11)</f>
        <v>178</v>
      </c>
      <c r="F12" s="429">
        <f>SUM(F5:F11)</f>
        <v>0</v>
      </c>
      <c r="G12" s="430">
        <f>SUM(G5:G11)</f>
        <v>865</v>
      </c>
      <c r="H12" s="145">
        <f t="shared" ref="H12:V12" si="1">SUM(H5:H11)</f>
        <v>0</v>
      </c>
      <c r="I12" s="430">
        <f>SUM(I5:I11)</f>
        <v>1468</v>
      </c>
      <c r="J12" s="430">
        <f t="shared" ref="J12" si="2">SUM(J5:J11)</f>
        <v>0</v>
      </c>
      <c r="K12" s="428">
        <f>SUM(K5:K11)</f>
        <v>2348</v>
      </c>
      <c r="L12" s="583">
        <f>SUM(L5:L11)</f>
        <v>1314</v>
      </c>
      <c r="M12" s="429">
        <f t="shared" si="1"/>
        <v>0</v>
      </c>
      <c r="N12" s="430">
        <f>SUM(N5:N11)</f>
        <v>403</v>
      </c>
      <c r="O12" s="145">
        <f>SUM(O5:O11)</f>
        <v>5499</v>
      </c>
      <c r="P12" s="428">
        <f>SUM(P5:P11)</f>
        <v>683</v>
      </c>
      <c r="Q12" s="428">
        <f t="shared" si="1"/>
        <v>0</v>
      </c>
      <c r="R12" s="428">
        <f>SUM(R5:R11)</f>
        <v>2059</v>
      </c>
      <c r="S12" s="428">
        <f t="shared" si="1"/>
        <v>0</v>
      </c>
      <c r="T12" s="428">
        <f t="shared" si="1"/>
        <v>0</v>
      </c>
      <c r="U12" s="428">
        <f t="shared" si="1"/>
        <v>0</v>
      </c>
      <c r="V12" s="455">
        <f t="shared" si="1"/>
        <v>0</v>
      </c>
      <c r="W12" s="456">
        <f>SUM(W5:W11)</f>
        <v>15553</v>
      </c>
    </row>
    <row r="13" spans="1:23" s="2" customFormat="1" ht="15" outlineLevel="1" thickBot="1" x14ac:dyDescent="0.4">
      <c r="A13" s="101" t="s">
        <v>21</v>
      </c>
      <c r="B13" s="779"/>
      <c r="C13" s="209">
        <f t="shared" ref="C13:W13" si="3">AVERAGE(C5:C11)</f>
        <v>67.857142857142861</v>
      </c>
      <c r="D13" s="201">
        <f t="shared" si="3"/>
        <v>37.285714285714285</v>
      </c>
      <c r="E13" s="201">
        <f t="shared" si="3"/>
        <v>25.428571428571427</v>
      </c>
      <c r="F13" s="201">
        <f>AVERAGE(F5:F11)</f>
        <v>0</v>
      </c>
      <c r="G13" s="398">
        <f t="shared" si="3"/>
        <v>123.57142857142857</v>
      </c>
      <c r="H13" s="396" t="e">
        <f t="shared" si="3"/>
        <v>#DIV/0!</v>
      </c>
      <c r="I13" s="398">
        <f t="shared" ref="I13:J13" si="4">AVERAGE(I5:I11)</f>
        <v>209.71428571428572</v>
      </c>
      <c r="J13" s="398" t="e">
        <f t="shared" si="4"/>
        <v>#DIV/0!</v>
      </c>
      <c r="K13" s="209">
        <f t="shared" si="3"/>
        <v>335.42857142857144</v>
      </c>
      <c r="L13" s="201">
        <f t="shared" si="3"/>
        <v>219</v>
      </c>
      <c r="M13" s="201" t="e">
        <f t="shared" si="3"/>
        <v>#DIV/0!</v>
      </c>
      <c r="N13" s="398">
        <f t="shared" si="3"/>
        <v>57.571428571428569</v>
      </c>
      <c r="O13" s="396">
        <f t="shared" si="3"/>
        <v>785.57142857142856</v>
      </c>
      <c r="P13" s="209">
        <f t="shared" si="3"/>
        <v>97.571428571428569</v>
      </c>
      <c r="Q13" s="209" t="e">
        <f t="shared" si="3"/>
        <v>#DIV/0!</v>
      </c>
      <c r="R13" s="209">
        <f t="shared" si="3"/>
        <v>294.14285714285717</v>
      </c>
      <c r="S13" s="209" t="e">
        <f t="shared" si="3"/>
        <v>#DIV/0!</v>
      </c>
      <c r="T13" s="209" t="e">
        <f t="shared" si="3"/>
        <v>#DIV/0!</v>
      </c>
      <c r="U13" s="209" t="e">
        <f t="shared" si="3"/>
        <v>#DIV/0!</v>
      </c>
      <c r="V13" s="395" t="e">
        <f t="shared" si="3"/>
        <v>#DIV/0!</v>
      </c>
      <c r="W13" s="399">
        <f t="shared" si="3"/>
        <v>2221.8571428571427</v>
      </c>
    </row>
    <row r="14" spans="1:23" s="2" customFormat="1" ht="15" outlineLevel="1" thickBot="1" x14ac:dyDescent="0.4">
      <c r="A14" s="26" t="s">
        <v>18</v>
      </c>
      <c r="B14" s="779"/>
      <c r="C14" s="210">
        <f t="shared" ref="C14:V14" si="5">SUM(C5:C9)</f>
        <v>475</v>
      </c>
      <c r="D14" s="202">
        <f>SUM(D5:D9)</f>
        <v>261</v>
      </c>
      <c r="E14" s="202">
        <f t="shared" si="5"/>
        <v>178</v>
      </c>
      <c r="F14" s="202">
        <f t="shared" si="5"/>
        <v>0</v>
      </c>
      <c r="G14" s="400">
        <f t="shared" si="5"/>
        <v>865</v>
      </c>
      <c r="H14" s="397">
        <f t="shared" si="5"/>
        <v>0</v>
      </c>
      <c r="I14" s="400">
        <f t="shared" ref="I14:J14" si="6">SUM(I5:I9)</f>
        <v>1415</v>
      </c>
      <c r="J14" s="400">
        <f t="shared" si="6"/>
        <v>0</v>
      </c>
      <c r="K14" s="210">
        <f t="shared" si="5"/>
        <v>2348</v>
      </c>
      <c r="L14" s="202">
        <f t="shared" si="5"/>
        <v>1314</v>
      </c>
      <c r="M14" s="202">
        <f t="shared" si="5"/>
        <v>0</v>
      </c>
      <c r="N14" s="400">
        <f t="shared" si="5"/>
        <v>403</v>
      </c>
      <c r="O14" s="397">
        <f t="shared" si="5"/>
        <v>4455</v>
      </c>
      <c r="P14" s="210">
        <f t="shared" si="5"/>
        <v>683</v>
      </c>
      <c r="Q14" s="210">
        <f t="shared" si="5"/>
        <v>0</v>
      </c>
      <c r="R14" s="210">
        <f t="shared" si="5"/>
        <v>1700</v>
      </c>
      <c r="S14" s="210">
        <f t="shared" si="5"/>
        <v>0</v>
      </c>
      <c r="T14" s="210">
        <f t="shared" si="5"/>
        <v>0</v>
      </c>
      <c r="U14" s="210">
        <f t="shared" si="5"/>
        <v>0</v>
      </c>
      <c r="V14" s="402">
        <f t="shared" si="5"/>
        <v>0</v>
      </c>
      <c r="W14" s="404">
        <f>SUM(W5:W9)</f>
        <v>14097</v>
      </c>
    </row>
    <row r="15" spans="1:23" s="2" customFormat="1" ht="15" outlineLevel="1" thickBot="1" x14ac:dyDescent="0.4">
      <c r="A15" s="26" t="s">
        <v>20</v>
      </c>
      <c r="B15" s="780"/>
      <c r="C15" s="37">
        <f>AVERAGE(C5:C9)</f>
        <v>95</v>
      </c>
      <c r="D15" s="196">
        <f t="shared" ref="D15:W15" si="7">AVERAGE(D5:D9)</f>
        <v>52.2</v>
      </c>
      <c r="E15" s="196">
        <f t="shared" si="7"/>
        <v>35.6</v>
      </c>
      <c r="F15" s="196">
        <f t="shared" si="7"/>
        <v>0</v>
      </c>
      <c r="G15" s="401">
        <f t="shared" si="7"/>
        <v>173</v>
      </c>
      <c r="H15" s="146" t="e">
        <f t="shared" si="7"/>
        <v>#DIV/0!</v>
      </c>
      <c r="I15" s="401">
        <f t="shared" ref="I15:J15" si="8">AVERAGE(I5:I9)</f>
        <v>283</v>
      </c>
      <c r="J15" s="401" t="e">
        <f t="shared" si="8"/>
        <v>#DIV/0!</v>
      </c>
      <c r="K15" s="37">
        <f t="shared" si="7"/>
        <v>469.6</v>
      </c>
      <c r="L15" s="196">
        <f t="shared" si="7"/>
        <v>262.8</v>
      </c>
      <c r="M15" s="196" t="e">
        <f t="shared" si="7"/>
        <v>#DIV/0!</v>
      </c>
      <c r="N15" s="401">
        <f t="shared" si="7"/>
        <v>80.599999999999994</v>
      </c>
      <c r="O15" s="146">
        <f>O9</f>
        <v>893</v>
      </c>
      <c r="P15" s="37">
        <f t="shared" si="7"/>
        <v>136.6</v>
      </c>
      <c r="Q15" s="37" t="e">
        <f t="shared" si="7"/>
        <v>#DIV/0!</v>
      </c>
      <c r="R15" s="37">
        <f t="shared" si="7"/>
        <v>340</v>
      </c>
      <c r="S15" s="37" t="e">
        <f t="shared" si="7"/>
        <v>#DIV/0!</v>
      </c>
      <c r="T15" s="37" t="e">
        <f t="shared" si="7"/>
        <v>#DIV/0!</v>
      </c>
      <c r="U15" s="37" t="e">
        <f t="shared" si="7"/>
        <v>#DIV/0!</v>
      </c>
      <c r="V15" s="438" t="e">
        <f t="shared" si="7"/>
        <v>#DIV/0!</v>
      </c>
      <c r="W15" s="405">
        <f t="shared" si="7"/>
        <v>2819.4</v>
      </c>
    </row>
    <row r="16" spans="1:23" s="2" customFormat="1" outlineLevel="1" x14ac:dyDescent="0.35">
      <c r="A16" s="25" t="s">
        <v>3</v>
      </c>
      <c r="B16" s="222">
        <f>B11+1</f>
        <v>44263</v>
      </c>
      <c r="C16" s="212">
        <v>71</v>
      </c>
      <c r="D16" s="194">
        <v>46</v>
      </c>
      <c r="E16" s="194">
        <v>39</v>
      </c>
      <c r="F16" s="467"/>
      <c r="G16" s="472">
        <v>193</v>
      </c>
      <c r="H16" s="309"/>
      <c r="I16" s="206">
        <v>314</v>
      </c>
      <c r="J16" s="469"/>
      <c r="K16" s="212">
        <v>461</v>
      </c>
      <c r="L16" s="194">
        <v>269</v>
      </c>
      <c r="M16" s="194"/>
      <c r="N16" s="468">
        <v>84</v>
      </c>
      <c r="O16" s="470">
        <v>794</v>
      </c>
      <c r="P16" s="467">
        <v>93</v>
      </c>
      <c r="Q16" s="471"/>
      <c r="R16" s="471">
        <v>318</v>
      </c>
      <c r="S16" s="472"/>
      <c r="T16" s="212"/>
      <c r="U16" s="194"/>
      <c r="V16" s="243"/>
      <c r="W16" s="16">
        <f>SUM(C16:V16)</f>
        <v>2682</v>
      </c>
    </row>
    <row r="17" spans="1:23" s="3" customFormat="1" outlineLevel="1" x14ac:dyDescent="0.35">
      <c r="A17" s="25" t="s">
        <v>4</v>
      </c>
      <c r="B17" s="216">
        <f t="shared" ref="B17:B22" si="9">B16+1</f>
        <v>44264</v>
      </c>
      <c r="C17" s="208">
        <v>119</v>
      </c>
      <c r="D17" s="195">
        <v>64</v>
      </c>
      <c r="E17" s="195">
        <v>51</v>
      </c>
      <c r="F17" s="178"/>
      <c r="G17" s="191">
        <v>207</v>
      </c>
      <c r="H17" s="217"/>
      <c r="I17" s="204">
        <v>311</v>
      </c>
      <c r="J17" s="469"/>
      <c r="K17" s="208">
        <v>566</v>
      </c>
      <c r="L17" s="195">
        <v>439</v>
      </c>
      <c r="M17" s="195"/>
      <c r="N17" s="352">
        <v>107</v>
      </c>
      <c r="O17" s="403">
        <v>938</v>
      </c>
      <c r="P17" s="178">
        <v>158</v>
      </c>
      <c r="Q17" s="179"/>
      <c r="R17" s="179">
        <v>408</v>
      </c>
      <c r="S17" s="191"/>
      <c r="T17" s="274"/>
      <c r="U17" s="195"/>
      <c r="V17" s="203"/>
      <c r="W17" s="252">
        <f>SUM(C17:V17)</f>
        <v>3368</v>
      </c>
    </row>
    <row r="18" spans="1:23" s="3" customFormat="1" outlineLevel="1" x14ac:dyDescent="0.35">
      <c r="A18" s="25" t="s">
        <v>5</v>
      </c>
      <c r="B18" s="216">
        <f t="shared" si="9"/>
        <v>44265</v>
      </c>
      <c r="C18" s="208">
        <v>123</v>
      </c>
      <c r="D18" s="195">
        <v>53</v>
      </c>
      <c r="E18" s="195">
        <v>55</v>
      </c>
      <c r="F18" s="178"/>
      <c r="G18" s="191">
        <v>209</v>
      </c>
      <c r="H18" s="217"/>
      <c r="I18" s="204">
        <v>352</v>
      </c>
      <c r="J18" s="469"/>
      <c r="K18" s="208">
        <v>562</v>
      </c>
      <c r="L18" s="195">
        <v>338</v>
      </c>
      <c r="M18" s="195"/>
      <c r="N18" s="352">
        <v>97</v>
      </c>
      <c r="O18" s="403">
        <v>1053</v>
      </c>
      <c r="P18" s="178">
        <v>177</v>
      </c>
      <c r="Q18" s="179"/>
      <c r="R18" s="179">
        <v>456</v>
      </c>
      <c r="S18" s="191"/>
      <c r="T18" s="274"/>
      <c r="U18" s="195"/>
      <c r="V18" s="203"/>
      <c r="W18" s="252">
        <f>SUM(C18:V18)</f>
        <v>3475</v>
      </c>
    </row>
    <row r="19" spans="1:23" s="3" customFormat="1" ht="15" customHeight="1" x14ac:dyDescent="0.35">
      <c r="A19" s="25" t="s">
        <v>6</v>
      </c>
      <c r="B19" s="216">
        <f t="shared" si="9"/>
        <v>44266</v>
      </c>
      <c r="C19" s="208">
        <v>116</v>
      </c>
      <c r="D19" s="195">
        <v>45</v>
      </c>
      <c r="E19" s="195">
        <v>47</v>
      </c>
      <c r="F19" s="178"/>
      <c r="G19" s="191">
        <v>192</v>
      </c>
      <c r="H19" s="217"/>
      <c r="I19" s="204">
        <v>290</v>
      </c>
      <c r="J19" s="469"/>
      <c r="K19" s="208">
        <v>701</v>
      </c>
      <c r="L19" s="195">
        <v>422</v>
      </c>
      <c r="M19" s="194"/>
      <c r="N19" s="352">
        <v>110</v>
      </c>
      <c r="O19" s="403">
        <v>1128</v>
      </c>
      <c r="P19" s="178">
        <v>187</v>
      </c>
      <c r="Q19" s="179"/>
      <c r="R19" s="179">
        <v>511</v>
      </c>
      <c r="S19" s="191"/>
      <c r="T19" s="274"/>
      <c r="U19" s="195"/>
      <c r="V19" s="203"/>
      <c r="W19" s="252">
        <f t="shared" ref="W19" si="10">SUM(C19:V19)</f>
        <v>3749</v>
      </c>
    </row>
    <row r="20" spans="1:23" s="3" customFormat="1" ht="15" customHeight="1" x14ac:dyDescent="0.35">
      <c r="A20" s="25" t="s">
        <v>0</v>
      </c>
      <c r="B20" s="216">
        <f t="shared" si="9"/>
        <v>44267</v>
      </c>
      <c r="C20" s="208">
        <v>104</v>
      </c>
      <c r="D20" s="195">
        <v>43</v>
      </c>
      <c r="E20" s="195">
        <v>31</v>
      </c>
      <c r="F20" s="178"/>
      <c r="G20" s="191">
        <v>125</v>
      </c>
      <c r="H20" s="217"/>
      <c r="I20" s="207">
        <v>338</v>
      </c>
      <c r="J20" s="469"/>
      <c r="K20" s="208">
        <v>539</v>
      </c>
      <c r="L20" s="195">
        <v>427</v>
      </c>
      <c r="M20" s="195"/>
      <c r="N20" s="352">
        <v>79</v>
      </c>
      <c r="O20" s="403">
        <v>988</v>
      </c>
      <c r="P20" s="178">
        <v>183</v>
      </c>
      <c r="Q20" s="179"/>
      <c r="R20" s="178">
        <v>434</v>
      </c>
      <c r="S20" s="191"/>
      <c r="T20" s="274"/>
      <c r="U20" s="195"/>
      <c r="V20" s="203"/>
      <c r="W20" s="252">
        <f>SUM(C20:V20)</f>
        <v>3291</v>
      </c>
    </row>
    <row r="21" spans="1:23" s="594" customFormat="1" ht="15" customHeight="1" x14ac:dyDescent="0.3">
      <c r="A21" s="136" t="s">
        <v>1</v>
      </c>
      <c r="B21" s="216">
        <f t="shared" si="9"/>
        <v>44268</v>
      </c>
      <c r="C21" s="195">
        <v>0</v>
      </c>
      <c r="D21" s="195">
        <v>0</v>
      </c>
      <c r="E21" s="195">
        <v>0</v>
      </c>
      <c r="F21" s="590"/>
      <c r="G21" s="590">
        <v>0</v>
      </c>
      <c r="H21" s="195"/>
      <c r="I21" s="592">
        <v>58</v>
      </c>
      <c r="J21" s="195"/>
      <c r="K21" s="195">
        <v>0</v>
      </c>
      <c r="L21" s="195">
        <v>0</v>
      </c>
      <c r="M21" s="195"/>
      <c r="N21" s="592"/>
      <c r="O21" s="592">
        <v>1021</v>
      </c>
      <c r="P21" s="592"/>
      <c r="Q21" s="590"/>
      <c r="R21" s="592">
        <v>325</v>
      </c>
      <c r="S21" s="591"/>
      <c r="T21" s="208"/>
      <c r="U21" s="195"/>
      <c r="V21" s="203"/>
      <c r="W21" s="593">
        <f>SUM(C21:V21)</f>
        <v>1404</v>
      </c>
    </row>
    <row r="22" spans="1:23" s="3" customFormat="1" ht="15" customHeight="1" thickBot="1" x14ac:dyDescent="0.4">
      <c r="A22" s="25" t="s">
        <v>2</v>
      </c>
      <c r="B22" s="216">
        <f t="shared" si="9"/>
        <v>44269</v>
      </c>
      <c r="C22" s="459"/>
      <c r="D22" s="460"/>
      <c r="E22" s="460"/>
      <c r="F22" s="473"/>
      <c r="G22" s="474"/>
      <c r="H22" s="461"/>
      <c r="I22" s="207">
        <v>17</v>
      </c>
      <c r="J22" s="469"/>
      <c r="K22" s="459"/>
      <c r="L22" s="460"/>
      <c r="M22" s="194"/>
      <c r="N22" s="191">
        <v>0</v>
      </c>
      <c r="O22" s="403">
        <v>495</v>
      </c>
      <c r="P22" s="179">
        <v>0</v>
      </c>
      <c r="Q22" s="473"/>
      <c r="R22" s="179">
        <v>285</v>
      </c>
      <c r="S22" s="474"/>
      <c r="T22" s="459"/>
      <c r="U22" s="273"/>
      <c r="V22" s="466"/>
      <c r="W22" s="464">
        <f>SUM(C22:V22)</f>
        <v>797</v>
      </c>
    </row>
    <row r="23" spans="1:23" s="3" customFormat="1" ht="15" customHeight="1" thickBot="1" x14ac:dyDescent="0.4">
      <c r="A23" s="144" t="s">
        <v>19</v>
      </c>
      <c r="B23" s="778" t="s">
        <v>23</v>
      </c>
      <c r="C23" s="428">
        <f t="shared" ref="C23:V23" si="11">SUM(C16:C22)</f>
        <v>533</v>
      </c>
      <c r="D23" s="429">
        <f t="shared" si="11"/>
        <v>251</v>
      </c>
      <c r="E23" s="429">
        <f t="shared" si="11"/>
        <v>223</v>
      </c>
      <c r="F23" s="429">
        <f t="shared" si="11"/>
        <v>0</v>
      </c>
      <c r="G23" s="430">
        <f>SUM(G16:G22)</f>
        <v>926</v>
      </c>
      <c r="H23" s="145">
        <f t="shared" si="11"/>
        <v>0</v>
      </c>
      <c r="I23" s="430">
        <f>SUM(I16:I22)</f>
        <v>1680</v>
      </c>
      <c r="J23" s="430">
        <f t="shared" ref="J23" si="12">SUM(J16:J22)</f>
        <v>0</v>
      </c>
      <c r="K23" s="428">
        <f t="shared" si="11"/>
        <v>2829</v>
      </c>
      <c r="L23" s="429">
        <f t="shared" si="11"/>
        <v>1895</v>
      </c>
      <c r="M23" s="429">
        <f t="shared" si="11"/>
        <v>0</v>
      </c>
      <c r="N23" s="430">
        <f>SUM(N16:N22)</f>
        <v>477</v>
      </c>
      <c r="O23" s="145">
        <f>SUM(O16:O22)</f>
        <v>6417</v>
      </c>
      <c r="P23" s="428">
        <f>SUM(P16:P22)</f>
        <v>798</v>
      </c>
      <c r="Q23" s="428">
        <f t="shared" si="11"/>
        <v>0</v>
      </c>
      <c r="R23" s="428">
        <f>SUM(R16:R22)</f>
        <v>2737</v>
      </c>
      <c r="S23" s="428">
        <f t="shared" si="11"/>
        <v>0</v>
      </c>
      <c r="T23" s="428">
        <f t="shared" si="11"/>
        <v>0</v>
      </c>
      <c r="U23" s="428">
        <f t="shared" si="11"/>
        <v>0</v>
      </c>
      <c r="V23" s="455">
        <f t="shared" si="11"/>
        <v>0</v>
      </c>
      <c r="W23" s="456">
        <f>SUM(W16:W22)</f>
        <v>18766</v>
      </c>
    </row>
    <row r="24" spans="1:23" s="3" customFormat="1" ht="15" customHeight="1" thickBot="1" x14ac:dyDescent="0.4">
      <c r="A24" s="101" t="s">
        <v>21</v>
      </c>
      <c r="B24" s="779"/>
      <c r="C24" s="209">
        <f t="shared" ref="C24:V24" si="13">AVERAGE(C16:C22)</f>
        <v>88.833333333333329</v>
      </c>
      <c r="D24" s="201">
        <f t="shared" si="13"/>
        <v>41.833333333333336</v>
      </c>
      <c r="E24" s="201">
        <f t="shared" si="13"/>
        <v>37.166666666666664</v>
      </c>
      <c r="F24" s="201" t="e">
        <f t="shared" si="13"/>
        <v>#DIV/0!</v>
      </c>
      <c r="G24" s="398">
        <f>AVERAGE(G16:G22)</f>
        <v>154.33333333333334</v>
      </c>
      <c r="H24" s="396" t="e">
        <f t="shared" si="13"/>
        <v>#DIV/0!</v>
      </c>
      <c r="I24" s="398">
        <f>AVERAGE(I16:I22)</f>
        <v>240</v>
      </c>
      <c r="J24" s="398" t="e">
        <f t="shared" ref="J24" si="14">AVERAGE(J16:J22)</f>
        <v>#DIV/0!</v>
      </c>
      <c r="K24" s="209">
        <f t="shared" si="13"/>
        <v>471.5</v>
      </c>
      <c r="L24" s="201">
        <f t="shared" si="13"/>
        <v>315.83333333333331</v>
      </c>
      <c r="M24" s="201" t="e">
        <f t="shared" si="13"/>
        <v>#DIV/0!</v>
      </c>
      <c r="N24" s="398">
        <f>AVERAGE(N16:N22)</f>
        <v>79.5</v>
      </c>
      <c r="O24" s="396">
        <f>AVERAGE(O16:O22)</f>
        <v>916.71428571428567</v>
      </c>
      <c r="P24" s="209">
        <f>AVERAGE(P16:P22)</f>
        <v>133</v>
      </c>
      <c r="Q24" s="209" t="e">
        <f t="shared" si="13"/>
        <v>#DIV/0!</v>
      </c>
      <c r="R24" s="209">
        <f>AVERAGE(R16:R22)</f>
        <v>391</v>
      </c>
      <c r="S24" s="209" t="e">
        <f t="shared" si="13"/>
        <v>#DIV/0!</v>
      </c>
      <c r="T24" s="209" t="e">
        <f t="shared" si="13"/>
        <v>#DIV/0!</v>
      </c>
      <c r="U24" s="209" t="e">
        <f t="shared" si="13"/>
        <v>#DIV/0!</v>
      </c>
      <c r="V24" s="395" t="e">
        <f t="shared" si="13"/>
        <v>#DIV/0!</v>
      </c>
      <c r="W24" s="399">
        <f>AVERAGE(W16:W22)</f>
        <v>2680.8571428571427</v>
      </c>
    </row>
    <row r="25" spans="1:23" s="3" customFormat="1" ht="15" customHeight="1" thickBot="1" x14ac:dyDescent="0.4">
      <c r="A25" s="26" t="s">
        <v>18</v>
      </c>
      <c r="B25" s="779"/>
      <c r="C25" s="210">
        <f t="shared" ref="C25:V25" si="15">SUM(C16:C20)</f>
        <v>533</v>
      </c>
      <c r="D25" s="202">
        <f>SUM(D16:D20)</f>
        <v>251</v>
      </c>
      <c r="E25" s="202">
        <f t="shared" si="15"/>
        <v>223</v>
      </c>
      <c r="F25" s="202">
        <f t="shared" si="15"/>
        <v>0</v>
      </c>
      <c r="G25" s="400">
        <f t="shared" si="15"/>
        <v>926</v>
      </c>
      <c r="H25" s="397">
        <f t="shared" si="15"/>
        <v>0</v>
      </c>
      <c r="I25" s="400">
        <f>SUM(I16:I20)</f>
        <v>1605</v>
      </c>
      <c r="J25" s="400">
        <f t="shared" ref="J25" si="16">SUM(J16:J20)</f>
        <v>0</v>
      </c>
      <c r="K25" s="210">
        <f t="shared" si="15"/>
        <v>2829</v>
      </c>
      <c r="L25" s="202">
        <f t="shared" si="15"/>
        <v>1895</v>
      </c>
      <c r="M25" s="202">
        <f t="shared" si="15"/>
        <v>0</v>
      </c>
      <c r="N25" s="400">
        <f t="shared" si="15"/>
        <v>477</v>
      </c>
      <c r="O25" s="397">
        <f t="shared" si="15"/>
        <v>4901</v>
      </c>
      <c r="P25" s="210">
        <f t="shared" si="15"/>
        <v>798</v>
      </c>
      <c r="Q25" s="210">
        <f t="shared" si="15"/>
        <v>0</v>
      </c>
      <c r="R25" s="210">
        <f t="shared" si="15"/>
        <v>2127</v>
      </c>
      <c r="S25" s="210">
        <f t="shared" si="15"/>
        <v>0</v>
      </c>
      <c r="T25" s="210">
        <f t="shared" si="15"/>
        <v>0</v>
      </c>
      <c r="U25" s="210">
        <f t="shared" si="15"/>
        <v>0</v>
      </c>
      <c r="V25" s="402">
        <f t="shared" si="15"/>
        <v>0</v>
      </c>
      <c r="W25" s="404">
        <f>SUM(W16:W20)</f>
        <v>16565</v>
      </c>
    </row>
    <row r="26" spans="1:23" s="3" customFormat="1" ht="15" customHeight="1" outlineLevel="1" thickBot="1" x14ac:dyDescent="0.4">
      <c r="A26" s="26" t="s">
        <v>20</v>
      </c>
      <c r="B26" s="780"/>
      <c r="C26" s="37">
        <f t="shared" ref="C26:V26" si="17">AVERAGE(C16:C20)</f>
        <v>106.6</v>
      </c>
      <c r="D26" s="196">
        <f t="shared" si="17"/>
        <v>50.2</v>
      </c>
      <c r="E26" s="196">
        <f t="shared" si="17"/>
        <v>44.6</v>
      </c>
      <c r="F26" s="196" t="e">
        <f t="shared" si="17"/>
        <v>#DIV/0!</v>
      </c>
      <c r="G26" s="401">
        <f t="shared" si="17"/>
        <v>185.2</v>
      </c>
      <c r="H26" s="146" t="e">
        <f t="shared" si="17"/>
        <v>#DIV/0!</v>
      </c>
      <c r="I26" s="401">
        <f t="shared" ref="I26:J26" si="18">AVERAGE(I16:I20)</f>
        <v>321</v>
      </c>
      <c r="J26" s="401" t="e">
        <f t="shared" si="18"/>
        <v>#DIV/0!</v>
      </c>
      <c r="K26" s="37">
        <f t="shared" si="17"/>
        <v>565.79999999999995</v>
      </c>
      <c r="L26" s="196">
        <f t="shared" si="17"/>
        <v>379</v>
      </c>
      <c r="M26" s="196" t="e">
        <f t="shared" si="17"/>
        <v>#DIV/0!</v>
      </c>
      <c r="N26" s="401">
        <f t="shared" si="17"/>
        <v>95.4</v>
      </c>
      <c r="O26" s="146">
        <f t="shared" si="17"/>
        <v>980.2</v>
      </c>
      <c r="P26" s="37">
        <f t="shared" si="17"/>
        <v>159.6</v>
      </c>
      <c r="Q26" s="37" t="e">
        <f t="shared" si="17"/>
        <v>#DIV/0!</v>
      </c>
      <c r="R26" s="37">
        <f t="shared" si="17"/>
        <v>425.4</v>
      </c>
      <c r="S26" s="37" t="e">
        <f t="shared" si="17"/>
        <v>#DIV/0!</v>
      </c>
      <c r="T26" s="37" t="e">
        <f t="shared" si="17"/>
        <v>#DIV/0!</v>
      </c>
      <c r="U26" s="37" t="e">
        <f t="shared" si="17"/>
        <v>#DIV/0!</v>
      </c>
      <c r="V26" s="438" t="e">
        <f t="shared" si="17"/>
        <v>#DIV/0!</v>
      </c>
      <c r="W26" s="405">
        <f>AVERAGE(W16:W20)</f>
        <v>3313</v>
      </c>
    </row>
    <row r="27" spans="1:23" s="3" customFormat="1" ht="15" customHeight="1" outlineLevel="1" x14ac:dyDescent="0.35">
      <c r="A27" s="25" t="s">
        <v>3</v>
      </c>
      <c r="B27" s="223">
        <f>B22+1</f>
        <v>44270</v>
      </c>
      <c r="C27" s="212">
        <v>79</v>
      </c>
      <c r="D27" s="194">
        <v>56</v>
      </c>
      <c r="E27" s="194">
        <v>43</v>
      </c>
      <c r="F27" s="14"/>
      <c r="G27" s="13">
        <v>193</v>
      </c>
      <c r="H27" s="309"/>
      <c r="I27" s="206">
        <v>306</v>
      </c>
      <c r="J27" s="469"/>
      <c r="K27" s="212">
        <v>412</v>
      </c>
      <c r="L27" s="475">
        <v>226</v>
      </c>
      <c r="M27" s="194"/>
      <c r="N27" s="13">
        <v>107</v>
      </c>
      <c r="O27" s="127">
        <v>777</v>
      </c>
      <c r="P27" s="14">
        <v>155</v>
      </c>
      <c r="Q27" s="14"/>
      <c r="R27" s="14">
        <v>281</v>
      </c>
      <c r="S27" s="13"/>
      <c r="T27" s="212"/>
      <c r="U27" s="194"/>
      <c r="V27" s="243"/>
      <c r="W27" s="16">
        <f>SUM(C27:V27)</f>
        <v>2635</v>
      </c>
    </row>
    <row r="28" spans="1:23" s="3" customFormat="1" ht="15" customHeight="1" outlineLevel="1" x14ac:dyDescent="0.35">
      <c r="A28" s="25" t="s">
        <v>4</v>
      </c>
      <c r="B28" s="224">
        <f t="shared" ref="B28:B33" si="19">B27+1</f>
        <v>44271</v>
      </c>
      <c r="C28" s="208">
        <v>95</v>
      </c>
      <c r="D28" s="195">
        <v>62</v>
      </c>
      <c r="E28" s="195">
        <v>65</v>
      </c>
      <c r="F28" s="20"/>
      <c r="G28" s="19">
        <v>175</v>
      </c>
      <c r="H28" s="217"/>
      <c r="I28" s="204">
        <v>330</v>
      </c>
      <c r="J28" s="469"/>
      <c r="K28" s="208">
        <v>501</v>
      </c>
      <c r="L28" s="195">
        <v>324</v>
      </c>
      <c r="M28" s="195"/>
      <c r="N28" s="19">
        <v>87</v>
      </c>
      <c r="O28" s="128">
        <v>905</v>
      </c>
      <c r="P28" s="20">
        <v>131</v>
      </c>
      <c r="Q28" s="20"/>
      <c r="R28" s="20">
        <v>376</v>
      </c>
      <c r="S28" s="19"/>
      <c r="T28" s="208"/>
      <c r="U28" s="195"/>
      <c r="V28" s="203"/>
      <c r="W28" s="252">
        <f>SUM(C28:V28)</f>
        <v>3051</v>
      </c>
    </row>
    <row r="29" spans="1:23" s="3" customFormat="1" ht="15" customHeight="1" outlineLevel="1" x14ac:dyDescent="0.35">
      <c r="A29" s="25" t="s">
        <v>5</v>
      </c>
      <c r="B29" s="224">
        <f t="shared" si="19"/>
        <v>44272</v>
      </c>
      <c r="C29" s="208">
        <v>108</v>
      </c>
      <c r="D29" s="195">
        <v>67</v>
      </c>
      <c r="E29" s="195">
        <v>45</v>
      </c>
      <c r="F29" s="20"/>
      <c r="G29" s="19">
        <v>193</v>
      </c>
      <c r="H29" s="217"/>
      <c r="I29" s="204">
        <v>410</v>
      </c>
      <c r="J29" s="469"/>
      <c r="K29" s="208">
        <v>546</v>
      </c>
      <c r="L29" s="195">
        <v>325</v>
      </c>
      <c r="M29" s="195"/>
      <c r="N29" s="19">
        <v>89</v>
      </c>
      <c r="O29" s="128">
        <v>1004</v>
      </c>
      <c r="P29" s="20">
        <v>161</v>
      </c>
      <c r="Q29" s="20"/>
      <c r="R29" s="20">
        <v>419</v>
      </c>
      <c r="S29" s="19"/>
      <c r="T29" s="208"/>
      <c r="U29" s="195"/>
      <c r="V29" s="203"/>
      <c r="W29" s="252">
        <f>SUM(C29:V29)</f>
        <v>3367</v>
      </c>
    </row>
    <row r="30" spans="1:23" s="3" customFormat="1" ht="15" customHeight="1" x14ac:dyDescent="0.35">
      <c r="A30" s="25" t="s">
        <v>6</v>
      </c>
      <c r="B30" s="224">
        <f t="shared" si="19"/>
        <v>44273</v>
      </c>
      <c r="C30" s="208">
        <v>85</v>
      </c>
      <c r="D30" s="195">
        <v>38</v>
      </c>
      <c r="E30" s="195">
        <v>33</v>
      </c>
      <c r="F30" s="20"/>
      <c r="G30" s="19">
        <v>160</v>
      </c>
      <c r="H30" s="217"/>
      <c r="I30" s="204">
        <v>464</v>
      </c>
      <c r="J30" s="469"/>
      <c r="K30" s="208">
        <v>409</v>
      </c>
      <c r="L30" s="195">
        <v>223</v>
      </c>
      <c r="M30" s="195"/>
      <c r="N30" s="19">
        <v>72</v>
      </c>
      <c r="O30" s="128">
        <v>780</v>
      </c>
      <c r="P30" s="20">
        <v>110</v>
      </c>
      <c r="Q30" s="20"/>
      <c r="R30" s="20">
        <v>322</v>
      </c>
      <c r="S30" s="19"/>
      <c r="T30" s="208"/>
      <c r="U30" s="195"/>
      <c r="V30" s="203"/>
      <c r="W30" s="252">
        <f t="shared" ref="W30:W32" si="20">SUM(C30:V30)</f>
        <v>2696</v>
      </c>
    </row>
    <row r="31" spans="1:23" s="3" customFormat="1" ht="15" customHeight="1" x14ac:dyDescent="0.35">
      <c r="A31" s="25" t="s">
        <v>0</v>
      </c>
      <c r="B31" s="224">
        <f t="shared" si="19"/>
        <v>44274</v>
      </c>
      <c r="C31" s="208">
        <v>73</v>
      </c>
      <c r="D31" s="195">
        <v>39</v>
      </c>
      <c r="E31" s="195">
        <v>34</v>
      </c>
      <c r="F31" s="20"/>
      <c r="G31" s="19">
        <v>128</v>
      </c>
      <c r="H31" s="217"/>
      <c r="I31" s="204">
        <v>511</v>
      </c>
      <c r="J31" s="469"/>
      <c r="K31" s="208">
        <v>410</v>
      </c>
      <c r="L31" s="195">
        <v>296</v>
      </c>
      <c r="M31" s="195"/>
      <c r="N31" s="19">
        <v>65</v>
      </c>
      <c r="O31" s="128">
        <v>930</v>
      </c>
      <c r="P31" s="20">
        <v>150</v>
      </c>
      <c r="Q31" s="20"/>
      <c r="R31" s="20">
        <v>330</v>
      </c>
      <c r="S31" s="19"/>
      <c r="T31" s="208"/>
      <c r="U31" s="195"/>
      <c r="V31" s="203"/>
      <c r="W31" s="252">
        <f>SUM(C31:V31)</f>
        <v>2966</v>
      </c>
    </row>
    <row r="32" spans="1:23" s="3" customFormat="1" ht="15" customHeight="1" x14ac:dyDescent="0.35">
      <c r="A32" s="25" t="s">
        <v>1</v>
      </c>
      <c r="B32" s="224">
        <f t="shared" si="19"/>
        <v>44275</v>
      </c>
      <c r="C32" s="208">
        <v>0</v>
      </c>
      <c r="D32" s="195">
        <v>0</v>
      </c>
      <c r="E32" s="195">
        <v>0</v>
      </c>
      <c r="F32" s="20"/>
      <c r="G32" s="19">
        <v>0</v>
      </c>
      <c r="H32" s="217"/>
      <c r="I32" s="204">
        <v>40</v>
      </c>
      <c r="J32" s="469"/>
      <c r="K32" s="208">
        <v>0</v>
      </c>
      <c r="L32" s="195">
        <v>0</v>
      </c>
      <c r="M32" s="195"/>
      <c r="N32" s="19">
        <v>0</v>
      </c>
      <c r="O32" s="128">
        <v>1051</v>
      </c>
      <c r="P32" s="20">
        <v>0</v>
      </c>
      <c r="Q32" s="20"/>
      <c r="R32" s="20">
        <v>586</v>
      </c>
      <c r="S32" s="19"/>
      <c r="T32" s="208"/>
      <c r="U32" s="195"/>
      <c r="V32" s="203"/>
      <c r="W32" s="252">
        <f t="shared" si="20"/>
        <v>1677</v>
      </c>
    </row>
    <row r="33" spans="1:23" s="3" customFormat="1" ht="15" customHeight="1" thickBot="1" x14ac:dyDescent="0.4">
      <c r="A33" s="25" t="s">
        <v>2</v>
      </c>
      <c r="B33" s="224">
        <f t="shared" si="19"/>
        <v>44276</v>
      </c>
      <c r="C33" s="459">
        <v>0</v>
      </c>
      <c r="D33" s="460">
        <v>0</v>
      </c>
      <c r="E33" s="460">
        <v>0</v>
      </c>
      <c r="F33" s="452"/>
      <c r="G33" s="22">
        <v>0</v>
      </c>
      <c r="H33" s="461"/>
      <c r="I33" s="529">
        <v>12</v>
      </c>
      <c r="J33" s="469"/>
      <c r="K33" s="459">
        <v>0</v>
      </c>
      <c r="L33" s="460">
        <v>0</v>
      </c>
      <c r="M33" s="460"/>
      <c r="N33" s="22">
        <v>0</v>
      </c>
      <c r="O33" s="465">
        <v>886</v>
      </c>
      <c r="P33" s="452">
        <v>0</v>
      </c>
      <c r="Q33" s="452"/>
      <c r="R33" s="452">
        <v>592</v>
      </c>
      <c r="S33" s="22"/>
      <c r="T33" s="459"/>
      <c r="U33" s="460"/>
      <c r="V33" s="466"/>
      <c r="W33" s="464">
        <f>SUM(C33:V33)</f>
        <v>1490</v>
      </c>
    </row>
    <row r="34" spans="1:23" s="3" customFormat="1" ht="15" customHeight="1" thickBot="1" x14ac:dyDescent="0.4">
      <c r="A34" s="144" t="s">
        <v>19</v>
      </c>
      <c r="B34" s="778" t="s">
        <v>24</v>
      </c>
      <c r="C34" s="428">
        <f t="shared" ref="C34:V34" si="21">SUM(C27:C33)</f>
        <v>440</v>
      </c>
      <c r="D34" s="429">
        <f t="shared" si="21"/>
        <v>262</v>
      </c>
      <c r="E34" s="429">
        <f t="shared" si="21"/>
        <v>220</v>
      </c>
      <c r="F34" s="429">
        <f t="shared" si="21"/>
        <v>0</v>
      </c>
      <c r="G34" s="430">
        <f t="shared" si="21"/>
        <v>849</v>
      </c>
      <c r="H34" s="145">
        <f t="shared" si="21"/>
        <v>0</v>
      </c>
      <c r="I34" s="430">
        <f t="shared" si="21"/>
        <v>2073</v>
      </c>
      <c r="J34" s="430">
        <f t="shared" si="21"/>
        <v>0</v>
      </c>
      <c r="K34" s="428">
        <f t="shared" si="21"/>
        <v>2278</v>
      </c>
      <c r="L34" s="429">
        <f t="shared" si="21"/>
        <v>1394</v>
      </c>
      <c r="M34" s="429">
        <f t="shared" si="21"/>
        <v>0</v>
      </c>
      <c r="N34" s="430">
        <f t="shared" si="21"/>
        <v>420</v>
      </c>
      <c r="O34" s="145">
        <f t="shared" si="21"/>
        <v>6333</v>
      </c>
      <c r="P34" s="428">
        <f t="shared" si="21"/>
        <v>707</v>
      </c>
      <c r="Q34" s="428">
        <f t="shared" si="21"/>
        <v>0</v>
      </c>
      <c r="R34" s="428">
        <f t="shared" si="21"/>
        <v>2906</v>
      </c>
      <c r="S34" s="428">
        <f t="shared" si="21"/>
        <v>0</v>
      </c>
      <c r="T34" s="428">
        <f t="shared" si="21"/>
        <v>0</v>
      </c>
      <c r="U34" s="428">
        <f t="shared" si="21"/>
        <v>0</v>
      </c>
      <c r="V34" s="455">
        <f t="shared" si="21"/>
        <v>0</v>
      </c>
      <c r="W34" s="456">
        <f>SUM(W27:W33)</f>
        <v>17882</v>
      </c>
    </row>
    <row r="35" spans="1:23" s="3" customFormat="1" ht="15" customHeight="1" thickBot="1" x14ac:dyDescent="0.4">
      <c r="A35" s="101" t="s">
        <v>21</v>
      </c>
      <c r="B35" s="779"/>
      <c r="C35" s="209">
        <f t="shared" ref="C35:W35" si="22">AVERAGE(C27:C33)</f>
        <v>62.857142857142854</v>
      </c>
      <c r="D35" s="201">
        <f t="shared" si="22"/>
        <v>37.428571428571431</v>
      </c>
      <c r="E35" s="201">
        <f t="shared" si="22"/>
        <v>31.428571428571427</v>
      </c>
      <c r="F35" s="201" t="e">
        <f t="shared" si="22"/>
        <v>#DIV/0!</v>
      </c>
      <c r="G35" s="398">
        <f t="shared" si="22"/>
        <v>121.28571428571429</v>
      </c>
      <c r="H35" s="396" t="e">
        <f t="shared" si="22"/>
        <v>#DIV/0!</v>
      </c>
      <c r="I35" s="398">
        <f t="shared" si="22"/>
        <v>296.14285714285717</v>
      </c>
      <c r="J35" s="398" t="e">
        <f t="shared" si="22"/>
        <v>#DIV/0!</v>
      </c>
      <c r="K35" s="209">
        <f t="shared" si="22"/>
        <v>325.42857142857144</v>
      </c>
      <c r="L35" s="201">
        <f t="shared" si="22"/>
        <v>199.14285714285714</v>
      </c>
      <c r="M35" s="201" t="e">
        <f t="shared" si="22"/>
        <v>#DIV/0!</v>
      </c>
      <c r="N35" s="398">
        <f t="shared" si="22"/>
        <v>60</v>
      </c>
      <c r="O35" s="396">
        <f t="shared" si="22"/>
        <v>904.71428571428567</v>
      </c>
      <c r="P35" s="209">
        <f t="shared" si="22"/>
        <v>101</v>
      </c>
      <c r="Q35" s="209" t="e">
        <f t="shared" si="22"/>
        <v>#DIV/0!</v>
      </c>
      <c r="R35" s="209">
        <f t="shared" si="22"/>
        <v>415.14285714285717</v>
      </c>
      <c r="S35" s="209" t="e">
        <f t="shared" si="22"/>
        <v>#DIV/0!</v>
      </c>
      <c r="T35" s="209" t="e">
        <f t="shared" si="22"/>
        <v>#DIV/0!</v>
      </c>
      <c r="U35" s="209" t="e">
        <f t="shared" si="22"/>
        <v>#DIV/0!</v>
      </c>
      <c r="V35" s="395" t="e">
        <f t="shared" si="22"/>
        <v>#DIV/0!</v>
      </c>
      <c r="W35" s="399">
        <f t="shared" si="22"/>
        <v>2554.5714285714284</v>
      </c>
    </row>
    <row r="36" spans="1:23" s="3" customFormat="1" ht="15" customHeight="1" thickBot="1" x14ac:dyDescent="0.4">
      <c r="A36" s="26" t="s">
        <v>18</v>
      </c>
      <c r="B36" s="779"/>
      <c r="C36" s="210">
        <f t="shared" ref="C36:V36" si="23">SUM(C27:C31)</f>
        <v>440</v>
      </c>
      <c r="D36" s="202">
        <f t="shared" si="23"/>
        <v>262</v>
      </c>
      <c r="E36" s="202">
        <f t="shared" si="23"/>
        <v>220</v>
      </c>
      <c r="F36" s="202">
        <f t="shared" si="23"/>
        <v>0</v>
      </c>
      <c r="G36" s="400">
        <f t="shared" si="23"/>
        <v>849</v>
      </c>
      <c r="H36" s="397">
        <f t="shared" si="23"/>
        <v>0</v>
      </c>
      <c r="I36" s="400">
        <f>SUM(I27:I31)</f>
        <v>2021</v>
      </c>
      <c r="J36" s="400">
        <f>SUM(J27:J31)</f>
        <v>0</v>
      </c>
      <c r="K36" s="210">
        <f t="shared" si="23"/>
        <v>2278</v>
      </c>
      <c r="L36" s="202">
        <f t="shared" si="23"/>
        <v>1394</v>
      </c>
      <c r="M36" s="202">
        <f t="shared" si="23"/>
        <v>0</v>
      </c>
      <c r="N36" s="400">
        <f t="shared" si="23"/>
        <v>420</v>
      </c>
      <c r="O36" s="397">
        <f t="shared" si="23"/>
        <v>4396</v>
      </c>
      <c r="P36" s="210">
        <f t="shared" si="23"/>
        <v>707</v>
      </c>
      <c r="Q36" s="210">
        <f t="shared" si="23"/>
        <v>0</v>
      </c>
      <c r="R36" s="210">
        <f t="shared" si="23"/>
        <v>1728</v>
      </c>
      <c r="S36" s="210">
        <f t="shared" si="23"/>
        <v>0</v>
      </c>
      <c r="T36" s="210">
        <f t="shared" si="23"/>
        <v>0</v>
      </c>
      <c r="U36" s="210">
        <f t="shared" si="23"/>
        <v>0</v>
      </c>
      <c r="V36" s="402">
        <f t="shared" si="23"/>
        <v>0</v>
      </c>
      <c r="W36" s="404">
        <f>SUM(W27:W31)</f>
        <v>14715</v>
      </c>
    </row>
    <row r="37" spans="1:23" s="3" customFormat="1" ht="15" customHeight="1" outlineLevel="1" thickBot="1" x14ac:dyDescent="0.4">
      <c r="A37" s="26" t="s">
        <v>20</v>
      </c>
      <c r="B37" s="780"/>
      <c r="C37" s="37">
        <f>AVERAGE(C27:C31)</f>
        <v>88</v>
      </c>
      <c r="D37" s="196">
        <f t="shared" ref="D37:V37" si="24">AVERAGE(D27:D31)</f>
        <v>52.4</v>
      </c>
      <c r="E37" s="196">
        <f t="shared" si="24"/>
        <v>44</v>
      </c>
      <c r="F37" s="196" t="e">
        <f t="shared" si="24"/>
        <v>#DIV/0!</v>
      </c>
      <c r="G37" s="401">
        <f t="shared" si="24"/>
        <v>169.8</v>
      </c>
      <c r="H37" s="146" t="e">
        <f t="shared" si="24"/>
        <v>#DIV/0!</v>
      </c>
      <c r="I37" s="401">
        <f t="shared" si="24"/>
        <v>404.2</v>
      </c>
      <c r="J37" s="401" t="e">
        <f t="shared" si="24"/>
        <v>#DIV/0!</v>
      </c>
      <c r="K37" s="37">
        <f t="shared" si="24"/>
        <v>455.6</v>
      </c>
      <c r="L37" s="196">
        <f t="shared" si="24"/>
        <v>278.8</v>
      </c>
      <c r="M37" s="196" t="e">
        <f t="shared" si="24"/>
        <v>#DIV/0!</v>
      </c>
      <c r="N37" s="401">
        <f t="shared" si="24"/>
        <v>84</v>
      </c>
      <c r="O37" s="146">
        <f t="shared" si="24"/>
        <v>879.2</v>
      </c>
      <c r="P37" s="37">
        <f t="shared" si="24"/>
        <v>141.4</v>
      </c>
      <c r="Q37" s="37" t="e">
        <f t="shared" si="24"/>
        <v>#DIV/0!</v>
      </c>
      <c r="R37" s="37">
        <f t="shared" si="24"/>
        <v>345.6</v>
      </c>
      <c r="S37" s="37" t="e">
        <f t="shared" si="24"/>
        <v>#DIV/0!</v>
      </c>
      <c r="T37" s="37" t="e">
        <f t="shared" si="24"/>
        <v>#DIV/0!</v>
      </c>
      <c r="U37" s="37" t="e">
        <f t="shared" si="24"/>
        <v>#DIV/0!</v>
      </c>
      <c r="V37" s="438" t="e">
        <f t="shared" si="24"/>
        <v>#DIV/0!</v>
      </c>
      <c r="W37" s="405">
        <f>AVERAGE(W27:W31)</f>
        <v>2943</v>
      </c>
    </row>
    <row r="38" spans="1:23" s="3" customFormat="1" ht="15" customHeight="1" outlineLevel="1" x14ac:dyDescent="0.35">
      <c r="A38" s="25" t="s">
        <v>3</v>
      </c>
      <c r="B38" s="223">
        <f>B33+1</f>
        <v>44277</v>
      </c>
      <c r="C38" s="349">
        <v>73</v>
      </c>
      <c r="D38" s="535">
        <v>52</v>
      </c>
      <c r="E38" s="535">
        <v>41</v>
      </c>
      <c r="F38" s="536"/>
      <c r="G38" s="537">
        <v>159</v>
      </c>
      <c r="H38" s="538"/>
      <c r="I38" s="539">
        <v>732</v>
      </c>
      <c r="J38" s="540"/>
      <c r="K38" s="349">
        <v>538</v>
      </c>
      <c r="L38" s="535">
        <v>379</v>
      </c>
      <c r="M38" s="535"/>
      <c r="N38" s="537">
        <v>93</v>
      </c>
      <c r="O38" s="541">
        <v>1024</v>
      </c>
      <c r="P38" s="536">
        <v>158</v>
      </c>
      <c r="Q38" s="536"/>
      <c r="R38" s="542">
        <v>453</v>
      </c>
      <c r="S38" s="543"/>
      <c r="T38" s="349"/>
      <c r="U38" s="535"/>
      <c r="V38" s="544"/>
      <c r="W38" s="16">
        <f t="shared" ref="W38:W44" si="25">SUM(C38:V38)</f>
        <v>3702</v>
      </c>
    </row>
    <row r="39" spans="1:23" s="3" customFormat="1" ht="15" customHeight="1" outlineLevel="1" x14ac:dyDescent="0.35">
      <c r="A39" s="136" t="s">
        <v>4</v>
      </c>
      <c r="B39" s="224">
        <f t="shared" ref="B39:B44" si="26">B38+1</f>
        <v>44278</v>
      </c>
      <c r="C39" s="545">
        <v>98</v>
      </c>
      <c r="D39" s="546">
        <v>67</v>
      </c>
      <c r="E39" s="546">
        <v>49</v>
      </c>
      <c r="F39" s="547"/>
      <c r="G39" s="548">
        <v>186</v>
      </c>
      <c r="H39" s="549"/>
      <c r="I39" s="550">
        <v>696</v>
      </c>
      <c r="J39" s="551"/>
      <c r="K39" s="545">
        <v>627</v>
      </c>
      <c r="L39" s="552">
        <v>416</v>
      </c>
      <c r="M39" s="546"/>
      <c r="N39" s="548">
        <v>114</v>
      </c>
      <c r="O39" s="553">
        <v>1110</v>
      </c>
      <c r="P39" s="554">
        <v>200</v>
      </c>
      <c r="Q39" s="547"/>
      <c r="R39" s="547">
        <v>509</v>
      </c>
      <c r="S39" s="548"/>
      <c r="T39" s="545"/>
      <c r="U39" s="546"/>
      <c r="V39" s="555"/>
      <c r="W39" s="252">
        <f t="shared" si="25"/>
        <v>4072</v>
      </c>
    </row>
    <row r="40" spans="1:23" s="3" customFormat="1" ht="15" customHeight="1" outlineLevel="1" x14ac:dyDescent="0.35">
      <c r="A40" s="136" t="s">
        <v>5</v>
      </c>
      <c r="B40" s="224">
        <f t="shared" si="26"/>
        <v>44279</v>
      </c>
      <c r="C40" s="545">
        <v>91</v>
      </c>
      <c r="D40" s="546">
        <v>47</v>
      </c>
      <c r="E40" s="546">
        <v>74</v>
      </c>
      <c r="F40" s="547"/>
      <c r="G40" s="548">
        <v>198</v>
      </c>
      <c r="H40" s="549"/>
      <c r="I40" s="550">
        <v>642</v>
      </c>
      <c r="J40" s="551"/>
      <c r="K40" s="545">
        <v>466</v>
      </c>
      <c r="L40" s="546">
        <v>288</v>
      </c>
      <c r="M40" s="546"/>
      <c r="N40" s="548">
        <v>161</v>
      </c>
      <c r="O40" s="553">
        <v>942</v>
      </c>
      <c r="P40" s="547">
        <v>142</v>
      </c>
      <c r="Q40" s="547"/>
      <c r="R40" s="547">
        <v>377</v>
      </c>
      <c r="S40" s="548"/>
      <c r="T40" s="545"/>
      <c r="U40" s="546"/>
      <c r="V40" s="555"/>
      <c r="W40" s="252">
        <f t="shared" si="25"/>
        <v>3428</v>
      </c>
    </row>
    <row r="41" spans="1:23" s="3" customFormat="1" ht="15" customHeight="1" x14ac:dyDescent="0.35">
      <c r="A41" s="136" t="s">
        <v>6</v>
      </c>
      <c r="B41" s="224">
        <f t="shared" si="26"/>
        <v>44280</v>
      </c>
      <c r="C41" s="545">
        <v>101</v>
      </c>
      <c r="D41" s="546">
        <v>39</v>
      </c>
      <c r="E41" s="546">
        <v>58</v>
      </c>
      <c r="F41" s="547"/>
      <c r="G41" s="548">
        <v>189</v>
      </c>
      <c r="H41" s="549"/>
      <c r="I41" s="550">
        <v>752</v>
      </c>
      <c r="J41" s="551"/>
      <c r="K41" s="275">
        <v>595</v>
      </c>
      <c r="L41" s="546">
        <v>327</v>
      </c>
      <c r="M41" s="546"/>
      <c r="N41" s="548">
        <v>113</v>
      </c>
      <c r="O41" s="553">
        <v>1166</v>
      </c>
      <c r="P41" s="547">
        <v>188</v>
      </c>
      <c r="Q41" s="547"/>
      <c r="R41" s="547">
        <v>461</v>
      </c>
      <c r="S41" s="548"/>
      <c r="T41" s="545"/>
      <c r="U41" s="546"/>
      <c r="V41" s="555"/>
      <c r="W41" s="252">
        <f t="shared" si="25"/>
        <v>3989</v>
      </c>
    </row>
    <row r="42" spans="1:23" s="3" customFormat="1" ht="15" customHeight="1" x14ac:dyDescent="0.35">
      <c r="A42" s="25" t="s">
        <v>0</v>
      </c>
      <c r="B42" s="225">
        <f t="shared" si="26"/>
        <v>44281</v>
      </c>
      <c r="C42" s="545">
        <v>77</v>
      </c>
      <c r="D42" s="546">
        <v>38</v>
      </c>
      <c r="E42" s="546">
        <v>35</v>
      </c>
      <c r="F42" s="547"/>
      <c r="G42" s="548">
        <v>103</v>
      </c>
      <c r="H42" s="549"/>
      <c r="I42" s="550">
        <v>688</v>
      </c>
      <c r="J42" s="551"/>
      <c r="K42" s="545">
        <v>615</v>
      </c>
      <c r="L42" s="546">
        <v>348</v>
      </c>
      <c r="M42" s="546"/>
      <c r="N42" s="548">
        <v>99</v>
      </c>
      <c r="O42" s="553">
        <v>1063</v>
      </c>
      <c r="P42" s="547">
        <v>161</v>
      </c>
      <c r="Q42" s="547"/>
      <c r="R42" s="547">
        <v>446</v>
      </c>
      <c r="S42" s="548"/>
      <c r="T42" s="545"/>
      <c r="U42" s="546"/>
      <c r="V42" s="555"/>
      <c r="W42" s="252">
        <f t="shared" si="25"/>
        <v>3673</v>
      </c>
    </row>
    <row r="43" spans="1:23" s="3" customFormat="1" ht="15" customHeight="1" x14ac:dyDescent="0.35">
      <c r="A43" s="25" t="s">
        <v>1</v>
      </c>
      <c r="B43" s="225">
        <f t="shared" si="26"/>
        <v>44282</v>
      </c>
      <c r="C43" s="545">
        <v>0</v>
      </c>
      <c r="D43" s="546">
        <v>0</v>
      </c>
      <c r="E43" s="546">
        <v>0</v>
      </c>
      <c r="F43" s="547"/>
      <c r="G43" s="548">
        <v>0</v>
      </c>
      <c r="H43" s="549"/>
      <c r="I43" s="550">
        <v>60</v>
      </c>
      <c r="J43" s="551"/>
      <c r="K43" s="545">
        <v>0</v>
      </c>
      <c r="L43" s="546">
        <v>0</v>
      </c>
      <c r="M43" s="546"/>
      <c r="N43" s="548">
        <v>0</v>
      </c>
      <c r="O43" s="553">
        <v>1318</v>
      </c>
      <c r="P43" s="547">
        <v>0</v>
      </c>
      <c r="Q43" s="547"/>
      <c r="R43" s="547">
        <v>861</v>
      </c>
      <c r="S43" s="548"/>
      <c r="T43" s="545"/>
      <c r="U43" s="546"/>
      <c r="V43" s="555"/>
      <c r="W43" s="252">
        <f t="shared" si="25"/>
        <v>2239</v>
      </c>
    </row>
    <row r="44" spans="1:23" s="3" customFormat="1" ht="15" customHeight="1" thickBot="1" x14ac:dyDescent="0.4">
      <c r="A44" s="136" t="s">
        <v>2</v>
      </c>
      <c r="B44" s="225">
        <f t="shared" si="26"/>
        <v>44283</v>
      </c>
      <c r="C44" s="556">
        <v>0</v>
      </c>
      <c r="D44" s="557">
        <v>0</v>
      </c>
      <c r="E44" s="557">
        <v>0</v>
      </c>
      <c r="F44" s="558"/>
      <c r="G44" s="559">
        <v>0</v>
      </c>
      <c r="H44" s="560"/>
      <c r="I44" s="561">
        <v>19</v>
      </c>
      <c r="J44" s="562"/>
      <c r="K44" s="556">
        <v>0</v>
      </c>
      <c r="L44" s="557">
        <v>0</v>
      </c>
      <c r="M44" s="557"/>
      <c r="N44" s="559">
        <v>0</v>
      </c>
      <c r="O44" s="563">
        <v>234</v>
      </c>
      <c r="P44" s="558">
        <v>0</v>
      </c>
      <c r="Q44" s="558"/>
      <c r="R44" s="558">
        <v>104</v>
      </c>
      <c r="S44" s="559"/>
      <c r="T44" s="556"/>
      <c r="U44" s="557"/>
      <c r="V44" s="443"/>
      <c r="W44" s="464">
        <f t="shared" si="25"/>
        <v>357</v>
      </c>
    </row>
    <row r="45" spans="1:23" s="3" customFormat="1" ht="15" customHeight="1" thickBot="1" x14ac:dyDescent="0.4">
      <c r="A45" s="144" t="s">
        <v>19</v>
      </c>
      <c r="B45" s="778" t="s">
        <v>25</v>
      </c>
      <c r="C45" s="428">
        <f t="shared" ref="C45:V45" si="27">SUM(C38:C44)</f>
        <v>440</v>
      </c>
      <c r="D45" s="429">
        <f t="shared" si="27"/>
        <v>243</v>
      </c>
      <c r="E45" s="429">
        <f t="shared" si="27"/>
        <v>257</v>
      </c>
      <c r="F45" s="429">
        <f t="shared" si="27"/>
        <v>0</v>
      </c>
      <c r="G45" s="430">
        <f t="shared" si="27"/>
        <v>835</v>
      </c>
      <c r="H45" s="145">
        <f t="shared" si="27"/>
        <v>0</v>
      </c>
      <c r="I45" s="430">
        <f>SUM(I38:I44)</f>
        <v>3589</v>
      </c>
      <c r="J45" s="430">
        <f>SUM(J38:J44)</f>
        <v>0</v>
      </c>
      <c r="K45" s="428">
        <f t="shared" si="27"/>
        <v>2841</v>
      </c>
      <c r="L45" s="429">
        <f t="shared" si="27"/>
        <v>1758</v>
      </c>
      <c r="M45" s="429">
        <f t="shared" si="27"/>
        <v>0</v>
      </c>
      <c r="N45" s="430">
        <f t="shared" si="27"/>
        <v>580</v>
      </c>
      <c r="O45" s="145">
        <f t="shared" si="27"/>
        <v>6857</v>
      </c>
      <c r="P45" s="428">
        <f t="shared" si="27"/>
        <v>849</v>
      </c>
      <c r="Q45" s="428">
        <f t="shared" si="27"/>
        <v>0</v>
      </c>
      <c r="R45" s="428">
        <f t="shared" si="27"/>
        <v>3211</v>
      </c>
      <c r="S45" s="428">
        <f t="shared" si="27"/>
        <v>0</v>
      </c>
      <c r="T45" s="428">
        <f t="shared" si="27"/>
        <v>0</v>
      </c>
      <c r="U45" s="428">
        <f t="shared" si="27"/>
        <v>0</v>
      </c>
      <c r="V45" s="455">
        <f t="shared" si="27"/>
        <v>0</v>
      </c>
      <c r="W45" s="456">
        <f>SUM(W38:W44)</f>
        <v>21460</v>
      </c>
    </row>
    <row r="46" spans="1:23" s="3" customFormat="1" ht="15" customHeight="1" thickBot="1" x14ac:dyDescent="0.4">
      <c r="A46" s="101" t="s">
        <v>21</v>
      </c>
      <c r="B46" s="779"/>
      <c r="C46" s="209">
        <f t="shared" ref="C46:W46" si="28">AVERAGE(C38:C44)</f>
        <v>62.857142857142854</v>
      </c>
      <c r="D46" s="201">
        <f t="shared" si="28"/>
        <v>34.714285714285715</v>
      </c>
      <c r="E46" s="201">
        <f t="shared" si="28"/>
        <v>36.714285714285715</v>
      </c>
      <c r="F46" s="201" t="e">
        <f t="shared" si="28"/>
        <v>#DIV/0!</v>
      </c>
      <c r="G46" s="398">
        <f t="shared" si="28"/>
        <v>119.28571428571429</v>
      </c>
      <c r="H46" s="396" t="e">
        <f t="shared" si="28"/>
        <v>#DIV/0!</v>
      </c>
      <c r="I46" s="398">
        <f t="shared" si="28"/>
        <v>512.71428571428567</v>
      </c>
      <c r="J46" s="398" t="e">
        <f t="shared" si="28"/>
        <v>#DIV/0!</v>
      </c>
      <c r="K46" s="209">
        <f t="shared" si="28"/>
        <v>405.85714285714283</v>
      </c>
      <c r="L46" s="201">
        <f t="shared" si="28"/>
        <v>251.14285714285714</v>
      </c>
      <c r="M46" s="201" t="e">
        <f t="shared" si="28"/>
        <v>#DIV/0!</v>
      </c>
      <c r="N46" s="398">
        <f t="shared" si="28"/>
        <v>82.857142857142861</v>
      </c>
      <c r="O46" s="396">
        <f t="shared" si="28"/>
        <v>979.57142857142856</v>
      </c>
      <c r="P46" s="209">
        <f t="shared" si="28"/>
        <v>121.28571428571429</v>
      </c>
      <c r="Q46" s="209" t="e">
        <f t="shared" si="28"/>
        <v>#DIV/0!</v>
      </c>
      <c r="R46" s="209">
        <f t="shared" si="28"/>
        <v>458.71428571428572</v>
      </c>
      <c r="S46" s="209" t="e">
        <f t="shared" si="28"/>
        <v>#DIV/0!</v>
      </c>
      <c r="T46" s="209" t="e">
        <f t="shared" si="28"/>
        <v>#DIV/0!</v>
      </c>
      <c r="U46" s="209" t="e">
        <f t="shared" si="28"/>
        <v>#DIV/0!</v>
      </c>
      <c r="V46" s="395" t="e">
        <f t="shared" si="28"/>
        <v>#DIV/0!</v>
      </c>
      <c r="W46" s="399">
        <f t="shared" si="28"/>
        <v>3065.7142857142858</v>
      </c>
    </row>
    <row r="47" spans="1:23" s="3" customFormat="1" ht="15" customHeight="1" thickBot="1" x14ac:dyDescent="0.4">
      <c r="A47" s="26" t="s">
        <v>18</v>
      </c>
      <c r="B47" s="779"/>
      <c r="C47" s="210">
        <f t="shared" ref="C47:V47" si="29">SUM(C38:C42)</f>
        <v>440</v>
      </c>
      <c r="D47" s="202">
        <f t="shared" si="29"/>
        <v>243</v>
      </c>
      <c r="E47" s="202">
        <f t="shared" si="29"/>
        <v>257</v>
      </c>
      <c r="F47" s="202">
        <f t="shared" si="29"/>
        <v>0</v>
      </c>
      <c r="G47" s="400">
        <f t="shared" si="29"/>
        <v>835</v>
      </c>
      <c r="H47" s="397">
        <f t="shared" si="29"/>
        <v>0</v>
      </c>
      <c r="I47" s="400">
        <f t="shared" si="29"/>
        <v>3510</v>
      </c>
      <c r="J47" s="400">
        <f t="shared" si="29"/>
        <v>0</v>
      </c>
      <c r="K47" s="210">
        <f t="shared" si="29"/>
        <v>2841</v>
      </c>
      <c r="L47" s="202">
        <f t="shared" si="29"/>
        <v>1758</v>
      </c>
      <c r="M47" s="202">
        <f t="shared" si="29"/>
        <v>0</v>
      </c>
      <c r="N47" s="400">
        <f t="shared" si="29"/>
        <v>580</v>
      </c>
      <c r="O47" s="397">
        <f t="shared" si="29"/>
        <v>5305</v>
      </c>
      <c r="P47" s="210">
        <f t="shared" si="29"/>
        <v>849</v>
      </c>
      <c r="Q47" s="210">
        <f t="shared" si="29"/>
        <v>0</v>
      </c>
      <c r="R47" s="210">
        <f t="shared" si="29"/>
        <v>2246</v>
      </c>
      <c r="S47" s="210">
        <f t="shared" si="29"/>
        <v>0</v>
      </c>
      <c r="T47" s="210">
        <f t="shared" si="29"/>
        <v>0</v>
      </c>
      <c r="U47" s="210">
        <f t="shared" si="29"/>
        <v>0</v>
      </c>
      <c r="V47" s="402">
        <f t="shared" si="29"/>
        <v>0</v>
      </c>
      <c r="W47" s="404">
        <f>SUM(W38:W42)</f>
        <v>18864</v>
      </c>
    </row>
    <row r="48" spans="1:23" s="3" customFormat="1" ht="15" customHeight="1" outlineLevel="1" thickBot="1" x14ac:dyDescent="0.4">
      <c r="A48" s="26" t="s">
        <v>20</v>
      </c>
      <c r="B48" s="779"/>
      <c r="C48" s="37">
        <f t="shared" ref="C48:W48" si="30">AVERAGE(C38:C42)</f>
        <v>88</v>
      </c>
      <c r="D48" s="196">
        <f t="shared" si="30"/>
        <v>48.6</v>
      </c>
      <c r="E48" s="196">
        <f t="shared" si="30"/>
        <v>51.4</v>
      </c>
      <c r="F48" s="196" t="e">
        <f t="shared" si="30"/>
        <v>#DIV/0!</v>
      </c>
      <c r="G48" s="401">
        <f t="shared" si="30"/>
        <v>167</v>
      </c>
      <c r="H48" s="146" t="e">
        <f t="shared" si="30"/>
        <v>#DIV/0!</v>
      </c>
      <c r="I48" s="401">
        <f t="shared" si="30"/>
        <v>702</v>
      </c>
      <c r="J48" s="401" t="e">
        <f t="shared" si="30"/>
        <v>#DIV/0!</v>
      </c>
      <c r="K48" s="37">
        <f t="shared" si="30"/>
        <v>568.20000000000005</v>
      </c>
      <c r="L48" s="196">
        <f t="shared" si="30"/>
        <v>351.6</v>
      </c>
      <c r="M48" s="196" t="e">
        <f t="shared" si="30"/>
        <v>#DIV/0!</v>
      </c>
      <c r="N48" s="401">
        <f t="shared" si="30"/>
        <v>116</v>
      </c>
      <c r="O48" s="146">
        <f t="shared" si="30"/>
        <v>1061</v>
      </c>
      <c r="P48" s="37">
        <f t="shared" si="30"/>
        <v>169.8</v>
      </c>
      <c r="Q48" s="37" t="e">
        <f t="shared" si="30"/>
        <v>#DIV/0!</v>
      </c>
      <c r="R48" s="37">
        <f t="shared" si="30"/>
        <v>449.2</v>
      </c>
      <c r="S48" s="37" t="e">
        <f t="shared" si="30"/>
        <v>#DIV/0!</v>
      </c>
      <c r="T48" s="37" t="e">
        <f t="shared" si="30"/>
        <v>#DIV/0!</v>
      </c>
      <c r="U48" s="37" t="e">
        <f t="shared" si="30"/>
        <v>#DIV/0!</v>
      </c>
      <c r="V48" s="438" t="e">
        <f t="shared" si="30"/>
        <v>#DIV/0!</v>
      </c>
      <c r="W48" s="533">
        <f t="shared" si="30"/>
        <v>3772.8</v>
      </c>
    </row>
    <row r="49" spans="1:23" s="3" customFormat="1" ht="15" customHeight="1" outlineLevel="1" x14ac:dyDescent="0.35">
      <c r="A49" s="136" t="s">
        <v>3</v>
      </c>
      <c r="B49" s="458">
        <f>B44+1</f>
        <v>44284</v>
      </c>
      <c r="C49" s="127">
        <v>69</v>
      </c>
      <c r="D49" s="14">
        <v>33</v>
      </c>
      <c r="E49" s="14">
        <v>38</v>
      </c>
      <c r="F49" s="14"/>
      <c r="G49" s="13">
        <v>155</v>
      </c>
      <c r="H49" s="127"/>
      <c r="I49" s="13">
        <v>350</v>
      </c>
      <c r="J49" s="425"/>
      <c r="K49" s="427">
        <v>441</v>
      </c>
      <c r="L49" s="409">
        <v>336</v>
      </c>
      <c r="M49" s="409"/>
      <c r="N49" s="13">
        <v>105</v>
      </c>
      <c r="O49" s="12">
        <v>1020</v>
      </c>
      <c r="P49" s="14">
        <v>139</v>
      </c>
      <c r="Q49" s="14"/>
      <c r="R49" s="14">
        <v>392</v>
      </c>
      <c r="S49" s="56"/>
      <c r="T49" s="14"/>
      <c r="U49" s="14"/>
      <c r="V49" s="56"/>
      <c r="W49" s="17">
        <f t="shared" ref="W49:W51" si="31">SUM(C49:V49)</f>
        <v>3078</v>
      </c>
    </row>
    <row r="50" spans="1:23" s="3" customFormat="1" ht="15" customHeight="1" outlineLevel="1" x14ac:dyDescent="0.35">
      <c r="A50" s="136" t="s">
        <v>4</v>
      </c>
      <c r="B50" s="160">
        <f>B49+1</f>
        <v>44285</v>
      </c>
      <c r="C50" s="128">
        <v>133</v>
      </c>
      <c r="D50" s="20">
        <v>70</v>
      </c>
      <c r="E50" s="20">
        <v>143</v>
      </c>
      <c r="F50" s="20"/>
      <c r="G50" s="19">
        <v>192</v>
      </c>
      <c r="H50" s="128"/>
      <c r="I50" s="19">
        <v>437</v>
      </c>
      <c r="J50" s="425"/>
      <c r="K50" s="427">
        <v>762</v>
      </c>
      <c r="L50" s="409">
        <v>1060</v>
      </c>
      <c r="M50" s="409"/>
      <c r="N50" s="13">
        <v>127</v>
      </c>
      <c r="O50" s="18">
        <v>1501</v>
      </c>
      <c r="P50" s="20">
        <v>345</v>
      </c>
      <c r="Q50" s="20"/>
      <c r="R50" s="20">
        <v>779</v>
      </c>
      <c r="S50" s="57"/>
      <c r="T50" s="20"/>
      <c r="U50" s="20"/>
      <c r="V50" s="57"/>
      <c r="W50" s="252">
        <f t="shared" si="31"/>
        <v>5549</v>
      </c>
    </row>
    <row r="51" spans="1:23" s="3" customFormat="1" ht="15" customHeight="1" outlineLevel="1" thickBot="1" x14ac:dyDescent="0.4">
      <c r="A51" s="136" t="s">
        <v>5</v>
      </c>
      <c r="B51" s="160">
        <f t="shared" ref="B51" si="32">B50+1</f>
        <v>44286</v>
      </c>
      <c r="C51" s="128">
        <v>100</v>
      </c>
      <c r="D51" s="20">
        <v>48</v>
      </c>
      <c r="E51" s="20">
        <v>112</v>
      </c>
      <c r="F51" s="20"/>
      <c r="G51" s="19">
        <v>173</v>
      </c>
      <c r="H51" s="128"/>
      <c r="I51" s="19">
        <v>437</v>
      </c>
      <c r="J51" s="425"/>
      <c r="K51" s="427">
        <v>478</v>
      </c>
      <c r="L51" s="409">
        <v>656</v>
      </c>
      <c r="M51" s="409"/>
      <c r="N51" s="13">
        <v>106</v>
      </c>
      <c r="O51" s="18">
        <v>1033</v>
      </c>
      <c r="P51" s="20">
        <v>125</v>
      </c>
      <c r="Q51" s="20"/>
      <c r="R51" s="20">
        <v>448</v>
      </c>
      <c r="S51" s="57"/>
      <c r="T51" s="20"/>
      <c r="U51" s="20"/>
      <c r="V51" s="57"/>
      <c r="W51" s="252">
        <f t="shared" si="31"/>
        <v>3716</v>
      </c>
    </row>
    <row r="52" spans="1:23" s="3" customFormat="1" ht="15" hidden="1" customHeight="1" x14ac:dyDescent="0.35">
      <c r="A52" s="136"/>
      <c r="B52" s="160"/>
      <c r="C52" s="128"/>
      <c r="D52" s="20"/>
      <c r="E52" s="20"/>
      <c r="F52" s="20"/>
      <c r="G52" s="19"/>
      <c r="H52" s="128"/>
      <c r="I52" s="19"/>
      <c r="J52" s="425"/>
      <c r="K52" s="12"/>
      <c r="L52" s="14"/>
      <c r="M52" s="14"/>
      <c r="N52" s="13"/>
      <c r="O52" s="18"/>
      <c r="P52" s="20"/>
      <c r="Q52" s="20"/>
      <c r="R52" s="20"/>
      <c r="S52" s="57"/>
      <c r="T52" s="20"/>
      <c r="U52" s="20"/>
      <c r="V52" s="57"/>
      <c r="W52" s="252"/>
    </row>
    <row r="53" spans="1:23" s="3" customFormat="1" ht="15" hidden="1" customHeight="1" x14ac:dyDescent="0.35">
      <c r="A53" s="136"/>
      <c r="B53" s="160"/>
      <c r="C53" s="128"/>
      <c r="D53" s="20"/>
      <c r="E53" s="20"/>
      <c r="F53" s="20"/>
      <c r="G53" s="19"/>
      <c r="H53" s="128"/>
      <c r="I53" s="19"/>
      <c r="J53" s="425"/>
      <c r="K53" s="12"/>
      <c r="L53" s="14"/>
      <c r="M53" s="14"/>
      <c r="N53" s="13"/>
      <c r="O53" s="18"/>
      <c r="P53" s="20"/>
      <c r="Q53" s="20"/>
      <c r="R53" s="20"/>
      <c r="S53" s="57"/>
      <c r="T53" s="20"/>
      <c r="U53" s="20"/>
      <c r="V53" s="57"/>
      <c r="W53" s="252"/>
    </row>
    <row r="54" spans="1:23" s="3" customFormat="1" ht="15" hidden="1" customHeight="1" thickBot="1" x14ac:dyDescent="0.4">
      <c r="A54" s="136"/>
      <c r="B54" s="384"/>
      <c r="C54" s="128"/>
      <c r="D54" s="20"/>
      <c r="E54" s="20"/>
      <c r="F54" s="20"/>
      <c r="G54" s="19"/>
      <c r="H54" s="128"/>
      <c r="I54" s="19"/>
      <c r="J54" s="123"/>
      <c r="K54" s="18"/>
      <c r="L54" s="20"/>
      <c r="M54" s="20"/>
      <c r="N54" s="19"/>
      <c r="O54" s="18"/>
      <c r="P54" s="20"/>
      <c r="Q54" s="20"/>
      <c r="R54" s="20"/>
      <c r="S54" s="57"/>
      <c r="T54" s="20"/>
      <c r="U54" s="20"/>
      <c r="V54" s="57"/>
      <c r="W54" s="451"/>
    </row>
    <row r="55" spans="1:23" s="3" customFormat="1" ht="15" hidden="1" customHeight="1" thickBot="1" x14ac:dyDescent="0.4">
      <c r="A55" s="136"/>
      <c r="B55" s="457"/>
      <c r="C55" s="128"/>
      <c r="D55" s="20"/>
      <c r="E55" s="20"/>
      <c r="F55" s="20"/>
      <c r="G55" s="19"/>
      <c r="H55" s="453"/>
      <c r="I55" s="22"/>
      <c r="J55" s="426"/>
      <c r="K55" s="18"/>
      <c r="L55" s="20"/>
      <c r="M55" s="452"/>
      <c r="N55" s="22"/>
      <c r="O55" s="21"/>
      <c r="P55" s="452"/>
      <c r="Q55" s="452"/>
      <c r="R55" s="452"/>
      <c r="S55" s="454"/>
      <c r="T55" s="452"/>
      <c r="U55" s="452"/>
      <c r="V55" s="454"/>
      <c r="W55" s="534"/>
    </row>
    <row r="56" spans="1:23" s="3" customFormat="1" ht="15" thickBot="1" x14ac:dyDescent="0.4">
      <c r="A56" s="144" t="s">
        <v>19</v>
      </c>
      <c r="B56" s="778" t="s">
        <v>26</v>
      </c>
      <c r="C56" s="428">
        <f>SUM(C49:C55)</f>
        <v>302</v>
      </c>
      <c r="D56" s="429">
        <f t="shared" ref="D56:N56" si="33">SUM(D49:D55)</f>
        <v>151</v>
      </c>
      <c r="E56" s="429">
        <f>SUM(E49:E55)</f>
        <v>293</v>
      </c>
      <c r="F56" s="429">
        <f t="shared" si="33"/>
        <v>0</v>
      </c>
      <c r="G56" s="430">
        <f t="shared" si="33"/>
        <v>520</v>
      </c>
      <c r="H56" s="145">
        <f>SUM(H49:H55)</f>
        <v>0</v>
      </c>
      <c r="I56" s="430">
        <f>SUM(I49:I55)</f>
        <v>1224</v>
      </c>
      <c r="J56" s="430">
        <f>SUM(J49:J55)</f>
        <v>0</v>
      </c>
      <c r="K56" s="428">
        <f>SUM(K49:K55)</f>
        <v>1681</v>
      </c>
      <c r="L56" s="429">
        <f t="shared" si="33"/>
        <v>2052</v>
      </c>
      <c r="M56" s="429">
        <f t="shared" si="33"/>
        <v>0</v>
      </c>
      <c r="N56" s="430">
        <f t="shared" si="33"/>
        <v>338</v>
      </c>
      <c r="O56" s="428">
        <f>SUM(O49:O55)</f>
        <v>3554</v>
      </c>
      <c r="P56" s="428">
        <f t="shared" ref="P56:U56" si="34">SUM(P49:P55)</f>
        <v>609</v>
      </c>
      <c r="Q56" s="428">
        <f t="shared" si="34"/>
        <v>0</v>
      </c>
      <c r="R56" s="428">
        <f t="shared" si="34"/>
        <v>1619</v>
      </c>
      <c r="S56" s="428">
        <f t="shared" si="34"/>
        <v>0</v>
      </c>
      <c r="T56" s="428">
        <f t="shared" si="34"/>
        <v>0</v>
      </c>
      <c r="U56" s="428">
        <f t="shared" si="34"/>
        <v>0</v>
      </c>
      <c r="V56" s="455">
        <f>SUM(V49:V55)</f>
        <v>0</v>
      </c>
      <c r="W56" s="456">
        <f>SUM(W49:W55)</f>
        <v>12343</v>
      </c>
    </row>
    <row r="57" spans="1:23" s="3" customFormat="1" ht="15" thickBot="1" x14ac:dyDescent="0.4">
      <c r="A57" s="101" t="s">
        <v>21</v>
      </c>
      <c r="B57" s="779"/>
      <c r="C57" s="209">
        <f t="shared" ref="C57:N57" si="35">AVERAGE(C49:C55)</f>
        <v>100.66666666666667</v>
      </c>
      <c r="D57" s="201">
        <f t="shared" si="35"/>
        <v>50.333333333333336</v>
      </c>
      <c r="E57" s="201">
        <f>AVERAGE(E49:E55)</f>
        <v>97.666666666666671</v>
      </c>
      <c r="F57" s="201" t="e">
        <f t="shared" si="35"/>
        <v>#DIV/0!</v>
      </c>
      <c r="G57" s="398">
        <f t="shared" si="35"/>
        <v>173.33333333333334</v>
      </c>
      <c r="H57" s="396" t="e">
        <f>AVERAGE(H49:H55)</f>
        <v>#DIV/0!</v>
      </c>
      <c r="I57" s="398">
        <f>AVERAGE(I49:I55)</f>
        <v>408</v>
      </c>
      <c r="J57" s="398" t="e">
        <f>AVERAGE(J49:J55)</f>
        <v>#DIV/0!</v>
      </c>
      <c r="K57" s="431">
        <f>AVERAGE(K49:K55)</f>
        <v>560.33333333333337</v>
      </c>
      <c r="L57" s="432">
        <f t="shared" si="35"/>
        <v>684</v>
      </c>
      <c r="M57" s="432" t="e">
        <f t="shared" si="35"/>
        <v>#DIV/0!</v>
      </c>
      <c r="N57" s="433">
        <f t="shared" si="35"/>
        <v>112.66666666666667</v>
      </c>
      <c r="O57" s="431">
        <f>AVERAGE(O49:O55)</f>
        <v>1184.6666666666667</v>
      </c>
      <c r="P57" s="431">
        <f t="shared" ref="P57:W57" si="36">AVERAGE(P49:P55)</f>
        <v>203</v>
      </c>
      <c r="Q57" s="431" t="e">
        <f t="shared" si="36"/>
        <v>#DIV/0!</v>
      </c>
      <c r="R57" s="431">
        <f t="shared" si="36"/>
        <v>539.66666666666663</v>
      </c>
      <c r="S57" s="431" t="e">
        <f t="shared" si="36"/>
        <v>#DIV/0!</v>
      </c>
      <c r="T57" s="431" t="e">
        <f t="shared" si="36"/>
        <v>#DIV/0!</v>
      </c>
      <c r="U57" s="431" t="e">
        <f t="shared" si="36"/>
        <v>#DIV/0!</v>
      </c>
      <c r="V57" s="439" t="e">
        <f t="shared" si="36"/>
        <v>#DIV/0!</v>
      </c>
      <c r="W57" s="441">
        <f t="shared" si="36"/>
        <v>4114.333333333333</v>
      </c>
    </row>
    <row r="58" spans="1:23" s="3" customFormat="1" ht="15" thickBot="1" x14ac:dyDescent="0.4">
      <c r="A58" s="26" t="s">
        <v>18</v>
      </c>
      <c r="B58" s="779"/>
      <c r="C58" s="210">
        <f>SUM(C49:C53)</f>
        <v>302</v>
      </c>
      <c r="D58" s="202">
        <f t="shared" ref="D58:N58" si="37">SUM(D49:D53)</f>
        <v>151</v>
      </c>
      <c r="E58" s="202">
        <f>SUM(E49:E53)</f>
        <v>293</v>
      </c>
      <c r="F58" s="202">
        <f t="shared" si="37"/>
        <v>0</v>
      </c>
      <c r="G58" s="400">
        <f t="shared" si="37"/>
        <v>520</v>
      </c>
      <c r="H58" s="397">
        <f>SUM(H49:H53)</f>
        <v>0</v>
      </c>
      <c r="I58" s="400">
        <f>SUM(I49:I53)</f>
        <v>1224</v>
      </c>
      <c r="J58" s="400">
        <f>SUM(J49:J53)</f>
        <v>0</v>
      </c>
      <c r="K58" s="434">
        <f>SUM(K49:K53)</f>
        <v>1681</v>
      </c>
      <c r="L58" s="435">
        <f t="shared" si="37"/>
        <v>2052</v>
      </c>
      <c r="M58" s="435">
        <f t="shared" si="37"/>
        <v>0</v>
      </c>
      <c r="N58" s="436">
        <f t="shared" si="37"/>
        <v>338</v>
      </c>
      <c r="O58" s="434">
        <f>SUM(O49:O53)</f>
        <v>3554</v>
      </c>
      <c r="P58" s="434">
        <f t="shared" ref="P58:V58" si="38">SUM(P49:P53)</f>
        <v>609</v>
      </c>
      <c r="Q58" s="434">
        <f t="shared" si="38"/>
        <v>0</v>
      </c>
      <c r="R58" s="434">
        <f t="shared" si="38"/>
        <v>1619</v>
      </c>
      <c r="S58" s="434">
        <f t="shared" si="38"/>
        <v>0</v>
      </c>
      <c r="T58" s="434">
        <f t="shared" si="38"/>
        <v>0</v>
      </c>
      <c r="U58" s="434">
        <f t="shared" si="38"/>
        <v>0</v>
      </c>
      <c r="V58" s="440">
        <f t="shared" si="38"/>
        <v>0</v>
      </c>
      <c r="W58" s="442">
        <f>SUM(W49:W53)</f>
        <v>12343</v>
      </c>
    </row>
    <row r="59" spans="1:23" s="3" customFormat="1" ht="15" outlineLevel="1" thickBot="1" x14ac:dyDescent="0.4">
      <c r="A59" s="26" t="s">
        <v>20</v>
      </c>
      <c r="B59" s="780"/>
      <c r="C59" s="37">
        <f t="shared" ref="C59:N59" si="39">AVERAGE(C49:C53)</f>
        <v>100.66666666666667</v>
      </c>
      <c r="D59" s="196">
        <f t="shared" si="39"/>
        <v>50.333333333333336</v>
      </c>
      <c r="E59" s="196">
        <f>AVERAGE(E49:E53)</f>
        <v>97.666666666666671</v>
      </c>
      <c r="F59" s="196" t="e">
        <f t="shared" si="39"/>
        <v>#DIV/0!</v>
      </c>
      <c r="G59" s="401">
        <f t="shared" si="39"/>
        <v>173.33333333333334</v>
      </c>
      <c r="H59" s="146" t="e">
        <f>AVERAGE(H49:H53)</f>
        <v>#DIV/0!</v>
      </c>
      <c r="I59" s="401">
        <f>AVERAGE(I49:I53)</f>
        <v>408</v>
      </c>
      <c r="J59" s="401" t="e">
        <f>AVERAGE(J49:J53)</f>
        <v>#DIV/0!</v>
      </c>
      <c r="K59" s="37">
        <f t="shared" si="39"/>
        <v>560.33333333333337</v>
      </c>
      <c r="L59" s="196">
        <f t="shared" si="39"/>
        <v>684</v>
      </c>
      <c r="M59" s="196" t="e">
        <f t="shared" si="39"/>
        <v>#DIV/0!</v>
      </c>
      <c r="N59" s="401">
        <f t="shared" si="39"/>
        <v>112.66666666666667</v>
      </c>
      <c r="O59" s="37">
        <f>AVERAGE(O49:O53)</f>
        <v>1184.6666666666667</v>
      </c>
      <c r="P59" s="37">
        <f t="shared" ref="P59:W59" si="40">AVERAGE(P49:P53)</f>
        <v>203</v>
      </c>
      <c r="Q59" s="37" t="e">
        <f t="shared" si="40"/>
        <v>#DIV/0!</v>
      </c>
      <c r="R59" s="37">
        <f t="shared" si="40"/>
        <v>539.66666666666663</v>
      </c>
      <c r="S59" s="37" t="e">
        <f t="shared" si="40"/>
        <v>#DIV/0!</v>
      </c>
      <c r="T59" s="37" t="e">
        <f t="shared" si="40"/>
        <v>#DIV/0!</v>
      </c>
      <c r="U59" s="37" t="e">
        <f t="shared" si="40"/>
        <v>#DIV/0!</v>
      </c>
      <c r="V59" s="438" t="e">
        <f t="shared" si="40"/>
        <v>#DIV/0!</v>
      </c>
      <c r="W59" s="405">
        <f t="shared" si="40"/>
        <v>4114.333333333333</v>
      </c>
    </row>
    <row r="60" spans="1:23" s="3" customFormat="1" ht="15" outlineLevel="1" thickBot="1" x14ac:dyDescent="0.4">
      <c r="A60" s="4"/>
      <c r="B60" s="11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6"/>
      <c r="P60" s="46"/>
      <c r="Q60" s="46"/>
      <c r="R60" s="46"/>
      <c r="S60" s="46"/>
      <c r="T60" s="46"/>
      <c r="U60" s="46"/>
      <c r="V60" s="46"/>
      <c r="W60" s="46"/>
    </row>
    <row r="61" spans="1:23" s="3" customFormat="1" ht="38" outlineLevel="1" thickBot="1" x14ac:dyDescent="0.4">
      <c r="A61" s="4"/>
      <c r="B61" s="119"/>
      <c r="C61" s="489"/>
      <c r="D61" s="481" t="s">
        <v>10</v>
      </c>
      <c r="E61" s="482" t="s">
        <v>82</v>
      </c>
      <c r="F61" s="482" t="s">
        <v>9</v>
      </c>
      <c r="G61" s="483" t="s">
        <v>8</v>
      </c>
      <c r="H61" s="482" t="s">
        <v>29</v>
      </c>
      <c r="I61" s="484" t="s">
        <v>119</v>
      </c>
      <c r="K61" s="54"/>
      <c r="L61" s="746" t="s">
        <v>54</v>
      </c>
      <c r="M61" s="747"/>
      <c r="N61" s="748"/>
      <c r="O61" s="54"/>
      <c r="P61" s="54"/>
      <c r="Q61" s="54"/>
    </row>
    <row r="62" spans="1:23" s="3" customFormat="1" ht="25" outlineLevel="1" x14ac:dyDescent="0.35">
      <c r="A62" s="1"/>
      <c r="B62" s="120"/>
      <c r="C62" s="490" t="s">
        <v>112</v>
      </c>
      <c r="D62" s="487">
        <f>SUM(C12:G12,C23:G23,C34:G34,C45:G45,C56:G56)</f>
        <v>8524</v>
      </c>
      <c r="E62" s="479">
        <f>SUM(H45, H34, H23, H12, ,H56)</f>
        <v>0</v>
      </c>
      <c r="F62" s="479">
        <f>SUM(,K45:N45, K34:N34, K23:N23, K12:N12, K56:N56 )</f>
        <v>22608</v>
      </c>
      <c r="G62" s="479">
        <f xml:space="preserve"> SUM(O45:V45, O34:V34, O23:V23, O12:V12, O56:V56 )</f>
        <v>44838</v>
      </c>
      <c r="H62" s="480">
        <f>SUM(I12,I23,I34,I45,I56)</f>
        <v>10034</v>
      </c>
      <c r="I62" s="485">
        <f>SUM(J12,J23,J34,J45,J56)</f>
        <v>0</v>
      </c>
      <c r="J62" s="1"/>
      <c r="K62" s="55"/>
      <c r="L62" s="706" t="s">
        <v>28</v>
      </c>
      <c r="M62" s="707"/>
      <c r="N62" s="392">
        <f>SUM(W14,W25,W36,W47,W58)</f>
        <v>76584</v>
      </c>
      <c r="O62" s="55"/>
      <c r="P62" s="55"/>
      <c r="Q62" s="55"/>
      <c r="R62" s="1"/>
      <c r="S62" s="1"/>
      <c r="T62" s="1"/>
      <c r="U62" s="1"/>
      <c r="V62" s="1"/>
      <c r="W62" s="1"/>
    </row>
    <row r="63" spans="1:23" s="3" customFormat="1" ht="25.5" thickBot="1" x14ac:dyDescent="0.4">
      <c r="A63" s="1"/>
      <c r="B63" s="120"/>
      <c r="C63" s="491" t="s">
        <v>28</v>
      </c>
      <c r="D63" s="488">
        <f>SUM(C47:G47, C36:G36, C25:G25, C14:G14,C58:G58)</f>
        <v>8524</v>
      </c>
      <c r="E63" s="390">
        <f>SUM(H47, H36, H25, H14, ,H58)</f>
        <v>0</v>
      </c>
      <c r="F63" s="390">
        <f>SUM(K47:N47, K36:N36, K25:N25, K14:N14,, K58:N58)</f>
        <v>22608</v>
      </c>
      <c r="G63" s="390">
        <f>SUM(O47:V47, O36:V36, O25:V25, O14:V14, O58:V58 )</f>
        <v>35677</v>
      </c>
      <c r="H63" s="295">
        <f>SUM(,I14,I25,I36,I47,I58,)</f>
        <v>9775</v>
      </c>
      <c r="I63" s="486">
        <f>SUM(,J14,J25,J36,J47,J58,)</f>
        <v>0</v>
      </c>
      <c r="J63" s="1"/>
      <c r="K63" s="55"/>
      <c r="L63" s="706" t="s">
        <v>112</v>
      </c>
      <c r="M63" s="707"/>
      <c r="N63" s="373">
        <f>SUM(W12,W23,W34,W45,W56)</f>
        <v>86004</v>
      </c>
      <c r="O63" s="55"/>
      <c r="P63" s="55"/>
      <c r="Q63" s="55"/>
      <c r="R63" s="1"/>
      <c r="S63" s="1"/>
      <c r="T63" s="1"/>
      <c r="U63" s="1"/>
      <c r="V63" s="1"/>
      <c r="W63" s="1"/>
    </row>
    <row r="64" spans="1:23" s="3" customFormat="1" x14ac:dyDescent="0.35">
      <c r="A64" s="1"/>
      <c r="B64" s="120"/>
      <c r="C64" s="1"/>
      <c r="D64" s="1"/>
      <c r="E64" s="1"/>
      <c r="F64" s="1"/>
      <c r="G64" s="1"/>
      <c r="H64" s="1"/>
      <c r="I64" s="1"/>
      <c r="J64" s="1"/>
      <c r="K64" s="11"/>
      <c r="L64" s="706" t="s">
        <v>20</v>
      </c>
      <c r="M64" s="707"/>
      <c r="N64" s="373">
        <f>AVERAGE(W15,W26,W48,W37,W59)</f>
        <v>3392.5066666666667</v>
      </c>
      <c r="O64" s="11"/>
      <c r="P64" s="11"/>
      <c r="Q64" s="11"/>
      <c r="R64" s="1"/>
      <c r="S64" s="1"/>
      <c r="T64" s="1"/>
      <c r="U64" s="1"/>
      <c r="V64" s="1"/>
      <c r="W64" s="1"/>
    </row>
    <row r="65" spans="1:23" s="3" customFormat="1" ht="36" customHeight="1" thickBot="1" x14ac:dyDescent="0.4">
      <c r="A65" s="1"/>
      <c r="B65" s="120"/>
      <c r="C65" s="1"/>
      <c r="D65" s="1"/>
      <c r="E65" s="1"/>
      <c r="F65" s="1"/>
      <c r="G65" s="1"/>
      <c r="H65" s="1"/>
      <c r="I65" s="1"/>
      <c r="J65" s="1"/>
      <c r="K65" s="11"/>
      <c r="L65" s="749" t="s">
        <v>118</v>
      </c>
      <c r="M65" s="750"/>
      <c r="N65" s="298">
        <f>AVERAGE(W13,W24,W35,W46,W57)</f>
        <v>2927.4666666666662</v>
      </c>
      <c r="O65" s="11"/>
      <c r="P65" s="11"/>
      <c r="Q65" s="11"/>
      <c r="R65" s="1"/>
      <c r="S65" s="1"/>
      <c r="T65" s="1"/>
      <c r="U65" s="1"/>
      <c r="V65" s="1"/>
      <c r="W65" s="1"/>
    </row>
    <row r="66" spans="1:23" s="3" customFormat="1" x14ac:dyDescent="0.35">
      <c r="A66" s="1"/>
      <c r="B66" s="12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  <c r="P66" s="11"/>
      <c r="Q66" s="11"/>
      <c r="R66" s="11"/>
      <c r="S66" s="11"/>
      <c r="T66" s="11"/>
      <c r="U66" s="11"/>
      <c r="V66" s="11"/>
      <c r="W66" s="11"/>
    </row>
    <row r="67" spans="1:23" s="3" customFormat="1" x14ac:dyDescent="0.35">
      <c r="A67" s="1"/>
      <c r="B67" s="12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  <c r="P67" s="11"/>
      <c r="Q67" s="11"/>
      <c r="R67" s="11"/>
      <c r="S67" s="11"/>
      <c r="T67" s="11"/>
      <c r="U67" s="11"/>
      <c r="V67" s="11"/>
      <c r="W67" s="11"/>
    </row>
    <row r="68" spans="1:23" s="3" customFormat="1" x14ac:dyDescent="0.35">
      <c r="A68" s="1"/>
      <c r="B68" s="12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  <c r="P68" s="11"/>
      <c r="Q68" s="11"/>
      <c r="R68" s="11"/>
      <c r="S68" s="11"/>
      <c r="T68" s="11"/>
      <c r="U68" s="11"/>
      <c r="V68" s="11"/>
      <c r="W68" s="11"/>
    </row>
    <row r="69" spans="1:23" s="3" customFormat="1" x14ac:dyDescent="0.35">
      <c r="A69" s="1"/>
      <c r="B69" s="12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  <c r="P69" s="11"/>
      <c r="Q69" s="11"/>
      <c r="R69" s="11"/>
      <c r="S69" s="11"/>
      <c r="T69" s="11"/>
      <c r="U69" s="11"/>
      <c r="V69" s="11"/>
      <c r="W69" s="11"/>
    </row>
    <row r="70" spans="1:23" s="3" customFormat="1" outlineLevel="1" x14ac:dyDescent="0.35">
      <c r="A70" s="1"/>
      <c r="B70" s="12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  <c r="P70" s="11"/>
      <c r="Q70" s="11"/>
      <c r="R70" s="11"/>
      <c r="S70" s="11"/>
      <c r="T70" s="11"/>
      <c r="U70" s="11"/>
      <c r="V70" s="11"/>
      <c r="W70" s="11"/>
    </row>
    <row r="71" spans="1:23" s="3" customFormat="1" outlineLevel="1" x14ac:dyDescent="0.35">
      <c r="A71" s="1"/>
      <c r="B71" s="12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3" customFormat="1" outlineLevel="1" x14ac:dyDescent="0.3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outlineLevel="1" x14ac:dyDescent="0.3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3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3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ht="21" customHeight="1" x14ac:dyDescent="0.3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ht="40.5" customHeight="1" x14ac:dyDescent="0.3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29.25" customHeight="1" x14ac:dyDescent="0.35"/>
    <row r="79" spans="1:23" ht="29.25" customHeight="1" x14ac:dyDescent="0.35"/>
    <row r="80" spans="1:23" ht="30" customHeight="1" x14ac:dyDescent="0.35"/>
    <row r="81" ht="30" customHeight="1" x14ac:dyDescent="0.35"/>
    <row r="82" ht="30" customHeight="1" x14ac:dyDescent="0.35"/>
  </sheetData>
  <mergeCells count="38">
    <mergeCell ref="B56:B59"/>
    <mergeCell ref="B34:B37"/>
    <mergeCell ref="B12:B15"/>
    <mergeCell ref="A3:A4"/>
    <mergeCell ref="B3:B4"/>
    <mergeCell ref="B23:B26"/>
    <mergeCell ref="B45:B48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N3:N4"/>
    <mergeCell ref="F3:F4"/>
    <mergeCell ref="G3:G4"/>
    <mergeCell ref="J3:J4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L61:N61"/>
    <mergeCell ref="L62:M62"/>
    <mergeCell ref="L63:M63"/>
    <mergeCell ref="L64:M64"/>
    <mergeCell ref="L65:M65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G51" sqref="G51"/>
    </sheetView>
  </sheetViews>
  <sheetFormatPr defaultColWidth="9.1796875" defaultRowHeight="14.5" outlineLevelRow="1" x14ac:dyDescent="0.35"/>
  <cols>
    <col min="1" max="1" width="18.7265625" style="1" bestFit="1" customWidth="1"/>
    <col min="2" max="2" width="8.7265625" style="120" bestFit="1" customWidth="1"/>
    <col min="3" max="7" width="15.7265625" style="11" customWidth="1"/>
    <col min="8" max="8" width="18.54296875" style="11" customWidth="1"/>
    <col min="9" max="9" width="16" style="11" customWidth="1"/>
    <col min="10" max="10" width="18.54296875" style="11" bestFit="1" customWidth="1"/>
    <col min="11" max="16384" width="9.1796875" style="11"/>
  </cols>
  <sheetData>
    <row r="1" spans="1:10" ht="14.25" customHeight="1" x14ac:dyDescent="0.25">
      <c r="A1" s="23"/>
      <c r="B1" s="152"/>
      <c r="C1" s="766" t="s">
        <v>10</v>
      </c>
      <c r="D1" s="757"/>
      <c r="E1" s="766" t="s">
        <v>125</v>
      </c>
      <c r="F1" s="757"/>
      <c r="G1" s="766" t="s">
        <v>13</v>
      </c>
      <c r="H1" s="757"/>
      <c r="I1" s="751" t="s">
        <v>17</v>
      </c>
    </row>
    <row r="2" spans="1:10" ht="14.25" customHeight="1" thickBot="1" x14ac:dyDescent="0.3">
      <c r="A2" s="24"/>
      <c r="B2" s="153"/>
      <c r="C2" s="794"/>
      <c r="D2" s="795"/>
      <c r="E2" s="794"/>
      <c r="F2" s="795"/>
      <c r="G2" s="794"/>
      <c r="H2" s="795"/>
      <c r="I2" s="752"/>
    </row>
    <row r="3" spans="1:10" ht="14.25" customHeight="1" x14ac:dyDescent="0.25">
      <c r="A3" s="679" t="s">
        <v>49</v>
      </c>
      <c r="B3" s="781" t="s">
        <v>50</v>
      </c>
      <c r="C3" s="789" t="s">
        <v>39</v>
      </c>
      <c r="D3" s="730" t="s">
        <v>40</v>
      </c>
      <c r="E3" s="789" t="s">
        <v>39</v>
      </c>
      <c r="F3" s="730" t="s">
        <v>40</v>
      </c>
      <c r="G3" s="789" t="s">
        <v>51</v>
      </c>
      <c r="H3" s="730" t="s">
        <v>40</v>
      </c>
      <c r="I3" s="752"/>
    </row>
    <row r="4" spans="1:10" ht="13" thickBot="1" x14ac:dyDescent="0.3">
      <c r="A4" s="696"/>
      <c r="B4" s="782"/>
      <c r="C4" s="682"/>
      <c r="D4" s="790"/>
      <c r="E4" s="682"/>
      <c r="F4" s="790"/>
      <c r="G4" s="682"/>
      <c r="H4" s="790"/>
      <c r="I4" s="753"/>
    </row>
    <row r="5" spans="1:10" ht="12.5" hidden="1" x14ac:dyDescent="0.25">
      <c r="A5" s="354"/>
      <c r="B5" s="351"/>
      <c r="C5" s="416"/>
      <c r="D5" s="508"/>
      <c r="E5" s="416"/>
      <c r="F5" s="417"/>
      <c r="G5" s="419"/>
      <c r="H5" s="417"/>
      <c r="I5" s="411">
        <f>SUM(C5:H5)</f>
        <v>0</v>
      </c>
    </row>
    <row r="6" spans="1:10" ht="13" hidden="1" thickBot="1" x14ac:dyDescent="0.3">
      <c r="A6" s="354"/>
      <c r="B6" s="351"/>
      <c r="C6" s="444"/>
      <c r="D6" s="509"/>
      <c r="E6" s="506"/>
      <c r="F6" s="507"/>
      <c r="G6" s="512"/>
      <c r="H6" s="507"/>
      <c r="I6" s="411">
        <f>SUM(C6:H6)</f>
        <v>0</v>
      </c>
    </row>
    <row r="7" spans="1:10" s="43" customFormat="1" ht="15" hidden="1" customHeight="1" outlineLevel="1" thickBot="1" x14ac:dyDescent="0.3">
      <c r="A7" s="144" t="s">
        <v>19</v>
      </c>
      <c r="B7" s="791" t="s">
        <v>117</v>
      </c>
      <c r="C7" s="248">
        <f>SUM(C5:C6)</f>
        <v>0</v>
      </c>
      <c r="D7" s="248">
        <f t="shared" ref="D7:H7" si="0">SUM(D5:D6)</f>
        <v>0</v>
      </c>
      <c r="E7" s="248">
        <f t="shared" si="0"/>
        <v>0</v>
      </c>
      <c r="F7" s="248">
        <f t="shared" si="0"/>
        <v>0</v>
      </c>
      <c r="G7" s="248">
        <f t="shared" si="0"/>
        <v>0</v>
      </c>
      <c r="H7" s="248">
        <f t="shared" si="0"/>
        <v>0</v>
      </c>
      <c r="I7" s="412">
        <f>SUM(I5:I6)</f>
        <v>0</v>
      </c>
    </row>
    <row r="8" spans="1:10" s="43" customFormat="1" ht="15" hidden="1" customHeight="1" outlineLevel="1" thickBot="1" x14ac:dyDescent="0.3">
      <c r="A8" s="101" t="s">
        <v>21</v>
      </c>
      <c r="B8" s="792"/>
      <c r="C8" s="248" t="e">
        <f>AVERAGE(C5)</f>
        <v>#DIV/0!</v>
      </c>
      <c r="D8" s="503" t="e">
        <f>AVERAGE(D5)</f>
        <v>#DIV/0!</v>
      </c>
      <c r="E8" s="248" t="e">
        <f t="shared" ref="E8:F8" si="1">AVERAGE(E5)</f>
        <v>#DIV/0!</v>
      </c>
      <c r="F8" s="269" t="e">
        <f t="shared" si="1"/>
        <v>#DIV/0!</v>
      </c>
      <c r="G8" s="420" t="e">
        <f>AVERAGE(G5)</f>
        <v>#DIV/0!</v>
      </c>
      <c r="H8" s="269" t="e">
        <f>AVERAGE(H5)</f>
        <v>#DIV/0!</v>
      </c>
      <c r="I8" s="412">
        <f>AVERAGE(I5:I6)</f>
        <v>0</v>
      </c>
    </row>
    <row r="9" spans="1:10" s="43" customFormat="1" ht="15" hidden="1" customHeight="1" thickBot="1" x14ac:dyDescent="0.3">
      <c r="A9" s="26" t="s">
        <v>18</v>
      </c>
      <c r="B9" s="792"/>
      <c r="C9" s="249" t="e">
        <f>SUM(#REF!)</f>
        <v>#REF!</v>
      </c>
      <c r="D9" s="504" t="e">
        <f>SUM(#REF!)</f>
        <v>#REF!</v>
      </c>
      <c r="E9" s="249" t="e">
        <f>SUM(#REF!)</f>
        <v>#REF!</v>
      </c>
      <c r="F9" s="267" t="e">
        <f>SUM(#REF!)</f>
        <v>#REF!</v>
      </c>
      <c r="G9" s="421" t="e">
        <f>SUM(#REF!)</f>
        <v>#REF!</v>
      </c>
      <c r="H9" s="267" t="e">
        <f>SUM(#REF!)</f>
        <v>#REF!</v>
      </c>
      <c r="I9" s="413" t="e">
        <f>SUM(#REF!)</f>
        <v>#REF!</v>
      </c>
    </row>
    <row r="10" spans="1:10" s="43" customFormat="1" ht="15" hidden="1" customHeight="1" thickBot="1" x14ac:dyDescent="0.3">
      <c r="A10" s="26" t="s">
        <v>20</v>
      </c>
      <c r="B10" s="793"/>
      <c r="C10" s="249" t="e">
        <f>AVERAGE(#REF!)</f>
        <v>#REF!</v>
      </c>
      <c r="D10" s="504" t="e">
        <f>AVERAGE(#REF!)</f>
        <v>#REF!</v>
      </c>
      <c r="E10" s="249" t="e">
        <f>AVERAGE(#REF!)</f>
        <v>#REF!</v>
      </c>
      <c r="F10" s="267" t="e">
        <f>AVERAGE(#REF!)</f>
        <v>#REF!</v>
      </c>
      <c r="G10" s="421" t="e">
        <f>AVERAGE(#REF!)</f>
        <v>#REF!</v>
      </c>
      <c r="H10" s="267" t="e">
        <f>AVERAGE(#REF!)</f>
        <v>#REF!</v>
      </c>
      <c r="I10" s="413" t="e">
        <f>AVERAGE(#REF!)</f>
        <v>#REF!</v>
      </c>
    </row>
    <row r="11" spans="1:10" s="42" customFormat="1" ht="13" thickBot="1" x14ac:dyDescent="0.3">
      <c r="A11" s="25" t="s">
        <v>3</v>
      </c>
      <c r="B11" s="314">
        <v>44256</v>
      </c>
      <c r="C11" s="18"/>
      <c r="D11" s="57"/>
      <c r="E11" s="18"/>
      <c r="F11" s="19">
        <v>297</v>
      </c>
      <c r="G11" s="128"/>
      <c r="H11" s="19">
        <v>267</v>
      </c>
      <c r="I11" s="414">
        <f t="shared" ref="I11:I17" si="2">SUM(C11:H11)</f>
        <v>564</v>
      </c>
    </row>
    <row r="12" spans="1:10" s="42" customFormat="1" ht="13" thickBot="1" x14ac:dyDescent="0.3">
      <c r="A12" s="25" t="s">
        <v>4</v>
      </c>
      <c r="B12" s="314">
        <v>44257</v>
      </c>
      <c r="C12" s="247"/>
      <c r="D12" s="510"/>
      <c r="E12" s="247"/>
      <c r="F12" s="270">
        <v>304</v>
      </c>
      <c r="G12" s="422"/>
      <c r="H12" s="270">
        <v>293</v>
      </c>
      <c r="I12" s="414">
        <f t="shared" si="2"/>
        <v>597</v>
      </c>
    </row>
    <row r="13" spans="1:10" s="42" customFormat="1" ht="13" thickBot="1" x14ac:dyDescent="0.3">
      <c r="A13" s="25" t="s">
        <v>5</v>
      </c>
      <c r="B13" s="314">
        <v>44258</v>
      </c>
      <c r="C13" s="247"/>
      <c r="D13" s="510"/>
      <c r="E13" s="247"/>
      <c r="F13" s="270">
        <v>336</v>
      </c>
      <c r="G13" s="422"/>
      <c r="H13" s="270">
        <v>315</v>
      </c>
      <c r="I13" s="414">
        <f>SUM(C13:H13)</f>
        <v>651</v>
      </c>
    </row>
    <row r="14" spans="1:10" s="42" customFormat="1" ht="13" thickBot="1" x14ac:dyDescent="0.3">
      <c r="A14" s="25" t="s">
        <v>6</v>
      </c>
      <c r="B14" s="314">
        <v>44259</v>
      </c>
      <c r="C14" s="247"/>
      <c r="D14" s="510"/>
      <c r="E14" s="247"/>
      <c r="F14" s="270">
        <v>319</v>
      </c>
      <c r="G14" s="422"/>
      <c r="H14" s="270">
        <v>309</v>
      </c>
      <c r="I14" s="414">
        <f t="shared" si="2"/>
        <v>628</v>
      </c>
      <c r="J14" s="137"/>
    </row>
    <row r="15" spans="1:10" s="42" customFormat="1" ht="13" thickBot="1" x14ac:dyDescent="0.3">
      <c r="A15" s="25" t="s">
        <v>0</v>
      </c>
      <c r="B15" s="314">
        <v>44260</v>
      </c>
      <c r="C15" s="247"/>
      <c r="D15" s="510"/>
      <c r="E15" s="247"/>
      <c r="F15" s="270">
        <v>276</v>
      </c>
      <c r="G15" s="422"/>
      <c r="H15" s="270">
        <v>274</v>
      </c>
      <c r="I15" s="414">
        <f t="shared" si="2"/>
        <v>550</v>
      </c>
      <c r="J15" s="137"/>
    </row>
    <row r="16" spans="1:10" s="42" customFormat="1" ht="13" outlineLevel="1" thickBot="1" x14ac:dyDescent="0.3">
      <c r="A16" s="25" t="s">
        <v>1</v>
      </c>
      <c r="B16" s="314">
        <v>44261</v>
      </c>
      <c r="C16" s="247"/>
      <c r="D16" s="510"/>
      <c r="E16" s="247"/>
      <c r="F16" s="270">
        <v>115</v>
      </c>
      <c r="G16" s="422"/>
      <c r="H16" s="270">
        <v>176</v>
      </c>
      <c r="I16" s="414">
        <f>SUM(C16:H16)</f>
        <v>291</v>
      </c>
      <c r="J16" s="137"/>
    </row>
    <row r="17" spans="1:10" s="42" customFormat="1" ht="15" customHeight="1" outlineLevel="1" thickBot="1" x14ac:dyDescent="0.3">
      <c r="A17" s="136" t="s">
        <v>2</v>
      </c>
      <c r="B17" s="314">
        <v>44262</v>
      </c>
      <c r="C17" s="247"/>
      <c r="D17" s="510"/>
      <c r="E17" s="247"/>
      <c r="F17" s="270">
        <v>138</v>
      </c>
      <c r="G17" s="422"/>
      <c r="H17" s="270">
        <v>138</v>
      </c>
      <c r="I17" s="414">
        <f t="shared" si="2"/>
        <v>276</v>
      </c>
      <c r="J17" s="137"/>
    </row>
    <row r="18" spans="1:10" s="43" customFormat="1" ht="15" customHeight="1" outlineLevel="1" thickBot="1" x14ac:dyDescent="0.3">
      <c r="A18" s="144" t="s">
        <v>19</v>
      </c>
      <c r="B18" s="701" t="s">
        <v>22</v>
      </c>
      <c r="C18" s="248">
        <f>SUM(C11:C17)</f>
        <v>0</v>
      </c>
      <c r="D18" s="503">
        <f>SUM(D11:D17)</f>
        <v>0</v>
      </c>
      <c r="E18" s="248">
        <f t="shared" ref="E18:F18" si="3">SUM(E11:E17)</f>
        <v>0</v>
      </c>
      <c r="F18" s="269">
        <f t="shared" si="3"/>
        <v>1785</v>
      </c>
      <c r="G18" s="420">
        <f>SUM(G11:G17)</f>
        <v>0</v>
      </c>
      <c r="H18" s="269">
        <f>SUM(H11:H17)</f>
        <v>1772</v>
      </c>
      <c r="I18" s="412">
        <f>SUM(I11:I17)</f>
        <v>3557</v>
      </c>
    </row>
    <row r="19" spans="1:10" s="43" customFormat="1" ht="15" customHeight="1" outlineLevel="1" thickBot="1" x14ac:dyDescent="0.3">
      <c r="A19" s="101" t="s">
        <v>21</v>
      </c>
      <c r="B19" s="701"/>
      <c r="C19" s="248" t="e">
        <f>AVERAGE(C11:C17)</f>
        <v>#DIV/0!</v>
      </c>
      <c r="D19" s="503" t="e">
        <f>AVERAGE(D11:D17)</f>
        <v>#DIV/0!</v>
      </c>
      <c r="E19" s="248" t="e">
        <f t="shared" ref="E19:F19" si="4">AVERAGE(E11:E17)</f>
        <v>#DIV/0!</v>
      </c>
      <c r="F19" s="269">
        <f t="shared" si="4"/>
        <v>255</v>
      </c>
      <c r="G19" s="420" t="e">
        <f>AVERAGE(G11:G17)</f>
        <v>#DIV/0!</v>
      </c>
      <c r="H19" s="269">
        <f>AVERAGE(H11:H17)</f>
        <v>253.14285714285714</v>
      </c>
      <c r="I19" s="412">
        <f>AVERAGE(I11:I17)</f>
        <v>508.14285714285717</v>
      </c>
    </row>
    <row r="20" spans="1:10" s="43" customFormat="1" ht="15" customHeight="1" thickBot="1" x14ac:dyDescent="0.3">
      <c r="A20" s="26" t="s">
        <v>18</v>
      </c>
      <c r="B20" s="701"/>
      <c r="C20" s="249">
        <f>SUM(C11:C15)</f>
        <v>0</v>
      </c>
      <c r="D20" s="504">
        <f>SUM(D11:D15)</f>
        <v>0</v>
      </c>
      <c r="E20" s="249">
        <f t="shared" ref="E20:F20" si="5">SUM(E11:E15)</f>
        <v>0</v>
      </c>
      <c r="F20" s="267">
        <f t="shared" si="5"/>
        <v>1532</v>
      </c>
      <c r="G20" s="421">
        <f>SUM(G11:G15)</f>
        <v>0</v>
      </c>
      <c r="H20" s="267">
        <f>SUM(H11:H15)</f>
        <v>1458</v>
      </c>
      <c r="I20" s="413">
        <f>SUM(I11:I15)</f>
        <v>2990</v>
      </c>
    </row>
    <row r="21" spans="1:10" s="43" customFormat="1" ht="15" customHeight="1" thickBot="1" x14ac:dyDescent="0.3">
      <c r="A21" s="26" t="s">
        <v>20</v>
      </c>
      <c r="B21" s="701"/>
      <c r="C21" s="249" t="e">
        <f>AVERAGE(C11:C15)</f>
        <v>#DIV/0!</v>
      </c>
      <c r="D21" s="504" t="e">
        <f>AVERAGE(D11:D15)</f>
        <v>#DIV/0!</v>
      </c>
      <c r="E21" s="249" t="e">
        <f t="shared" ref="E21:F21" si="6">AVERAGE(E11:E15)</f>
        <v>#DIV/0!</v>
      </c>
      <c r="F21" s="267">
        <f t="shared" si="6"/>
        <v>306.39999999999998</v>
      </c>
      <c r="G21" s="421" t="e">
        <f>AVERAGE(G11:G15)</f>
        <v>#DIV/0!</v>
      </c>
      <c r="H21" s="267">
        <f>AVERAGE(H11:H15)</f>
        <v>291.60000000000002</v>
      </c>
      <c r="I21" s="413">
        <f>AVERAGE(I11:I15)</f>
        <v>598</v>
      </c>
    </row>
    <row r="22" spans="1:10" s="43" customFormat="1" ht="15" customHeight="1" x14ac:dyDescent="0.25">
      <c r="A22" s="25" t="s">
        <v>3</v>
      </c>
      <c r="B22" s="221">
        <f>B17+1</f>
        <v>44263</v>
      </c>
      <c r="C22" s="238"/>
      <c r="D22" s="511"/>
      <c r="E22" s="238"/>
      <c r="F22" s="268">
        <v>289</v>
      </c>
      <c r="G22" s="423"/>
      <c r="H22" s="268">
        <v>346</v>
      </c>
      <c r="I22" s="414">
        <f>SUM(C22:H22)</f>
        <v>635</v>
      </c>
    </row>
    <row r="23" spans="1:10" s="43" customFormat="1" ht="15" customHeight="1" x14ac:dyDescent="0.25">
      <c r="A23" s="25" t="s">
        <v>4</v>
      </c>
      <c r="B23" s="221">
        <f t="shared" ref="B23:B28" si="7">B22+1</f>
        <v>44264</v>
      </c>
      <c r="C23" s="238"/>
      <c r="D23" s="511"/>
      <c r="E23" s="238"/>
      <c r="F23" s="268">
        <v>331</v>
      </c>
      <c r="G23" s="423"/>
      <c r="H23" s="268">
        <v>324</v>
      </c>
      <c r="I23" s="414">
        <f t="shared" ref="I23:I28" si="8">SUM(C23:H23)</f>
        <v>655</v>
      </c>
    </row>
    <row r="24" spans="1:10" s="43" customFormat="1" ht="15" customHeight="1" x14ac:dyDescent="0.25">
      <c r="A24" s="25" t="s">
        <v>5</v>
      </c>
      <c r="B24" s="221">
        <f t="shared" si="7"/>
        <v>44265</v>
      </c>
      <c r="C24" s="238"/>
      <c r="D24" s="511"/>
      <c r="E24" s="238"/>
      <c r="F24" s="268">
        <v>363</v>
      </c>
      <c r="G24" s="423"/>
      <c r="H24" s="268">
        <v>327</v>
      </c>
      <c r="I24" s="414">
        <f t="shared" si="8"/>
        <v>690</v>
      </c>
    </row>
    <row r="25" spans="1:10" s="43" customFormat="1" ht="15" customHeight="1" x14ac:dyDescent="0.25">
      <c r="A25" s="25" t="s">
        <v>6</v>
      </c>
      <c r="B25" s="221">
        <f t="shared" si="7"/>
        <v>44266</v>
      </c>
      <c r="C25" s="238"/>
      <c r="D25" s="511"/>
      <c r="E25" s="238"/>
      <c r="F25" s="268">
        <v>369</v>
      </c>
      <c r="G25" s="423"/>
      <c r="H25" s="268">
        <v>354</v>
      </c>
      <c r="I25" s="414">
        <f>SUM(C25:H25)</f>
        <v>723</v>
      </c>
    </row>
    <row r="26" spans="1:10" s="43" customFormat="1" ht="15" customHeight="1" x14ac:dyDescent="0.25">
      <c r="A26" s="25" t="s">
        <v>0</v>
      </c>
      <c r="B26" s="221">
        <f t="shared" si="7"/>
        <v>44267</v>
      </c>
      <c r="C26" s="238"/>
      <c r="D26" s="511"/>
      <c r="E26" s="238"/>
      <c r="F26" s="268">
        <v>273</v>
      </c>
      <c r="G26" s="423"/>
      <c r="H26" s="268">
        <v>272</v>
      </c>
      <c r="I26" s="414">
        <f t="shared" si="8"/>
        <v>545</v>
      </c>
    </row>
    <row r="27" spans="1:10" s="43" customFormat="1" ht="15" customHeight="1" outlineLevel="1" x14ac:dyDescent="0.25">
      <c r="A27" s="25" t="s">
        <v>1</v>
      </c>
      <c r="B27" s="221">
        <f t="shared" si="7"/>
        <v>44268</v>
      </c>
      <c r="C27" s="238"/>
      <c r="D27" s="511"/>
      <c r="E27" s="238"/>
      <c r="F27" s="268">
        <v>132</v>
      </c>
      <c r="G27" s="423"/>
      <c r="H27" s="268">
        <v>225</v>
      </c>
      <c r="I27" s="414">
        <f t="shared" si="8"/>
        <v>357</v>
      </c>
      <c r="J27" s="140"/>
    </row>
    <row r="28" spans="1:10" s="43" customFormat="1" ht="15" customHeight="1" outlineLevel="1" thickBot="1" x14ac:dyDescent="0.3">
      <c r="A28" s="25" t="s">
        <v>2</v>
      </c>
      <c r="B28" s="221">
        <f t="shared" si="7"/>
        <v>44269</v>
      </c>
      <c r="C28" s="238"/>
      <c r="D28" s="511"/>
      <c r="E28" s="238"/>
      <c r="F28" s="268">
        <v>155</v>
      </c>
      <c r="G28" s="423"/>
      <c r="H28" s="268">
        <v>181</v>
      </c>
      <c r="I28" s="414">
        <f t="shared" si="8"/>
        <v>336</v>
      </c>
    </row>
    <row r="29" spans="1:10" s="43" customFormat="1" ht="15" customHeight="1" outlineLevel="1" thickBot="1" x14ac:dyDescent="0.3">
      <c r="A29" s="144" t="s">
        <v>19</v>
      </c>
      <c r="B29" s="701" t="s">
        <v>23</v>
      </c>
      <c r="C29" s="248">
        <f>SUM(C22:C28)</f>
        <v>0</v>
      </c>
      <c r="D29" s="503">
        <f>SUM(D22:D28)</f>
        <v>0</v>
      </c>
      <c r="E29" s="248">
        <f t="shared" ref="E29" si="9">SUM(E22:E28)</f>
        <v>0</v>
      </c>
      <c r="F29" s="269">
        <f>SUM(F22:F28)</f>
        <v>1912</v>
      </c>
      <c r="G29" s="420">
        <f>SUM(G22:G28)</f>
        <v>0</v>
      </c>
      <c r="H29" s="269">
        <f>SUM(H22:H28)</f>
        <v>2029</v>
      </c>
      <c r="I29" s="412">
        <f>SUM(I22:I28)</f>
        <v>3941</v>
      </c>
    </row>
    <row r="30" spans="1:10" s="43" customFormat="1" ht="15" customHeight="1" outlineLevel="1" thickBot="1" x14ac:dyDescent="0.3">
      <c r="A30" s="101" t="s">
        <v>21</v>
      </c>
      <c r="B30" s="701"/>
      <c r="C30" s="248" t="e">
        <f>AVERAGE(C22:C28)</f>
        <v>#DIV/0!</v>
      </c>
      <c r="D30" s="503" t="e">
        <f>AVERAGE(D22:D28)</f>
        <v>#DIV/0!</v>
      </c>
      <c r="E30" s="248" t="e">
        <f t="shared" ref="E30:F30" si="10">AVERAGE(E22:E28)</f>
        <v>#DIV/0!</v>
      </c>
      <c r="F30" s="269">
        <f t="shared" si="10"/>
        <v>273.14285714285717</v>
      </c>
      <c r="G30" s="420" t="e">
        <f>AVERAGE(G22:G28)</f>
        <v>#DIV/0!</v>
      </c>
      <c r="H30" s="269">
        <f>AVERAGE(H22:H28)</f>
        <v>289.85714285714283</v>
      </c>
      <c r="I30" s="412">
        <f>AVERAGE(I22:I28)</f>
        <v>563</v>
      </c>
    </row>
    <row r="31" spans="1:10" s="43" customFormat="1" ht="15" customHeight="1" thickBot="1" x14ac:dyDescent="0.3">
      <c r="A31" s="26" t="s">
        <v>18</v>
      </c>
      <c r="B31" s="701"/>
      <c r="C31" s="249">
        <f>SUM(C22:C26)</f>
        <v>0</v>
      </c>
      <c r="D31" s="504">
        <f>SUM(D22:D26)</f>
        <v>0</v>
      </c>
      <c r="E31" s="249">
        <f t="shared" ref="E31" si="11">SUM(E22:E26)</f>
        <v>0</v>
      </c>
      <c r="F31" s="267">
        <f>SUM(F22:F26)</f>
        <v>1625</v>
      </c>
      <c r="G31" s="421">
        <f>SUM(G22:G26)</f>
        <v>0</v>
      </c>
      <c r="H31" s="267">
        <f>SUM(H22:H26)</f>
        <v>1623</v>
      </c>
      <c r="I31" s="413">
        <f>SUM(I22:I26)</f>
        <v>3248</v>
      </c>
    </row>
    <row r="32" spans="1:10" s="43" customFormat="1" ht="15" customHeight="1" thickBot="1" x14ac:dyDescent="0.3">
      <c r="A32" s="26" t="s">
        <v>20</v>
      </c>
      <c r="B32" s="701"/>
      <c r="C32" s="249" t="e">
        <f>AVERAGE(C22:C26)</f>
        <v>#DIV/0!</v>
      </c>
      <c r="D32" s="504" t="e">
        <f>AVERAGE(D22:D26)</f>
        <v>#DIV/0!</v>
      </c>
      <c r="E32" s="249" t="e">
        <f t="shared" ref="E32:F32" si="12">AVERAGE(E22:E26)</f>
        <v>#DIV/0!</v>
      </c>
      <c r="F32" s="267">
        <f t="shared" si="12"/>
        <v>325</v>
      </c>
      <c r="G32" s="421" t="e">
        <f>AVERAGE(G22:G26)</f>
        <v>#DIV/0!</v>
      </c>
      <c r="H32" s="267">
        <f>AVERAGE(H22:H26)</f>
        <v>324.60000000000002</v>
      </c>
      <c r="I32" s="413">
        <f>AVERAGE(I22:I26)</f>
        <v>649.6</v>
      </c>
    </row>
    <row r="33" spans="1:10" s="43" customFormat="1" ht="15" customHeight="1" x14ac:dyDescent="0.25">
      <c r="A33" s="25" t="s">
        <v>3</v>
      </c>
      <c r="B33" s="216">
        <f>B28+1</f>
        <v>44270</v>
      </c>
      <c r="C33" s="238"/>
      <c r="D33" s="511"/>
      <c r="E33" s="238"/>
      <c r="F33" s="268">
        <v>307</v>
      </c>
      <c r="G33" s="423"/>
      <c r="H33" s="268">
        <v>266</v>
      </c>
      <c r="I33" s="414">
        <f t="shared" ref="I33:I39" si="13">SUM(C33:H33)</f>
        <v>573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44271</v>
      </c>
      <c r="C34" s="238"/>
      <c r="D34" s="511"/>
      <c r="E34" s="238"/>
      <c r="F34" s="268">
        <v>372</v>
      </c>
      <c r="G34" s="423"/>
      <c r="H34" s="268">
        <v>310</v>
      </c>
      <c r="I34" s="414">
        <f t="shared" si="13"/>
        <v>682</v>
      </c>
    </row>
    <row r="35" spans="1:10" s="43" customFormat="1" ht="15" customHeight="1" x14ac:dyDescent="0.25">
      <c r="A35" s="25" t="s">
        <v>5</v>
      </c>
      <c r="B35" s="216">
        <f t="shared" si="14"/>
        <v>44272</v>
      </c>
      <c r="C35" s="238"/>
      <c r="D35" s="511"/>
      <c r="E35" s="238"/>
      <c r="F35" s="268">
        <v>355</v>
      </c>
      <c r="G35" s="423"/>
      <c r="H35" s="268">
        <v>304</v>
      </c>
      <c r="I35" s="414">
        <f t="shared" si="13"/>
        <v>659</v>
      </c>
    </row>
    <row r="36" spans="1:10" s="43" customFormat="1" ht="15" customHeight="1" x14ac:dyDescent="0.25">
      <c r="A36" s="25" t="s">
        <v>6</v>
      </c>
      <c r="B36" s="216">
        <f t="shared" si="14"/>
        <v>44273</v>
      </c>
      <c r="C36" s="247"/>
      <c r="D36" s="511"/>
      <c r="E36" s="238"/>
      <c r="F36" s="268">
        <v>312</v>
      </c>
      <c r="G36" s="528"/>
      <c r="H36" s="268">
        <v>263</v>
      </c>
      <c r="I36" s="414">
        <f t="shared" si="13"/>
        <v>575</v>
      </c>
    </row>
    <row r="37" spans="1:10" s="43" customFormat="1" ht="15" customHeight="1" x14ac:dyDescent="0.25">
      <c r="A37" s="25" t="s">
        <v>0</v>
      </c>
      <c r="B37" s="216">
        <f t="shared" si="14"/>
        <v>44274</v>
      </c>
      <c r="C37" s="247"/>
      <c r="D37" s="511"/>
      <c r="E37" s="238"/>
      <c r="F37" s="268">
        <v>242</v>
      </c>
      <c r="G37" s="422"/>
      <c r="H37" s="268">
        <v>216</v>
      </c>
      <c r="I37" s="414">
        <f t="shared" si="13"/>
        <v>458</v>
      </c>
    </row>
    <row r="38" spans="1:10" s="43" customFormat="1" ht="15" customHeight="1" outlineLevel="1" x14ac:dyDescent="0.25">
      <c r="A38" s="25" t="s">
        <v>1</v>
      </c>
      <c r="B38" s="216">
        <f t="shared" si="14"/>
        <v>44275</v>
      </c>
      <c r="C38" s="247"/>
      <c r="D38" s="511"/>
      <c r="E38" s="238"/>
      <c r="F38" s="268">
        <v>169</v>
      </c>
      <c r="G38" s="422"/>
      <c r="H38" s="268">
        <v>177</v>
      </c>
      <c r="I38" s="414">
        <f t="shared" si="13"/>
        <v>346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44276</v>
      </c>
      <c r="C39" s="247"/>
      <c r="D39" s="511"/>
      <c r="E39" s="238"/>
      <c r="F39" s="268">
        <v>162</v>
      </c>
      <c r="G39" s="422"/>
      <c r="H39" s="268">
        <v>138</v>
      </c>
      <c r="I39" s="414">
        <f t="shared" si="13"/>
        <v>300</v>
      </c>
      <c r="J39" s="140"/>
    </row>
    <row r="40" spans="1:10" s="43" customFormat="1" ht="15" customHeight="1" outlineLevel="1" thickBot="1" x14ac:dyDescent="0.3">
      <c r="A40" s="144" t="s">
        <v>19</v>
      </c>
      <c r="B40" s="701" t="s">
        <v>24</v>
      </c>
      <c r="C40" s="248">
        <f>SUM(C33:C39)</f>
        <v>0</v>
      </c>
      <c r="D40" s="503">
        <f>SUM(D33:D39)</f>
        <v>0</v>
      </c>
      <c r="E40" s="248">
        <f t="shared" ref="E40" si="15">SUM(E33:E39)</f>
        <v>0</v>
      </c>
      <c r="F40" s="269">
        <f>SUM(F33:F39)</f>
        <v>1919</v>
      </c>
      <c r="G40" s="420">
        <f>SUM(G33:G39)</f>
        <v>0</v>
      </c>
      <c r="H40" s="269">
        <f>SUM(H33:H39)</f>
        <v>1674</v>
      </c>
      <c r="I40" s="412">
        <f>SUM(I33:I39)</f>
        <v>3593</v>
      </c>
    </row>
    <row r="41" spans="1:10" s="43" customFormat="1" ht="15" customHeight="1" outlineLevel="1" thickBot="1" x14ac:dyDescent="0.3">
      <c r="A41" s="101" t="s">
        <v>21</v>
      </c>
      <c r="B41" s="701"/>
      <c r="C41" s="248" t="e">
        <f>AVERAGE(C33:C39)</f>
        <v>#DIV/0!</v>
      </c>
      <c r="D41" s="503" t="e">
        <f>AVERAGE(D33:D39)</f>
        <v>#DIV/0!</v>
      </c>
      <c r="E41" s="248" t="e">
        <f t="shared" ref="E41:F41" si="16">AVERAGE(E33:E39)</f>
        <v>#DIV/0!</v>
      </c>
      <c r="F41" s="269">
        <f t="shared" si="16"/>
        <v>274.14285714285717</v>
      </c>
      <c r="G41" s="420" t="e">
        <f>AVERAGE(G33:G39)</f>
        <v>#DIV/0!</v>
      </c>
      <c r="H41" s="269">
        <f>AVERAGE(H33:H39)</f>
        <v>239.14285714285714</v>
      </c>
      <c r="I41" s="412">
        <f>AVERAGE(I33:I39)</f>
        <v>513.28571428571433</v>
      </c>
    </row>
    <row r="42" spans="1:10" s="43" customFormat="1" ht="15" customHeight="1" thickBot="1" x14ac:dyDescent="0.3">
      <c r="A42" s="26" t="s">
        <v>18</v>
      </c>
      <c r="B42" s="701"/>
      <c r="C42" s="249">
        <f>SUM(C33:C37)</f>
        <v>0</v>
      </c>
      <c r="D42" s="504">
        <f>SUM(D33:D37)</f>
        <v>0</v>
      </c>
      <c r="E42" s="249">
        <f t="shared" ref="E42" si="17">SUM(E33:E37)</f>
        <v>0</v>
      </c>
      <c r="F42" s="267">
        <f>SUM(F33:F37)</f>
        <v>1588</v>
      </c>
      <c r="G42" s="421">
        <f>SUM(G33:G37)</f>
        <v>0</v>
      </c>
      <c r="H42" s="267">
        <f>SUM(H33:H37)</f>
        <v>1359</v>
      </c>
      <c r="I42" s="413">
        <f>SUM(I33:I37)</f>
        <v>2947</v>
      </c>
    </row>
    <row r="43" spans="1:10" s="43" customFormat="1" ht="15" customHeight="1" thickBot="1" x14ac:dyDescent="0.3">
      <c r="A43" s="26" t="s">
        <v>20</v>
      </c>
      <c r="B43" s="701"/>
      <c r="C43" s="249" t="e">
        <f>AVERAGE(C33:C37)</f>
        <v>#DIV/0!</v>
      </c>
      <c r="D43" s="504" t="e">
        <f>AVERAGE(D33:D37)</f>
        <v>#DIV/0!</v>
      </c>
      <c r="E43" s="249" t="e">
        <f t="shared" ref="E43:F43" si="18">AVERAGE(E33:E37)</f>
        <v>#DIV/0!</v>
      </c>
      <c r="F43" s="267">
        <f t="shared" si="18"/>
        <v>317.60000000000002</v>
      </c>
      <c r="G43" s="421" t="e">
        <f>AVERAGE(G33:G37)</f>
        <v>#DIV/0!</v>
      </c>
      <c r="H43" s="267">
        <f>AVERAGE(H33:H37)</f>
        <v>271.8</v>
      </c>
      <c r="I43" s="413">
        <f>AVERAGE(I33:I37)</f>
        <v>589.4</v>
      </c>
    </row>
    <row r="44" spans="1:10" s="43" customFormat="1" ht="15" customHeight="1" x14ac:dyDescent="0.25">
      <c r="A44" s="25" t="s">
        <v>3</v>
      </c>
      <c r="B44" s="224">
        <f>B39+1</f>
        <v>44277</v>
      </c>
      <c r="C44" s="247"/>
      <c r="D44" s="511"/>
      <c r="E44" s="238"/>
      <c r="F44" s="268">
        <v>339</v>
      </c>
      <c r="G44" s="422"/>
      <c r="H44" s="268">
        <v>359</v>
      </c>
      <c r="I44" s="414">
        <f t="shared" ref="I44:I50" si="19">SUM(C44:H44)</f>
        <v>698</v>
      </c>
      <c r="J44" s="140"/>
    </row>
    <row r="45" spans="1:10" s="43" customFormat="1" ht="15" customHeight="1" x14ac:dyDescent="0.25">
      <c r="A45" s="25" t="s">
        <v>4</v>
      </c>
      <c r="B45" s="224">
        <f t="shared" ref="B45:B50" si="20">B44+1</f>
        <v>44278</v>
      </c>
      <c r="C45" s="247"/>
      <c r="D45" s="511"/>
      <c r="E45" s="238"/>
      <c r="F45" s="268">
        <v>407</v>
      </c>
      <c r="G45" s="422"/>
      <c r="H45" s="268">
        <v>320</v>
      </c>
      <c r="I45" s="414">
        <f t="shared" si="19"/>
        <v>727</v>
      </c>
      <c r="J45" s="140"/>
    </row>
    <row r="46" spans="1:10" s="43" customFormat="1" ht="15" customHeight="1" x14ac:dyDescent="0.25">
      <c r="A46" s="25" t="s">
        <v>5</v>
      </c>
      <c r="B46" s="224">
        <f t="shared" si="20"/>
        <v>44279</v>
      </c>
      <c r="C46" s="247"/>
      <c r="D46" s="511"/>
      <c r="E46" s="238"/>
      <c r="F46" s="268">
        <v>352</v>
      </c>
      <c r="G46" s="422"/>
      <c r="H46" s="268">
        <v>291</v>
      </c>
      <c r="I46" s="414">
        <f>SUM(C46:H46)</f>
        <v>643</v>
      </c>
      <c r="J46" s="140"/>
    </row>
    <row r="47" spans="1:10" s="43" customFormat="1" ht="15" customHeight="1" x14ac:dyDescent="0.25">
      <c r="A47" s="25" t="s">
        <v>6</v>
      </c>
      <c r="B47" s="224">
        <f t="shared" si="20"/>
        <v>44280</v>
      </c>
      <c r="C47" s="247"/>
      <c r="D47" s="511"/>
      <c r="E47" s="238"/>
      <c r="F47" s="268">
        <v>359</v>
      </c>
      <c r="G47" s="423"/>
      <c r="H47" s="268">
        <v>344</v>
      </c>
      <c r="I47" s="414">
        <f t="shared" si="19"/>
        <v>703</v>
      </c>
      <c r="J47" s="140"/>
    </row>
    <row r="48" spans="1:10" s="43" customFormat="1" ht="15" customHeight="1" x14ac:dyDescent="0.25">
      <c r="A48" s="25" t="s">
        <v>0</v>
      </c>
      <c r="B48" s="224">
        <f t="shared" si="20"/>
        <v>44281</v>
      </c>
      <c r="C48" s="247"/>
      <c r="D48" s="511"/>
      <c r="E48" s="238"/>
      <c r="F48" s="268">
        <v>297</v>
      </c>
      <c r="G48" s="423"/>
      <c r="H48" s="268">
        <v>287</v>
      </c>
      <c r="I48" s="414">
        <f t="shared" si="19"/>
        <v>584</v>
      </c>
      <c r="J48" s="140"/>
    </row>
    <row r="49" spans="1:10" s="43" customFormat="1" ht="15" customHeight="1" outlineLevel="1" x14ac:dyDescent="0.25">
      <c r="A49" s="25" t="s">
        <v>1</v>
      </c>
      <c r="B49" s="224">
        <f t="shared" si="20"/>
        <v>44282</v>
      </c>
      <c r="C49" s="247"/>
      <c r="D49" s="511"/>
      <c r="E49" s="238"/>
      <c r="F49" s="268">
        <v>202</v>
      </c>
      <c r="G49" s="422"/>
      <c r="H49" s="268">
        <v>236</v>
      </c>
      <c r="I49" s="414">
        <f t="shared" si="19"/>
        <v>438</v>
      </c>
      <c r="J49" s="140"/>
    </row>
    <row r="50" spans="1:10" s="43" customFormat="1" ht="15" customHeight="1" outlineLevel="1" thickBot="1" x14ac:dyDescent="0.3">
      <c r="A50" s="25" t="s">
        <v>2</v>
      </c>
      <c r="B50" s="224">
        <f t="shared" si="20"/>
        <v>44283</v>
      </c>
      <c r="C50" s="247"/>
      <c r="D50" s="511"/>
      <c r="E50" s="238"/>
      <c r="F50" s="268">
        <v>105</v>
      </c>
      <c r="G50" s="422"/>
      <c r="H50" s="268">
        <v>152</v>
      </c>
      <c r="I50" s="414">
        <f t="shared" si="19"/>
        <v>257</v>
      </c>
      <c r="J50" s="140"/>
    </row>
    <row r="51" spans="1:10" s="43" customFormat="1" ht="15" customHeight="1" outlineLevel="1" thickBot="1" x14ac:dyDescent="0.3">
      <c r="A51" s="144" t="s">
        <v>19</v>
      </c>
      <c r="B51" s="701" t="s">
        <v>25</v>
      </c>
      <c r="C51" s="248">
        <f>SUM(C44:C50)</f>
        <v>0</v>
      </c>
      <c r="D51" s="503">
        <f>SUM(D44:D50)</f>
        <v>0</v>
      </c>
      <c r="E51" s="248">
        <f t="shared" ref="E51:F51" si="21">SUM(E44:E50)</f>
        <v>0</v>
      </c>
      <c r="F51" s="269">
        <f t="shared" si="21"/>
        <v>2061</v>
      </c>
      <c r="G51" s="420">
        <f>SUM(G44:G50)</f>
        <v>0</v>
      </c>
      <c r="H51" s="269">
        <f>SUM(H44:H50)</f>
        <v>1989</v>
      </c>
      <c r="I51" s="412">
        <f>SUM(I44:I50)</f>
        <v>4050</v>
      </c>
    </row>
    <row r="52" spans="1:10" s="43" customFormat="1" ht="15" customHeight="1" outlineLevel="1" thickBot="1" x14ac:dyDescent="0.3">
      <c r="A52" s="101" t="s">
        <v>21</v>
      </c>
      <c r="B52" s="701"/>
      <c r="C52" s="248" t="e">
        <f>AVERAGE(C44:C50)</f>
        <v>#DIV/0!</v>
      </c>
      <c r="D52" s="503" t="e">
        <f>AVERAGE(D44:D50)</f>
        <v>#DIV/0!</v>
      </c>
      <c r="E52" s="248" t="e">
        <f t="shared" ref="E52" si="22">AVERAGE(E44:E50)</f>
        <v>#DIV/0!</v>
      </c>
      <c r="F52" s="269">
        <f>AVERAGE(F44:F50)</f>
        <v>294.42857142857144</v>
      </c>
      <c r="G52" s="420" t="e">
        <f>AVERAGE(G44:G50)</f>
        <v>#DIV/0!</v>
      </c>
      <c r="H52" s="269">
        <f>AVERAGE(H44:H50)</f>
        <v>284.14285714285717</v>
      </c>
      <c r="I52" s="412">
        <f>AVERAGE(I44:I50)</f>
        <v>578.57142857142856</v>
      </c>
    </row>
    <row r="53" spans="1:10" s="43" customFormat="1" ht="15" customHeight="1" thickBot="1" x14ac:dyDescent="0.3">
      <c r="A53" s="26" t="s">
        <v>18</v>
      </c>
      <c r="B53" s="701"/>
      <c r="C53" s="249">
        <f>SUM(C44:C48)</f>
        <v>0</v>
      </c>
      <c r="D53" s="504">
        <f>SUM(D44:D48)</f>
        <v>0</v>
      </c>
      <c r="E53" s="249">
        <f t="shared" ref="E53" si="23">SUM(E44:E48)</f>
        <v>0</v>
      </c>
      <c r="F53" s="267">
        <f>SUM(F44:F48)</f>
        <v>1754</v>
      </c>
      <c r="G53" s="421">
        <f>SUM(G44:G48)</f>
        <v>0</v>
      </c>
      <c r="H53" s="267">
        <f>SUM(H44:H48)</f>
        <v>1601</v>
      </c>
      <c r="I53" s="413">
        <f>SUM(I44:I48)</f>
        <v>3355</v>
      </c>
    </row>
    <row r="54" spans="1:10" s="43" customFormat="1" ht="15" customHeight="1" thickBot="1" x14ac:dyDescent="0.3">
      <c r="A54" s="26" t="s">
        <v>20</v>
      </c>
      <c r="B54" s="701"/>
      <c r="C54" s="249" t="e">
        <f>AVERAGE(C44:C48)</f>
        <v>#DIV/0!</v>
      </c>
      <c r="D54" s="504" t="e">
        <f>AVERAGE(D44:D48)</f>
        <v>#DIV/0!</v>
      </c>
      <c r="E54" s="249" t="e">
        <f t="shared" ref="E54:F54" si="24">AVERAGE(E44:E48)</f>
        <v>#DIV/0!</v>
      </c>
      <c r="F54" s="267">
        <f t="shared" si="24"/>
        <v>350.8</v>
      </c>
      <c r="G54" s="421" t="e">
        <f>AVERAGE(G44:G48)</f>
        <v>#DIV/0!</v>
      </c>
      <c r="H54" s="267">
        <f>AVERAGE(H44:H48)</f>
        <v>320.2</v>
      </c>
      <c r="I54" s="413">
        <f>AVERAGE(I44:I48)</f>
        <v>671</v>
      </c>
    </row>
    <row r="55" spans="1:10" s="43" customFormat="1" ht="15" customHeight="1" x14ac:dyDescent="0.25">
      <c r="A55" s="25" t="s">
        <v>3</v>
      </c>
      <c r="B55" s="224">
        <f>B50+1</f>
        <v>44284</v>
      </c>
      <c r="C55" s="238"/>
      <c r="D55" s="511"/>
      <c r="E55" s="238"/>
      <c r="F55" s="268">
        <v>290</v>
      </c>
      <c r="G55" s="423"/>
      <c r="H55" s="268">
        <v>295</v>
      </c>
      <c r="I55" s="414">
        <f>SUM(C55:H55)</f>
        <v>585</v>
      </c>
      <c r="J55" s="140"/>
    </row>
    <row r="56" spans="1:10" s="43" customFormat="1" ht="15" customHeight="1" x14ac:dyDescent="0.25">
      <c r="A56" s="136" t="s">
        <v>4</v>
      </c>
      <c r="B56" s="224">
        <f t="shared" ref="B56:B57" si="25">B55+1</f>
        <v>44285</v>
      </c>
      <c r="C56" s="238"/>
      <c r="D56" s="511"/>
      <c r="E56" s="238"/>
      <c r="F56" s="268">
        <v>428</v>
      </c>
      <c r="G56" s="423"/>
      <c r="H56" s="268">
        <v>365</v>
      </c>
      <c r="I56" s="414">
        <f t="shared" ref="I56:I57" si="26">SUM(C56:H56)</f>
        <v>793</v>
      </c>
      <c r="J56" s="140"/>
    </row>
    <row r="57" spans="1:10" s="43" customFormat="1" ht="15" customHeight="1" thickBot="1" x14ac:dyDescent="0.3">
      <c r="A57" s="136" t="s">
        <v>5</v>
      </c>
      <c r="B57" s="224">
        <f t="shared" si="25"/>
        <v>44286</v>
      </c>
      <c r="C57" s="238"/>
      <c r="D57" s="511"/>
      <c r="E57" s="238"/>
      <c r="F57" s="268">
        <v>368</v>
      </c>
      <c r="G57" s="423"/>
      <c r="H57" s="268">
        <v>302</v>
      </c>
      <c r="I57" s="414">
        <f t="shared" si="26"/>
        <v>670</v>
      </c>
      <c r="J57" s="140"/>
    </row>
    <row r="58" spans="1:10" s="43" customFormat="1" ht="12.5" hidden="1" x14ac:dyDescent="0.25">
      <c r="A58" s="136"/>
      <c r="B58" s="224"/>
      <c r="C58" s="247"/>
      <c r="D58" s="510"/>
      <c r="E58" s="247"/>
      <c r="F58" s="270"/>
      <c r="G58" s="422"/>
      <c r="H58" s="270"/>
      <c r="I58" s="414"/>
      <c r="J58" s="140"/>
    </row>
    <row r="59" spans="1:10" s="43" customFormat="1" ht="12.5" hidden="1" x14ac:dyDescent="0.25">
      <c r="A59" s="25"/>
      <c r="B59" s="225"/>
      <c r="C59" s="247"/>
      <c r="D59" s="510"/>
      <c r="E59" s="247"/>
      <c r="F59" s="270"/>
      <c r="G59" s="422"/>
      <c r="H59" s="270"/>
      <c r="I59" s="414"/>
      <c r="J59" s="140"/>
    </row>
    <row r="60" spans="1:10" s="43" customFormat="1" ht="12.5" hidden="1" outlineLevel="1" x14ac:dyDescent="0.25">
      <c r="A60" s="25"/>
      <c r="B60" s="225"/>
      <c r="C60" s="247"/>
      <c r="D60" s="510"/>
      <c r="E60" s="247"/>
      <c r="F60" s="270"/>
      <c r="G60" s="422"/>
      <c r="H60" s="270"/>
      <c r="I60" s="414"/>
      <c r="J60" s="140"/>
    </row>
    <row r="61" spans="1:10" s="43" customFormat="1" ht="13" hidden="1" outlineLevel="1" thickBot="1" x14ac:dyDescent="0.3">
      <c r="A61" s="136"/>
      <c r="B61" s="418"/>
      <c r="C61" s="247"/>
      <c r="D61" s="510"/>
      <c r="E61" s="247"/>
      <c r="F61" s="270"/>
      <c r="G61" s="422"/>
      <c r="H61" s="270"/>
      <c r="I61" s="414"/>
    </row>
    <row r="62" spans="1:10" s="43" customFormat="1" ht="15" customHeight="1" outlineLevel="1" thickBot="1" x14ac:dyDescent="0.3">
      <c r="A62" s="144" t="s">
        <v>19</v>
      </c>
      <c r="B62" s="779" t="s">
        <v>26</v>
      </c>
      <c r="C62" s="248">
        <f>SUM(C55:C61)</f>
        <v>0</v>
      </c>
      <c r="D62" s="503">
        <f>SUM(D55:D61)</f>
        <v>0</v>
      </c>
      <c r="E62" s="248">
        <f t="shared" ref="E62:F62" si="27">SUM(E55:E61)</f>
        <v>0</v>
      </c>
      <c r="F62" s="269">
        <f t="shared" si="27"/>
        <v>1086</v>
      </c>
      <c r="G62" s="420">
        <f>SUM(G55:G61)</f>
        <v>0</v>
      </c>
      <c r="H62" s="269">
        <f>SUM(H55:H61)</f>
        <v>962</v>
      </c>
      <c r="I62" s="412">
        <f>SUM(I55:I61)</f>
        <v>2048</v>
      </c>
    </row>
    <row r="63" spans="1:10" s="43" customFormat="1" ht="15" customHeight="1" outlineLevel="1" thickBot="1" x14ac:dyDescent="0.3">
      <c r="A63" s="101" t="s">
        <v>21</v>
      </c>
      <c r="B63" s="779"/>
      <c r="C63" s="248" t="e">
        <f>AVERAGE(C55:C61)</f>
        <v>#DIV/0!</v>
      </c>
      <c r="D63" s="503" t="e">
        <f>AVERAGE(D55:D61)</f>
        <v>#DIV/0!</v>
      </c>
      <c r="E63" s="248" t="e">
        <f t="shared" ref="E63:F63" si="28">AVERAGE(E55:E61)</f>
        <v>#DIV/0!</v>
      </c>
      <c r="F63" s="269">
        <f t="shared" si="28"/>
        <v>362</v>
      </c>
      <c r="G63" s="420" t="e">
        <f>AVERAGE(G55:G61)</f>
        <v>#DIV/0!</v>
      </c>
      <c r="H63" s="269">
        <f>AVERAGE(H55:H61)</f>
        <v>320.66666666666669</v>
      </c>
      <c r="I63" s="412">
        <f>AVERAGE(I55:I61)</f>
        <v>682.66666666666663</v>
      </c>
    </row>
    <row r="64" spans="1:10" s="43" customFormat="1" ht="15" customHeight="1" thickBot="1" x14ac:dyDescent="0.3">
      <c r="A64" s="26" t="s">
        <v>18</v>
      </c>
      <c r="B64" s="779"/>
      <c r="C64" s="249">
        <f>SUM(C55:C59)</f>
        <v>0</v>
      </c>
      <c r="D64" s="504">
        <f>SUM(D55:D59)</f>
        <v>0</v>
      </c>
      <c r="E64" s="249">
        <f t="shared" ref="E64:F64" si="29">SUM(E55:E59)</f>
        <v>0</v>
      </c>
      <c r="F64" s="267">
        <f t="shared" si="29"/>
        <v>1086</v>
      </c>
      <c r="G64" s="421">
        <f>SUM(G55:G59)</f>
        <v>0</v>
      </c>
      <c r="H64" s="267">
        <f>SUM(H55:H59)</f>
        <v>962</v>
      </c>
      <c r="I64" s="413">
        <f>SUM(I55:I59)</f>
        <v>2048</v>
      </c>
    </row>
    <row r="65" spans="1:9" s="43" customFormat="1" ht="13" thickBot="1" x14ac:dyDescent="0.3">
      <c r="A65" s="26" t="s">
        <v>20</v>
      </c>
      <c r="B65" s="780"/>
      <c r="C65" s="237" t="e">
        <f>AVERAGE(C55:C59)</f>
        <v>#DIV/0!</v>
      </c>
      <c r="D65" s="505" t="e">
        <f>AVERAGE(D55:D59)</f>
        <v>#DIV/0!</v>
      </c>
      <c r="E65" s="237" t="e">
        <f t="shared" ref="E65:F65" si="30">AVERAGE(E55:E59)</f>
        <v>#DIV/0!</v>
      </c>
      <c r="F65" s="271">
        <f t="shared" si="30"/>
        <v>362</v>
      </c>
      <c r="G65" s="424" t="e">
        <f>AVERAGE(G55:G59)</f>
        <v>#DIV/0!</v>
      </c>
      <c r="H65" s="271">
        <f>AVERAGE(H55:H59)</f>
        <v>320.66666666666669</v>
      </c>
      <c r="I65" s="415">
        <f>AVERAGE(I55:I59)</f>
        <v>682.66666666666663</v>
      </c>
    </row>
    <row r="66" spans="1:9" s="43" customFormat="1" ht="15" customHeight="1" thickBot="1" x14ac:dyDescent="0.4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13"/>
      <c r="B67" s="516" t="s">
        <v>10</v>
      </c>
      <c r="C67" s="290" t="s">
        <v>125</v>
      </c>
      <c r="D67" s="410" t="s">
        <v>13</v>
      </c>
      <c r="E67" s="46"/>
      <c r="F67" s="46"/>
      <c r="G67" s="796" t="s">
        <v>55</v>
      </c>
      <c r="H67" s="797"/>
      <c r="I67" s="798"/>
    </row>
    <row r="68" spans="1:9" ht="30" customHeight="1" x14ac:dyDescent="0.25">
      <c r="A68" s="514" t="s">
        <v>112</v>
      </c>
      <c r="B68" s="517">
        <f xml:space="preserve"> SUM(,C7:D7,C62:D62, C51:D51, C40:D40, C29:D29, C18:D18,)</f>
        <v>0</v>
      </c>
      <c r="C68" s="171">
        <f>SUM(E7:F7,E18:F18,E29:F29,E40:F40,E51:F51,E62:F62,)</f>
        <v>8763</v>
      </c>
      <c r="D68" s="389">
        <f>SUM(,G7:H7,, G62:H62, G51:H51, G40:H40, G29:H29, G18:H18)</f>
        <v>8426</v>
      </c>
      <c r="E68" s="106"/>
      <c r="F68" s="106"/>
      <c r="G68" s="787" t="s">
        <v>28</v>
      </c>
      <c r="H68" s="788"/>
      <c r="I68" s="372">
        <f xml:space="preserve"> SUM(I20, I31, I42, I53, I64,)</f>
        <v>14588</v>
      </c>
    </row>
    <row r="69" spans="1:9" ht="30" customHeight="1" thickBot="1" x14ac:dyDescent="0.3">
      <c r="A69" s="515" t="s">
        <v>28</v>
      </c>
      <c r="B69" s="518">
        <f xml:space="preserve"> SUM(C7:D7,C64:D64, C53:D53, C42:D42, C31:D31, C20:D20,)</f>
        <v>0</v>
      </c>
      <c r="C69" s="295">
        <f>SUM(E20:F20,E31:F31,E42:F42,E53:F53,E64:F64)</f>
        <v>7585</v>
      </c>
      <c r="D69" s="391">
        <f>SUM( G64:H64, G53:H53, G42:H42, G31:H31, G20:H20)</f>
        <v>7003</v>
      </c>
      <c r="E69" s="106"/>
      <c r="F69" s="106"/>
      <c r="G69" s="783" t="s">
        <v>112</v>
      </c>
      <c r="H69" s="784"/>
      <c r="I69" s="373">
        <f xml:space="preserve"> SUM(,I7,I62, I51, I40, I29, I18,)</f>
        <v>17189</v>
      </c>
    </row>
    <row r="70" spans="1:9" ht="30" customHeight="1" x14ac:dyDescent="0.35">
      <c r="G70" s="783" t="s">
        <v>20</v>
      </c>
      <c r="H70" s="784"/>
      <c r="I70" s="373">
        <f>AVERAGE(I21,I32,I43,I54,I65)</f>
        <v>638.13333333333333</v>
      </c>
    </row>
    <row r="71" spans="1:9" ht="26.25" customHeight="1" thickBot="1" x14ac:dyDescent="0.4">
      <c r="G71" s="785" t="s">
        <v>118</v>
      </c>
      <c r="H71" s="786"/>
      <c r="I71" s="298">
        <f>AVERAGE(I19,I30,I41,I52,I63)</f>
        <v>569.13333333333333</v>
      </c>
    </row>
    <row r="72" spans="1:9" x14ac:dyDescent="0.35">
      <c r="C72" s="138"/>
    </row>
  </sheetData>
  <mergeCells count="23">
    <mergeCell ref="B7:B10"/>
    <mergeCell ref="I1:I4"/>
    <mergeCell ref="G1:H2"/>
    <mergeCell ref="C1:D2"/>
    <mergeCell ref="G67:I67"/>
    <mergeCell ref="E1:F2"/>
    <mergeCell ref="E3:E4"/>
    <mergeCell ref="F3:F4"/>
    <mergeCell ref="A3:A4"/>
    <mergeCell ref="B3:B4"/>
    <mergeCell ref="G3:G4"/>
    <mergeCell ref="H3:H4"/>
    <mergeCell ref="C3:C4"/>
    <mergeCell ref="D3:D4"/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J85" sqref="J85"/>
    </sheetView>
  </sheetViews>
  <sheetFormatPr defaultColWidth="9.1796875" defaultRowHeight="14.5" outlineLevelRow="1" x14ac:dyDescent="0.35"/>
  <cols>
    <col min="1" max="1" width="18.7265625" style="1" bestFit="1" customWidth="1"/>
    <col min="2" max="2" width="16.26953125" style="120" customWidth="1"/>
    <col min="3" max="3" width="16.26953125" style="282" customWidth="1"/>
    <col min="4" max="11" width="15.7265625" style="11" customWidth="1"/>
    <col min="12" max="12" width="35.26953125" style="11" bestFit="1" customWidth="1"/>
    <col min="13" max="13" width="31.54296875" style="11" customWidth="1"/>
    <col min="14" max="16384" width="9.1796875" style="11"/>
  </cols>
  <sheetData>
    <row r="1" spans="1:13" ht="15" customHeight="1" x14ac:dyDescent="0.25">
      <c r="A1" s="23"/>
      <c r="B1" s="152"/>
      <c r="C1" s="766" t="s">
        <v>92</v>
      </c>
      <c r="D1" s="756"/>
      <c r="E1" s="756"/>
      <c r="F1" s="756"/>
      <c r="G1" s="756"/>
      <c r="H1" s="766" t="s">
        <v>89</v>
      </c>
      <c r="I1" s="757"/>
      <c r="J1" s="756" t="s">
        <v>90</v>
      </c>
      <c r="K1" s="757"/>
      <c r="L1" s="751" t="s">
        <v>17</v>
      </c>
    </row>
    <row r="2" spans="1:13" ht="15" customHeight="1" thickBot="1" x14ac:dyDescent="0.3">
      <c r="A2" s="24"/>
      <c r="B2" s="153"/>
      <c r="C2" s="767"/>
      <c r="D2" s="768"/>
      <c r="E2" s="768"/>
      <c r="F2" s="768"/>
      <c r="G2" s="768"/>
      <c r="H2" s="767"/>
      <c r="I2" s="774"/>
      <c r="J2" s="768"/>
      <c r="K2" s="774"/>
      <c r="L2" s="752"/>
    </row>
    <row r="3" spans="1:13" ht="13.5" customHeight="1" x14ac:dyDescent="0.25">
      <c r="A3" s="679" t="s">
        <v>49</v>
      </c>
      <c r="B3" s="781" t="s">
        <v>50</v>
      </c>
      <c r="C3" s="805" t="s">
        <v>99</v>
      </c>
      <c r="D3" s="726" t="s">
        <v>7</v>
      </c>
      <c r="E3" s="726" t="s">
        <v>86</v>
      </c>
      <c r="F3" s="726" t="s">
        <v>87</v>
      </c>
      <c r="G3" s="803" t="s">
        <v>88</v>
      </c>
      <c r="H3" s="679" t="s">
        <v>83</v>
      </c>
      <c r="I3" s="385" t="s">
        <v>102</v>
      </c>
      <c r="J3" s="770" t="s">
        <v>10</v>
      </c>
      <c r="K3" s="727" t="s">
        <v>97</v>
      </c>
      <c r="L3" s="733"/>
    </row>
    <row r="4" spans="1:13" ht="15" customHeight="1" thickBot="1" x14ac:dyDescent="0.3">
      <c r="A4" s="696"/>
      <c r="B4" s="782"/>
      <c r="C4" s="806"/>
      <c r="D4" s="729"/>
      <c r="E4" s="729"/>
      <c r="F4" s="729"/>
      <c r="G4" s="804"/>
      <c r="H4" s="682"/>
      <c r="I4" s="445" t="s">
        <v>96</v>
      </c>
      <c r="J4" s="802"/>
      <c r="K4" s="730"/>
      <c r="L4" s="734"/>
    </row>
    <row r="5" spans="1:13" s="348" customFormat="1" ht="15" hidden="1" customHeight="1" x14ac:dyDescent="0.25">
      <c r="A5" s="354"/>
      <c r="B5" s="581"/>
      <c r="C5" s="564"/>
      <c r="D5" s="519"/>
      <c r="E5" s="519"/>
      <c r="F5" s="519"/>
      <c r="G5" s="523"/>
      <c r="H5" s="525"/>
      <c r="I5" s="523"/>
      <c r="J5" s="525"/>
      <c r="K5" s="520"/>
      <c r="L5" s="359"/>
    </row>
    <row r="6" spans="1:13" s="348" customFormat="1" ht="15" hidden="1" customHeight="1" thickBot="1" x14ac:dyDescent="0.3">
      <c r="A6" s="354"/>
      <c r="B6" s="581"/>
      <c r="C6" s="565"/>
      <c r="D6" s="521"/>
      <c r="E6" s="521"/>
      <c r="F6" s="521"/>
      <c r="G6" s="524"/>
      <c r="H6" s="526"/>
      <c r="I6" s="524"/>
      <c r="J6" s="526"/>
      <c r="K6" s="522"/>
      <c r="L6" s="443"/>
    </row>
    <row r="7" spans="1:13" s="43" customFormat="1" ht="15" hidden="1" customHeight="1" outlineLevel="1" thickBot="1" x14ac:dyDescent="0.3">
      <c r="A7" s="144" t="s">
        <v>19</v>
      </c>
      <c r="B7" s="799" t="s">
        <v>117</v>
      </c>
      <c r="C7" s="566" t="e">
        <f>SUM(#REF!)</f>
        <v>#REF!</v>
      </c>
      <c r="D7" s="318">
        <f>SUM(D5)</f>
        <v>0</v>
      </c>
      <c r="E7" s="318">
        <f t="shared" ref="E7:K7" si="0">SUM(E5)</f>
        <v>0</v>
      </c>
      <c r="F7" s="318">
        <f t="shared" si="0"/>
        <v>0</v>
      </c>
      <c r="G7" s="319">
        <f t="shared" si="0"/>
        <v>0</v>
      </c>
      <c r="H7" s="250">
        <f t="shared" si="0"/>
        <v>0</v>
      </c>
      <c r="I7" s="264">
        <f t="shared" si="0"/>
        <v>0</v>
      </c>
      <c r="J7" s="387">
        <f t="shared" si="0"/>
        <v>0</v>
      </c>
      <c r="K7" s="264">
        <f t="shared" si="0"/>
        <v>0</v>
      </c>
      <c r="L7" s="387">
        <f>SUM(L5)</f>
        <v>0</v>
      </c>
    </row>
    <row r="8" spans="1:13" s="43" customFormat="1" ht="15" hidden="1" customHeight="1" outlineLevel="1" thickBot="1" x14ac:dyDescent="0.3">
      <c r="A8" s="101" t="s">
        <v>21</v>
      </c>
      <c r="B8" s="792"/>
      <c r="C8" s="567" t="e">
        <f>AVERAGE(#REF!)</f>
        <v>#REF!</v>
      </c>
      <c r="D8" s="229" t="e">
        <f>AVERAGE(D5)</f>
        <v>#DIV/0!</v>
      </c>
      <c r="E8" s="229" t="e">
        <f t="shared" ref="E8:L8" si="1">AVERAGE(E5)</f>
        <v>#DIV/0!</v>
      </c>
      <c r="F8" s="229" t="e">
        <f t="shared" si="1"/>
        <v>#DIV/0!</v>
      </c>
      <c r="G8" s="310" t="e">
        <f t="shared" si="1"/>
        <v>#DIV/0!</v>
      </c>
      <c r="H8" s="232" t="e">
        <f t="shared" si="1"/>
        <v>#DIV/0!</v>
      </c>
      <c r="I8" s="233" t="e">
        <f t="shared" si="1"/>
        <v>#DIV/0!</v>
      </c>
      <c r="J8" s="388" t="e">
        <f t="shared" si="1"/>
        <v>#DIV/0!</v>
      </c>
      <c r="K8" s="233" t="e">
        <f t="shared" si="1"/>
        <v>#DIV/0!</v>
      </c>
      <c r="L8" s="388" t="e">
        <f t="shared" si="1"/>
        <v>#DIV/0!</v>
      </c>
    </row>
    <row r="9" spans="1:13" s="43" customFormat="1" ht="15" hidden="1" customHeight="1" thickBot="1" x14ac:dyDescent="0.3">
      <c r="A9" s="26" t="s">
        <v>18</v>
      </c>
      <c r="B9" s="792"/>
      <c r="C9" s="568" t="e">
        <f>SUM(#REF!)</f>
        <v>#REF!</v>
      </c>
      <c r="D9" s="230" t="e">
        <f>SUM(#REF!)</f>
        <v>#REF!</v>
      </c>
      <c r="E9" s="230" t="e">
        <f>SUM(#REF!)</f>
        <v>#REF!</v>
      </c>
      <c r="F9" s="230" t="e">
        <f>SUM(#REF!)</f>
        <v>#REF!</v>
      </c>
      <c r="G9" s="311" t="e">
        <f>SUM(#REF!)</f>
        <v>#REF!</v>
      </c>
      <c r="H9" s="234" t="e">
        <f>SUM(#REF!)</f>
        <v>#REF!</v>
      </c>
      <c r="I9" s="235" t="e">
        <f>SUM(#REF!)</f>
        <v>#REF!</v>
      </c>
      <c r="J9" s="261" t="e">
        <f>SUM(#REF!)</f>
        <v>#REF!</v>
      </c>
      <c r="K9" s="408" t="e">
        <f>SUM(#REF!)</f>
        <v>#REF!</v>
      </c>
      <c r="L9" s="406" t="e">
        <f>SUM(#REF!)</f>
        <v>#REF!</v>
      </c>
    </row>
    <row r="10" spans="1:13" s="43" customFormat="1" ht="15" hidden="1" customHeight="1" thickBot="1" x14ac:dyDescent="0.3">
      <c r="A10" s="26" t="s">
        <v>20</v>
      </c>
      <c r="B10" s="793"/>
      <c r="C10" s="569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12" t="e">
        <f>AVERAGE(#REF!)</f>
        <v>#REF!</v>
      </c>
      <c r="H10" s="29" t="e">
        <f>AVERAGE(#REF!)</f>
        <v>#REF!</v>
      </c>
      <c r="I10" s="30" t="e">
        <f>AVERAGE(I3)</f>
        <v>#DIV/0!</v>
      </c>
      <c r="J10" s="255" t="e">
        <f>AVERAGE(#REF!)</f>
        <v>#REF!</v>
      </c>
      <c r="K10" s="33" t="e">
        <f>AVERAGE(#REF!)</f>
        <v>#REF!</v>
      </c>
      <c r="L10" s="407" t="e">
        <f>AVERAGE(#REF!)</f>
        <v>#REF!</v>
      </c>
    </row>
    <row r="11" spans="1:13" s="42" customFormat="1" ht="13" thickBot="1" x14ac:dyDescent="0.3">
      <c r="A11" s="25" t="s">
        <v>3</v>
      </c>
      <c r="B11" s="582">
        <v>44256</v>
      </c>
      <c r="C11" s="538"/>
      <c r="D11" s="350"/>
      <c r="E11" s="350"/>
      <c r="F11" s="14"/>
      <c r="G11" s="56"/>
      <c r="H11" s="355">
        <v>156</v>
      </c>
      <c r="I11" s="356">
        <v>143</v>
      </c>
      <c r="J11" s="127"/>
      <c r="K11" s="13"/>
      <c r="L11" s="49">
        <f t="shared" ref="L11:L17" si="2">SUM(C11:K11)</f>
        <v>299</v>
      </c>
    </row>
    <row r="12" spans="1:13" s="42" customFormat="1" ht="13" thickBot="1" x14ac:dyDescent="0.3">
      <c r="A12" s="25" t="s">
        <v>4</v>
      </c>
      <c r="B12" s="582">
        <v>44257</v>
      </c>
      <c r="C12" s="553"/>
      <c r="D12" s="228"/>
      <c r="E12" s="228"/>
      <c r="F12" s="195"/>
      <c r="G12" s="203"/>
      <c r="H12" s="317">
        <v>159</v>
      </c>
      <c r="I12" s="236">
        <v>145</v>
      </c>
      <c r="J12" s="128"/>
      <c r="K12" s="19"/>
      <c r="L12" s="49">
        <f t="shared" si="2"/>
        <v>304</v>
      </c>
    </row>
    <row r="13" spans="1:13" s="42" customFormat="1" ht="13" thickBot="1" x14ac:dyDescent="0.3">
      <c r="A13" s="25" t="s">
        <v>5</v>
      </c>
      <c r="B13" s="582">
        <v>44258</v>
      </c>
      <c r="C13" s="553"/>
      <c r="D13" s="381"/>
      <c r="E13" s="228"/>
      <c r="F13" s="195"/>
      <c r="G13" s="203"/>
      <c r="H13" s="317">
        <v>177</v>
      </c>
      <c r="I13" s="236">
        <v>161</v>
      </c>
      <c r="J13" s="128"/>
      <c r="K13" s="19"/>
      <c r="L13" s="49">
        <f>SUM(C13:K13)</f>
        <v>338</v>
      </c>
    </row>
    <row r="14" spans="1:13" s="42" customFormat="1" ht="13" thickBot="1" x14ac:dyDescent="0.3">
      <c r="A14" s="25" t="s">
        <v>6</v>
      </c>
      <c r="B14" s="582">
        <v>44259</v>
      </c>
      <c r="C14" s="553"/>
      <c r="D14" s="228"/>
      <c r="E14" s="227"/>
      <c r="F14" s="20"/>
      <c r="G14" s="57"/>
      <c r="H14" s="317">
        <v>166</v>
      </c>
      <c r="I14" s="236">
        <v>160</v>
      </c>
      <c r="J14" s="128"/>
      <c r="K14" s="19"/>
      <c r="L14" s="49">
        <f t="shared" si="2"/>
        <v>326</v>
      </c>
      <c r="M14" s="137"/>
    </row>
    <row r="15" spans="1:13" s="42" customFormat="1" ht="13" thickBot="1" x14ac:dyDescent="0.3">
      <c r="A15" s="25" t="s">
        <v>0</v>
      </c>
      <c r="B15" s="582">
        <v>44260</v>
      </c>
      <c r="C15" s="553"/>
      <c r="D15" s="226"/>
      <c r="E15" s="227"/>
      <c r="F15" s="20"/>
      <c r="G15" s="57"/>
      <c r="H15" s="317">
        <v>135</v>
      </c>
      <c r="I15" s="236">
        <v>135</v>
      </c>
      <c r="J15" s="128"/>
      <c r="K15" s="19"/>
      <c r="L15" s="49">
        <f t="shared" si="2"/>
        <v>270</v>
      </c>
      <c r="M15" s="137"/>
    </row>
    <row r="16" spans="1:13" s="42" customFormat="1" ht="13" outlineLevel="1" thickBot="1" x14ac:dyDescent="0.3">
      <c r="A16" s="25" t="s">
        <v>1</v>
      </c>
      <c r="B16" s="582">
        <v>44261</v>
      </c>
      <c r="C16" s="553"/>
      <c r="D16" s="226"/>
      <c r="E16" s="227"/>
      <c r="F16" s="20"/>
      <c r="G16" s="57"/>
      <c r="H16" s="382"/>
      <c r="I16" s="379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582">
        <v>44262</v>
      </c>
      <c r="C17" s="570"/>
      <c r="D17" s="320"/>
      <c r="E17" s="321"/>
      <c r="F17" s="52"/>
      <c r="G17" s="254"/>
      <c r="H17" s="383"/>
      <c r="I17" s="380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799" t="s">
        <v>22</v>
      </c>
      <c r="C18" s="566">
        <f t="shared" ref="C18:K18" si="3">SUM(C11:C17)</f>
        <v>0</v>
      </c>
      <c r="D18" s="318">
        <f t="shared" si="3"/>
        <v>0</v>
      </c>
      <c r="E18" s="318">
        <f t="shared" si="3"/>
        <v>0</v>
      </c>
      <c r="F18" s="318">
        <f t="shared" si="3"/>
        <v>0</v>
      </c>
      <c r="G18" s="319">
        <f t="shared" si="3"/>
        <v>0</v>
      </c>
      <c r="H18" s="250">
        <f t="shared" si="3"/>
        <v>793</v>
      </c>
      <c r="I18" s="264">
        <f t="shared" si="3"/>
        <v>744</v>
      </c>
      <c r="J18" s="266">
        <f t="shared" si="3"/>
        <v>0</v>
      </c>
      <c r="K18" s="256">
        <f t="shared" si="3"/>
        <v>0</v>
      </c>
      <c r="L18" s="105">
        <f>SUM(L11:L17)</f>
        <v>1537</v>
      </c>
    </row>
    <row r="19" spans="1:13" s="43" customFormat="1" ht="15" customHeight="1" outlineLevel="1" thickBot="1" x14ac:dyDescent="0.3">
      <c r="A19" s="101" t="s">
        <v>21</v>
      </c>
      <c r="B19" s="792"/>
      <c r="C19" s="567" t="e">
        <f>AVERAGE(C11:C17)</f>
        <v>#DIV/0!</v>
      </c>
      <c r="D19" s="229" t="e">
        <f t="shared" ref="D19:K19" si="4">AVERAGE(D11:D17)</f>
        <v>#DIV/0!</v>
      </c>
      <c r="E19" s="229" t="e">
        <f t="shared" si="4"/>
        <v>#DIV/0!</v>
      </c>
      <c r="F19" s="229" t="e">
        <f t="shared" si="4"/>
        <v>#DIV/0!</v>
      </c>
      <c r="G19" s="310" t="e">
        <f t="shared" si="4"/>
        <v>#DIV/0!</v>
      </c>
      <c r="H19" s="232">
        <f t="shared" si="4"/>
        <v>158.6</v>
      </c>
      <c r="I19" s="233">
        <f>AVERAGE(I15:I17)</f>
        <v>135</v>
      </c>
      <c r="J19" s="260" t="e">
        <f t="shared" si="4"/>
        <v>#DIV/0!</v>
      </c>
      <c r="K19" s="241" t="e">
        <f t="shared" si="4"/>
        <v>#DIV/0!</v>
      </c>
      <c r="L19" s="103">
        <f>AVERAGE(L11:L17)</f>
        <v>219.57142857142858</v>
      </c>
    </row>
    <row r="20" spans="1:13" s="43" customFormat="1" ht="15" customHeight="1" thickBot="1" x14ac:dyDescent="0.3">
      <c r="A20" s="26" t="s">
        <v>18</v>
      </c>
      <c r="B20" s="792"/>
      <c r="C20" s="568">
        <f t="shared" ref="C20:K20" si="5">SUM(C11:C15)</f>
        <v>0</v>
      </c>
      <c r="D20" s="230">
        <f t="shared" si="5"/>
        <v>0</v>
      </c>
      <c r="E20" s="230">
        <f t="shared" si="5"/>
        <v>0</v>
      </c>
      <c r="F20" s="230">
        <f t="shared" si="5"/>
        <v>0</v>
      </c>
      <c r="G20" s="311">
        <f t="shared" si="5"/>
        <v>0</v>
      </c>
      <c r="H20" s="234">
        <f>SUM(H11:H15)</f>
        <v>793</v>
      </c>
      <c r="I20" s="235">
        <f>SUM(I11:I15)</f>
        <v>744</v>
      </c>
      <c r="J20" s="261">
        <f t="shared" si="5"/>
        <v>0</v>
      </c>
      <c r="K20" s="242">
        <f t="shared" si="5"/>
        <v>0</v>
      </c>
      <c r="L20" s="28">
        <f>SUM(L11:L15)</f>
        <v>1537</v>
      </c>
    </row>
    <row r="21" spans="1:13" s="43" customFormat="1" ht="15" customHeight="1" thickBot="1" x14ac:dyDescent="0.3">
      <c r="A21" s="26" t="s">
        <v>20</v>
      </c>
      <c r="B21" s="792"/>
      <c r="C21" s="571" t="e">
        <f>AVERAGE(C11:C15)</f>
        <v>#DIV/0!</v>
      </c>
      <c r="D21" s="324" t="e">
        <f t="shared" ref="D21:K21" si="6">AVERAGE(D11:D15)</f>
        <v>#DIV/0!</v>
      </c>
      <c r="E21" s="324" t="e">
        <f t="shared" si="6"/>
        <v>#DIV/0!</v>
      </c>
      <c r="F21" s="324" t="e">
        <f t="shared" si="6"/>
        <v>#DIV/0!</v>
      </c>
      <c r="G21" s="325" t="e">
        <f t="shared" si="6"/>
        <v>#DIV/0!</v>
      </c>
      <c r="H21" s="326">
        <f t="shared" si="6"/>
        <v>158.6</v>
      </c>
      <c r="I21" s="327">
        <f>AVERAGE(I15)</f>
        <v>135</v>
      </c>
      <c r="J21" s="328" t="e">
        <f t="shared" si="6"/>
        <v>#DIV/0!</v>
      </c>
      <c r="K21" s="329" t="e">
        <f t="shared" si="6"/>
        <v>#DIV/0!</v>
      </c>
      <c r="L21" s="33">
        <f>AVERAGE(L11:L15)</f>
        <v>307.39999999999998</v>
      </c>
    </row>
    <row r="22" spans="1:13" s="43" customFormat="1" ht="15" customHeight="1" thickBot="1" x14ac:dyDescent="0.3">
      <c r="A22" s="25" t="s">
        <v>3</v>
      </c>
      <c r="B22" s="154">
        <f>B17+1</f>
        <v>44263</v>
      </c>
      <c r="C22" s="572"/>
      <c r="D22" s="231"/>
      <c r="E22" s="231"/>
      <c r="F22" s="330"/>
      <c r="G22" s="331"/>
      <c r="H22" s="315">
        <v>169</v>
      </c>
      <c r="I22" s="316">
        <v>150</v>
      </c>
      <c r="J22" s="332"/>
      <c r="K22" s="333"/>
      <c r="L22" s="16">
        <f t="shared" ref="L22:L28" si="7">SUM(C22:K22)</f>
        <v>319</v>
      </c>
    </row>
    <row r="23" spans="1:13" s="43" customFormat="1" ht="15" customHeight="1" thickBot="1" x14ac:dyDescent="0.3">
      <c r="A23" s="25" t="s">
        <v>4</v>
      </c>
      <c r="B23" s="155">
        <f t="shared" ref="B23:B28" si="8">B22+1</f>
        <v>44264</v>
      </c>
      <c r="C23" s="553"/>
      <c r="D23" s="228"/>
      <c r="E23" s="228"/>
      <c r="F23" s="170"/>
      <c r="G23" s="172"/>
      <c r="H23" s="317">
        <v>185</v>
      </c>
      <c r="I23" s="236">
        <v>172</v>
      </c>
      <c r="J23" s="262"/>
      <c r="K23" s="272"/>
      <c r="L23" s="17">
        <f t="shared" si="7"/>
        <v>357</v>
      </c>
    </row>
    <row r="24" spans="1:13" s="43" customFormat="1" ht="15" customHeight="1" thickBot="1" x14ac:dyDescent="0.3">
      <c r="A24" s="25" t="s">
        <v>5</v>
      </c>
      <c r="B24" s="155">
        <f t="shared" si="8"/>
        <v>44265</v>
      </c>
      <c r="C24" s="553"/>
      <c r="D24" s="228"/>
      <c r="E24" s="228"/>
      <c r="F24" s="170"/>
      <c r="G24" s="172"/>
      <c r="H24" s="353">
        <v>175</v>
      </c>
      <c r="I24" s="272">
        <v>146</v>
      </c>
      <c r="J24" s="262"/>
      <c r="K24" s="272"/>
      <c r="L24" s="17">
        <f>SUM(C24:K24)</f>
        <v>321</v>
      </c>
    </row>
    <row r="25" spans="1:13" s="43" customFormat="1" ht="15" customHeight="1" thickBot="1" x14ac:dyDescent="0.3">
      <c r="A25" s="25" t="s">
        <v>6</v>
      </c>
      <c r="B25" s="156">
        <f t="shared" si="8"/>
        <v>44266</v>
      </c>
      <c r="C25" s="553"/>
      <c r="D25" s="226"/>
      <c r="E25" s="226"/>
      <c r="F25" s="219"/>
      <c r="G25" s="57"/>
      <c r="H25" s="353">
        <v>165</v>
      </c>
      <c r="I25" s="272">
        <v>167</v>
      </c>
      <c r="J25" s="123"/>
      <c r="K25" s="19"/>
      <c r="L25" s="17">
        <f t="shared" si="7"/>
        <v>332</v>
      </c>
    </row>
    <row r="26" spans="1:13" s="43" customFormat="1" ht="15" customHeight="1" thickBot="1" x14ac:dyDescent="0.3">
      <c r="A26" s="25" t="s">
        <v>0</v>
      </c>
      <c r="B26" s="156">
        <f t="shared" si="8"/>
        <v>44267</v>
      </c>
      <c r="C26" s="553"/>
      <c r="D26" s="226"/>
      <c r="E26" s="226"/>
      <c r="F26" s="219"/>
      <c r="G26" s="57"/>
      <c r="H26" s="353">
        <v>145</v>
      </c>
      <c r="I26" s="272">
        <v>130</v>
      </c>
      <c r="J26" s="123"/>
      <c r="K26" s="19"/>
      <c r="L26" s="17">
        <f t="shared" si="7"/>
        <v>275</v>
      </c>
    </row>
    <row r="27" spans="1:13" s="43" customFormat="1" ht="15" customHeight="1" outlineLevel="1" thickBot="1" x14ac:dyDescent="0.3">
      <c r="A27" s="25" t="s">
        <v>1</v>
      </c>
      <c r="B27" s="168">
        <f t="shared" si="8"/>
        <v>44268</v>
      </c>
      <c r="C27" s="553"/>
      <c r="D27" s="228"/>
      <c r="E27" s="226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155">
        <f t="shared" si="8"/>
        <v>44269</v>
      </c>
      <c r="C28" s="570"/>
      <c r="D28" s="320"/>
      <c r="E28" s="320"/>
      <c r="F28" s="334"/>
      <c r="G28" s="254"/>
      <c r="H28" s="383"/>
      <c r="I28" s="380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799" t="s">
        <v>23</v>
      </c>
      <c r="C29" s="566">
        <f t="shared" ref="C29:L29" si="9">SUM(C22:C28)</f>
        <v>0</v>
      </c>
      <c r="D29" s="318">
        <f t="shared" si="9"/>
        <v>0</v>
      </c>
      <c r="E29" s="318">
        <f t="shared" si="9"/>
        <v>0</v>
      </c>
      <c r="F29" s="318">
        <f t="shared" si="9"/>
        <v>0</v>
      </c>
      <c r="G29" s="319">
        <f t="shared" si="9"/>
        <v>0</v>
      </c>
      <c r="H29" s="250">
        <f>SUM(H22:H28)</f>
        <v>839</v>
      </c>
      <c r="I29" s="264">
        <f>SUM(I22:I28)</f>
        <v>765</v>
      </c>
      <c r="J29" s="266">
        <f t="shared" si="9"/>
        <v>0</v>
      </c>
      <c r="K29" s="256">
        <f t="shared" si="9"/>
        <v>0</v>
      </c>
      <c r="L29" s="105">
        <f t="shared" si="9"/>
        <v>1604</v>
      </c>
    </row>
    <row r="30" spans="1:13" s="43" customFormat="1" ht="15" customHeight="1" outlineLevel="1" thickBot="1" x14ac:dyDescent="0.3">
      <c r="A30" s="101" t="s">
        <v>21</v>
      </c>
      <c r="B30" s="792"/>
      <c r="C30" s="567" t="e">
        <f>AVERAGE(C22:C28)</f>
        <v>#DIV/0!</v>
      </c>
      <c r="D30" s="229" t="e">
        <f>AVERAGE(D22:D28)</f>
        <v>#DIV/0!</v>
      </c>
      <c r="E30" s="229" t="e">
        <f t="shared" ref="E30:J30" si="10">AVERAGE(E22:E28)</f>
        <v>#DIV/0!</v>
      </c>
      <c r="F30" s="229" t="e">
        <f>AVERAGE(F22:F28)</f>
        <v>#DIV/0!</v>
      </c>
      <c r="G30" s="310" t="e">
        <f>AVERAGE(G22:G28)</f>
        <v>#DIV/0!</v>
      </c>
      <c r="H30" s="232">
        <f>AVERAGE(H22:H28)</f>
        <v>167.8</v>
      </c>
      <c r="I30" s="233">
        <f>AVERAGE(I22:I28)</f>
        <v>153</v>
      </c>
      <c r="J30" s="260" t="e">
        <f t="shared" si="10"/>
        <v>#DIV/0!</v>
      </c>
      <c r="K30" s="241" t="e">
        <f>AVERAGE(K22:K28)</f>
        <v>#DIV/0!</v>
      </c>
      <c r="L30" s="103">
        <f>AVERAGE(L22:L28)</f>
        <v>229.14285714285714</v>
      </c>
    </row>
    <row r="31" spans="1:13" s="43" customFormat="1" ht="15" customHeight="1" thickBot="1" x14ac:dyDescent="0.3">
      <c r="A31" s="26" t="s">
        <v>18</v>
      </c>
      <c r="B31" s="792"/>
      <c r="C31" s="568">
        <f>SUM(C22:C26)</f>
        <v>0</v>
      </c>
      <c r="D31" s="230">
        <f t="shared" ref="D31:J31" si="11">SUM(D22:D26)</f>
        <v>0</v>
      </c>
      <c r="E31" s="230">
        <f t="shared" si="11"/>
        <v>0</v>
      </c>
      <c r="F31" s="230">
        <f t="shared" si="11"/>
        <v>0</v>
      </c>
      <c r="G31" s="311">
        <f t="shared" si="11"/>
        <v>0</v>
      </c>
      <c r="H31" s="234">
        <f>SUM(H22:H26)</f>
        <v>839</v>
      </c>
      <c r="I31" s="235">
        <f>SUM(I22:I26)</f>
        <v>765</v>
      </c>
      <c r="J31" s="261">
        <f t="shared" si="11"/>
        <v>0</v>
      </c>
      <c r="K31" s="242">
        <f>SUM(K22:K26)</f>
        <v>0</v>
      </c>
      <c r="L31" s="28">
        <f>SUM(L22:L26)</f>
        <v>1604</v>
      </c>
    </row>
    <row r="32" spans="1:13" s="43" customFormat="1" ht="15" customHeight="1" thickBot="1" x14ac:dyDescent="0.3">
      <c r="A32" s="26" t="s">
        <v>20</v>
      </c>
      <c r="B32" s="793"/>
      <c r="C32" s="571" t="e">
        <f>AVERAGE(C22:C26)</f>
        <v>#DIV/0!</v>
      </c>
      <c r="D32" s="324" t="e">
        <f t="shared" ref="D32:J32" si="12">AVERAGE(D22:D26)</f>
        <v>#DIV/0!</v>
      </c>
      <c r="E32" s="324" t="e">
        <f t="shared" si="12"/>
        <v>#DIV/0!</v>
      </c>
      <c r="F32" s="324" t="e">
        <f t="shared" si="12"/>
        <v>#DIV/0!</v>
      </c>
      <c r="G32" s="325" t="e">
        <f t="shared" si="12"/>
        <v>#DIV/0!</v>
      </c>
      <c r="H32" s="326">
        <f>AVERAGE(H22:H26)</f>
        <v>167.8</v>
      </c>
      <c r="I32" s="327">
        <f>AVERAGE(I22:I26)</f>
        <v>153</v>
      </c>
      <c r="J32" s="328" t="e">
        <f t="shared" si="12"/>
        <v>#DIV/0!</v>
      </c>
      <c r="K32" s="329" t="e">
        <f>AVERAGE(K22:K26)</f>
        <v>#DIV/0!</v>
      </c>
      <c r="L32" s="259">
        <f>AVERAGE(L22:L26)</f>
        <v>320.8</v>
      </c>
    </row>
    <row r="33" spans="1:12" s="43" customFormat="1" ht="15" customHeight="1" thickBot="1" x14ac:dyDescent="0.3">
      <c r="A33" s="25" t="s">
        <v>3</v>
      </c>
      <c r="B33" s="157">
        <f>B28+1</f>
        <v>44270</v>
      </c>
      <c r="C33" s="573"/>
      <c r="D33" s="231"/>
      <c r="E33" s="231"/>
      <c r="F33" s="330"/>
      <c r="G33" s="333"/>
      <c r="H33" s="315">
        <v>154</v>
      </c>
      <c r="I33" s="316">
        <v>142</v>
      </c>
      <c r="J33" s="332"/>
      <c r="K33" s="333"/>
      <c r="L33" s="16">
        <f>SUM(C33:K33)</f>
        <v>296</v>
      </c>
    </row>
    <row r="34" spans="1:12" s="43" customFormat="1" ht="15" customHeight="1" thickBot="1" x14ac:dyDescent="0.3">
      <c r="A34" s="25" t="s">
        <v>4</v>
      </c>
      <c r="B34" s="158">
        <f t="shared" ref="B34:B39" si="13">B33+1</f>
        <v>44271</v>
      </c>
      <c r="C34" s="574"/>
      <c r="D34" s="228"/>
      <c r="E34" s="228"/>
      <c r="F34" s="228"/>
      <c r="G34" s="379"/>
      <c r="H34" s="317">
        <v>164</v>
      </c>
      <c r="I34" s="236">
        <v>140</v>
      </c>
      <c r="J34" s="374"/>
      <c r="K34" s="207"/>
      <c r="L34" s="17">
        <f>SUM(C34:K34)</f>
        <v>304</v>
      </c>
    </row>
    <row r="35" spans="1:12" s="43" customFormat="1" ht="15" customHeight="1" thickBot="1" x14ac:dyDescent="0.3">
      <c r="A35" s="25" t="s">
        <v>5</v>
      </c>
      <c r="B35" s="158">
        <f t="shared" si="13"/>
        <v>44272</v>
      </c>
      <c r="C35" s="574"/>
      <c r="D35" s="228"/>
      <c r="E35" s="228"/>
      <c r="F35" s="228"/>
      <c r="G35" s="379"/>
      <c r="H35" s="317">
        <v>160</v>
      </c>
      <c r="I35" s="236">
        <v>148</v>
      </c>
      <c r="J35" s="374"/>
      <c r="K35" s="207"/>
      <c r="L35" s="17">
        <f t="shared" ref="L35" si="14">SUM(C35:K35)</f>
        <v>308</v>
      </c>
    </row>
    <row r="36" spans="1:12" s="43" customFormat="1" ht="15" customHeight="1" thickBot="1" x14ac:dyDescent="0.3">
      <c r="A36" s="25" t="s">
        <v>6</v>
      </c>
      <c r="B36" s="158">
        <f t="shared" si="13"/>
        <v>44273</v>
      </c>
      <c r="C36" s="574"/>
      <c r="D36" s="228"/>
      <c r="E36" s="228"/>
      <c r="F36" s="228"/>
      <c r="G36" s="379"/>
      <c r="H36" s="353">
        <v>154</v>
      </c>
      <c r="I36" s="272">
        <v>143</v>
      </c>
      <c r="J36" s="193"/>
      <c r="K36" s="204"/>
      <c r="L36" s="17">
        <f>SUM(C36:K36)</f>
        <v>297</v>
      </c>
    </row>
    <row r="37" spans="1:12" s="43" customFormat="1" ht="15" customHeight="1" thickBot="1" x14ac:dyDescent="0.3">
      <c r="A37" s="25" t="s">
        <v>0</v>
      </c>
      <c r="B37" s="158">
        <f t="shared" si="13"/>
        <v>44274</v>
      </c>
      <c r="C37" s="574"/>
      <c r="D37" s="228"/>
      <c r="E37" s="228"/>
      <c r="F37" s="228"/>
      <c r="G37" s="379"/>
      <c r="H37" s="353">
        <v>113</v>
      </c>
      <c r="I37" s="272">
        <v>108</v>
      </c>
      <c r="J37" s="193"/>
      <c r="K37" s="204"/>
      <c r="L37" s="17">
        <f>SUM(C37:K37)</f>
        <v>221</v>
      </c>
    </row>
    <row r="38" spans="1:12" s="43" customFormat="1" ht="15" customHeight="1" outlineLevel="1" thickBot="1" x14ac:dyDescent="0.3">
      <c r="A38" s="25" t="s">
        <v>1</v>
      </c>
      <c r="B38" s="158">
        <f t="shared" si="13"/>
        <v>44275</v>
      </c>
      <c r="C38" s="574"/>
      <c r="D38" s="228"/>
      <c r="E38" s="228"/>
      <c r="F38" s="228"/>
      <c r="G38" s="379"/>
      <c r="H38" s="353"/>
      <c r="I38" s="272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158">
        <f t="shared" si="13"/>
        <v>44276</v>
      </c>
      <c r="C39" s="575"/>
      <c r="D39" s="437"/>
      <c r="E39" s="437"/>
      <c r="F39" s="437"/>
      <c r="G39" s="380"/>
      <c r="H39" s="322"/>
      <c r="I39" s="323"/>
      <c r="J39" s="340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799" t="s">
        <v>24</v>
      </c>
      <c r="C40" s="566">
        <f t="shared" ref="C40:L40" si="15">SUM(C33:C39)</f>
        <v>0</v>
      </c>
      <c r="D40" s="318">
        <f>SUM(D33:D39)</f>
        <v>0</v>
      </c>
      <c r="E40" s="318">
        <f>SUM(E33:E39)</f>
        <v>0</v>
      </c>
      <c r="F40" s="318">
        <f>SUM(F33:F39)</f>
        <v>0</v>
      </c>
      <c r="G40" s="319">
        <f>SUM(G33:G39)</f>
        <v>0</v>
      </c>
      <c r="H40" s="250">
        <f t="shared" si="15"/>
        <v>745</v>
      </c>
      <c r="I40" s="264">
        <f t="shared" si="15"/>
        <v>681</v>
      </c>
      <c r="J40" s="266">
        <f t="shared" si="15"/>
        <v>0</v>
      </c>
      <c r="K40" s="256">
        <f t="shared" si="15"/>
        <v>0</v>
      </c>
      <c r="L40" s="105">
        <f t="shared" si="15"/>
        <v>1426</v>
      </c>
    </row>
    <row r="41" spans="1:12" s="43" customFormat="1" ht="15" customHeight="1" outlineLevel="1" thickBot="1" x14ac:dyDescent="0.3">
      <c r="A41" s="101" t="s">
        <v>21</v>
      </c>
      <c r="B41" s="792"/>
      <c r="C41" s="567" t="e">
        <f t="shared" ref="C41:L41" si="16">AVERAGE(C33:C39)</f>
        <v>#DIV/0!</v>
      </c>
      <c r="D41" s="229" t="e">
        <f t="shared" si="16"/>
        <v>#DIV/0!</v>
      </c>
      <c r="E41" s="229" t="e">
        <f t="shared" si="16"/>
        <v>#DIV/0!</v>
      </c>
      <c r="F41" s="229" t="e">
        <f>AVERAGE(F33:F39)</f>
        <v>#DIV/0!</v>
      </c>
      <c r="G41" s="310" t="e">
        <f t="shared" si="16"/>
        <v>#DIV/0!</v>
      </c>
      <c r="H41" s="232">
        <f t="shared" si="16"/>
        <v>149</v>
      </c>
      <c r="I41" s="233">
        <f t="shared" si="16"/>
        <v>136.19999999999999</v>
      </c>
      <c r="J41" s="260" t="e">
        <f t="shared" si="16"/>
        <v>#DIV/0!</v>
      </c>
      <c r="K41" s="241" t="e">
        <f t="shared" si="16"/>
        <v>#DIV/0!</v>
      </c>
      <c r="L41" s="103">
        <f t="shared" si="16"/>
        <v>203.71428571428572</v>
      </c>
    </row>
    <row r="42" spans="1:12" s="43" customFormat="1" ht="15" customHeight="1" thickBot="1" x14ac:dyDescent="0.3">
      <c r="A42" s="26" t="s">
        <v>18</v>
      </c>
      <c r="B42" s="792"/>
      <c r="C42" s="568">
        <f t="shared" ref="C42:K42" si="17">SUM(C33:C37)</f>
        <v>0</v>
      </c>
      <c r="D42" s="230">
        <f t="shared" si="17"/>
        <v>0</v>
      </c>
      <c r="E42" s="230">
        <f>SUM(E33:E37)</f>
        <v>0</v>
      </c>
      <c r="F42" s="230">
        <f>SUM(F33:F37)</f>
        <v>0</v>
      </c>
      <c r="G42" s="311">
        <f>SUM(G33:G37)</f>
        <v>0</v>
      </c>
      <c r="H42" s="234">
        <f>SUM(H33:H37)</f>
        <v>745</v>
      </c>
      <c r="I42" s="235">
        <f>SUM(I33:I37)</f>
        <v>681</v>
      </c>
      <c r="J42" s="261">
        <f t="shared" si="17"/>
        <v>0</v>
      </c>
      <c r="K42" s="242">
        <f t="shared" si="17"/>
        <v>0</v>
      </c>
      <c r="L42" s="28">
        <f>SUM(L33:L37)</f>
        <v>1426</v>
      </c>
    </row>
    <row r="43" spans="1:12" s="43" customFormat="1" ht="15" customHeight="1" thickBot="1" x14ac:dyDescent="0.3">
      <c r="A43" s="26" t="s">
        <v>20</v>
      </c>
      <c r="B43" s="793"/>
      <c r="C43" s="571" t="e">
        <f t="shared" ref="C43:L43" si="18">AVERAGE(C33:C37)</f>
        <v>#DIV/0!</v>
      </c>
      <c r="D43" s="324" t="e">
        <f t="shared" si="18"/>
        <v>#DIV/0!</v>
      </c>
      <c r="E43" s="324" t="e">
        <f t="shared" si="18"/>
        <v>#DIV/0!</v>
      </c>
      <c r="F43" s="324" t="e">
        <f t="shared" si="18"/>
        <v>#DIV/0!</v>
      </c>
      <c r="G43" s="325" t="e">
        <f t="shared" si="18"/>
        <v>#DIV/0!</v>
      </c>
      <c r="H43" s="326">
        <f t="shared" si="18"/>
        <v>149</v>
      </c>
      <c r="I43" s="327">
        <f t="shared" si="18"/>
        <v>136.19999999999999</v>
      </c>
      <c r="J43" s="328" t="e">
        <f t="shared" si="18"/>
        <v>#DIV/0!</v>
      </c>
      <c r="K43" s="329" t="e">
        <f t="shared" si="18"/>
        <v>#DIV/0!</v>
      </c>
      <c r="L43" s="33">
        <f t="shared" si="18"/>
        <v>285.2</v>
      </c>
    </row>
    <row r="44" spans="1:12" s="43" customFormat="1" ht="15" customHeight="1" thickBot="1" x14ac:dyDescent="0.3">
      <c r="A44" s="25" t="s">
        <v>3</v>
      </c>
      <c r="B44" s="159">
        <f>B39+1</f>
        <v>44277</v>
      </c>
      <c r="C44" s="576"/>
      <c r="D44" s="231"/>
      <c r="E44" s="231"/>
      <c r="F44" s="231"/>
      <c r="G44" s="386"/>
      <c r="H44" s="315">
        <v>163</v>
      </c>
      <c r="I44" s="316">
        <v>153</v>
      </c>
      <c r="J44" s="375"/>
      <c r="K44" s="378"/>
      <c r="L44" s="16">
        <f>SUM(C44:K44)</f>
        <v>316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44278</v>
      </c>
      <c r="C45" s="577"/>
      <c r="D45" s="226"/>
      <c r="E45" s="226"/>
      <c r="F45" s="226"/>
      <c r="G45" s="253"/>
      <c r="H45" s="317">
        <v>171</v>
      </c>
      <c r="I45" s="236">
        <v>158</v>
      </c>
      <c r="J45" s="376"/>
      <c r="K45" s="379"/>
      <c r="L45" s="17">
        <f t="shared" ref="L45:L49" si="20">SUM(C45:K45)</f>
        <v>329</v>
      </c>
    </row>
    <row r="46" spans="1:12" s="43" customFormat="1" ht="15" customHeight="1" thickBot="1" x14ac:dyDescent="0.3">
      <c r="A46" s="25" t="s">
        <v>5</v>
      </c>
      <c r="B46" s="160">
        <f t="shared" si="19"/>
        <v>44279</v>
      </c>
      <c r="C46" s="577"/>
      <c r="D46" s="226"/>
      <c r="E46" s="226"/>
      <c r="F46" s="226"/>
      <c r="G46" s="253"/>
      <c r="H46" s="317">
        <v>166</v>
      </c>
      <c r="I46" s="236">
        <v>157</v>
      </c>
      <c r="J46" s="376"/>
      <c r="K46" s="379"/>
      <c r="L46" s="17">
        <f t="shared" si="20"/>
        <v>323</v>
      </c>
    </row>
    <row r="47" spans="1:12" s="43" customFormat="1" ht="15" customHeight="1" thickBot="1" x14ac:dyDescent="0.3">
      <c r="A47" s="25" t="s">
        <v>6</v>
      </c>
      <c r="B47" s="160">
        <f t="shared" si="19"/>
        <v>44280</v>
      </c>
      <c r="C47" s="577"/>
      <c r="D47" s="226"/>
      <c r="E47" s="226"/>
      <c r="F47" s="228"/>
      <c r="G47" s="253"/>
      <c r="H47" s="353">
        <v>171</v>
      </c>
      <c r="I47" s="272">
        <v>142</v>
      </c>
      <c r="J47" s="374"/>
      <c r="K47" s="379"/>
      <c r="L47" s="17">
        <f t="shared" si="20"/>
        <v>313</v>
      </c>
    </row>
    <row r="48" spans="1:12" s="43" customFormat="1" ht="15" customHeight="1" thickBot="1" x14ac:dyDescent="0.3">
      <c r="A48" s="25" t="s">
        <v>0</v>
      </c>
      <c r="B48" s="160">
        <f t="shared" si="19"/>
        <v>44281</v>
      </c>
      <c r="C48" s="577"/>
      <c r="D48" s="226"/>
      <c r="E48" s="226"/>
      <c r="F48" s="226"/>
      <c r="G48" s="253"/>
      <c r="H48" s="353">
        <v>137</v>
      </c>
      <c r="I48" s="272">
        <v>121</v>
      </c>
      <c r="J48" s="374"/>
      <c r="K48" s="379"/>
      <c r="L48" s="17">
        <f t="shared" si="20"/>
        <v>258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44282</v>
      </c>
      <c r="C49" s="577"/>
      <c r="D49" s="228"/>
      <c r="E49" s="226"/>
      <c r="F49" s="226"/>
      <c r="G49" s="253"/>
      <c r="H49" s="317"/>
      <c r="I49" s="236"/>
      <c r="J49" s="376"/>
      <c r="K49" s="379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384">
        <f t="shared" si="19"/>
        <v>44283</v>
      </c>
      <c r="C50" s="578"/>
      <c r="D50" s="320"/>
      <c r="E50" s="320"/>
      <c r="F50" s="320"/>
      <c r="G50" s="265"/>
      <c r="H50" s="322"/>
      <c r="I50" s="323"/>
      <c r="J50" s="377"/>
      <c r="K50" s="380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799" t="s">
        <v>25</v>
      </c>
      <c r="C51" s="566">
        <f>SUM(C44:C50)</f>
        <v>0</v>
      </c>
      <c r="D51" s="318">
        <f t="shared" ref="D51" si="21">SUM(D44:D50)</f>
        <v>0</v>
      </c>
      <c r="E51" s="318">
        <f t="shared" ref="E51:K51" si="22">SUM(E44:E50)</f>
        <v>0</v>
      </c>
      <c r="F51" s="318">
        <f t="shared" si="22"/>
        <v>0</v>
      </c>
      <c r="G51" s="319">
        <f t="shared" si="22"/>
        <v>0</v>
      </c>
      <c r="H51" s="250">
        <f>SUM(H44:H50)</f>
        <v>808</v>
      </c>
      <c r="I51" s="264">
        <f>SUM(I44:I50)</f>
        <v>731</v>
      </c>
      <c r="J51" s="266">
        <f t="shared" si="22"/>
        <v>0</v>
      </c>
      <c r="K51" s="256">
        <f t="shared" si="22"/>
        <v>0</v>
      </c>
      <c r="L51" s="105">
        <f>SUM(L44:L50)</f>
        <v>1539</v>
      </c>
    </row>
    <row r="52" spans="1:13" s="43" customFormat="1" ht="15" customHeight="1" outlineLevel="1" thickBot="1" x14ac:dyDescent="0.3">
      <c r="A52" s="101" t="s">
        <v>21</v>
      </c>
      <c r="B52" s="792"/>
      <c r="C52" s="567" t="e">
        <f>AVERAGE(C44:C50)</f>
        <v>#DIV/0!</v>
      </c>
      <c r="D52" s="229" t="e">
        <f t="shared" ref="D52:L52" si="23">AVERAGE(D44:D50)</f>
        <v>#DIV/0!</v>
      </c>
      <c r="E52" s="229" t="e">
        <f t="shared" si="23"/>
        <v>#DIV/0!</v>
      </c>
      <c r="F52" s="229" t="e">
        <f t="shared" si="23"/>
        <v>#DIV/0!</v>
      </c>
      <c r="G52" s="310" t="e">
        <f t="shared" si="23"/>
        <v>#DIV/0!</v>
      </c>
      <c r="H52" s="232">
        <f>AVERAGE(H44:H50)</f>
        <v>161.6</v>
      </c>
      <c r="I52" s="233">
        <f>AVERAGE(I44:I50)</f>
        <v>146.19999999999999</v>
      </c>
      <c r="J52" s="260" t="e">
        <f t="shared" si="23"/>
        <v>#DIV/0!</v>
      </c>
      <c r="K52" s="241" t="e">
        <f t="shared" si="23"/>
        <v>#DIV/0!</v>
      </c>
      <c r="L52" s="103">
        <f t="shared" si="23"/>
        <v>219.85714285714286</v>
      </c>
    </row>
    <row r="53" spans="1:13" s="43" customFormat="1" ht="15" customHeight="1" thickBot="1" x14ac:dyDescent="0.3">
      <c r="A53" s="26" t="s">
        <v>18</v>
      </c>
      <c r="B53" s="792"/>
      <c r="C53" s="568">
        <f t="shared" ref="C53:K53" si="24">SUM(C44:C48)</f>
        <v>0</v>
      </c>
      <c r="D53" s="230">
        <f t="shared" si="24"/>
        <v>0</v>
      </c>
      <c r="E53" s="230">
        <f t="shared" si="24"/>
        <v>0</v>
      </c>
      <c r="F53" s="230">
        <f t="shared" si="24"/>
        <v>0</v>
      </c>
      <c r="G53" s="311">
        <f t="shared" si="24"/>
        <v>0</v>
      </c>
      <c r="H53" s="234">
        <f>SUM(H44:H48)</f>
        <v>808</v>
      </c>
      <c r="I53" s="235">
        <f>SUM(I44:I48)</f>
        <v>731</v>
      </c>
      <c r="J53" s="261">
        <f t="shared" si="24"/>
        <v>0</v>
      </c>
      <c r="K53" s="242">
        <f t="shared" si="24"/>
        <v>0</v>
      </c>
      <c r="L53" s="28">
        <f>SUM(L44:L48)</f>
        <v>1539</v>
      </c>
    </row>
    <row r="54" spans="1:13" s="43" customFormat="1" ht="15" customHeight="1" thickBot="1" x14ac:dyDescent="0.3">
      <c r="A54" s="26" t="s">
        <v>20</v>
      </c>
      <c r="B54" s="793"/>
      <c r="C54" s="571" t="e">
        <f t="shared" ref="C54:L54" si="25">AVERAGE(C44:C48)</f>
        <v>#DIV/0!</v>
      </c>
      <c r="D54" s="324" t="e">
        <f t="shared" si="25"/>
        <v>#DIV/0!</v>
      </c>
      <c r="E54" s="324" t="e">
        <f t="shared" si="25"/>
        <v>#DIV/0!</v>
      </c>
      <c r="F54" s="324" t="e">
        <f t="shared" si="25"/>
        <v>#DIV/0!</v>
      </c>
      <c r="G54" s="325" t="e">
        <f t="shared" si="25"/>
        <v>#DIV/0!</v>
      </c>
      <c r="H54" s="326">
        <f>AVERAGE(H44:H48)</f>
        <v>161.6</v>
      </c>
      <c r="I54" s="327">
        <f>AVERAGE(I44:I48)</f>
        <v>146.19999999999999</v>
      </c>
      <c r="J54" s="328" t="e">
        <f t="shared" si="25"/>
        <v>#DIV/0!</v>
      </c>
      <c r="K54" s="329" t="e">
        <f t="shared" si="25"/>
        <v>#DIV/0!</v>
      </c>
      <c r="L54" s="33">
        <f t="shared" si="25"/>
        <v>307.8</v>
      </c>
    </row>
    <row r="55" spans="1:13" s="43" customFormat="1" ht="15" customHeight="1" thickBot="1" x14ac:dyDescent="0.3">
      <c r="A55" s="25" t="s">
        <v>3</v>
      </c>
      <c r="B55" s="159">
        <f>B50+1</f>
        <v>44284</v>
      </c>
      <c r="C55" s="576"/>
      <c r="D55" s="231"/>
      <c r="E55" s="231"/>
      <c r="F55" s="337"/>
      <c r="G55" s="338"/>
      <c r="H55" s="595">
        <v>139</v>
      </c>
      <c r="I55" s="333">
        <v>136</v>
      </c>
      <c r="J55" s="335"/>
      <c r="K55" s="316"/>
      <c r="L55" s="53">
        <f t="shared" ref="L55:L57" si="26">SUM(C55:K55)</f>
        <v>275</v>
      </c>
      <c r="M55" s="140"/>
    </row>
    <row r="56" spans="1:13" s="43" customFormat="1" ht="15" customHeight="1" thickBot="1" x14ac:dyDescent="0.3">
      <c r="A56" s="136" t="s">
        <v>4</v>
      </c>
      <c r="B56" s="160">
        <f t="shared" ref="B56:B57" si="27">B55+1</f>
        <v>44285</v>
      </c>
      <c r="C56" s="577"/>
      <c r="D56" s="226"/>
      <c r="E56" s="226"/>
      <c r="F56" s="226"/>
      <c r="G56" s="253"/>
      <c r="H56" s="353">
        <v>148</v>
      </c>
      <c r="I56" s="272">
        <v>140</v>
      </c>
      <c r="J56" s="263"/>
      <c r="K56" s="236"/>
      <c r="L56" s="53">
        <f t="shared" si="26"/>
        <v>288</v>
      </c>
      <c r="M56" s="140"/>
    </row>
    <row r="57" spans="1:13" s="43" customFormat="1" ht="14.25" customHeight="1" thickBot="1" x14ac:dyDescent="0.3">
      <c r="A57" s="136" t="s">
        <v>5</v>
      </c>
      <c r="B57" s="160">
        <f t="shared" si="27"/>
        <v>44286</v>
      </c>
      <c r="C57" s="577"/>
      <c r="D57" s="226"/>
      <c r="E57" s="226"/>
      <c r="F57" s="226"/>
      <c r="G57" s="253"/>
      <c r="H57" s="353">
        <v>158</v>
      </c>
      <c r="I57" s="272">
        <v>150</v>
      </c>
      <c r="J57" s="263"/>
      <c r="K57" s="236"/>
      <c r="L57" s="53">
        <f t="shared" si="26"/>
        <v>308</v>
      </c>
      <c r="M57" s="140"/>
    </row>
    <row r="58" spans="1:13" s="43" customFormat="1" ht="13" hidden="1" thickBot="1" x14ac:dyDescent="0.3">
      <c r="A58" s="136"/>
      <c r="B58" s="160"/>
      <c r="C58" s="577"/>
      <c r="D58" s="226"/>
      <c r="E58" s="226"/>
      <c r="F58" s="226"/>
      <c r="G58" s="253"/>
      <c r="H58" s="317"/>
      <c r="I58" s="236"/>
      <c r="J58" s="263"/>
      <c r="K58" s="236"/>
      <c r="L58" s="53"/>
      <c r="M58" s="140"/>
    </row>
    <row r="59" spans="1:13" s="43" customFormat="1" ht="13" hidden="1" thickBot="1" x14ac:dyDescent="0.3">
      <c r="A59" s="25"/>
      <c r="B59" s="162"/>
      <c r="C59" s="579"/>
      <c r="D59" s="34"/>
      <c r="E59" s="226"/>
      <c r="F59" s="226"/>
      <c r="G59" s="253"/>
      <c r="H59" s="353"/>
      <c r="I59" s="272"/>
      <c r="J59" s="263"/>
      <c r="K59" s="236"/>
      <c r="L59" s="53"/>
      <c r="M59" s="140"/>
    </row>
    <row r="60" spans="1:13" s="43" customFormat="1" ht="13" hidden="1" outlineLevel="1" thickBot="1" x14ac:dyDescent="0.3">
      <c r="A60" s="25"/>
      <c r="B60" s="162"/>
      <c r="C60" s="579"/>
      <c r="D60" s="34"/>
      <c r="E60" s="226"/>
      <c r="F60" s="226"/>
      <c r="G60" s="253"/>
      <c r="H60" s="317"/>
      <c r="I60" s="236"/>
      <c r="J60" s="263"/>
      <c r="K60" s="236"/>
      <c r="L60" s="53"/>
      <c r="M60" s="140"/>
    </row>
    <row r="61" spans="1:13" s="43" customFormat="1" ht="13" hidden="1" outlineLevel="1" thickBot="1" x14ac:dyDescent="0.3">
      <c r="A61" s="136"/>
      <c r="B61" s="162"/>
      <c r="C61" s="580"/>
      <c r="D61" s="339"/>
      <c r="E61" s="320"/>
      <c r="F61" s="320"/>
      <c r="G61" s="265"/>
      <c r="H61" s="322"/>
      <c r="I61" s="323"/>
      <c r="J61" s="336"/>
      <c r="K61" s="323"/>
      <c r="L61" s="53"/>
    </row>
    <row r="62" spans="1:13" s="43" customFormat="1" ht="15" hidden="1" customHeight="1" outlineLevel="1" thickBot="1" x14ac:dyDescent="0.3">
      <c r="A62" s="144" t="s">
        <v>19</v>
      </c>
      <c r="B62" s="799" t="s">
        <v>26</v>
      </c>
      <c r="C62" s="566">
        <f>SUM(C55:C61)</f>
        <v>0</v>
      </c>
      <c r="D62" s="318">
        <f t="shared" ref="D62:J62" si="28">SUM(D55:D61)</f>
        <v>0</v>
      </c>
      <c r="E62" s="318">
        <f t="shared" si="28"/>
        <v>0</v>
      </c>
      <c r="F62" s="318">
        <f t="shared" si="28"/>
        <v>0</v>
      </c>
      <c r="G62" s="319">
        <f t="shared" si="28"/>
        <v>0</v>
      </c>
      <c r="H62" s="250">
        <f>SUM(H55:H61)</f>
        <v>445</v>
      </c>
      <c r="I62" s="264">
        <f>SUM(I55:I61)</f>
        <v>426</v>
      </c>
      <c r="J62" s="266">
        <f t="shared" si="28"/>
        <v>0</v>
      </c>
      <c r="K62" s="256">
        <f>SUM(K55:K61)</f>
        <v>0</v>
      </c>
      <c r="L62" s="105">
        <f>SUM(L55:L61)</f>
        <v>871</v>
      </c>
    </row>
    <row r="63" spans="1:13" s="43" customFormat="1" ht="15" hidden="1" customHeight="1" outlineLevel="1" thickBot="1" x14ac:dyDescent="0.3">
      <c r="A63" s="101" t="s">
        <v>21</v>
      </c>
      <c r="B63" s="792"/>
      <c r="C63" s="567" t="e">
        <f>AVERAGE(C55:C61)</f>
        <v>#DIV/0!</v>
      </c>
      <c r="D63" s="229" t="e">
        <f t="shared" ref="D63:K63" si="29">AVERAGE(D55:D61)</f>
        <v>#DIV/0!</v>
      </c>
      <c r="E63" s="229" t="e">
        <f t="shared" si="29"/>
        <v>#DIV/0!</v>
      </c>
      <c r="F63" s="229" t="e">
        <f t="shared" si="29"/>
        <v>#DIV/0!</v>
      </c>
      <c r="G63" s="310" t="e">
        <f t="shared" si="29"/>
        <v>#DIV/0!</v>
      </c>
      <c r="H63" s="232">
        <f t="shared" si="29"/>
        <v>148.33333333333334</v>
      </c>
      <c r="I63" s="233">
        <f t="shared" si="29"/>
        <v>142</v>
      </c>
      <c r="J63" s="260" t="e">
        <f t="shared" si="29"/>
        <v>#DIV/0!</v>
      </c>
      <c r="K63" s="241" t="e">
        <f t="shared" si="29"/>
        <v>#DIV/0!</v>
      </c>
      <c r="L63" s="103">
        <f>AVERAGE(L55:L61)</f>
        <v>290.33333333333331</v>
      </c>
    </row>
    <row r="64" spans="1:13" s="43" customFormat="1" ht="15" hidden="1" customHeight="1" thickBot="1" x14ac:dyDescent="0.3">
      <c r="A64" s="26" t="s">
        <v>18</v>
      </c>
      <c r="B64" s="792"/>
      <c r="C64" s="568">
        <f>SUM(C55:C59)</f>
        <v>0</v>
      </c>
      <c r="D64" s="230">
        <f t="shared" ref="D64:K64" si="30">SUM(D55:D59)</f>
        <v>0</v>
      </c>
      <c r="E64" s="230">
        <f t="shared" si="30"/>
        <v>0</v>
      </c>
      <c r="F64" s="230">
        <f t="shared" si="30"/>
        <v>0</v>
      </c>
      <c r="G64" s="311">
        <f t="shared" si="30"/>
        <v>0</v>
      </c>
      <c r="H64" s="234">
        <f>SUM(H55:H59)</f>
        <v>445</v>
      </c>
      <c r="I64" s="235">
        <f>SUM(I55:I59)</f>
        <v>426</v>
      </c>
      <c r="J64" s="261">
        <f t="shared" si="30"/>
        <v>0</v>
      </c>
      <c r="K64" s="242">
        <f t="shared" si="30"/>
        <v>0</v>
      </c>
      <c r="L64" s="28">
        <f>SUM(L55:L59)</f>
        <v>871</v>
      </c>
    </row>
    <row r="65" spans="1:14" s="43" customFormat="1" ht="13" hidden="1" thickBot="1" x14ac:dyDescent="0.3">
      <c r="A65" s="26" t="s">
        <v>20</v>
      </c>
      <c r="B65" s="793"/>
      <c r="C65" s="569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12" t="e">
        <f t="shared" si="31"/>
        <v>#DIV/0!</v>
      </c>
      <c r="H65" s="29">
        <f t="shared" si="31"/>
        <v>148.33333333333334</v>
      </c>
      <c r="I65" s="30">
        <f t="shared" si="31"/>
        <v>142</v>
      </c>
      <c r="J65" s="255" t="e">
        <f t="shared" si="31"/>
        <v>#DIV/0!</v>
      </c>
      <c r="K65" s="32" t="e">
        <f t="shared" si="31"/>
        <v>#DIV/0!</v>
      </c>
      <c r="L65" s="33">
        <f t="shared" si="31"/>
        <v>290.33333333333331</v>
      </c>
    </row>
    <row r="66" spans="1:14" s="43" customFormat="1" ht="13" hidden="1" thickBot="1" x14ac:dyDescent="0.3">
      <c r="A66" s="136"/>
      <c r="B66" s="223"/>
      <c r="C66" s="276"/>
      <c r="D66" s="12"/>
      <c r="E66" s="14"/>
      <c r="F66" s="14"/>
      <c r="G66" s="14"/>
      <c r="H66" s="14"/>
      <c r="I66" s="56"/>
      <c r="J66" s="109"/>
      <c r="K66" s="20"/>
      <c r="L66" s="169"/>
    </row>
    <row r="67" spans="1:14" s="43" customFormat="1" ht="13" hidden="1" thickBot="1" x14ac:dyDescent="0.3">
      <c r="A67" s="136"/>
      <c r="B67" s="224"/>
      <c r="C67" s="277"/>
      <c r="D67" s="18"/>
      <c r="E67" s="20"/>
      <c r="F67" s="20"/>
      <c r="G67" s="20"/>
      <c r="H67" s="20"/>
      <c r="I67" s="57"/>
      <c r="J67" s="57"/>
      <c r="K67" s="20"/>
      <c r="L67" s="169"/>
    </row>
    <row r="68" spans="1:14" s="43" customFormat="1" ht="13" hidden="1" thickBot="1" x14ac:dyDescent="0.3">
      <c r="A68" s="136"/>
      <c r="B68" s="224"/>
      <c r="C68" s="277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3" hidden="1" thickBot="1" x14ac:dyDescent="0.3">
      <c r="A69" s="136"/>
      <c r="B69" s="224"/>
      <c r="C69" s="277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3" hidden="1" thickBot="1" x14ac:dyDescent="0.3">
      <c r="A70" s="25"/>
      <c r="B70" s="224"/>
      <c r="C70" s="277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3" hidden="1" outlineLevel="1" thickBot="1" x14ac:dyDescent="0.3">
      <c r="A71" s="25"/>
      <c r="B71" s="224"/>
      <c r="C71" s="277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3" hidden="1" outlineLevel="1" thickBot="1" x14ac:dyDescent="0.3">
      <c r="A72" s="25"/>
      <c r="B72" s="224"/>
      <c r="C72" s="278"/>
      <c r="D72" s="50"/>
      <c r="E72" s="52"/>
      <c r="F72" s="52"/>
      <c r="G72" s="52"/>
      <c r="H72" s="52"/>
      <c r="I72" s="254"/>
      <c r="J72" s="254"/>
      <c r="K72" s="20"/>
      <c r="L72" s="124"/>
    </row>
    <row r="73" spans="1:14" s="43" customFormat="1" ht="13" hidden="1" outlineLevel="1" thickBot="1" x14ac:dyDescent="0.3">
      <c r="A73" s="144" t="s">
        <v>19</v>
      </c>
      <c r="B73" s="799" t="s">
        <v>30</v>
      </c>
      <c r="C73" s="279"/>
      <c r="D73" s="250">
        <f>SUM(D66:D72)</f>
        <v>0</v>
      </c>
      <c r="E73" s="250">
        <f t="shared" ref="E73:L73" si="32">SUM(E66:E72)</f>
        <v>0</v>
      </c>
      <c r="F73" s="250">
        <f t="shared" si="32"/>
        <v>0</v>
      </c>
      <c r="G73" s="250"/>
      <c r="H73" s="250">
        <f t="shared" si="32"/>
        <v>0</v>
      </c>
      <c r="I73" s="250">
        <f>SUM(I66:I72)</f>
        <v>0</v>
      </c>
      <c r="J73" s="256">
        <f t="shared" si="32"/>
        <v>0</v>
      </c>
      <c r="K73" s="256">
        <f>SUM(K66:K72)</f>
        <v>0</v>
      </c>
      <c r="L73" s="148">
        <f t="shared" si="32"/>
        <v>0</v>
      </c>
    </row>
    <row r="74" spans="1:14" s="43" customFormat="1" ht="13" hidden="1" outlineLevel="1" thickBot="1" x14ac:dyDescent="0.3">
      <c r="A74" s="101" t="s">
        <v>21</v>
      </c>
      <c r="B74" s="792"/>
      <c r="C74" s="279"/>
      <c r="D74" s="102" t="e">
        <f>AVERAGE(D66:D72)</f>
        <v>#DIV/0!</v>
      </c>
      <c r="E74" s="102" t="e">
        <f t="shared" ref="E74:L74" si="33">AVERAGE(E66:E72)</f>
        <v>#DIV/0!</v>
      </c>
      <c r="F74" s="102" t="e">
        <f t="shared" si="33"/>
        <v>#DIV/0!</v>
      </c>
      <c r="G74" s="102"/>
      <c r="H74" s="102" t="e">
        <f t="shared" si="33"/>
        <v>#DIV/0!</v>
      </c>
      <c r="I74" s="102" t="e">
        <f>AVERAGE(I66:I72)</f>
        <v>#DIV/0!</v>
      </c>
      <c r="J74" s="257" t="e">
        <f t="shared" si="33"/>
        <v>#DIV/0!</v>
      </c>
      <c r="K74" s="257" t="e">
        <f>AVERAGE(K66:K72)</f>
        <v>#DIV/0!</v>
      </c>
      <c r="L74" s="149" t="e">
        <f t="shared" si="33"/>
        <v>#DIV/0!</v>
      </c>
    </row>
    <row r="75" spans="1:14" s="43" customFormat="1" ht="13" hidden="1" thickBot="1" x14ac:dyDescent="0.3">
      <c r="A75" s="26" t="s">
        <v>18</v>
      </c>
      <c r="B75" s="792"/>
      <c r="C75" s="279"/>
      <c r="D75" s="27">
        <f>SUM(D66:D70)</f>
        <v>0</v>
      </c>
      <c r="E75" s="27">
        <f t="shared" ref="E75:L75" si="34">SUM(E66:E70)</f>
        <v>0</v>
      </c>
      <c r="F75" s="27">
        <f t="shared" si="34"/>
        <v>0</v>
      </c>
      <c r="G75" s="27"/>
      <c r="H75" s="27">
        <f t="shared" si="34"/>
        <v>0</v>
      </c>
      <c r="I75" s="27">
        <f>SUM(I66:I70)</f>
        <v>0</v>
      </c>
      <c r="J75" s="258">
        <f t="shared" si="34"/>
        <v>0</v>
      </c>
      <c r="K75" s="258">
        <f>SUM(K66:K70)</f>
        <v>0</v>
      </c>
      <c r="L75" s="150">
        <f t="shared" si="34"/>
        <v>0</v>
      </c>
    </row>
    <row r="76" spans="1:14" s="43" customFormat="1" ht="13" hidden="1" thickBot="1" x14ac:dyDescent="0.3">
      <c r="A76" s="26" t="s">
        <v>20</v>
      </c>
      <c r="B76" s="793"/>
      <c r="C76" s="280"/>
      <c r="D76" s="29" t="e">
        <f>AVERAGE(D66:D70)</f>
        <v>#DIV/0!</v>
      </c>
      <c r="E76" s="29" t="e">
        <f t="shared" ref="E76:L76" si="35">AVERAGE(E66:E70)</f>
        <v>#DIV/0!</v>
      </c>
      <c r="F76" s="29" t="e">
        <f t="shared" si="35"/>
        <v>#DIV/0!</v>
      </c>
      <c r="G76" s="29"/>
      <c r="H76" s="29" t="e">
        <f t="shared" si="35"/>
        <v>#DIV/0!</v>
      </c>
      <c r="I76" s="29" t="e">
        <f>AVERAGE(I66:I70)</f>
        <v>#DIV/0!</v>
      </c>
      <c r="J76" s="32" t="e">
        <f t="shared" si="35"/>
        <v>#DIV/0!</v>
      </c>
      <c r="K76" s="32" t="e">
        <f>AVERAGE(K66:K70)</f>
        <v>#DIV/0!</v>
      </c>
      <c r="L76" s="151" t="e">
        <f t="shared" si="35"/>
        <v>#DIV/0!</v>
      </c>
    </row>
    <row r="77" spans="1:14" s="43" customFormat="1" ht="15" hidden="1" customHeight="1" thickBot="1" x14ac:dyDescent="0.4">
      <c r="A77" s="4"/>
      <c r="B77" s="119"/>
      <c r="C77" s="281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8" thickBot="1" x14ac:dyDescent="0.3">
      <c r="A78" s="288"/>
      <c r="B78" s="283"/>
      <c r="C78" s="289" t="s">
        <v>99</v>
      </c>
      <c r="D78" s="290" t="s">
        <v>7</v>
      </c>
      <c r="E78" s="290" t="s">
        <v>86</v>
      </c>
      <c r="F78" s="290" t="s">
        <v>87</v>
      </c>
      <c r="G78" s="290" t="s">
        <v>88</v>
      </c>
      <c r="H78" s="290" t="s">
        <v>93</v>
      </c>
      <c r="I78" s="290" t="s">
        <v>108</v>
      </c>
      <c r="J78" s="290" t="s">
        <v>10</v>
      </c>
      <c r="K78" s="291" t="s">
        <v>98</v>
      </c>
      <c r="L78" s="800" t="s">
        <v>53</v>
      </c>
      <c r="M78" s="801"/>
    </row>
    <row r="79" spans="1:14" ht="13" thickBot="1" x14ac:dyDescent="0.3">
      <c r="A79" s="293" t="s">
        <v>112</v>
      </c>
      <c r="B79" s="301">
        <f>SUM(L7+L62+L51+L40+L29+L18)</f>
        <v>6977</v>
      </c>
      <c r="C79" s="294">
        <f>C18+C29+C40+C51+C62</f>
        <v>0</v>
      </c>
      <c r="D79" s="295">
        <f>SUM(D7,D18+D29+D40+D51+D62)</f>
        <v>0</v>
      </c>
      <c r="E79" s="295">
        <f>SUM(E7,E18+E29+E40+E51+E62)</f>
        <v>0</v>
      </c>
      <c r="F79" s="295">
        <f>SUM(F7, F18+F29+F40+F51+F62)</f>
        <v>0</v>
      </c>
      <c r="G79" s="295">
        <f>SUM(G7,G18+G29+G40+G51+G62)</f>
        <v>0</v>
      </c>
      <c r="H79" s="295">
        <f>SUM(H7,H18+H29+H40+H51+H62)</f>
        <v>3630</v>
      </c>
      <c r="I79" s="295">
        <f>SUM(I62,I51,I29,I40,I18,I7)</f>
        <v>3347</v>
      </c>
      <c r="J79" s="295">
        <f>SUM(J7,J18+J29+J40+J51+J62)</f>
        <v>0</v>
      </c>
      <c r="K79" s="296">
        <f>SUM(K62,K51,K40,K29,K18,K7)</f>
        <v>0</v>
      </c>
      <c r="L79" s="285" t="s">
        <v>28</v>
      </c>
      <c r="M79" s="299">
        <f>SUM(C80:K80)</f>
        <v>6977</v>
      </c>
    </row>
    <row r="80" spans="1:14" ht="13" thickBot="1" x14ac:dyDescent="0.3">
      <c r="A80" s="292" t="s">
        <v>28</v>
      </c>
      <c r="B80" s="36">
        <f>L64+L53+L42+L31+L20</f>
        <v>6977</v>
      </c>
      <c r="C80" s="284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3630</v>
      </c>
      <c r="I80" s="171">
        <f>SUM(I64,I53,I42,I31,I20)</f>
        <v>3347</v>
      </c>
      <c r="J80" s="171">
        <f>SUM(J20+J31+J42+J53+J64)</f>
        <v>0</v>
      </c>
      <c r="K80" s="199">
        <f>SUM(K64,K53,K42,K31,K20)</f>
        <v>0</v>
      </c>
      <c r="L80" s="286" t="s">
        <v>112</v>
      </c>
      <c r="M80" s="300">
        <f>SUM(C79:K79)</f>
        <v>6977</v>
      </c>
      <c r="N80" s="106"/>
    </row>
    <row r="81" spans="11:13" x14ac:dyDescent="0.35">
      <c r="K81" s="287"/>
      <c r="L81" s="393" t="s">
        <v>20</v>
      </c>
      <c r="M81" s="297">
        <f>AVERAGE(L21,L32,L43,L54,L65)</f>
        <v>302.30666666666667</v>
      </c>
    </row>
    <row r="82" spans="11:13" ht="15" thickBot="1" x14ac:dyDescent="0.4">
      <c r="L82" s="394" t="s">
        <v>118</v>
      </c>
      <c r="M82" s="298">
        <f>AVERAGE(L19,L30,L41,L52,L63)</f>
        <v>232.52380952380955</v>
      </c>
    </row>
  </sheetData>
  <mergeCells count="22"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3:B76"/>
    <mergeCell ref="B18:B21"/>
    <mergeCell ref="B29:B32"/>
    <mergeCell ref="B40:B43"/>
    <mergeCell ref="B51:B54"/>
    <mergeCell ref="B62:B65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8" sqref="F38"/>
    </sheetView>
  </sheetViews>
  <sheetFormatPr defaultColWidth="9.1796875" defaultRowHeight="14.5" outlineLevelRow="1" x14ac:dyDescent="0.35"/>
  <cols>
    <col min="1" max="1" width="18.7265625" style="1" bestFit="1" customWidth="1"/>
    <col min="2" max="2" width="9.54296875" style="120" bestFit="1" customWidth="1"/>
    <col min="3" max="3" width="15.7265625" style="11" customWidth="1"/>
    <col min="4" max="4" width="10.7265625" style="11" customWidth="1"/>
    <col min="5" max="5" width="26" style="11" customWidth="1"/>
    <col min="6" max="6" width="15.453125" style="11" bestFit="1" customWidth="1"/>
    <col min="7" max="16384" width="9.1796875" style="11"/>
  </cols>
  <sheetData>
    <row r="1" spans="1:15" ht="15" customHeight="1" x14ac:dyDescent="0.25">
      <c r="A1" s="23"/>
      <c r="B1" s="307"/>
      <c r="C1" s="775" t="s">
        <v>9</v>
      </c>
    </row>
    <row r="2" spans="1:15" ht="15" customHeight="1" thickBot="1" x14ac:dyDescent="0.3">
      <c r="A2" s="24"/>
      <c r="B2" s="306"/>
      <c r="C2" s="807"/>
    </row>
    <row r="3" spans="1:15" ht="15" customHeight="1" x14ac:dyDescent="0.25">
      <c r="A3" s="789" t="s">
        <v>49</v>
      </c>
      <c r="B3" s="713" t="s">
        <v>50</v>
      </c>
      <c r="C3" s="808" t="s">
        <v>31</v>
      </c>
    </row>
    <row r="4" spans="1:15" ht="13.5" customHeight="1" thickBot="1" x14ac:dyDescent="0.3">
      <c r="A4" s="696"/>
      <c r="B4" s="714"/>
      <c r="C4" s="711"/>
    </row>
    <row r="5" spans="1:15" s="42" customFormat="1" ht="13" thickBot="1" x14ac:dyDescent="0.3">
      <c r="A5" s="25" t="s">
        <v>3</v>
      </c>
      <c r="B5" s="314">
        <v>44256</v>
      </c>
      <c r="C5" s="252"/>
    </row>
    <row r="6" spans="1:15" s="42" customFormat="1" ht="13" thickBot="1" x14ac:dyDescent="0.3">
      <c r="A6" s="25" t="s">
        <v>4</v>
      </c>
      <c r="B6" s="314">
        <v>44257</v>
      </c>
      <c r="C6" s="252"/>
    </row>
    <row r="7" spans="1:15" s="42" customFormat="1" ht="13" thickBot="1" x14ac:dyDescent="0.3">
      <c r="A7" s="25" t="s">
        <v>5</v>
      </c>
      <c r="B7" s="314">
        <v>44258</v>
      </c>
      <c r="C7" s="252"/>
    </row>
    <row r="8" spans="1:15" s="42" customFormat="1" ht="13" thickBot="1" x14ac:dyDescent="0.3">
      <c r="A8" s="25" t="s">
        <v>6</v>
      </c>
      <c r="B8" s="314">
        <v>44259</v>
      </c>
      <c r="C8" s="252"/>
    </row>
    <row r="9" spans="1:15" s="42" customFormat="1" ht="13" thickBot="1" x14ac:dyDescent="0.3">
      <c r="A9" s="25" t="s">
        <v>0</v>
      </c>
      <c r="B9" s="314">
        <v>44260</v>
      </c>
      <c r="C9" s="252"/>
    </row>
    <row r="10" spans="1:15" s="42" customFormat="1" ht="13" outlineLevel="1" thickBot="1" x14ac:dyDescent="0.3">
      <c r="A10" s="25" t="s">
        <v>1</v>
      </c>
      <c r="B10" s="314">
        <v>44261</v>
      </c>
      <c r="C10" s="188"/>
    </row>
    <row r="11" spans="1:15" s="42" customFormat="1" ht="15" customHeight="1" outlineLevel="1" thickBot="1" x14ac:dyDescent="0.3">
      <c r="A11" s="25" t="s">
        <v>2</v>
      </c>
      <c r="B11" s="314">
        <v>44262</v>
      </c>
      <c r="C11" s="188"/>
    </row>
    <row r="12" spans="1:15" s="43" customFormat="1" ht="15" customHeight="1" outlineLevel="1" thickBot="1" x14ac:dyDescent="0.3">
      <c r="A12" s="144" t="s">
        <v>19</v>
      </c>
      <c r="B12" s="701" t="s">
        <v>22</v>
      </c>
      <c r="C12" s="357">
        <f>SUM(C5:C11)</f>
        <v>0</v>
      </c>
      <c r="E12" s="42"/>
      <c r="O12" s="42"/>
    </row>
    <row r="13" spans="1:15" s="43" customFormat="1" ht="15" customHeight="1" outlineLevel="1" thickBot="1" x14ac:dyDescent="0.3">
      <c r="A13" s="101" t="s">
        <v>21</v>
      </c>
      <c r="B13" s="701"/>
      <c r="C13" s="304" t="e">
        <f>AVERAGE(C5:C11)</f>
        <v>#DIV/0!</v>
      </c>
      <c r="E13" s="42"/>
      <c r="F13" s="42"/>
      <c r="O13" s="42"/>
    </row>
    <row r="14" spans="1:15" s="43" customFormat="1" ht="15" customHeight="1" thickBot="1" x14ac:dyDescent="0.3">
      <c r="A14" s="26" t="s">
        <v>18</v>
      </c>
      <c r="B14" s="701"/>
      <c r="C14" s="186">
        <f>SUM(C5:C9)</f>
        <v>0</v>
      </c>
      <c r="E14" s="42"/>
      <c r="F14" s="42"/>
      <c r="G14" s="42"/>
      <c r="N14" s="42"/>
      <c r="O14" s="42"/>
    </row>
    <row r="15" spans="1:15" s="43" customFormat="1" ht="15" customHeight="1" thickBot="1" x14ac:dyDescent="0.3">
      <c r="A15" s="26" t="s">
        <v>20</v>
      </c>
      <c r="B15" s="701"/>
      <c r="C15" s="187" t="e">
        <f>AVERAGE(C5:C9)</f>
        <v>#DIV/0!</v>
      </c>
      <c r="F15" s="42"/>
      <c r="G15" s="42"/>
      <c r="N15" s="42"/>
    </row>
    <row r="16" spans="1:15" s="43" customFormat="1" ht="15" customHeight="1" x14ac:dyDescent="0.25">
      <c r="A16" s="25" t="s">
        <v>3</v>
      </c>
      <c r="B16" s="221">
        <f>B11+1</f>
        <v>44263</v>
      </c>
      <c r="C16" s="305"/>
      <c r="F16" s="42"/>
    </row>
    <row r="17" spans="1:16" s="43" customFormat="1" ht="15" customHeight="1" x14ac:dyDescent="0.25">
      <c r="A17" s="25" t="s">
        <v>4</v>
      </c>
      <c r="B17" s="221">
        <f t="shared" ref="B17:B22" si="0">B16+1</f>
        <v>44264</v>
      </c>
      <c r="C17" s="305"/>
      <c r="F17" s="42"/>
    </row>
    <row r="18" spans="1:16" s="43" customFormat="1" ht="15" customHeight="1" x14ac:dyDescent="0.25">
      <c r="A18" s="25" t="s">
        <v>5</v>
      </c>
      <c r="B18" s="221">
        <f t="shared" si="0"/>
        <v>44265</v>
      </c>
      <c r="C18" s="305"/>
      <c r="F18" s="42"/>
    </row>
    <row r="19" spans="1:16" s="43" customFormat="1" ht="15" customHeight="1" x14ac:dyDescent="0.25">
      <c r="A19" s="25" t="s">
        <v>6</v>
      </c>
      <c r="B19" s="221">
        <f t="shared" si="0"/>
        <v>44266</v>
      </c>
      <c r="C19" s="305"/>
    </row>
    <row r="20" spans="1:16" s="43" customFormat="1" ht="15" customHeight="1" x14ac:dyDescent="0.25">
      <c r="A20" s="25" t="s">
        <v>0</v>
      </c>
      <c r="B20" s="221">
        <f t="shared" si="0"/>
        <v>44267</v>
      </c>
      <c r="C20" s="305"/>
    </row>
    <row r="21" spans="1:16" s="43" customFormat="1" ht="15" customHeight="1" outlineLevel="1" x14ac:dyDescent="0.25">
      <c r="A21" s="25" t="s">
        <v>1</v>
      </c>
      <c r="B21" s="221">
        <f t="shared" si="0"/>
        <v>44268</v>
      </c>
      <c r="C21" s="188"/>
      <c r="D21" s="140"/>
    </row>
    <row r="22" spans="1:16" s="43" customFormat="1" ht="15" customHeight="1" outlineLevel="1" thickBot="1" x14ac:dyDescent="0.3">
      <c r="A22" s="25" t="s">
        <v>2</v>
      </c>
      <c r="B22" s="221">
        <f t="shared" si="0"/>
        <v>44269</v>
      </c>
      <c r="C22" s="302"/>
      <c r="N22" s="42"/>
    </row>
    <row r="23" spans="1:16" s="43" customFormat="1" ht="15" customHeight="1" outlineLevel="1" thickBot="1" x14ac:dyDescent="0.3">
      <c r="A23" s="144" t="s">
        <v>19</v>
      </c>
      <c r="B23" s="701" t="s">
        <v>23</v>
      </c>
      <c r="C23" s="303">
        <f>SUM(C16:C22)</f>
        <v>0</v>
      </c>
    </row>
    <row r="24" spans="1:16" s="43" customFormat="1" ht="15" customHeight="1" outlineLevel="1" thickBot="1" x14ac:dyDescent="0.3">
      <c r="A24" s="101" t="s">
        <v>21</v>
      </c>
      <c r="B24" s="701"/>
      <c r="C24" s="304" t="e">
        <f>AVERAGE(C16:C22)</f>
        <v>#DIV/0!</v>
      </c>
      <c r="F24" s="42"/>
    </row>
    <row r="25" spans="1:16" s="43" customFormat="1" ht="15" customHeight="1" thickBot="1" x14ac:dyDescent="0.3">
      <c r="A25" s="26" t="s">
        <v>18</v>
      </c>
      <c r="B25" s="701"/>
      <c r="C25" s="186">
        <f>SUM(C16:C20)</f>
        <v>0</v>
      </c>
      <c r="F25" s="42"/>
    </row>
    <row r="26" spans="1:16" s="43" customFormat="1" ht="15" customHeight="1" thickBot="1" x14ac:dyDescent="0.3">
      <c r="A26" s="26" t="s">
        <v>20</v>
      </c>
      <c r="B26" s="701"/>
      <c r="C26" s="187" t="e">
        <f>AVERAGE(C16:C20)</f>
        <v>#DIV/0!</v>
      </c>
      <c r="F26" s="42"/>
      <c r="P26" s="42"/>
    </row>
    <row r="27" spans="1:16" s="43" customFormat="1" ht="15" customHeight="1" x14ac:dyDescent="0.25">
      <c r="A27" s="25" t="s">
        <v>3</v>
      </c>
      <c r="B27" s="216">
        <f>B22+1</f>
        <v>44270</v>
      </c>
      <c r="C27" s="305"/>
    </row>
    <row r="28" spans="1:16" s="43" customFormat="1" ht="15" customHeight="1" x14ac:dyDescent="0.25">
      <c r="A28" s="25" t="s">
        <v>4</v>
      </c>
      <c r="B28" s="216">
        <f t="shared" ref="B28:B33" si="1">B27+1</f>
        <v>44271</v>
      </c>
      <c r="C28" s="305"/>
    </row>
    <row r="29" spans="1:16" s="43" customFormat="1" ht="15" customHeight="1" x14ac:dyDescent="0.25">
      <c r="A29" s="25" t="s">
        <v>5</v>
      </c>
      <c r="B29" s="216">
        <f t="shared" si="1"/>
        <v>44272</v>
      </c>
      <c r="C29" s="305"/>
    </row>
    <row r="30" spans="1:16" s="43" customFormat="1" ht="15" customHeight="1" x14ac:dyDescent="0.25">
      <c r="A30" s="25" t="s">
        <v>6</v>
      </c>
      <c r="B30" s="216">
        <f t="shared" si="1"/>
        <v>44273</v>
      </c>
      <c r="C30" s="305"/>
    </row>
    <row r="31" spans="1:16" s="43" customFormat="1" ht="15" customHeight="1" x14ac:dyDescent="0.25">
      <c r="A31" s="25" t="s">
        <v>0</v>
      </c>
      <c r="B31" s="216">
        <f t="shared" si="1"/>
        <v>44274</v>
      </c>
      <c r="C31" s="305"/>
    </row>
    <row r="32" spans="1:16" s="43" customFormat="1" ht="15" customHeight="1" outlineLevel="1" x14ac:dyDescent="0.25">
      <c r="A32" s="25" t="s">
        <v>1</v>
      </c>
      <c r="B32" s="216">
        <f t="shared" si="1"/>
        <v>44275</v>
      </c>
      <c r="C32" s="188"/>
    </row>
    <row r="33" spans="1:6" s="43" customFormat="1" ht="15" customHeight="1" outlineLevel="1" thickBot="1" x14ac:dyDescent="0.3">
      <c r="A33" s="25" t="s">
        <v>2</v>
      </c>
      <c r="B33" s="216">
        <f t="shared" si="1"/>
        <v>44276</v>
      </c>
      <c r="C33" s="302"/>
    </row>
    <row r="34" spans="1:6" s="43" customFormat="1" ht="15" customHeight="1" outlineLevel="1" thickBot="1" x14ac:dyDescent="0.3">
      <c r="A34" s="144" t="s">
        <v>19</v>
      </c>
      <c r="B34" s="701" t="s">
        <v>24</v>
      </c>
      <c r="C34" s="303">
        <f>SUM(C27:C33)</f>
        <v>0</v>
      </c>
      <c r="F34" s="42"/>
    </row>
    <row r="35" spans="1:6" s="43" customFormat="1" ht="15" customHeight="1" outlineLevel="1" thickBot="1" x14ac:dyDescent="0.3">
      <c r="A35" s="101" t="s">
        <v>21</v>
      </c>
      <c r="B35" s="701"/>
      <c r="C35" s="304" t="e">
        <f>AVERAGE(C27:C33)</f>
        <v>#DIV/0!</v>
      </c>
      <c r="F35" s="42"/>
    </row>
    <row r="36" spans="1:6" s="43" customFormat="1" ht="15" customHeight="1" thickBot="1" x14ac:dyDescent="0.3">
      <c r="A36" s="26" t="s">
        <v>18</v>
      </c>
      <c r="B36" s="701"/>
      <c r="C36" s="186">
        <f>SUM(C27:C31)</f>
        <v>0</v>
      </c>
    </row>
    <row r="37" spans="1:6" s="43" customFormat="1" ht="15" customHeight="1" thickBot="1" x14ac:dyDescent="0.3">
      <c r="A37" s="26" t="s">
        <v>20</v>
      </c>
      <c r="B37" s="701"/>
      <c r="C37" s="187" t="e">
        <f>AVERAGE(C27:C31)</f>
        <v>#DIV/0!</v>
      </c>
    </row>
    <row r="38" spans="1:6" s="43" customFormat="1" ht="15" customHeight="1" x14ac:dyDescent="0.25">
      <c r="A38" s="25" t="s">
        <v>3</v>
      </c>
      <c r="B38" s="224">
        <f>B33+1</f>
        <v>44277</v>
      </c>
      <c r="C38" s="530"/>
    </row>
    <row r="39" spans="1:6" s="43" customFormat="1" ht="15" customHeight="1" x14ac:dyDescent="0.35">
      <c r="A39" s="25" t="s">
        <v>4</v>
      </c>
      <c r="B39" s="224">
        <f t="shared" ref="B39:B44" si="2">B38+1</f>
        <v>44278</v>
      </c>
      <c r="C39" s="587"/>
    </row>
    <row r="40" spans="1:6" s="43" customFormat="1" ht="15" customHeight="1" x14ac:dyDescent="0.35">
      <c r="A40" s="25" t="s">
        <v>5</v>
      </c>
      <c r="B40" s="224">
        <f t="shared" si="2"/>
        <v>44279</v>
      </c>
      <c r="C40" s="587"/>
    </row>
    <row r="41" spans="1:6" s="43" customFormat="1" ht="15" customHeight="1" x14ac:dyDescent="0.35">
      <c r="A41" s="25" t="s">
        <v>6</v>
      </c>
      <c r="B41" s="224">
        <f t="shared" si="2"/>
        <v>44280</v>
      </c>
      <c r="C41" s="587"/>
    </row>
    <row r="42" spans="1:6" s="43" customFormat="1" ht="15" customHeight="1" x14ac:dyDescent="0.35">
      <c r="A42" s="25" t="s">
        <v>0</v>
      </c>
      <c r="B42" s="224">
        <f t="shared" si="2"/>
        <v>44281</v>
      </c>
      <c r="C42" s="587"/>
    </row>
    <row r="43" spans="1:6" s="43" customFormat="1" ht="15" customHeight="1" outlineLevel="1" x14ac:dyDescent="0.25">
      <c r="A43" s="25" t="s">
        <v>1</v>
      </c>
      <c r="B43" s="224">
        <f t="shared" si="2"/>
        <v>44282</v>
      </c>
      <c r="C43" s="586"/>
      <c r="D43" s="140"/>
    </row>
    <row r="44" spans="1:6" s="43" customFormat="1" ht="15" customHeight="1" outlineLevel="1" thickBot="1" x14ac:dyDescent="0.3">
      <c r="A44" s="25" t="s">
        <v>2</v>
      </c>
      <c r="B44" s="224">
        <f t="shared" si="2"/>
        <v>44283</v>
      </c>
      <c r="C44" s="588"/>
      <c r="D44" s="140"/>
    </row>
    <row r="45" spans="1:6" s="43" customFormat="1" ht="15" customHeight="1" outlineLevel="1" thickBot="1" x14ac:dyDescent="0.3">
      <c r="A45" s="144" t="s">
        <v>19</v>
      </c>
      <c r="B45" s="701" t="s">
        <v>25</v>
      </c>
      <c r="C45" s="303">
        <f>SUM(C38:C44)</f>
        <v>0</v>
      </c>
      <c r="D45" s="140"/>
    </row>
    <row r="46" spans="1:6" s="43" customFormat="1" ht="15" customHeight="1" outlineLevel="1" thickBot="1" x14ac:dyDescent="0.3">
      <c r="A46" s="101" t="s">
        <v>21</v>
      </c>
      <c r="B46" s="701"/>
      <c r="C46" s="304" t="e">
        <f>AVERAGE(C38:C44)</f>
        <v>#DIV/0!</v>
      </c>
      <c r="D46" s="140"/>
    </row>
    <row r="47" spans="1:6" s="43" customFormat="1" ht="15" customHeight="1" thickBot="1" x14ac:dyDescent="0.3">
      <c r="A47" s="26" t="s">
        <v>18</v>
      </c>
      <c r="B47" s="701"/>
      <c r="C47" s="186">
        <f>SUM(C38:C42)</f>
        <v>0</v>
      </c>
      <c r="D47" s="140"/>
    </row>
    <row r="48" spans="1:6" s="43" customFormat="1" ht="15" customHeight="1" thickBot="1" x14ac:dyDescent="0.3">
      <c r="A48" s="26" t="s">
        <v>20</v>
      </c>
      <c r="B48" s="701"/>
      <c r="C48" s="589" t="e">
        <f>AVERAGE(C38:C42)</f>
        <v>#DIV/0!</v>
      </c>
      <c r="D48" s="140"/>
    </row>
    <row r="49" spans="1:4" s="43" customFormat="1" ht="15" customHeight="1" x14ac:dyDescent="0.35">
      <c r="A49" s="25" t="s">
        <v>3</v>
      </c>
      <c r="B49" s="224">
        <f>B44+1</f>
        <v>44284</v>
      </c>
      <c r="C49" s="585"/>
      <c r="D49" s="140"/>
    </row>
    <row r="50" spans="1:4" s="43" customFormat="1" ht="15" customHeight="1" x14ac:dyDescent="0.35">
      <c r="A50" s="136" t="s">
        <v>4</v>
      </c>
      <c r="B50" s="224">
        <f t="shared" ref="B50:B51" si="3">B49+1</f>
        <v>44285</v>
      </c>
      <c r="C50" s="585"/>
      <c r="D50" s="140"/>
    </row>
    <row r="51" spans="1:4" s="43" customFormat="1" ht="15" thickBot="1" x14ac:dyDescent="0.4">
      <c r="A51" s="136" t="s">
        <v>5</v>
      </c>
      <c r="B51" s="224">
        <f t="shared" si="3"/>
        <v>44286</v>
      </c>
      <c r="C51" s="585"/>
      <c r="D51" s="140"/>
    </row>
    <row r="52" spans="1:4" s="43" customFormat="1" hidden="1" x14ac:dyDescent="0.35">
      <c r="A52" s="136"/>
      <c r="B52" s="224"/>
      <c r="C52" s="585"/>
      <c r="D52" s="140"/>
    </row>
    <row r="53" spans="1:4" s="43" customFormat="1" hidden="1" x14ac:dyDescent="0.35">
      <c r="A53" s="25"/>
      <c r="B53" s="225"/>
      <c r="C53" s="585"/>
      <c r="D53" s="140"/>
    </row>
    <row r="54" spans="1:4" s="43" customFormat="1" ht="12.5" hidden="1" outlineLevel="1" x14ac:dyDescent="0.25">
      <c r="A54" s="25"/>
      <c r="B54" s="225"/>
      <c r="C54" s="239"/>
      <c r="D54" s="140"/>
    </row>
    <row r="55" spans="1:4" s="43" customFormat="1" ht="13" hidden="1" outlineLevel="1" thickBot="1" x14ac:dyDescent="0.3">
      <c r="A55" s="136"/>
      <c r="B55" s="225"/>
      <c r="C55" s="239"/>
    </row>
    <row r="56" spans="1:4" s="43" customFormat="1" ht="15" customHeight="1" outlineLevel="1" thickBot="1" x14ac:dyDescent="0.3">
      <c r="A56" s="144" t="s">
        <v>19</v>
      </c>
      <c r="B56" s="701" t="s">
        <v>26</v>
      </c>
      <c r="C56" s="357">
        <f>SUM(C49:C55)</f>
        <v>0</v>
      </c>
    </row>
    <row r="57" spans="1:4" s="43" customFormat="1" ht="15" customHeight="1" outlineLevel="1" thickBot="1" x14ac:dyDescent="0.3">
      <c r="A57" s="101" t="s">
        <v>21</v>
      </c>
      <c r="B57" s="701"/>
      <c r="C57" s="304" t="e">
        <f>AVERAGE(C49:C55)</f>
        <v>#DIV/0!</v>
      </c>
    </row>
    <row r="58" spans="1:4" s="43" customFormat="1" ht="15" customHeight="1" thickBot="1" x14ac:dyDescent="0.3">
      <c r="A58" s="26" t="s">
        <v>18</v>
      </c>
      <c r="B58" s="701"/>
      <c r="C58" s="186">
        <f>SUM(C49:C53)</f>
        <v>0</v>
      </c>
    </row>
    <row r="59" spans="1:4" s="43" customFormat="1" ht="13" thickBot="1" x14ac:dyDescent="0.3">
      <c r="A59" s="26" t="s">
        <v>20</v>
      </c>
      <c r="B59" s="721"/>
      <c r="C59" s="187" t="e">
        <f>AVERAGE(C49:C53)</f>
        <v>#DIV/0!</v>
      </c>
    </row>
    <row r="60" spans="1:4" s="43" customFormat="1" ht="13" hidden="1" thickBot="1" x14ac:dyDescent="0.3">
      <c r="A60" s="136"/>
      <c r="B60" s="313"/>
      <c r="C60" s="180"/>
      <c r="D60" s="17"/>
    </row>
    <row r="61" spans="1:4" s="43" customFormat="1" ht="13" hidden="1" thickBot="1" x14ac:dyDescent="0.3">
      <c r="A61" s="136"/>
      <c r="B61" s="160"/>
      <c r="C61" s="180"/>
      <c r="D61" s="17"/>
    </row>
    <row r="62" spans="1:4" s="43" customFormat="1" ht="13" hidden="1" thickBot="1" x14ac:dyDescent="0.3">
      <c r="A62" s="136"/>
      <c r="B62" s="160"/>
      <c r="C62" s="181"/>
      <c r="D62" s="17"/>
    </row>
    <row r="63" spans="1:4" s="43" customFormat="1" ht="13" hidden="1" thickBot="1" x14ac:dyDescent="0.3">
      <c r="A63" s="136"/>
      <c r="B63" s="160"/>
      <c r="C63" s="181"/>
      <c r="D63" s="17"/>
    </row>
    <row r="64" spans="1:4" s="43" customFormat="1" ht="13" hidden="1" thickBot="1" x14ac:dyDescent="0.3">
      <c r="A64" s="136"/>
      <c r="B64" s="160"/>
      <c r="C64" s="181"/>
      <c r="D64" s="17"/>
    </row>
    <row r="65" spans="1:6" s="43" customFormat="1" ht="13" hidden="1" outlineLevel="1" thickBot="1" x14ac:dyDescent="0.3">
      <c r="A65" s="136"/>
      <c r="B65" s="160"/>
      <c r="C65" s="189"/>
      <c r="D65" s="17"/>
    </row>
    <row r="66" spans="1:6" s="43" customFormat="1" ht="13" hidden="1" outlineLevel="1" thickBot="1" x14ac:dyDescent="0.3">
      <c r="A66" s="136"/>
      <c r="B66" s="160"/>
      <c r="C66" s="190"/>
      <c r="D66" s="17"/>
    </row>
    <row r="67" spans="1:6" s="43" customFormat="1" ht="13" hidden="1" outlineLevel="1" thickBot="1" x14ac:dyDescent="0.3">
      <c r="A67" s="144" t="s">
        <v>19</v>
      </c>
      <c r="B67" s="792" t="s">
        <v>30</v>
      </c>
      <c r="C67" s="182">
        <f>SUM(C60:C66)</f>
        <v>0</v>
      </c>
      <c r="D67" s="104">
        <f>SUM(C67)</f>
        <v>0</v>
      </c>
    </row>
    <row r="68" spans="1:6" s="43" customFormat="1" ht="13" hidden="1" outlineLevel="1" thickBot="1" x14ac:dyDescent="0.3">
      <c r="A68" s="101" t="s">
        <v>21</v>
      </c>
      <c r="B68" s="792"/>
      <c r="C68" s="183" t="e">
        <f>AVERAGE(C60:C66)</f>
        <v>#DIV/0!</v>
      </c>
      <c r="D68" s="102" t="e">
        <f>SUM(C68)</f>
        <v>#DIV/0!</v>
      </c>
    </row>
    <row r="69" spans="1:6" s="43" customFormat="1" ht="13" hidden="1" thickBot="1" x14ac:dyDescent="0.3">
      <c r="A69" s="26" t="s">
        <v>18</v>
      </c>
      <c r="B69" s="792"/>
      <c r="C69" s="184">
        <f>SUM(C60:C64)</f>
        <v>0</v>
      </c>
      <c r="D69" s="27">
        <f>SUM(C69)</f>
        <v>0</v>
      </c>
    </row>
    <row r="70" spans="1:6" s="43" customFormat="1" ht="13" hidden="1" thickBot="1" x14ac:dyDescent="0.3">
      <c r="A70" s="26" t="s">
        <v>20</v>
      </c>
      <c r="B70" s="793"/>
      <c r="C70" s="185" t="e">
        <f>AVERAGE(C60:C64)</f>
        <v>#DIV/0!</v>
      </c>
      <c r="D70" s="29" t="e">
        <f>SUM(C70)</f>
        <v>#DIV/0!</v>
      </c>
    </row>
    <row r="71" spans="1:6" s="43" customFormat="1" ht="15" customHeight="1" x14ac:dyDescent="0.35">
      <c r="A71" s="4"/>
      <c r="B71" s="119"/>
      <c r="C71" s="46"/>
      <c r="D71" s="46"/>
    </row>
    <row r="72" spans="1:6" s="43" customFormat="1" ht="42" customHeight="1" thickBot="1" x14ac:dyDescent="0.3">
      <c r="A72" s="170"/>
      <c r="B72" s="369" t="s">
        <v>9</v>
      </c>
      <c r="D72" s="796" t="s">
        <v>52</v>
      </c>
      <c r="E72" s="797"/>
      <c r="F72" s="798"/>
    </row>
    <row r="73" spans="1:6" ht="30" customHeight="1" x14ac:dyDescent="0.25">
      <c r="A73" s="368" t="s">
        <v>112</v>
      </c>
      <c r="B73" s="370">
        <f xml:space="preserve"> SUM(C56:C56, C45:C45, C34:C34, C23:C23, C12:C12, C67:C67 )</f>
        <v>0</v>
      </c>
      <c r="D73" s="787" t="s">
        <v>28</v>
      </c>
      <c r="E73" s="788"/>
      <c r="F73" s="372">
        <f>SUM(C14, C25, C36, C47, C58, C69)</f>
        <v>0</v>
      </c>
    </row>
    <row r="74" spans="1:6" ht="30" customHeight="1" thickBot="1" x14ac:dyDescent="0.3">
      <c r="A74" s="368" t="s">
        <v>28</v>
      </c>
      <c r="B74" s="371">
        <f>SUM(C58:C58, C47:C47, C36:C36, C25:C25, C14:C14, C69:C69)</f>
        <v>0</v>
      </c>
      <c r="D74" s="783" t="s">
        <v>112</v>
      </c>
      <c r="E74" s="784"/>
      <c r="F74" s="373">
        <f xml:space="preserve"> SUM(C56, C45, C34, C23, C12, C67)</f>
        <v>0</v>
      </c>
    </row>
    <row r="75" spans="1:6" ht="30" customHeight="1" x14ac:dyDescent="0.35">
      <c r="D75" s="783" t="s">
        <v>20</v>
      </c>
      <c r="E75" s="784"/>
      <c r="F75" s="373" t="e">
        <f>AVERAGE(C15,C26,C37,C48,C59)</f>
        <v>#DIV/0!</v>
      </c>
    </row>
    <row r="76" spans="1:6" ht="30" customHeight="1" thickBot="1" x14ac:dyDescent="0.4">
      <c r="D76" s="785" t="s">
        <v>118</v>
      </c>
      <c r="E76" s="786"/>
      <c r="F76" s="298" t="e">
        <f>AVERAGE(C13,C24,C35,C46,C57)</f>
        <v>#DIV/0!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6:E76"/>
    <mergeCell ref="D75:E75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ColWidth="9.1796875" defaultRowHeight="14.5" outlineLevelRow="1" x14ac:dyDescent="0.35"/>
  <cols>
    <col min="1" max="1" width="18.7265625" style="1" bestFit="1" customWidth="1"/>
    <col min="2" max="2" width="10.7265625" style="120" bestFit="1" customWidth="1"/>
    <col min="3" max="3" width="15.7265625" style="11" customWidth="1"/>
    <col min="4" max="5" width="18.7265625" style="11" bestFit="1" customWidth="1"/>
    <col min="6" max="6" width="18.54296875" style="11" bestFit="1" customWidth="1"/>
    <col min="7" max="16384" width="9.1796875" style="11"/>
  </cols>
  <sheetData>
    <row r="1" spans="1:6" ht="14.25" customHeight="1" x14ac:dyDescent="0.25">
      <c r="A1" s="23"/>
      <c r="B1" s="152"/>
      <c r="C1" s="766" t="s">
        <v>64</v>
      </c>
      <c r="D1" s="766" t="s">
        <v>8</v>
      </c>
      <c r="E1" s="751" t="s">
        <v>17</v>
      </c>
    </row>
    <row r="2" spans="1:6" ht="14.25" customHeight="1" thickBot="1" x14ac:dyDescent="0.3">
      <c r="A2" s="24"/>
      <c r="B2" s="153"/>
      <c r="C2" s="794"/>
      <c r="D2" s="794"/>
      <c r="E2" s="752"/>
    </row>
    <row r="3" spans="1:6" ht="14.25" customHeight="1" x14ac:dyDescent="0.25">
      <c r="A3" s="679" t="s">
        <v>49</v>
      </c>
      <c r="B3" s="781" t="s">
        <v>50</v>
      </c>
      <c r="C3" s="728" t="s">
        <v>61</v>
      </c>
      <c r="D3" s="728" t="s">
        <v>8</v>
      </c>
      <c r="E3" s="752"/>
    </row>
    <row r="4" spans="1:6" ht="15" customHeight="1" thickBot="1" x14ac:dyDescent="0.3">
      <c r="A4" s="696"/>
      <c r="B4" s="782"/>
      <c r="C4" s="761"/>
      <c r="D4" s="761"/>
      <c r="E4" s="752"/>
    </row>
    <row r="5" spans="1:6" s="42" customFormat="1" ht="13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3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3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3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3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799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92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92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92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799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92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92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93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799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92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92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93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799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92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92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93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3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3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3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799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92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92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3" thickBot="1" x14ac:dyDescent="0.3">
      <c r="A59" s="26" t="s">
        <v>20</v>
      </c>
      <c r="B59" s="793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3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3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3" thickBot="1" x14ac:dyDescent="0.3">
      <c r="A62" s="136"/>
      <c r="B62" s="161"/>
      <c r="C62" s="12"/>
      <c r="D62" s="18"/>
      <c r="E62" s="17"/>
    </row>
    <row r="63" spans="1:6" s="43" customFormat="1" ht="13" thickBot="1" x14ac:dyDescent="0.3">
      <c r="A63" s="136"/>
      <c r="B63" s="161"/>
      <c r="C63" s="12"/>
      <c r="D63" s="18"/>
      <c r="E63" s="17"/>
    </row>
    <row r="64" spans="1:6" s="43" customFormat="1" ht="13" thickBot="1" x14ac:dyDescent="0.3">
      <c r="A64" s="25"/>
      <c r="B64" s="161"/>
      <c r="C64" s="12"/>
      <c r="D64" s="18"/>
      <c r="E64" s="17"/>
    </row>
    <row r="65" spans="1:6" s="43" customFormat="1" ht="13" thickBot="1" x14ac:dyDescent="0.3">
      <c r="A65" s="25"/>
      <c r="B65" s="161"/>
      <c r="C65" s="18"/>
      <c r="D65" s="18"/>
      <c r="E65" s="17"/>
    </row>
    <row r="66" spans="1:6" s="43" customFormat="1" ht="13" thickBot="1" x14ac:dyDescent="0.3">
      <c r="A66" s="25"/>
      <c r="B66" s="163"/>
      <c r="C66" s="21"/>
      <c r="D66" s="21"/>
      <c r="E66" s="58"/>
    </row>
    <row r="67" spans="1:6" s="43" customFormat="1" ht="13" thickBot="1" x14ac:dyDescent="0.3">
      <c r="A67" s="144" t="s">
        <v>19</v>
      </c>
      <c r="B67" s="799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3" thickBot="1" x14ac:dyDescent="0.3">
      <c r="A68" s="101" t="s">
        <v>21</v>
      </c>
      <c r="B68" s="792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3" thickBot="1" x14ac:dyDescent="0.3">
      <c r="A69" s="26" t="s">
        <v>18</v>
      </c>
      <c r="B69" s="792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3" thickBot="1" x14ac:dyDescent="0.3">
      <c r="A70" s="26" t="s">
        <v>20</v>
      </c>
      <c r="B70" s="793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35">
      <c r="A71" s="4"/>
      <c r="B71" s="119"/>
      <c r="C71" s="46"/>
      <c r="D71" s="46"/>
      <c r="E71" s="46"/>
    </row>
    <row r="72" spans="1:6" s="43" customFormat="1" ht="15" x14ac:dyDescent="0.25">
      <c r="B72" s="170"/>
      <c r="C72" s="36" t="s">
        <v>63</v>
      </c>
      <c r="D72" s="36" t="s">
        <v>8</v>
      </c>
      <c r="E72" s="809" t="s">
        <v>69</v>
      </c>
      <c r="F72" s="810"/>
    </row>
    <row r="73" spans="1:6" ht="2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35">
      <c r="C75" s="120"/>
      <c r="E75" s="192" t="s">
        <v>20</v>
      </c>
      <c r="F75" s="99">
        <f>AVERAGE(E14, E25, E36, E47, E58, E69)</f>
        <v>0</v>
      </c>
    </row>
    <row r="76" spans="1:6" x14ac:dyDescent="0.35">
      <c r="C76" s="120"/>
      <c r="E76" s="192" t="s">
        <v>57</v>
      </c>
      <c r="F76" s="98">
        <f>AVERAGE(E56, E45, E34, E23, E12, E67)</f>
        <v>0</v>
      </c>
    </row>
    <row r="78" spans="1:6" x14ac:dyDescent="0.35">
      <c r="C78" s="13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6DDE06-6909-421A-9840-21254DE6768E}"/>
</file>

<file path=customXml/itemProps2.xml><?xml version="1.0" encoding="utf-8"?>
<ds:datastoreItem xmlns:ds="http://schemas.openxmlformats.org/officeDocument/2006/customXml" ds:itemID="{F1C99DD7-0B3C-4EA1-86CC-B7F124F6AB5E}"/>
</file>

<file path=customXml/itemProps3.xml><?xml version="1.0" encoding="utf-8"?>
<ds:datastoreItem xmlns:ds="http://schemas.openxmlformats.org/officeDocument/2006/customXml" ds:itemID="{C1354AF0-1DD2-4FD3-912B-6E6A372CD6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2021-04-19T16:10:02Z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