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SI Ferry Ridership by Month\2021 SIF Ridership\"/>
    </mc:Choice>
  </mc:AlternateContent>
  <bookViews>
    <workbookView xWindow="0" yWindow="0" windowWidth="19200" windowHeight="6975" tabRatio="653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3" r:id="rId5"/>
    <sheet name="SeaStreak" sheetId="4" r:id="rId6"/>
    <sheet name="New York Water Taxi" sheetId="2" r:id="rId7"/>
    <sheet name="Liberty Landing Ferry" sheetId="5" r:id="rId8"/>
    <sheet name="Water Tours" sheetId="11" state="hidden" r:id="rId9"/>
    <sheet name="Baseball" sheetId="8" state="hidden" r:id="rId10"/>
    <sheet name="Sheet1" sheetId="9" state="hidden" r:id="rId11"/>
  </sheets>
  <definedNames>
    <definedName name="_xlnm.Print_Area" localSheetId="9">Baseball!$A$1:$G$76</definedName>
    <definedName name="_xlnm.Print_Area" localSheetId="2">'Monthly Totals'!$B$2:$C$78</definedName>
    <definedName name="_xlnm.Print_Area" localSheetId="4">'NY Waterway-(Port Imperial FC)'!$A$1:$N$71</definedName>
    <definedName name="_xlnm.Print_Area" localSheetId="0">'Weekday Totals'!$B$2:$R$78</definedName>
  </definedNames>
  <calcPr calcId="152511"/>
</workbook>
</file>

<file path=xl/calcChain.xml><?xml version="1.0" encoding="utf-8"?>
<calcChain xmlns="http://schemas.openxmlformats.org/spreadsheetml/2006/main">
  <c r="D69" i="3" l="1"/>
  <c r="D68" i="3"/>
  <c r="H79" i="2" l="1"/>
  <c r="U18" i="3" l="1"/>
  <c r="C29" i="3"/>
  <c r="W10" i="3" l="1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E51" i="4" l="1"/>
  <c r="F51" i="4"/>
  <c r="AM6" i="10" l="1"/>
  <c r="AM5" i="10"/>
  <c r="AM56" i="10" l="1"/>
  <c r="AM57" i="10"/>
  <c r="AM58" i="10"/>
  <c r="AM59" i="10"/>
  <c r="AM55" i="10"/>
  <c r="AM45" i="10"/>
  <c r="AM46" i="10"/>
  <c r="AM47" i="10"/>
  <c r="AM48" i="10"/>
  <c r="AM49" i="10"/>
  <c r="AM50" i="10"/>
  <c r="AM44" i="10"/>
  <c r="AM34" i="10"/>
  <c r="AM35" i="10"/>
  <c r="AM36" i="10"/>
  <c r="AM37" i="10"/>
  <c r="AM38" i="10"/>
  <c r="AM39" i="10"/>
  <c r="AM33" i="10"/>
  <c r="AM27" i="10"/>
  <c r="AM28" i="10"/>
  <c r="AM26" i="10"/>
  <c r="AM25" i="10"/>
  <c r="AM24" i="10"/>
  <c r="AM23" i="10"/>
  <c r="AM22" i="10"/>
  <c r="AM15" i="10"/>
  <c r="AM16" i="10"/>
  <c r="AM17" i="10"/>
  <c r="AM14" i="10"/>
  <c r="I58" i="4" l="1"/>
  <c r="I59" i="4"/>
  <c r="O21" i="3" l="1"/>
  <c r="F19" i="3"/>
  <c r="C45" i="5"/>
  <c r="C37" i="5"/>
  <c r="C36" i="5"/>
  <c r="E31" i="10" l="1"/>
  <c r="D31" i="10"/>
  <c r="E32" i="10"/>
  <c r="D32" i="10"/>
  <c r="H29" i="10"/>
  <c r="G29" i="10"/>
  <c r="F29" i="10"/>
  <c r="E29" i="10"/>
  <c r="D29" i="10"/>
  <c r="C29" i="10"/>
  <c r="AF64" i="10" l="1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E62" i="10"/>
  <c r="D62" i="10"/>
  <c r="C62" i="10"/>
  <c r="D7" i="4" l="1"/>
  <c r="E7" i="4"/>
  <c r="F7" i="4"/>
  <c r="G7" i="4"/>
  <c r="H7" i="4"/>
  <c r="C7" i="4"/>
  <c r="R18" i="3"/>
  <c r="P18" i="3"/>
  <c r="O18" i="3"/>
  <c r="N18" i="3"/>
  <c r="L18" i="3"/>
  <c r="K18" i="3"/>
  <c r="I18" i="3"/>
  <c r="G18" i="3"/>
  <c r="F18" i="3"/>
  <c r="E18" i="3"/>
  <c r="D18" i="3"/>
  <c r="C18" i="3"/>
  <c r="AM13" i="10"/>
  <c r="AM12" i="10"/>
  <c r="AM11" i="10"/>
  <c r="E18" i="10"/>
  <c r="D19" i="10"/>
  <c r="C19" i="10"/>
  <c r="D18" i="10"/>
  <c r="C18" i="10"/>
  <c r="O65" i="6" l="1"/>
  <c r="O41" i="6"/>
  <c r="F62" i="10"/>
  <c r="K63" i="3"/>
  <c r="K64" i="3"/>
  <c r="K62" i="3"/>
  <c r="I62" i="3"/>
  <c r="I64" i="3"/>
  <c r="C64" i="3"/>
  <c r="C62" i="3"/>
  <c r="AE62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AG64" i="10"/>
  <c r="AH64" i="10"/>
  <c r="AI64" i="10"/>
  <c r="AJ64" i="10"/>
  <c r="AK64" i="10"/>
  <c r="AL64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F62" i="10"/>
  <c r="AG62" i="10"/>
  <c r="AH62" i="10"/>
  <c r="AI62" i="10"/>
  <c r="AJ62" i="10"/>
  <c r="AK62" i="10"/>
  <c r="AL62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G63" i="10"/>
  <c r="F63" i="10"/>
  <c r="D63" i="10"/>
  <c r="E63" i="10"/>
  <c r="C63" i="10"/>
  <c r="C65" i="10"/>
  <c r="C51" i="10"/>
  <c r="O75" i="6" l="1"/>
  <c r="O69" i="6"/>
  <c r="W33" i="3" l="1"/>
  <c r="W34" i="3"/>
  <c r="W35" i="3"/>
  <c r="W36" i="3"/>
  <c r="W37" i="3"/>
  <c r="W38" i="3"/>
  <c r="W39" i="3"/>
  <c r="W40" i="3" l="1"/>
  <c r="I20" i="2"/>
  <c r="I31" i="2"/>
  <c r="L13" i="2"/>
  <c r="L24" i="2"/>
  <c r="I16" i="4"/>
  <c r="I13" i="4"/>
  <c r="W26" i="3"/>
  <c r="W23" i="3"/>
  <c r="W16" i="3"/>
  <c r="D20" i="3"/>
  <c r="D31" i="3"/>
  <c r="C32" i="10"/>
  <c r="W7" i="10" l="1"/>
  <c r="Y7" i="10"/>
  <c r="AA7" i="10"/>
  <c r="AB7" i="10"/>
  <c r="AC7" i="10"/>
  <c r="AE53" i="10"/>
  <c r="AD53" i="10"/>
  <c r="L55" i="6" s="1"/>
  <c r="AC53" i="10"/>
  <c r="AB53" i="10"/>
  <c r="AA53" i="10"/>
  <c r="Z53" i="10"/>
  <c r="Y53" i="10"/>
  <c r="X53" i="10"/>
  <c r="W53" i="10"/>
  <c r="V53" i="10"/>
  <c r="U53" i="10"/>
  <c r="T53" i="10"/>
  <c r="S53" i="10"/>
  <c r="I31" i="3"/>
  <c r="I42" i="3"/>
  <c r="I53" i="3"/>
  <c r="L63" i="6" s="1"/>
  <c r="J42" i="3"/>
  <c r="J51" i="3"/>
  <c r="J53" i="3"/>
  <c r="H53" i="3"/>
  <c r="I51" i="3"/>
  <c r="W49" i="3"/>
  <c r="C58" i="5"/>
  <c r="C47" i="5"/>
  <c r="C46" i="5"/>
  <c r="C25" i="5"/>
  <c r="C14" i="5"/>
  <c r="I64" i="2"/>
  <c r="H64" i="2"/>
  <c r="I62" i="2"/>
  <c r="H62" i="2"/>
  <c r="I53" i="2"/>
  <c r="H53" i="2"/>
  <c r="L34" i="2"/>
  <c r="L33" i="2"/>
  <c r="L37" i="2"/>
  <c r="I42" i="2"/>
  <c r="H42" i="2"/>
  <c r="H31" i="2"/>
  <c r="H20" i="2"/>
  <c r="H53" i="4"/>
  <c r="F53" i="4"/>
  <c r="F52" i="4"/>
  <c r="H40" i="4"/>
  <c r="H42" i="4"/>
  <c r="F42" i="4"/>
  <c r="F40" i="4"/>
  <c r="H31" i="4"/>
  <c r="F31" i="4"/>
  <c r="D31" i="4"/>
  <c r="D30" i="4"/>
  <c r="D29" i="4"/>
  <c r="F29" i="4"/>
  <c r="H29" i="4"/>
  <c r="H20" i="4"/>
  <c r="D20" i="4"/>
  <c r="D18" i="4"/>
  <c r="H18" i="4"/>
  <c r="I39" i="4"/>
  <c r="I38" i="4"/>
  <c r="I37" i="4"/>
  <c r="I36" i="4"/>
  <c r="I35" i="4"/>
  <c r="I34" i="4"/>
  <c r="I33" i="4"/>
  <c r="W50" i="3"/>
  <c r="W44" i="3"/>
  <c r="W48" i="3"/>
  <c r="W47" i="3"/>
  <c r="W46" i="3"/>
  <c r="W45" i="3"/>
  <c r="V53" i="3"/>
  <c r="U53" i="3"/>
  <c r="T53" i="3"/>
  <c r="S53" i="3"/>
  <c r="R53" i="3"/>
  <c r="Q53" i="3"/>
  <c r="P53" i="3"/>
  <c r="O53" i="3"/>
  <c r="N53" i="3"/>
  <c r="M53" i="3"/>
  <c r="L53" i="3"/>
  <c r="K53" i="3"/>
  <c r="G53" i="3"/>
  <c r="F53" i="3"/>
  <c r="E53" i="3"/>
  <c r="D53" i="3"/>
  <c r="C53" i="3"/>
  <c r="AK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D53" i="10"/>
  <c r="E53" i="10"/>
  <c r="C53" i="10"/>
  <c r="D52" i="10"/>
  <c r="C52" i="10"/>
  <c r="F42" i="10"/>
  <c r="E42" i="10"/>
  <c r="D42" i="10"/>
  <c r="C42" i="10"/>
  <c r="C40" i="10"/>
  <c r="C7" i="10"/>
  <c r="D7" i="10"/>
  <c r="F7" i="10"/>
  <c r="H7" i="10"/>
  <c r="AL7" i="10"/>
  <c r="AK7" i="10"/>
  <c r="AE7" i="10"/>
  <c r="U7" i="10"/>
  <c r="T7" i="10"/>
  <c r="AK51" i="10"/>
  <c r="AL51" i="10"/>
  <c r="AE51" i="10"/>
  <c r="Z51" i="10"/>
  <c r="AE42" i="10"/>
  <c r="AE40" i="10"/>
  <c r="Z42" i="10"/>
  <c r="Z40" i="10"/>
  <c r="N51" i="10"/>
  <c r="C34" i="5"/>
  <c r="C12" i="5"/>
  <c r="C23" i="5"/>
  <c r="L44" i="2"/>
  <c r="I6" i="4"/>
  <c r="I5" i="4"/>
  <c r="L36" i="2"/>
  <c r="I25" i="4"/>
  <c r="I22" i="4"/>
  <c r="I46" i="4"/>
  <c r="I55" i="4"/>
  <c r="O55" i="6"/>
  <c r="D51" i="10"/>
  <c r="E51" i="10"/>
  <c r="F51" i="10"/>
  <c r="G51" i="10"/>
  <c r="H51" i="10"/>
  <c r="I51" i="10"/>
  <c r="J51" i="10"/>
  <c r="K51" i="10"/>
  <c r="L51" i="10"/>
  <c r="M51" i="10"/>
  <c r="O51" i="10"/>
  <c r="P51" i="10"/>
  <c r="Q51" i="10"/>
  <c r="R51" i="10"/>
  <c r="S51" i="10"/>
  <c r="T51" i="10"/>
  <c r="U51" i="10"/>
  <c r="V51" i="10"/>
  <c r="W51" i="10"/>
  <c r="X51" i="10"/>
  <c r="Y51" i="10"/>
  <c r="AA51" i="10"/>
  <c r="AB51" i="10"/>
  <c r="AC51" i="10"/>
  <c r="AD51" i="10"/>
  <c r="AF51" i="10"/>
  <c r="AG51" i="10"/>
  <c r="AH51" i="10"/>
  <c r="AI51" i="10"/>
  <c r="AJ51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F53" i="10"/>
  <c r="AG53" i="10"/>
  <c r="AH53" i="10"/>
  <c r="AI53" i="10"/>
  <c r="AJ53" i="10"/>
  <c r="AL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AA40" i="10"/>
  <c r="AB40" i="10"/>
  <c r="AC40" i="10"/>
  <c r="AD40" i="10"/>
  <c r="AF40" i="10"/>
  <c r="AG40" i="10"/>
  <c r="AH40" i="10"/>
  <c r="AI40" i="10"/>
  <c r="AJ40" i="10"/>
  <c r="AK40" i="10"/>
  <c r="AL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AA42" i="10"/>
  <c r="AB42" i="10"/>
  <c r="AC42" i="10"/>
  <c r="AD42" i="10"/>
  <c r="I55" i="6" s="1"/>
  <c r="AF42" i="10"/>
  <c r="AG42" i="10"/>
  <c r="AH42" i="10"/>
  <c r="AI42" i="10"/>
  <c r="AJ42" i="10"/>
  <c r="AK42" i="10"/>
  <c r="AL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C43" i="10"/>
  <c r="C41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F55" i="6" s="1"/>
  <c r="AE31" i="10"/>
  <c r="AF31" i="10"/>
  <c r="AG31" i="10"/>
  <c r="AH31" i="10"/>
  <c r="AI31" i="10"/>
  <c r="AJ31" i="10"/>
  <c r="AK31" i="10"/>
  <c r="AL31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C31" i="10"/>
  <c r="C30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C21" i="10"/>
  <c r="C20" i="10"/>
  <c r="C54" i="10"/>
  <c r="E7" i="10"/>
  <c r="G7" i="10"/>
  <c r="I7" i="10"/>
  <c r="J7" i="10"/>
  <c r="K7" i="10"/>
  <c r="L7" i="10"/>
  <c r="M7" i="10"/>
  <c r="N7" i="10"/>
  <c r="O7" i="10"/>
  <c r="P7" i="10"/>
  <c r="Q7" i="10"/>
  <c r="R7" i="10"/>
  <c r="S7" i="10"/>
  <c r="V7" i="10"/>
  <c r="X7" i="10"/>
  <c r="Z7" i="10"/>
  <c r="AD7" i="10"/>
  <c r="AF7" i="10"/>
  <c r="AG7" i="10"/>
  <c r="AH7" i="10"/>
  <c r="AI7" i="10"/>
  <c r="AJ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C8" i="10"/>
  <c r="C9" i="10"/>
  <c r="L59" i="6" l="1"/>
  <c r="I59" i="6"/>
  <c r="I7" i="4"/>
  <c r="AM54" i="10"/>
  <c r="L69" i="10"/>
  <c r="E69" i="10"/>
  <c r="C69" i="10"/>
  <c r="W53" i="3"/>
  <c r="W51" i="3"/>
  <c r="L51" i="6"/>
  <c r="G69" i="10"/>
  <c r="P69" i="10"/>
  <c r="I69" i="10"/>
  <c r="R69" i="10"/>
  <c r="Q69" i="10"/>
  <c r="N69" i="10"/>
  <c r="H69" i="10"/>
  <c r="W69" i="10"/>
  <c r="T69" i="10"/>
  <c r="J69" i="10"/>
  <c r="K69" i="10"/>
  <c r="O69" i="10"/>
  <c r="I8" i="4"/>
  <c r="D68" i="10"/>
  <c r="U69" i="10"/>
  <c r="D69" i="10"/>
  <c r="F69" i="10"/>
  <c r="M69" i="10"/>
  <c r="S69" i="10"/>
  <c r="AM7" i="10"/>
  <c r="I51" i="6"/>
  <c r="F53" i="6"/>
  <c r="C57" i="6"/>
  <c r="I53" i="6"/>
  <c r="I57" i="6"/>
  <c r="F57" i="6"/>
  <c r="C51" i="6"/>
  <c r="O51" i="6"/>
  <c r="L57" i="6"/>
  <c r="I42" i="4"/>
  <c r="F51" i="6"/>
  <c r="O53" i="6"/>
  <c r="W68" i="10"/>
  <c r="S68" i="10"/>
  <c r="T68" i="10"/>
  <c r="O57" i="6"/>
  <c r="V69" i="10"/>
  <c r="V68" i="10"/>
  <c r="U68" i="10"/>
  <c r="L53" i="6"/>
  <c r="H80" i="2"/>
  <c r="I80" i="2"/>
  <c r="I40" i="4"/>
  <c r="AM52" i="10"/>
  <c r="AM51" i="10"/>
  <c r="AM53" i="10"/>
  <c r="L13" i="6" s="1"/>
  <c r="C53" i="6"/>
  <c r="E62" i="4"/>
  <c r="F62" i="4"/>
  <c r="E63" i="4"/>
  <c r="F63" i="4"/>
  <c r="E64" i="4"/>
  <c r="F64" i="4"/>
  <c r="E65" i="4"/>
  <c r="F65" i="4"/>
  <c r="E52" i="4"/>
  <c r="E53" i="4"/>
  <c r="L23" i="6" s="1"/>
  <c r="E54" i="4"/>
  <c r="F54" i="4"/>
  <c r="E40" i="4"/>
  <c r="E41" i="4"/>
  <c r="F41" i="4"/>
  <c r="E42" i="4"/>
  <c r="E43" i="4"/>
  <c r="F43" i="4"/>
  <c r="E29" i="4"/>
  <c r="E30" i="4"/>
  <c r="F30" i="4"/>
  <c r="E31" i="4"/>
  <c r="E32" i="4"/>
  <c r="F32" i="4"/>
  <c r="E18" i="4"/>
  <c r="F18" i="4"/>
  <c r="E19" i="4"/>
  <c r="F19" i="4"/>
  <c r="E20" i="4"/>
  <c r="F20" i="4"/>
  <c r="E21" i="4"/>
  <c r="F21" i="4"/>
  <c r="E8" i="4"/>
  <c r="F8" i="4"/>
  <c r="E9" i="4"/>
  <c r="F9" i="4"/>
  <c r="E10" i="4"/>
  <c r="F10" i="4"/>
  <c r="O63" i="6"/>
  <c r="F63" i="6"/>
  <c r="J29" i="3"/>
  <c r="J30" i="3"/>
  <c r="J31" i="3"/>
  <c r="F59" i="6" s="1"/>
  <c r="J32" i="3"/>
  <c r="J18" i="3"/>
  <c r="J19" i="3"/>
  <c r="J20" i="3"/>
  <c r="C59" i="6" s="1"/>
  <c r="J21" i="3"/>
  <c r="AM8" i="10" l="1"/>
  <c r="W28" i="3"/>
  <c r="W27" i="3"/>
  <c r="W24" i="3"/>
  <c r="W22" i="3"/>
  <c r="W17" i="3"/>
  <c r="W15" i="3"/>
  <c r="W14" i="3"/>
  <c r="W13" i="3"/>
  <c r="W12" i="3"/>
  <c r="W11" i="3"/>
  <c r="W18" i="3" l="1"/>
  <c r="W20" i="3"/>
  <c r="C8" i="4"/>
  <c r="D8" i="4"/>
  <c r="G8" i="4"/>
  <c r="H8" i="4"/>
  <c r="C9" i="4"/>
  <c r="D9" i="4"/>
  <c r="G9" i="4"/>
  <c r="H9" i="4"/>
  <c r="I9" i="4"/>
  <c r="C10" i="4"/>
  <c r="D10" i="4"/>
  <c r="G10" i="4"/>
  <c r="H10" i="4"/>
  <c r="I10" i="4"/>
  <c r="J65" i="3" l="1"/>
  <c r="J64" i="3"/>
  <c r="J63" i="3"/>
  <c r="J62" i="3"/>
  <c r="J54" i="3"/>
  <c r="J52" i="3"/>
  <c r="J43" i="3"/>
  <c r="J41" i="3"/>
  <c r="J40" i="3"/>
  <c r="I68" i="3" l="1"/>
  <c r="I69" i="3"/>
  <c r="O59" i="6"/>
  <c r="I29" i="3"/>
  <c r="I30" i="3"/>
  <c r="I32" i="3"/>
  <c r="I19" i="3"/>
  <c r="I20" i="3"/>
  <c r="I21" i="3"/>
  <c r="I65" i="3"/>
  <c r="I63" i="3"/>
  <c r="I54" i="3"/>
  <c r="I52" i="3"/>
  <c r="I43" i="3"/>
  <c r="I63" i="6"/>
  <c r="I41" i="3"/>
  <c r="I40" i="3"/>
  <c r="H68" i="3" l="1"/>
  <c r="H69" i="3"/>
  <c r="C63" i="6"/>
  <c r="D65" i="4"/>
  <c r="V62" i="3" l="1"/>
  <c r="W56" i="3"/>
  <c r="W57" i="3"/>
  <c r="W55" i="3"/>
  <c r="W42" i="3"/>
  <c r="W25" i="3"/>
  <c r="W29" i="3" l="1"/>
  <c r="W31" i="3"/>
  <c r="W64" i="3"/>
  <c r="O5" i="6" s="1"/>
  <c r="W62" i="3"/>
  <c r="L5" i="6"/>
  <c r="I5" i="6"/>
  <c r="W43" i="3"/>
  <c r="W32" i="3"/>
  <c r="W30" i="3"/>
  <c r="W19" i="3"/>
  <c r="W41" i="3"/>
  <c r="C5" i="6"/>
  <c r="W54" i="3"/>
  <c r="W52" i="3"/>
  <c r="W21" i="3"/>
  <c r="D54" i="3"/>
  <c r="E54" i="3"/>
  <c r="F54" i="3"/>
  <c r="G54" i="3"/>
  <c r="H54" i="3"/>
  <c r="K54" i="3"/>
  <c r="L54" i="3"/>
  <c r="M54" i="3"/>
  <c r="N54" i="3"/>
  <c r="O54" i="3"/>
  <c r="P54" i="3"/>
  <c r="Q54" i="3"/>
  <c r="R54" i="3"/>
  <c r="S54" i="3"/>
  <c r="T54" i="3"/>
  <c r="U54" i="3"/>
  <c r="V54" i="3"/>
  <c r="D52" i="3"/>
  <c r="E52" i="3"/>
  <c r="F52" i="3"/>
  <c r="G52" i="3"/>
  <c r="H52" i="3"/>
  <c r="K52" i="3"/>
  <c r="L52" i="3"/>
  <c r="M52" i="3"/>
  <c r="N52" i="3"/>
  <c r="O52" i="3"/>
  <c r="P52" i="3"/>
  <c r="Q52" i="3"/>
  <c r="R52" i="3"/>
  <c r="S52" i="3"/>
  <c r="T52" i="3"/>
  <c r="U52" i="3"/>
  <c r="V52" i="3"/>
  <c r="D51" i="3"/>
  <c r="E51" i="3"/>
  <c r="F51" i="3"/>
  <c r="G51" i="3"/>
  <c r="H51" i="3"/>
  <c r="K51" i="3"/>
  <c r="L51" i="3"/>
  <c r="M51" i="3"/>
  <c r="N51" i="3"/>
  <c r="O51" i="3"/>
  <c r="P51" i="3"/>
  <c r="Q51" i="3"/>
  <c r="R51" i="3"/>
  <c r="S51" i="3"/>
  <c r="T51" i="3"/>
  <c r="U51" i="3"/>
  <c r="V51" i="3"/>
  <c r="D43" i="3"/>
  <c r="E43" i="3"/>
  <c r="F43" i="3"/>
  <c r="G43" i="3"/>
  <c r="H43" i="3"/>
  <c r="K43" i="3"/>
  <c r="L43" i="3"/>
  <c r="M43" i="3"/>
  <c r="N43" i="3"/>
  <c r="O43" i="3"/>
  <c r="P43" i="3"/>
  <c r="Q43" i="3"/>
  <c r="R43" i="3"/>
  <c r="S43" i="3"/>
  <c r="T43" i="3"/>
  <c r="U43" i="3"/>
  <c r="V43" i="3"/>
  <c r="D42" i="3"/>
  <c r="E42" i="3"/>
  <c r="F42" i="3"/>
  <c r="G42" i="3"/>
  <c r="H42" i="3"/>
  <c r="I23" i="6" s="1"/>
  <c r="K42" i="3"/>
  <c r="L42" i="3"/>
  <c r="M42" i="3"/>
  <c r="N42" i="3"/>
  <c r="O42" i="3"/>
  <c r="P42" i="3"/>
  <c r="Q42" i="3"/>
  <c r="R42" i="3"/>
  <c r="S42" i="3"/>
  <c r="T42" i="3"/>
  <c r="U42" i="3"/>
  <c r="V42" i="3"/>
  <c r="D41" i="3"/>
  <c r="E41" i="3"/>
  <c r="F41" i="3"/>
  <c r="G41" i="3"/>
  <c r="H41" i="3"/>
  <c r="K41" i="3"/>
  <c r="L41" i="3"/>
  <c r="M41" i="3"/>
  <c r="N41" i="3"/>
  <c r="O41" i="3"/>
  <c r="P41" i="3"/>
  <c r="Q41" i="3"/>
  <c r="R41" i="3"/>
  <c r="S41" i="3"/>
  <c r="T41" i="3"/>
  <c r="U41" i="3"/>
  <c r="V41" i="3"/>
  <c r="D40" i="3"/>
  <c r="E40" i="3"/>
  <c r="F40" i="3"/>
  <c r="G40" i="3"/>
  <c r="H40" i="3"/>
  <c r="K40" i="3"/>
  <c r="L40" i="3"/>
  <c r="M40" i="3"/>
  <c r="N40" i="3"/>
  <c r="O40" i="3"/>
  <c r="P40" i="3"/>
  <c r="Q40" i="3"/>
  <c r="R40" i="3"/>
  <c r="S40" i="3"/>
  <c r="T40" i="3"/>
  <c r="U40" i="3"/>
  <c r="V40" i="3"/>
  <c r="D32" i="3"/>
  <c r="E32" i="3"/>
  <c r="F32" i="3"/>
  <c r="G32" i="3"/>
  <c r="H32" i="3"/>
  <c r="K32" i="3"/>
  <c r="L32" i="3"/>
  <c r="M32" i="3"/>
  <c r="N32" i="3"/>
  <c r="O32" i="3"/>
  <c r="P32" i="3"/>
  <c r="Q32" i="3"/>
  <c r="R32" i="3"/>
  <c r="S32" i="3"/>
  <c r="T32" i="3"/>
  <c r="U32" i="3"/>
  <c r="V32" i="3"/>
  <c r="E31" i="3"/>
  <c r="F31" i="3"/>
  <c r="G31" i="3"/>
  <c r="H31" i="3"/>
  <c r="F23" i="6" s="1"/>
  <c r="K31" i="3"/>
  <c r="L31" i="3"/>
  <c r="M31" i="3"/>
  <c r="N31" i="3"/>
  <c r="O31" i="3"/>
  <c r="P31" i="3"/>
  <c r="Q31" i="3"/>
  <c r="R31" i="3"/>
  <c r="S31" i="3"/>
  <c r="T31" i="3"/>
  <c r="U31" i="3"/>
  <c r="V31" i="3"/>
  <c r="D30" i="3"/>
  <c r="E30" i="3"/>
  <c r="F30" i="3"/>
  <c r="G30" i="3"/>
  <c r="H30" i="3"/>
  <c r="K30" i="3"/>
  <c r="L30" i="3"/>
  <c r="M30" i="3"/>
  <c r="N30" i="3"/>
  <c r="O30" i="3"/>
  <c r="P30" i="3"/>
  <c r="Q30" i="3"/>
  <c r="R30" i="3"/>
  <c r="S30" i="3"/>
  <c r="T30" i="3"/>
  <c r="U30" i="3"/>
  <c r="V30" i="3"/>
  <c r="D29" i="3"/>
  <c r="E29" i="3"/>
  <c r="F29" i="3"/>
  <c r="G29" i="3"/>
  <c r="H29" i="3"/>
  <c r="K29" i="3"/>
  <c r="L29" i="3"/>
  <c r="M29" i="3"/>
  <c r="N29" i="3"/>
  <c r="O29" i="3"/>
  <c r="P29" i="3"/>
  <c r="Q29" i="3"/>
  <c r="R29" i="3"/>
  <c r="S29" i="3"/>
  <c r="T29" i="3"/>
  <c r="U29" i="3"/>
  <c r="V29" i="3"/>
  <c r="D21" i="3"/>
  <c r="E21" i="3"/>
  <c r="F21" i="3"/>
  <c r="G21" i="3"/>
  <c r="H21" i="3"/>
  <c r="K21" i="3"/>
  <c r="L21" i="3"/>
  <c r="M21" i="3"/>
  <c r="N21" i="3"/>
  <c r="P21" i="3"/>
  <c r="Q21" i="3"/>
  <c r="R21" i="3"/>
  <c r="S21" i="3"/>
  <c r="T21" i="3"/>
  <c r="U21" i="3"/>
  <c r="V21" i="3"/>
  <c r="E20" i="3"/>
  <c r="F20" i="3"/>
  <c r="G20" i="3"/>
  <c r="H20" i="3"/>
  <c r="C23" i="6" s="1"/>
  <c r="K20" i="3"/>
  <c r="L20" i="3"/>
  <c r="M20" i="3"/>
  <c r="N20" i="3"/>
  <c r="O20" i="3"/>
  <c r="P20" i="3"/>
  <c r="Q20" i="3"/>
  <c r="R20" i="3"/>
  <c r="S20" i="3"/>
  <c r="T20" i="3"/>
  <c r="U20" i="3"/>
  <c r="V20" i="3"/>
  <c r="D19" i="3"/>
  <c r="E19" i="3"/>
  <c r="G19" i="3"/>
  <c r="H19" i="3"/>
  <c r="K19" i="3"/>
  <c r="L19" i="3"/>
  <c r="M19" i="3"/>
  <c r="N19" i="3"/>
  <c r="O19" i="3"/>
  <c r="P19" i="3"/>
  <c r="Q19" i="3"/>
  <c r="R19" i="3"/>
  <c r="S19" i="3"/>
  <c r="T19" i="3"/>
  <c r="U19" i="3"/>
  <c r="V19" i="3"/>
  <c r="H18" i="3"/>
  <c r="M18" i="3"/>
  <c r="Q18" i="3"/>
  <c r="S18" i="3"/>
  <c r="T18" i="3"/>
  <c r="V18" i="3"/>
  <c r="W65" i="3"/>
  <c r="V65" i="3"/>
  <c r="U65" i="3"/>
  <c r="T65" i="3"/>
  <c r="S65" i="3"/>
  <c r="R65" i="3"/>
  <c r="Q65" i="3"/>
  <c r="P65" i="3"/>
  <c r="O65" i="3"/>
  <c r="V64" i="3"/>
  <c r="U64" i="3"/>
  <c r="T64" i="3"/>
  <c r="S64" i="3"/>
  <c r="R64" i="3"/>
  <c r="Q64" i="3"/>
  <c r="P64" i="3"/>
  <c r="O64" i="3"/>
  <c r="W63" i="3"/>
  <c r="V63" i="3"/>
  <c r="U63" i="3"/>
  <c r="T63" i="3"/>
  <c r="S63" i="3"/>
  <c r="R63" i="3"/>
  <c r="Q63" i="3"/>
  <c r="P63" i="3"/>
  <c r="O63" i="3"/>
  <c r="U62" i="3"/>
  <c r="T62" i="3"/>
  <c r="S62" i="3"/>
  <c r="R62" i="3"/>
  <c r="Q62" i="3"/>
  <c r="P62" i="3"/>
  <c r="O62" i="3"/>
  <c r="N69" i="3" l="1"/>
  <c r="G68" i="3"/>
  <c r="C25" i="14" s="1"/>
  <c r="G69" i="3"/>
  <c r="N68" i="3"/>
  <c r="I25" i="6"/>
  <c r="F5" i="6"/>
  <c r="C25" i="6"/>
  <c r="N70" i="3"/>
  <c r="N71" i="3"/>
  <c r="L25" i="6"/>
  <c r="F25" i="6"/>
  <c r="O25" i="6"/>
  <c r="G51" i="2"/>
  <c r="G52" i="2"/>
  <c r="G53" i="2"/>
  <c r="G54" i="2"/>
  <c r="H54" i="2"/>
  <c r="C5" i="14" l="1"/>
  <c r="K62" i="2" l="1"/>
  <c r="L50" i="2" l="1"/>
  <c r="K51" i="2"/>
  <c r="J51" i="2"/>
  <c r="I51" i="2"/>
  <c r="H51" i="2"/>
  <c r="F51" i="2"/>
  <c r="E51" i="2"/>
  <c r="C51" i="2"/>
  <c r="G40" i="2"/>
  <c r="E40" i="2"/>
  <c r="F40" i="2"/>
  <c r="L38" i="2"/>
  <c r="L39" i="2"/>
  <c r="F18" i="2" l="1"/>
  <c r="E29" i="2"/>
  <c r="C15" i="14" l="1"/>
  <c r="AM40" i="10" l="1"/>
  <c r="AM42" i="10"/>
  <c r="AM29" i="10"/>
  <c r="AM18" i="10"/>
  <c r="AM20" i="10"/>
  <c r="C13" i="6" s="1"/>
  <c r="AM21" i="10"/>
  <c r="AM19" i="10"/>
  <c r="AM41" i="10"/>
  <c r="AM43" i="10"/>
  <c r="AM31" i="10"/>
  <c r="AM30" i="10"/>
  <c r="AM32" i="10"/>
  <c r="E8" i="2"/>
  <c r="F8" i="2"/>
  <c r="G8" i="2"/>
  <c r="H8" i="2"/>
  <c r="I8" i="2"/>
  <c r="J8" i="2"/>
  <c r="K8" i="2"/>
  <c r="E7" i="2"/>
  <c r="F7" i="2"/>
  <c r="G7" i="2"/>
  <c r="H7" i="2"/>
  <c r="I7" i="2"/>
  <c r="J7" i="2"/>
  <c r="K7" i="2"/>
  <c r="D8" i="2"/>
  <c r="D7" i="2"/>
  <c r="L8" i="2"/>
  <c r="J68" i="10"/>
  <c r="C41" i="14" s="1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C8" i="2"/>
  <c r="C7" i="2"/>
  <c r="C10" i="10"/>
  <c r="L7" i="2" l="1"/>
  <c r="C61" i="6"/>
  <c r="F41" i="2" l="1"/>
  <c r="O67" i="6" l="1"/>
  <c r="O45" i="6"/>
  <c r="O73" i="6"/>
  <c r="O71" i="6"/>
  <c r="O61" i="6"/>
  <c r="L67" i="6"/>
  <c r="L65" i="6"/>
  <c r="L73" i="6"/>
  <c r="L71" i="6"/>
  <c r="L69" i="6"/>
  <c r="L61" i="6"/>
  <c r="I67" i="6"/>
  <c r="I65" i="6"/>
  <c r="I73" i="6"/>
  <c r="I71" i="6"/>
  <c r="I69" i="6"/>
  <c r="I61" i="6"/>
  <c r="F67" i="6"/>
  <c r="F65" i="6"/>
  <c r="F73" i="6"/>
  <c r="F71" i="6"/>
  <c r="F69" i="6"/>
  <c r="C61" i="14" l="1"/>
  <c r="C55" i="14"/>
  <c r="Q68" i="10"/>
  <c r="C71" i="14" s="1"/>
  <c r="M68" i="10"/>
  <c r="C63" i="14" s="1"/>
  <c r="C57" i="14"/>
  <c r="E68" i="10"/>
  <c r="P68" i="10"/>
  <c r="C73" i="14" s="1"/>
  <c r="C59" i="14"/>
  <c r="C47" i="14"/>
  <c r="O68" i="10"/>
  <c r="C65" i="14" s="1"/>
  <c r="L68" i="10"/>
  <c r="C67" i="14" s="1"/>
  <c r="F68" i="10"/>
  <c r="C75" i="14" s="1"/>
  <c r="K68" i="10"/>
  <c r="R68" i="10"/>
  <c r="C69" i="14" s="1"/>
  <c r="N68" i="10"/>
  <c r="C49" i="14" s="1"/>
  <c r="C68" i="10"/>
  <c r="C65" i="6"/>
  <c r="F75" i="6"/>
  <c r="L75" i="6"/>
  <c r="C69" i="6"/>
  <c r="C73" i="6"/>
  <c r="C71" i="6"/>
  <c r="C55" i="6"/>
  <c r="C67" i="6"/>
  <c r="C75" i="6"/>
  <c r="I75" i="6"/>
  <c r="D65" i="2"/>
  <c r="E65" i="2"/>
  <c r="F65" i="2"/>
  <c r="G65" i="2"/>
  <c r="H65" i="2"/>
  <c r="I65" i="2"/>
  <c r="J65" i="2"/>
  <c r="K65" i="2"/>
  <c r="K64" i="2"/>
  <c r="O47" i="6" s="1"/>
  <c r="J64" i="2"/>
  <c r="O49" i="6"/>
  <c r="G64" i="2"/>
  <c r="O33" i="6" s="1"/>
  <c r="F64" i="2"/>
  <c r="O31" i="6" s="1"/>
  <c r="E64" i="2"/>
  <c r="D64" i="2"/>
  <c r="O29" i="6" s="1"/>
  <c r="D63" i="2"/>
  <c r="E63" i="2"/>
  <c r="F63" i="2"/>
  <c r="G63" i="2"/>
  <c r="H63" i="2"/>
  <c r="I63" i="2"/>
  <c r="J63" i="2"/>
  <c r="K63" i="2"/>
  <c r="J62" i="2"/>
  <c r="G62" i="2"/>
  <c r="F62" i="2"/>
  <c r="E62" i="2"/>
  <c r="D62" i="2"/>
  <c r="I52" i="2" l="1"/>
  <c r="H52" i="2"/>
  <c r="L49" i="6"/>
  <c r="I54" i="2"/>
  <c r="K54" i="2"/>
  <c r="J54" i="2"/>
  <c r="K53" i="2"/>
  <c r="J53" i="2"/>
  <c r="J52" i="2"/>
  <c r="K52" i="2"/>
  <c r="F42" i="2"/>
  <c r="E42" i="2"/>
  <c r="I35" i="6" s="1"/>
  <c r="D40" i="2"/>
  <c r="D54" i="2"/>
  <c r="D53" i="2"/>
  <c r="D52" i="2"/>
  <c r="D51" i="2"/>
  <c r="E54" i="2"/>
  <c r="E53" i="2"/>
  <c r="L35" i="6" s="1"/>
  <c r="E52" i="2"/>
  <c r="F54" i="2"/>
  <c r="F53" i="2"/>
  <c r="F52" i="2"/>
  <c r="G42" i="2"/>
  <c r="G41" i="2"/>
  <c r="J18" i="2" l="1"/>
  <c r="C56" i="5"/>
  <c r="C67" i="5"/>
  <c r="C69" i="5"/>
  <c r="C57" i="5"/>
  <c r="C59" i="5"/>
  <c r="D67" i="5"/>
  <c r="C68" i="5"/>
  <c r="D68" i="5" s="1"/>
  <c r="C70" i="5"/>
  <c r="D70" i="5" s="1"/>
  <c r="F61" i="6"/>
  <c r="K18" i="2"/>
  <c r="L56" i="2"/>
  <c r="L55" i="2"/>
  <c r="L57" i="2"/>
  <c r="L49" i="2"/>
  <c r="L48" i="2"/>
  <c r="L47" i="2"/>
  <c r="L46" i="2"/>
  <c r="L45" i="2"/>
  <c r="L35" i="2"/>
  <c r="L42" i="2" s="1"/>
  <c r="L28" i="2"/>
  <c r="L27" i="2"/>
  <c r="L26" i="2"/>
  <c r="L25" i="2"/>
  <c r="L23" i="2"/>
  <c r="L22" i="2"/>
  <c r="L17" i="2"/>
  <c r="L16" i="2"/>
  <c r="L15" i="2"/>
  <c r="L14" i="2"/>
  <c r="L11" i="2"/>
  <c r="K20" i="2"/>
  <c r="C47" i="6" s="1"/>
  <c r="J20" i="2"/>
  <c r="C49" i="6"/>
  <c r="I18" i="2"/>
  <c r="H18" i="2"/>
  <c r="G20" i="4"/>
  <c r="C20" i="4"/>
  <c r="B69" i="4" s="1"/>
  <c r="I11" i="4"/>
  <c r="I12" i="4"/>
  <c r="I14" i="4"/>
  <c r="I15" i="4"/>
  <c r="I17" i="4"/>
  <c r="G18" i="4"/>
  <c r="C18" i="4"/>
  <c r="C45" i="6"/>
  <c r="C62" i="2"/>
  <c r="C63" i="2"/>
  <c r="C64" i="2"/>
  <c r="C65" i="2"/>
  <c r="C52" i="2"/>
  <c r="C53" i="2"/>
  <c r="C54" i="2"/>
  <c r="C40" i="2"/>
  <c r="C41" i="2"/>
  <c r="C42" i="2"/>
  <c r="C43" i="2"/>
  <c r="C29" i="2"/>
  <c r="C30" i="2"/>
  <c r="C31" i="2"/>
  <c r="C32" i="2"/>
  <c r="C18" i="2"/>
  <c r="C19" i="2"/>
  <c r="C20" i="2"/>
  <c r="C27" i="6" s="1"/>
  <c r="C21" i="2"/>
  <c r="G21" i="4"/>
  <c r="H21" i="4"/>
  <c r="J40" i="2"/>
  <c r="K73" i="2"/>
  <c r="K74" i="2"/>
  <c r="K75" i="2"/>
  <c r="K76" i="2"/>
  <c r="I73" i="2"/>
  <c r="I74" i="2"/>
  <c r="I75" i="2"/>
  <c r="I76" i="2"/>
  <c r="L47" i="6"/>
  <c r="K40" i="2"/>
  <c r="K41" i="2"/>
  <c r="K42" i="2"/>
  <c r="I47" i="6" s="1"/>
  <c r="K43" i="2"/>
  <c r="I40" i="2"/>
  <c r="I41" i="2"/>
  <c r="I49" i="6"/>
  <c r="I43" i="2"/>
  <c r="K29" i="2"/>
  <c r="K30" i="2"/>
  <c r="K31" i="2"/>
  <c r="F47" i="6" s="1"/>
  <c r="K32" i="2"/>
  <c r="I29" i="2"/>
  <c r="I30" i="2"/>
  <c r="F49" i="6"/>
  <c r="I32" i="2"/>
  <c r="K21" i="2"/>
  <c r="K19" i="2"/>
  <c r="I21" i="2"/>
  <c r="I19" i="2"/>
  <c r="J29" i="2"/>
  <c r="J30" i="2"/>
  <c r="C62" i="4"/>
  <c r="D62" i="4"/>
  <c r="G62" i="4"/>
  <c r="H62" i="4"/>
  <c r="I57" i="4"/>
  <c r="I56" i="4"/>
  <c r="C51" i="4"/>
  <c r="D51" i="4"/>
  <c r="G51" i="4"/>
  <c r="H51" i="4"/>
  <c r="I50" i="4"/>
  <c r="I49" i="4"/>
  <c r="I48" i="4"/>
  <c r="I47" i="4"/>
  <c r="I45" i="4"/>
  <c r="I44" i="4"/>
  <c r="C31" i="4"/>
  <c r="G31" i="4"/>
  <c r="C29" i="4"/>
  <c r="G29" i="4"/>
  <c r="I28" i="4"/>
  <c r="I27" i="4"/>
  <c r="I26" i="4"/>
  <c r="I24" i="4"/>
  <c r="I23" i="4"/>
  <c r="H64" i="4"/>
  <c r="G64" i="4"/>
  <c r="D64" i="4"/>
  <c r="C64" i="4"/>
  <c r="G53" i="4"/>
  <c r="L21" i="6" s="1"/>
  <c r="D53" i="4"/>
  <c r="C53" i="4"/>
  <c r="L19" i="6" s="1"/>
  <c r="G42" i="4"/>
  <c r="C21" i="3"/>
  <c r="C20" i="3"/>
  <c r="C51" i="3"/>
  <c r="G68" i="10"/>
  <c r="C43" i="14" s="1"/>
  <c r="O43" i="6"/>
  <c r="O35" i="6"/>
  <c r="O37" i="6"/>
  <c r="O39" i="6"/>
  <c r="I68" i="10"/>
  <c r="C39" i="14" s="1"/>
  <c r="C43" i="3"/>
  <c r="C42" i="3"/>
  <c r="L45" i="6"/>
  <c r="L43" i="6"/>
  <c r="L41" i="6"/>
  <c r="L39" i="6"/>
  <c r="L37" i="6"/>
  <c r="I45" i="6"/>
  <c r="I43" i="6"/>
  <c r="I41" i="6"/>
  <c r="I39" i="6"/>
  <c r="I37" i="6"/>
  <c r="H40" i="2"/>
  <c r="D42" i="4"/>
  <c r="C42" i="4"/>
  <c r="C31" i="3"/>
  <c r="C30" i="3"/>
  <c r="G40" i="4"/>
  <c r="C19" i="4"/>
  <c r="D19" i="4"/>
  <c r="G19" i="4"/>
  <c r="H19" i="4"/>
  <c r="C21" i="4"/>
  <c r="D21" i="4"/>
  <c r="G30" i="4"/>
  <c r="C30" i="4"/>
  <c r="C43" i="4"/>
  <c r="D43" i="4"/>
  <c r="H43" i="4"/>
  <c r="G41" i="4"/>
  <c r="H41" i="4"/>
  <c r="C41" i="4"/>
  <c r="D41" i="4"/>
  <c r="D52" i="4"/>
  <c r="C52" i="4"/>
  <c r="C54" i="4"/>
  <c r="H54" i="4"/>
  <c r="C63" i="4"/>
  <c r="D63" i="4"/>
  <c r="G65" i="4"/>
  <c r="H63" i="4"/>
  <c r="H65" i="4"/>
  <c r="G54" i="4"/>
  <c r="D54" i="4"/>
  <c r="H52" i="4"/>
  <c r="H32" i="4"/>
  <c r="G52" i="4"/>
  <c r="G32" i="4"/>
  <c r="C65" i="4"/>
  <c r="G63" i="4"/>
  <c r="G43" i="4"/>
  <c r="D40" i="4"/>
  <c r="D32" i="4"/>
  <c r="H30" i="4"/>
  <c r="C40" i="4"/>
  <c r="C32" i="4"/>
  <c r="F20" i="2"/>
  <c r="C31" i="6" s="1"/>
  <c r="E20" i="2"/>
  <c r="C35" i="6" s="1"/>
  <c r="D20" i="2"/>
  <c r="C29" i="6" s="1"/>
  <c r="E18" i="2"/>
  <c r="D18" i="2"/>
  <c r="F45" i="6"/>
  <c r="F43" i="6"/>
  <c r="F41" i="6"/>
  <c r="F39" i="6"/>
  <c r="F37" i="6"/>
  <c r="J31" i="2"/>
  <c r="J32" i="2"/>
  <c r="H32" i="2"/>
  <c r="G32" i="2"/>
  <c r="G31" i="2"/>
  <c r="F33" i="6" s="1"/>
  <c r="F32" i="2"/>
  <c r="F31" i="2"/>
  <c r="F31" i="6" s="1"/>
  <c r="E31" i="2"/>
  <c r="F35" i="6" s="1"/>
  <c r="E32" i="2"/>
  <c r="D32" i="2"/>
  <c r="D31" i="2"/>
  <c r="F29" i="6" s="1"/>
  <c r="D30" i="2"/>
  <c r="D29" i="2"/>
  <c r="J21" i="2"/>
  <c r="H21" i="2"/>
  <c r="F21" i="2"/>
  <c r="E21" i="2"/>
  <c r="D21" i="2"/>
  <c r="L33" i="6"/>
  <c r="I33" i="6"/>
  <c r="G43" i="2"/>
  <c r="F19" i="2"/>
  <c r="G30" i="2"/>
  <c r="G29" i="2"/>
  <c r="J19" i="2"/>
  <c r="J41" i="2"/>
  <c r="J42" i="2"/>
  <c r="J43" i="2"/>
  <c r="J73" i="2"/>
  <c r="J74" i="2"/>
  <c r="J75" i="2"/>
  <c r="J76" i="2"/>
  <c r="B22" i="2"/>
  <c r="B23" i="2" s="1"/>
  <c r="B24" i="2" s="1"/>
  <c r="B25" i="2" s="1"/>
  <c r="B26" i="2" s="1"/>
  <c r="B27" i="2" s="1"/>
  <c r="B28" i="2" s="1"/>
  <c r="B33" i="2" s="1"/>
  <c r="B34" i="2" s="1"/>
  <c r="B35" i="2" s="1"/>
  <c r="B36" i="2" s="1"/>
  <c r="B37" i="2" s="1"/>
  <c r="B38" i="2" s="1"/>
  <c r="H62" i="3"/>
  <c r="E68" i="3" s="1"/>
  <c r="H63" i="3"/>
  <c r="H64" i="3"/>
  <c r="H65" i="3"/>
  <c r="E62" i="3"/>
  <c r="E63" i="3"/>
  <c r="E64" i="3"/>
  <c r="E65" i="3"/>
  <c r="H19" i="2"/>
  <c r="D19" i="2"/>
  <c r="C13" i="5"/>
  <c r="E11" i="11"/>
  <c r="E10" i="11"/>
  <c r="E9" i="11"/>
  <c r="E8" i="11"/>
  <c r="E7" i="11"/>
  <c r="E6" i="11"/>
  <c r="E5" i="11"/>
  <c r="E14" i="11"/>
  <c r="B8" i="11"/>
  <c r="B9" i="11"/>
  <c r="B10" i="11"/>
  <c r="B11" i="11"/>
  <c r="B7" i="11"/>
  <c r="C56" i="11"/>
  <c r="D56" i="11"/>
  <c r="C58" i="11"/>
  <c r="D58" i="1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22" i="4"/>
  <c r="B23" i="4" s="1"/>
  <c r="B24" i="4" s="1"/>
  <c r="B25" i="4" s="1"/>
  <c r="B26" i="4" s="1"/>
  <c r="B27" i="4" s="1"/>
  <c r="B28" i="4" s="1"/>
  <c r="B33" i="4" s="1"/>
  <c r="B34" i="4" s="1"/>
  <c r="B35" i="4" s="1"/>
  <c r="B36" i="4" s="1"/>
  <c r="B37" i="4" s="1"/>
  <c r="B38" i="4" s="1"/>
  <c r="B39" i="4" s="1"/>
  <c r="B44" i="4" s="1"/>
  <c r="B45" i="4" s="1"/>
  <c r="B46" i="4" s="1"/>
  <c r="B47" i="4" s="1"/>
  <c r="B48" i="4" s="1"/>
  <c r="B49" i="4" s="1"/>
  <c r="B50" i="4" s="1"/>
  <c r="B55" i="4" s="1"/>
  <c r="B56" i="4" s="1"/>
  <c r="B57" i="4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22" i="3"/>
  <c r="B23" i="3" s="1"/>
  <c r="B24" i="3" s="1"/>
  <c r="B25" i="3" s="1"/>
  <c r="B26" i="3" s="1"/>
  <c r="B27" i="3" s="1"/>
  <c r="B28" i="3" s="1"/>
  <c r="B33" i="3" s="1"/>
  <c r="B34" i="3" s="1"/>
  <c r="B35" i="3" s="1"/>
  <c r="B36" i="3" s="1"/>
  <c r="B37" i="3" s="1"/>
  <c r="B38" i="3" s="1"/>
  <c r="B39" i="3" s="1"/>
  <c r="B44" i="3" s="1"/>
  <c r="B45" i="3" s="1"/>
  <c r="B46" i="3" s="1"/>
  <c r="B47" i="3" s="1"/>
  <c r="B48" i="3" s="1"/>
  <c r="B49" i="3" s="1"/>
  <c r="B50" i="3" s="1"/>
  <c r="B55" i="3" s="1"/>
  <c r="B56" i="3" s="1"/>
  <c r="B57" i="3" s="1"/>
  <c r="D69" i="11"/>
  <c r="D64" i="3"/>
  <c r="F75" i="2"/>
  <c r="C69" i="11"/>
  <c r="L31" i="6"/>
  <c r="D47" i="11"/>
  <c r="C47" i="11"/>
  <c r="I31" i="6"/>
  <c r="D36" i="11"/>
  <c r="C36" i="1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D62" i="3"/>
  <c r="F73" i="2"/>
  <c r="C12" i="11"/>
  <c r="C67" i="11"/>
  <c r="C23" i="11"/>
  <c r="C34" i="11"/>
  <c r="C45" i="11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C35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L64" i="3"/>
  <c r="M64" i="3"/>
  <c r="N64" i="3"/>
  <c r="L62" i="3"/>
  <c r="M62" i="3"/>
  <c r="N62" i="3"/>
  <c r="C40" i="3"/>
  <c r="G55" i="8"/>
  <c r="G56" i="8"/>
  <c r="G54" i="8"/>
  <c r="G10" i="8"/>
  <c r="B55" i="8"/>
  <c r="G33" i="8"/>
  <c r="G32" i="8"/>
  <c r="C54" i="3"/>
  <c r="C59" i="8"/>
  <c r="H29" i="2"/>
  <c r="C52" i="3"/>
  <c r="C37" i="8"/>
  <c r="C15" i="5"/>
  <c r="F74" i="2"/>
  <c r="F76" i="2"/>
  <c r="H41" i="2"/>
  <c r="H43" i="2"/>
  <c r="C48" i="5"/>
  <c r="D12" i="8"/>
  <c r="E73" i="2"/>
  <c r="H73" i="2"/>
  <c r="E74" i="2"/>
  <c r="H74" i="2"/>
  <c r="E75" i="2"/>
  <c r="H75" i="2"/>
  <c r="E76" i="2"/>
  <c r="H76" i="2"/>
  <c r="G21" i="8"/>
  <c r="G22" i="8"/>
  <c r="G24" i="8"/>
  <c r="G43" i="8"/>
  <c r="G44" i="8"/>
  <c r="G11" i="8"/>
  <c r="G13" i="8"/>
  <c r="E41" i="2"/>
  <c r="E43" i="2"/>
  <c r="F43" i="2"/>
  <c r="E30" i="2"/>
  <c r="H30" i="2"/>
  <c r="E19" i="2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D41" i="2"/>
  <c r="D42" i="2"/>
  <c r="I29" i="6" s="1"/>
  <c r="D43" i="2"/>
  <c r="L29" i="6"/>
  <c r="C19" i="3"/>
  <c r="D75" i="2"/>
  <c r="C26" i="5"/>
  <c r="C65" i="3"/>
  <c r="C63" i="3"/>
  <c r="C41" i="3"/>
  <c r="C32" i="3"/>
  <c r="D74" i="2"/>
  <c r="D73" i="2"/>
  <c r="D76" i="2"/>
  <c r="C24" i="5"/>
  <c r="N63" i="3"/>
  <c r="M63" i="3"/>
  <c r="L63" i="3"/>
  <c r="G63" i="3"/>
  <c r="F63" i="3"/>
  <c r="D63" i="3"/>
  <c r="G62" i="3"/>
  <c r="F62" i="3"/>
  <c r="N65" i="3"/>
  <c r="M65" i="3"/>
  <c r="L65" i="3"/>
  <c r="K65" i="3"/>
  <c r="G65" i="3"/>
  <c r="F65" i="3"/>
  <c r="D65" i="3"/>
  <c r="G64" i="3"/>
  <c r="F64" i="3"/>
  <c r="G74" i="8"/>
  <c r="D73" i="8"/>
  <c r="G34" i="8"/>
  <c r="G35" i="8"/>
  <c r="G12" i="8"/>
  <c r="C74" i="8"/>
  <c r="G75" i="8"/>
  <c r="G73" i="8"/>
  <c r="B22" i="10"/>
  <c r="B23" i="10" s="1"/>
  <c r="B24" i="10" s="1"/>
  <c r="B25" i="10" s="1"/>
  <c r="B26" i="10" s="1"/>
  <c r="B27" i="10" s="1"/>
  <c r="B28" i="10" s="1"/>
  <c r="B33" i="10" s="1"/>
  <c r="B34" i="10" s="1"/>
  <c r="B35" i="10" s="1"/>
  <c r="B36" i="10" s="1"/>
  <c r="B37" i="10" s="1"/>
  <c r="B38" i="10" s="1"/>
  <c r="B39" i="10" s="1"/>
  <c r="B44" i="10" s="1"/>
  <c r="B45" i="10" s="1"/>
  <c r="B46" i="10" s="1"/>
  <c r="B47" i="10" s="1"/>
  <c r="B48" i="10" s="1"/>
  <c r="B49" i="10" s="1"/>
  <c r="B50" i="10" s="1"/>
  <c r="E69" i="11"/>
  <c r="E70" i="11"/>
  <c r="E67" i="1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30" i="2"/>
  <c r="F29" i="2"/>
  <c r="B68" i="4" l="1"/>
  <c r="C23" i="14" s="1"/>
  <c r="C69" i="4"/>
  <c r="C68" i="4"/>
  <c r="F74" i="5"/>
  <c r="C11" i="14" s="1"/>
  <c r="B73" i="5"/>
  <c r="F75" i="5"/>
  <c r="I79" i="2"/>
  <c r="C53" i="14" s="1"/>
  <c r="C21" i="14"/>
  <c r="D69" i="5"/>
  <c r="B74" i="5"/>
  <c r="B55" i="10"/>
  <c r="B56" i="10" s="1"/>
  <c r="B57" i="10" s="1"/>
  <c r="F68" i="3"/>
  <c r="I19" i="6"/>
  <c r="O21" i="6"/>
  <c r="O19" i="6"/>
  <c r="AM65" i="10"/>
  <c r="AM64" i="10"/>
  <c r="E74" i="10" s="1"/>
  <c r="AM62" i="10"/>
  <c r="E73" i="10" s="1"/>
  <c r="AM63" i="10"/>
  <c r="I29" i="4"/>
  <c r="I51" i="4"/>
  <c r="I53" i="4"/>
  <c r="L53" i="2"/>
  <c r="L9" i="6" s="1"/>
  <c r="L51" i="2"/>
  <c r="I18" i="4"/>
  <c r="E69" i="3"/>
  <c r="O23" i="6"/>
  <c r="L62" i="2"/>
  <c r="I62" i="4"/>
  <c r="L11" i="6"/>
  <c r="L27" i="6"/>
  <c r="I11" i="6"/>
  <c r="I27" i="6"/>
  <c r="F76" i="5"/>
  <c r="F11" i="6"/>
  <c r="F27" i="6"/>
  <c r="F69" i="3"/>
  <c r="F19" i="6"/>
  <c r="C19" i="6"/>
  <c r="O27" i="6"/>
  <c r="O11" i="6"/>
  <c r="B39" i="2"/>
  <c r="B44" i="2" s="1"/>
  <c r="B45" i="2" s="1"/>
  <c r="B46" i="2" s="1"/>
  <c r="B47" i="2" s="1"/>
  <c r="B48" i="2" s="1"/>
  <c r="B49" i="2" s="1"/>
  <c r="B50" i="2" s="1"/>
  <c r="B55" i="2" s="1"/>
  <c r="B56" i="2" s="1"/>
  <c r="B57" i="2" s="1"/>
  <c r="K79" i="2"/>
  <c r="I21" i="6"/>
  <c r="F21" i="6"/>
  <c r="H68" i="10"/>
  <c r="C45" i="14" s="1"/>
  <c r="D79" i="2"/>
  <c r="C31" i="14" s="1"/>
  <c r="C21" i="6"/>
  <c r="E79" i="2"/>
  <c r="C35" i="14" s="1"/>
  <c r="J79" i="2"/>
  <c r="C11" i="6"/>
  <c r="C41" i="6"/>
  <c r="F13" i="6"/>
  <c r="C43" i="6"/>
  <c r="C39" i="6"/>
  <c r="C37" i="6"/>
  <c r="I64" i="4"/>
  <c r="O7" i="6" s="1"/>
  <c r="I63" i="4"/>
  <c r="I65" i="4"/>
  <c r="I52" i="4"/>
  <c r="I54" i="4"/>
  <c r="F73" i="5"/>
  <c r="I41" i="4"/>
  <c r="I7" i="6"/>
  <c r="I20" i="4"/>
  <c r="I21" i="4"/>
  <c r="I19" i="4"/>
  <c r="C79" i="2"/>
  <c r="L65" i="2"/>
  <c r="L73" i="2"/>
  <c r="L54" i="2"/>
  <c r="L52" i="2"/>
  <c r="L74" i="2"/>
  <c r="J80" i="2"/>
  <c r="L76" i="2"/>
  <c r="L29" i="2"/>
  <c r="E80" i="2"/>
  <c r="L30" i="2"/>
  <c r="F80" i="2"/>
  <c r="L75" i="2"/>
  <c r="K80" i="2"/>
  <c r="D80" i="2"/>
  <c r="L31" i="2"/>
  <c r="F9" i="6" s="1"/>
  <c r="C80" i="2"/>
  <c r="L64" i="2"/>
  <c r="O9" i="6" s="1"/>
  <c r="L43" i="2"/>
  <c r="L32" i="2"/>
  <c r="I9" i="6"/>
  <c r="L63" i="2"/>
  <c r="L41" i="2"/>
  <c r="L40" i="2"/>
  <c r="I43" i="4"/>
  <c r="I30" i="4"/>
  <c r="I31" i="4"/>
  <c r="I32" i="4"/>
  <c r="I69" i="4" l="1"/>
  <c r="C7" i="14" s="1"/>
  <c r="O77" i="6"/>
  <c r="O13" i="6"/>
  <c r="O15" i="6" s="1"/>
  <c r="F77" i="6"/>
  <c r="I68" i="4"/>
  <c r="L7" i="6"/>
  <c r="L15" i="6" s="1"/>
  <c r="C7" i="6"/>
  <c r="I71" i="4"/>
  <c r="E75" i="10"/>
  <c r="E76" i="10"/>
  <c r="I70" i="4"/>
  <c r="C29" i="14"/>
  <c r="C51" i="14"/>
  <c r="C13" i="14"/>
  <c r="C27" i="14"/>
  <c r="I13" i="6"/>
  <c r="L77" i="6"/>
  <c r="I77" i="6"/>
  <c r="F7" i="6"/>
  <c r="F15" i="6" s="1"/>
  <c r="C77" i="14" l="1"/>
  <c r="I15" i="6"/>
  <c r="F79" i="2"/>
  <c r="C33" i="14" l="1"/>
  <c r="G19" i="2"/>
  <c r="G21" i="2"/>
  <c r="G18" i="2"/>
  <c r="G79" i="2" s="1"/>
  <c r="C37" i="14" s="1"/>
  <c r="G20" i="2"/>
  <c r="C33" i="6" s="1"/>
  <c r="C77" i="6" s="1"/>
  <c r="L12" i="2"/>
  <c r="L18" i="2" l="1"/>
  <c r="L20" i="2"/>
  <c r="C9" i="6" s="1"/>
  <c r="C15" i="6" s="1"/>
  <c r="M80" i="2"/>
  <c r="C9" i="14" s="1"/>
  <c r="C17" i="14" s="1"/>
  <c r="L19" i="2"/>
  <c r="M82" i="2" s="1"/>
  <c r="L21" i="2"/>
  <c r="M81" i="2" s="1"/>
  <c r="R19" i="6" s="1"/>
  <c r="G80" i="2"/>
  <c r="R14" i="6" l="1"/>
  <c r="M79" i="2"/>
  <c r="R23" i="6" s="1"/>
  <c r="R29" i="6" s="1"/>
  <c r="B80" i="2"/>
  <c r="B79" i="2"/>
</calcChain>
</file>

<file path=xl/sharedStrings.xml><?xml version="1.0" encoding="utf-8"?>
<sst xmlns="http://schemas.openxmlformats.org/spreadsheetml/2006/main" count="889" uniqueCount="133">
  <si>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</si>
  <si>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</si>
  <si>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</si>
  <si>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</si>
  <si>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</si>
  <si>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</si>
  <si>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</si>
  <si>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</si>
  <si>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</si>
  <si>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</si>
  <si>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</si>
  <si>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</si>
  <si>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</si>
  <si>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East 34th Street</t>
  </si>
  <si>
    <t>Paulus Hook</t>
  </si>
  <si>
    <t>Hoboken</t>
  </si>
  <si>
    <t>Liberty Harbor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</si>
  <si>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</si>
  <si>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</si>
  <si>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</si>
  <si>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</si>
  <si>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</si>
  <si>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</si>
  <si>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</si>
  <si>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</si>
  <si>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</si>
  <si>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</si>
  <si>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</si>
  <si>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</si>
  <si>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</si>
  <si>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</si>
  <si>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</si>
  <si>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</si>
  <si>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</si>
  <si>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</si>
  <si>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</si>
  <si>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</si>
  <si>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</si>
  <si>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</si>
  <si>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Highlands</t>
  </si>
  <si>
    <t>Weekly  Weekday Totals</t>
  </si>
  <si>
    <t>Ridership by Operator</t>
  </si>
  <si>
    <t>NY Waterway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</si>
  <si>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</si>
  <si>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</si>
  <si>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</si>
  <si>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</si>
  <si>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</si>
  <si>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</si>
  <si>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</si>
  <si>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</si>
  <si>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</si>
  <si>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</si>
  <si>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</si>
  <si>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</si>
  <si>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</si>
  <si>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</si>
  <si>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</si>
  <si>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</si>
  <si>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</si>
  <si>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</si>
  <si>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</si>
  <si>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</si>
  <si>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</si>
  <si>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</si>
  <si>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</si>
  <si>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</si>
  <si>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</si>
  <si>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</si>
  <si>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</si>
  <si>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</si>
  <si>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</si>
  <si>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</si>
  <si>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</si>
  <si>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</si>
  <si>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</si>
  <si>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</si>
  <si>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</si>
  <si>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</si>
  <si>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</si>
  <si>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</si>
  <si>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</si>
  <si>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</si>
  <si>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</si>
  <si>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</si>
  <si>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</si>
  <si>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</si>
  <si>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</si>
  <si>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</si>
  <si>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</si>
  <si>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</si>
  <si>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</si>
  <si>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</si>
  <si>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</si>
  <si>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</si>
  <si>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</si>
  <si>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</si>
  <si>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Red Hook Ikea</t>
  </si>
  <si>
    <t>World Financial Center / BPT</t>
  </si>
  <si>
    <t>Governors Island Shuttle</t>
  </si>
  <si>
    <t>Brooklyn Navy Yard</t>
  </si>
  <si>
    <t xml:space="preserve">Sunset Park / </t>
  </si>
  <si>
    <t>Sunset Park / BAT</t>
  </si>
  <si>
    <t>Number of Weekdays in Month</t>
  </si>
  <si>
    <t>Sum of Each Operator's Weekday Totals / 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</si>
  <si>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</si>
  <si>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</si>
  <si>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</si>
  <si>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</si>
  <si>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</si>
  <si>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</si>
  <si>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Monthly Total</t>
  </si>
  <si>
    <t>Per Operator Average Monthly Weekday Ridership (Average of Each Operator's Average Weekday Passenger Count)</t>
  </si>
  <si>
    <t>System Wide Daily Average (Sum of Each Operator's Monthly Weekday Average Passenger Count)</t>
  </si>
  <si>
    <t>System-Wide Monthly Weekday Total (Sum of Each Operator's Monthly Weekday Total Passenger Counts)</t>
  </si>
  <si>
    <t>Monthly Totals</t>
  </si>
  <si>
    <t>Week 0</t>
  </si>
  <si>
    <t>Daily Average (Includes Weekends)</t>
  </si>
  <si>
    <t>Pier 6 BBP Atlantic Ave</t>
  </si>
  <si>
    <t>Battery Maritime Building</t>
  </si>
  <si>
    <t>Governors Island (GI Ferry Slip)</t>
  </si>
  <si>
    <t>Governors Island-Yankee Pier</t>
  </si>
  <si>
    <t>BMB-Governors Island Slip</t>
  </si>
  <si>
    <t>BMB Slip #5</t>
  </si>
  <si>
    <t>BBP Pier 6 Atlantic Ave</t>
  </si>
  <si>
    <t>Governors Island - Atlantic Basin</t>
  </si>
  <si>
    <t>Sandy Hook</t>
  </si>
  <si>
    <t>6/1/2021 - 6/4/2021</t>
  </si>
  <si>
    <t>6/7/2021 - 6/11/2021</t>
  </si>
  <si>
    <t>6/14/2021 - 6/18/2021</t>
  </si>
  <si>
    <t>6/21/2021 - 6/25/2021</t>
  </si>
  <si>
    <t>6/28/2021 - 6/30/2021</t>
  </si>
  <si>
    <t>Edgewater-Downtown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</si>
</sst>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[$-F800]dddd\,\ mmmm\ dd\,\ yyyy"/>
    <numFmt numFmtId="167" formatCode="_(* #,##0_);_(* \(#,##0\);_(* &quot;&quot;_);_(@_)"/>
    <numFmt numFmtId="168" formatCode="ddd"/>
    <numFmt numFmtId="169" formatCode="m/d"/>
  </numFmts>
  <fonts count="31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fornian FB"/>
      <family val="1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1" fillId="0" borderId="0"/>
    <xf numFmtId="0" fontId="24" fillId="0" borderId="0"/>
    <xf numFmtId="43" fontId="28" fillId="0" borderId="0" applyFont="0" applyFill="0" applyBorder="0" applyAlignment="0" applyProtection="0"/>
  </cellStyleXfs>
  <cellXfs count="816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7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5" borderId="67" xfId="0" applyNumberFormat="1" applyFont="1" applyFill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4" borderId="67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0" fontId="26" fillId="0" borderId="41" xfId="0" applyNumberFormat="1" applyFont="1" applyFill="1" applyBorder="1" applyAlignment="1">
      <alignment vertical="top" wrapText="1" readingOrder="1"/>
    </xf>
    <xf numFmtId="0" fontId="26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70" xfId="0" applyBorder="1"/>
    <xf numFmtId="3" fontId="19" fillId="0" borderId="17" xfId="0" applyNumberFormat="1" applyFont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1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9" fillId="0" borderId="28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1" xfId="0" applyNumberFormat="1" applyFont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0" fontId="12" fillId="0" borderId="1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75" xfId="0" applyNumberFormat="1" applyFont="1" applyFill="1" applyBorder="1" applyAlignment="1">
      <alignment horizontal="right"/>
    </xf>
    <xf numFmtId="3" fontId="19" fillId="0" borderId="2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3" fontId="19" fillId="6" borderId="75" xfId="0" applyNumberFormat="1" applyFont="1" applyFill="1" applyBorder="1" applyAlignment="1">
      <alignment horizontal="right"/>
    </xf>
    <xf numFmtId="3" fontId="19" fillId="6" borderId="69" xfId="0" applyNumberFormat="1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26" fillId="0" borderId="28" xfId="0" applyNumberFormat="1" applyFont="1" applyFill="1" applyBorder="1" applyAlignment="1">
      <alignment vertical="top" wrapText="1" readingOrder="1"/>
    </xf>
    <xf numFmtId="0" fontId="1" fillId="0" borderId="41" xfId="0" applyNumberFormat="1" applyFont="1" applyBorder="1" applyAlignment="1">
      <alignment horizontal="right"/>
    </xf>
    <xf numFmtId="0" fontId="12" fillId="6" borderId="19" xfId="0" applyFont="1" applyFill="1" applyBorder="1" applyAlignment="1">
      <alignment vertical="center" wrapText="1"/>
    </xf>
    <xf numFmtId="0" fontId="1" fillId="6" borderId="21" xfId="0" applyFont="1" applyFill="1" applyBorder="1" applyAlignment="1">
      <alignment vertical="center" wrapText="1"/>
    </xf>
    <xf numFmtId="0" fontId="25" fillId="0" borderId="0" xfId="0" applyFont="1"/>
    <xf numFmtId="0" fontId="19" fillId="0" borderId="0" xfId="0" applyFont="1" applyFill="1"/>
    <xf numFmtId="1" fontId="1" fillId="0" borderId="39" xfId="0" applyNumberFormat="1" applyFont="1" applyBorder="1" applyAlignment="1">
      <alignment horizontal="right"/>
    </xf>
    <xf numFmtId="3" fontId="19" fillId="6" borderId="19" xfId="0" applyNumberFormat="1" applyFont="1" applyFill="1" applyBorder="1" applyAlignment="1">
      <alignment horizontal="right"/>
    </xf>
    <xf numFmtId="164" fontId="1" fillId="0" borderId="25" xfId="0" applyNumberFormat="1" applyFont="1" applyFill="1" applyBorder="1" applyAlignment="1">
      <alignment horizontal="right" vertical="center" wrapText="1"/>
    </xf>
    <xf numFmtId="41" fontId="19" fillId="0" borderId="28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3" fontId="19" fillId="6" borderId="39" xfId="0" applyNumberFormat="1" applyFont="1" applyFill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3" fontId="12" fillId="5" borderId="8" xfId="0" applyNumberFormat="1" applyFont="1" applyFill="1" applyBorder="1" applyAlignment="1">
      <alignment horizontal="right"/>
    </xf>
    <xf numFmtId="3" fontId="1" fillId="0" borderId="0" xfId="0" applyNumberFormat="1" applyFont="1"/>
    <xf numFmtId="1" fontId="1" fillId="0" borderId="52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21" fillId="4" borderId="60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3" fontId="21" fillId="0" borderId="55" xfId="0" applyNumberFormat="1" applyFont="1" applyBorder="1" applyAlignment="1">
      <alignment horizontal="center" vertical="center"/>
    </xf>
    <xf numFmtId="3" fontId="1" fillId="0" borderId="23" xfId="0" applyNumberFormat="1" applyFont="1" applyFill="1" applyBorder="1"/>
    <xf numFmtId="3" fontId="1" fillId="0" borderId="55" xfId="0" applyNumberFormat="1" applyFont="1" applyFill="1" applyBorder="1"/>
    <xf numFmtId="0" fontId="21" fillId="4" borderId="22" xfId="0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3" fontId="21" fillId="0" borderId="27" xfId="0" applyNumberFormat="1" applyFont="1" applyFill="1" applyBorder="1" applyAlignment="1">
      <alignment horizontal="center" vertical="center"/>
    </xf>
    <xf numFmtId="3" fontId="21" fillId="0" borderId="28" xfId="0" applyNumberFormat="1" applyFont="1" applyBorder="1" applyAlignment="1">
      <alignment horizontal="center" vertical="center"/>
    </xf>
    <xf numFmtId="3" fontId="1" fillId="0" borderId="51" xfId="0" applyNumberFormat="1" applyFont="1" applyFill="1" applyBorder="1" applyAlignment="1">
      <alignment horizontal="right"/>
    </xf>
    <xf numFmtId="3" fontId="1" fillId="6" borderId="75" xfId="0" applyNumberFormat="1" applyFont="1" applyFill="1" applyBorder="1" applyAlignment="1">
      <alignment horizontal="right"/>
    </xf>
    <xf numFmtId="3" fontId="1" fillId="6" borderId="51" xfId="0" applyNumberFormat="1" applyFont="1" applyFill="1" applyBorder="1" applyAlignment="1">
      <alignment horizontal="right"/>
    </xf>
    <xf numFmtId="3" fontId="1" fillId="6" borderId="69" xfId="0" applyNumberFormat="1" applyFont="1" applyFill="1" applyBorder="1" applyAlignment="1">
      <alignment horizontal="right"/>
    </xf>
    <xf numFmtId="3" fontId="1" fillId="6" borderId="27" xfId="0" applyNumberFormat="1" applyFont="1" applyFill="1" applyBorder="1" applyAlignment="1">
      <alignment horizontal="right"/>
    </xf>
    <xf numFmtId="3" fontId="1" fillId="6" borderId="28" xfId="0" applyNumberFormat="1" applyFont="1" applyFill="1" applyBorder="1" applyAlignment="1">
      <alignment horizontal="right"/>
    </xf>
    <xf numFmtId="3" fontId="1" fillId="6" borderId="30" xfId="0" applyNumberFormat="1" applyFont="1" applyFill="1" applyBorder="1" applyAlignment="1">
      <alignment horizontal="right"/>
    </xf>
    <xf numFmtId="0" fontId="1" fillId="0" borderId="21" xfId="0" applyFont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3" fontId="1" fillId="6" borderId="43" xfId="0" applyNumberFormat="1" applyFont="1" applyFill="1" applyBorder="1" applyAlignment="1">
      <alignment horizontal="right"/>
    </xf>
    <xf numFmtId="164" fontId="6" fillId="0" borderId="35" xfId="0" applyNumberFormat="1" applyFont="1" applyFill="1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3" fontId="19" fillId="6" borderId="34" xfId="0" applyNumberFormat="1" applyFont="1" applyFill="1" applyBorder="1" applyAlignment="1">
      <alignment horizontal="right"/>
    </xf>
    <xf numFmtId="3" fontId="19" fillId="5" borderId="65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3" fontId="19" fillId="0" borderId="28" xfId="0" applyNumberFormat="1" applyFont="1" applyBorder="1" applyAlignment="1">
      <alignment horizontal="center" vertical="center"/>
    </xf>
    <xf numFmtId="3" fontId="19" fillId="0" borderId="29" xfId="0" applyNumberFormat="1" applyFont="1" applyBorder="1" applyAlignment="1">
      <alignment horizontal="center" vertical="center"/>
    </xf>
    <xf numFmtId="3" fontId="19" fillId="0" borderId="30" xfId="0" applyNumberFormat="1" applyFont="1" applyBorder="1" applyAlignment="1">
      <alignment horizontal="center" vertical="center"/>
    </xf>
    <xf numFmtId="3" fontId="21" fillId="0" borderId="28" xfId="0" applyNumberFormat="1" applyFont="1" applyFill="1" applyBorder="1" applyAlignment="1">
      <alignment horizontal="center" vertical="center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1" fillId="5" borderId="46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3" fontId="19" fillId="0" borderId="19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center" vertical="center" wrapText="1"/>
    </xf>
    <xf numFmtId="3" fontId="1" fillId="0" borderId="52" xfId="0" applyNumberFormat="1" applyFont="1" applyFill="1" applyBorder="1" applyAlignment="1">
      <alignment horizontal="right" vertical="center"/>
    </xf>
    <xf numFmtId="3" fontId="1" fillId="5" borderId="32" xfId="0" applyNumberFormat="1" applyFont="1" applyFill="1" applyBorder="1" applyAlignment="1"/>
    <xf numFmtId="3" fontId="1" fillId="4" borderId="32" xfId="0" applyNumberFormat="1" applyFont="1" applyFill="1" applyBorder="1" applyAlignment="1"/>
    <xf numFmtId="3" fontId="1" fillId="0" borderId="32" xfId="0" applyNumberFormat="1" applyFont="1" applyBorder="1" applyAlignment="1"/>
    <xf numFmtId="3" fontId="1" fillId="4" borderId="33" xfId="0" applyNumberFormat="1" applyFont="1" applyFill="1" applyBorder="1" applyAlignment="1"/>
    <xf numFmtId="3" fontId="19" fillId="0" borderId="11" xfId="0" applyNumberFormat="1" applyFont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21" fillId="5" borderId="42" xfId="0" applyNumberFormat="1" applyFont="1" applyFill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42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1" fillId="6" borderId="29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21" fillId="4" borderId="50" xfId="0" applyFont="1" applyFill="1" applyBorder="1" applyAlignment="1">
      <alignment horizontal="center" vertical="center" wrapText="1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73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165" fontId="1" fillId="0" borderId="66" xfId="3" applyNumberFormat="1" applyFont="1" applyBorder="1" applyAlignment="1"/>
    <xf numFmtId="3" fontId="1" fillId="0" borderId="5" xfId="0" applyNumberFormat="1" applyFont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41" fontId="19" fillId="0" borderId="40" xfId="0" applyNumberFormat="1" applyFont="1" applyFill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41" fontId="19" fillId="0" borderId="65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0" borderId="37" xfId="0" applyNumberFormat="1" applyFont="1" applyFill="1" applyBorder="1" applyAlignment="1">
      <alignment horizontal="right"/>
    </xf>
    <xf numFmtId="3" fontId="19" fillId="0" borderId="19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3" fontId="21" fillId="4" borderId="77" xfId="0" applyNumberFormat="1" applyFont="1" applyFill="1" applyBorder="1" applyAlignment="1">
      <alignment horizontal="center" vertical="center" wrapText="1"/>
    </xf>
    <xf numFmtId="3" fontId="21" fillId="4" borderId="76" xfId="0" applyNumberFormat="1" applyFont="1" applyFill="1" applyBorder="1" applyAlignment="1">
      <alignment horizontal="center" vertical="center" wrapText="1"/>
    </xf>
    <xf numFmtId="3" fontId="21" fillId="4" borderId="76" xfId="0" applyNumberFormat="1" applyFont="1" applyFill="1" applyBorder="1" applyAlignment="1">
      <alignment horizontal="center" vertical="center"/>
    </xf>
    <xf numFmtId="3" fontId="21" fillId="4" borderId="78" xfId="0" applyNumberFormat="1" applyFont="1" applyFill="1" applyBorder="1" applyAlignment="1">
      <alignment horizontal="center" vertical="center" wrapText="1"/>
    </xf>
    <xf numFmtId="3" fontId="1" fillId="0" borderId="40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9" fillId="0" borderId="65" xfId="0" applyNumberFormat="1" applyFont="1" applyBorder="1" applyAlignment="1">
      <alignment horizontal="center" vertical="center"/>
    </xf>
    <xf numFmtId="3" fontId="19" fillId="0" borderId="68" xfId="0" applyNumberFormat="1" applyFont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right"/>
    </xf>
    <xf numFmtId="0" fontId="21" fillId="4" borderId="16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71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4" xfId="0" applyFont="1" applyBorder="1"/>
    <xf numFmtId="0" fontId="1" fillId="0" borderId="71" xfId="0" applyFont="1" applyBorder="1"/>
    <xf numFmtId="0" fontId="1" fillId="0" borderId="42" xfId="0" applyFont="1" applyBorder="1"/>
    <xf numFmtId="0" fontId="1" fillId="0" borderId="43" xfId="0" applyFont="1" applyBorder="1"/>
    <xf numFmtId="0" fontId="1" fillId="0" borderId="41" xfId="0" applyFont="1" applyFill="1" applyBorder="1" applyAlignment="1">
      <alignment horizontal="right" vertical="center" wrapText="1"/>
    </xf>
    <xf numFmtId="0" fontId="1" fillId="0" borderId="28" xfId="0" applyFont="1" applyFill="1" applyBorder="1" applyAlignment="1">
      <alignment horizontal="right" vertical="center" wrapText="1"/>
    </xf>
    <xf numFmtId="3" fontId="1" fillId="0" borderId="47" xfId="0" applyNumberFormat="1" applyFont="1" applyFill="1" applyBorder="1" applyAlignment="1">
      <alignment horizontal="right"/>
    </xf>
    <xf numFmtId="0" fontId="21" fillId="4" borderId="46" xfId="0" applyFont="1" applyFill="1" applyBorder="1" applyAlignment="1">
      <alignment horizontal="center" vertical="center" wrapText="1"/>
    </xf>
    <xf numFmtId="0" fontId="21" fillId="4" borderId="48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right" wrapText="1"/>
    </xf>
    <xf numFmtId="0" fontId="1" fillId="0" borderId="27" xfId="0" applyFont="1" applyFill="1" applyBorder="1" applyAlignment="1">
      <alignment horizontal="right" wrapText="1"/>
    </xf>
    <xf numFmtId="0" fontId="1" fillId="0" borderId="29" xfId="0" applyFont="1" applyFill="1" applyBorder="1" applyAlignment="1">
      <alignment horizontal="right" wrapText="1"/>
    </xf>
    <xf numFmtId="0" fontId="1" fillId="0" borderId="30" xfId="0" applyFont="1" applyFill="1" applyBorder="1" applyAlignment="1">
      <alignment horizontal="right" wrapText="1"/>
    </xf>
    <xf numFmtId="0" fontId="1" fillId="0" borderId="34" xfId="0" applyFont="1" applyFill="1" applyBorder="1" applyAlignment="1">
      <alignment horizontal="right" wrapText="1"/>
    </xf>
    <xf numFmtId="0" fontId="1" fillId="0" borderId="71" xfId="0" applyFont="1" applyFill="1" applyBorder="1" applyAlignment="1">
      <alignment horizontal="right" wrapText="1"/>
    </xf>
    <xf numFmtId="0" fontId="1" fillId="0" borderId="42" xfId="0" applyFont="1" applyFill="1" applyBorder="1" applyAlignment="1">
      <alignment horizontal="right" wrapText="1"/>
    </xf>
    <xf numFmtId="0" fontId="1" fillId="0" borderId="43" xfId="0" applyFont="1" applyFill="1" applyBorder="1" applyAlignment="1">
      <alignment horizontal="right" wrapText="1"/>
    </xf>
    <xf numFmtId="0" fontId="12" fillId="6" borderId="21" xfId="0" applyFont="1" applyFill="1" applyBorder="1" applyAlignment="1">
      <alignment vertical="center" wrapText="1"/>
    </xf>
    <xf numFmtId="3" fontId="1" fillId="0" borderId="31" xfId="0" applyNumberFormat="1" applyFont="1" applyFill="1" applyBorder="1" applyAlignment="1">
      <alignment horizontal="right"/>
    </xf>
    <xf numFmtId="0" fontId="0" fillId="0" borderId="0" xfId="0" applyFill="1"/>
    <xf numFmtId="3" fontId="21" fillId="4" borderId="18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1" fontId="1" fillId="0" borderId="19" xfId="0" applyNumberFormat="1" applyFont="1" applyBorder="1" applyAlignment="1">
      <alignment horizontal="right"/>
    </xf>
    <xf numFmtId="1" fontId="19" fillId="0" borderId="19" xfId="0" applyNumberFormat="1" applyFont="1" applyFill="1" applyBorder="1" applyAlignment="1">
      <alignment horizontal="right"/>
    </xf>
    <xf numFmtId="1" fontId="19" fillId="0" borderId="40" xfId="0" applyNumberFormat="1" applyFont="1" applyFill="1" applyBorder="1" applyAlignment="1">
      <alignment horizontal="right"/>
    </xf>
    <xf numFmtId="1" fontId="1" fillId="0" borderId="65" xfId="0" applyNumberFormat="1" applyFont="1" applyBorder="1" applyAlignment="1">
      <alignment horizontal="right"/>
    </xf>
    <xf numFmtId="1" fontId="1" fillId="0" borderId="11" xfId="0" applyNumberFormat="1" applyFont="1" applyBorder="1" applyAlignment="1">
      <alignment horizontal="right"/>
    </xf>
    <xf numFmtId="1" fontId="19" fillId="0" borderId="65" xfId="0" applyNumberFormat="1" applyFont="1" applyBorder="1" applyAlignment="1">
      <alignment horizontal="right"/>
    </xf>
    <xf numFmtId="1" fontId="19" fillId="0" borderId="19" xfId="0" applyNumberFormat="1" applyFont="1" applyBorder="1" applyAlignment="1">
      <alignment horizontal="right"/>
    </xf>
    <xf numFmtId="1" fontId="19" fillId="0" borderId="40" xfId="0" applyNumberFormat="1" applyFont="1" applyBorder="1" applyAlignment="1">
      <alignment horizontal="right"/>
    </xf>
    <xf numFmtId="1" fontId="1" fillId="0" borderId="20" xfId="0" applyNumberFormat="1" applyFont="1" applyFill="1" applyBorder="1" applyAlignment="1">
      <alignment horizontal="right"/>
    </xf>
    <xf numFmtId="1" fontId="1" fillId="0" borderId="41" xfId="0" applyNumberFormat="1" applyFont="1" applyBorder="1" applyAlignment="1">
      <alignment horizontal="right"/>
    </xf>
    <xf numFmtId="1" fontId="1" fillId="0" borderId="21" xfId="0" applyNumberFormat="1" applyFont="1" applyBorder="1" applyAlignment="1">
      <alignment horizontal="right"/>
    </xf>
    <xf numFmtId="1" fontId="19" fillId="0" borderId="21" xfId="0" applyNumberFormat="1" applyFont="1" applyBorder="1" applyAlignment="1">
      <alignment horizontal="right"/>
    </xf>
    <xf numFmtId="1" fontId="19" fillId="0" borderId="28" xfId="0" applyNumberFormat="1" applyFont="1" applyBorder="1" applyAlignment="1">
      <alignment horizontal="right"/>
    </xf>
    <xf numFmtId="1" fontId="1" fillId="0" borderId="28" xfId="0" applyNumberFormat="1" applyFont="1" applyBorder="1" applyAlignment="1">
      <alignment horizontal="right"/>
    </xf>
    <xf numFmtId="1" fontId="1" fillId="0" borderId="51" xfId="0" applyNumberFormat="1" applyFont="1" applyBorder="1" applyAlignment="1">
      <alignment horizontal="right"/>
    </xf>
    <xf numFmtId="1" fontId="1" fillId="0" borderId="21" xfId="0" applyNumberFormat="1" applyFont="1" applyFill="1" applyBorder="1" applyAlignment="1">
      <alignment horizontal="right"/>
    </xf>
    <xf numFmtId="1" fontId="19" fillId="0" borderId="36" xfId="0" applyNumberFormat="1" applyFont="1" applyBorder="1" applyAlignment="1">
      <alignment horizontal="right"/>
    </xf>
    <xf numFmtId="1" fontId="19" fillId="0" borderId="21" xfId="0" applyNumberFormat="1" applyFont="1" applyFill="1" applyBorder="1" applyAlignment="1">
      <alignment horizontal="right"/>
    </xf>
    <xf numFmtId="1" fontId="1" fillId="0" borderId="22" xfId="0" applyNumberFormat="1" applyFont="1" applyFill="1" applyBorder="1" applyAlignment="1">
      <alignment horizontal="right"/>
    </xf>
    <xf numFmtId="1" fontId="1" fillId="0" borderId="12" xfId="0" applyNumberFormat="1" applyFont="1" applyBorder="1" applyAlignment="1">
      <alignment horizontal="right"/>
    </xf>
    <xf numFmtId="1" fontId="1" fillId="0" borderId="9" xfId="0" applyNumberFormat="1" applyFont="1" applyBorder="1" applyAlignment="1">
      <alignment horizontal="right"/>
    </xf>
    <xf numFmtId="1" fontId="19" fillId="0" borderId="9" xfId="0" applyNumberFormat="1" applyFont="1" applyBorder="1" applyAlignment="1">
      <alignment horizontal="right"/>
    </xf>
    <xf numFmtId="1" fontId="19" fillId="0" borderId="37" xfId="0" applyNumberFormat="1" applyFont="1" applyBorder="1" applyAlignment="1">
      <alignment horizontal="right"/>
    </xf>
    <xf numFmtId="1" fontId="1" fillId="0" borderId="73" xfId="0" applyNumberFormat="1" applyFont="1" applyFill="1" applyBorder="1" applyAlignment="1">
      <alignment horizontal="right"/>
    </xf>
    <xf numFmtId="1" fontId="19" fillId="0" borderId="66" xfId="0" applyNumberFormat="1" applyFont="1" applyBorder="1" applyAlignment="1">
      <alignment horizontal="right"/>
    </xf>
    <xf numFmtId="1" fontId="1" fillId="0" borderId="67" xfId="0" applyNumberFormat="1" applyFont="1" applyFill="1" applyBorder="1" applyAlignment="1">
      <alignment horizontal="right" wrapText="1"/>
    </xf>
    <xf numFmtId="1" fontId="1" fillId="0" borderId="68" xfId="0" applyNumberFormat="1" applyFont="1" applyFill="1" applyBorder="1" applyAlignment="1">
      <alignment horizontal="right" wrapText="1"/>
    </xf>
    <xf numFmtId="1" fontId="19" fillId="5" borderId="65" xfId="0" applyNumberFormat="1" applyFont="1" applyFill="1" applyBorder="1" applyAlignment="1">
      <alignment horizontal="right"/>
    </xf>
    <xf numFmtId="1" fontId="19" fillId="5" borderId="36" xfId="0" applyNumberFormat="1" applyFont="1" applyFill="1" applyBorder="1" applyAlignment="1">
      <alignment horizontal="right"/>
    </xf>
    <xf numFmtId="1" fontId="19" fillId="4" borderId="36" xfId="0" applyNumberFormat="1" applyFont="1" applyFill="1" applyBorder="1" applyAlignment="1">
      <alignment horizontal="right"/>
    </xf>
    <xf numFmtId="1" fontId="19" fillId="4" borderId="68" xfId="0" applyNumberFormat="1" applyFont="1" applyFill="1" applyBorder="1" applyAlignment="1">
      <alignment horizontal="right"/>
    </xf>
    <xf numFmtId="1" fontId="19" fillId="0" borderId="68" xfId="0" applyNumberFormat="1" applyFont="1" applyBorder="1" applyAlignment="1">
      <alignment horizontal="right"/>
    </xf>
    <xf numFmtId="1" fontId="19" fillId="4" borderId="66" xfId="0" applyNumberFormat="1" applyFont="1" applyFill="1" applyBorder="1" applyAlignment="1">
      <alignment horizontal="right"/>
    </xf>
    <xf numFmtId="1" fontId="19" fillId="0" borderId="67" xfId="0" applyNumberFormat="1" applyFont="1" applyBorder="1" applyAlignment="1">
      <alignment horizontal="right"/>
    </xf>
    <xf numFmtId="1" fontId="1" fillId="0" borderId="67" xfId="0" applyNumberFormat="1" applyFont="1" applyFill="1" applyBorder="1" applyAlignment="1">
      <alignment horizontal="right"/>
    </xf>
    <xf numFmtId="1" fontId="1" fillId="0" borderId="36" xfId="0" applyNumberFormat="1" applyFont="1" applyFill="1" applyBorder="1" applyAlignment="1">
      <alignment horizontal="right"/>
    </xf>
    <xf numFmtId="1" fontId="1" fillId="0" borderId="68" xfId="0" applyNumberFormat="1" applyFont="1" applyFill="1" applyBorder="1" applyAlignment="1">
      <alignment horizontal="right"/>
    </xf>
    <xf numFmtId="1" fontId="6" fillId="0" borderId="67" xfId="0" applyNumberFormat="1" applyFont="1" applyFill="1" applyBorder="1" applyAlignment="1">
      <alignment horizontal="right"/>
    </xf>
    <xf numFmtId="1" fontId="6" fillId="0" borderId="36" xfId="0" applyNumberFormat="1" applyFont="1" applyFill="1" applyBorder="1" applyAlignment="1">
      <alignment horizontal="right"/>
    </xf>
    <xf numFmtId="1" fontId="6" fillId="0" borderId="68" xfId="0" applyNumberFormat="1" applyFont="1" applyFill="1" applyBorder="1" applyAlignment="1">
      <alignment horizontal="right"/>
    </xf>
    <xf numFmtId="1" fontId="19" fillId="0" borderId="36" xfId="0" applyNumberFormat="1" applyFont="1" applyFill="1" applyBorder="1" applyAlignment="1">
      <alignment horizontal="right"/>
    </xf>
    <xf numFmtId="1" fontId="19" fillId="0" borderId="68" xfId="0" applyNumberFormat="1" applyFont="1" applyFill="1" applyBorder="1" applyAlignment="1">
      <alignment horizontal="right"/>
    </xf>
    <xf numFmtId="164" fontId="1" fillId="0" borderId="50" xfId="0" applyNumberFormat="1" applyFont="1" applyFill="1" applyBorder="1" applyAlignment="1">
      <alignment horizontal="right" vertical="center" wrapText="1"/>
    </xf>
    <xf numFmtId="164" fontId="1" fillId="0" borderId="50" xfId="0" applyNumberFormat="1" applyFont="1" applyBorder="1" applyAlignment="1">
      <alignment horizontal="right"/>
    </xf>
    <xf numFmtId="3" fontId="21" fillId="5" borderId="19" xfId="0" applyNumberFormat="1" applyFont="1" applyFill="1" applyBorder="1" applyAlignment="1">
      <alignment horizontal="right"/>
    </xf>
    <xf numFmtId="167" fontId="0" fillId="0" borderId="21" xfId="0" applyNumberFormat="1" applyBorder="1"/>
    <xf numFmtId="0" fontId="0" fillId="0" borderId="21" xfId="0" applyBorder="1"/>
    <xf numFmtId="3" fontId="12" fillId="4" borderId="18" xfId="0" applyNumberFormat="1" applyFont="1" applyFill="1" applyBorder="1" applyAlignment="1">
      <alignment horizontal="right"/>
    </xf>
    <xf numFmtId="41" fontId="1" fillId="0" borderId="21" xfId="0" applyNumberFormat="1" applyFont="1" applyBorder="1" applyAlignment="1">
      <alignment horizontal="right"/>
    </xf>
    <xf numFmtId="41" fontId="1" fillId="0" borderId="28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0" fontId="29" fillId="0" borderId="0" xfId="0" applyFont="1" applyFill="1" applyAlignment="1">
      <alignment horizontal="right"/>
    </xf>
    <xf numFmtId="3" fontId="19" fillId="0" borderId="42" xfId="0" applyNumberFormat="1" applyFont="1" applyFill="1" applyBorder="1" applyAlignment="1">
      <alignment horizontal="right"/>
    </xf>
    <xf numFmtId="168" fontId="30" fillId="0" borderId="0" xfId="0" applyNumberFormat="1" applyFont="1" applyAlignment="1">
      <alignment horizontal="center"/>
    </xf>
    <xf numFmtId="169" fontId="30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168" fontId="30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4" fontId="1" fillId="0" borderId="1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 vertical="center" wrapText="1"/>
    </xf>
    <xf numFmtId="3" fontId="1" fillId="5" borderId="21" xfId="0" applyNumberFormat="1" applyFont="1" applyFill="1" applyBorder="1" applyAlignment="1"/>
    <xf numFmtId="3" fontId="1" fillId="4" borderId="21" xfId="0" applyNumberFormat="1" applyFont="1" applyFill="1" applyBorder="1" applyAlignment="1"/>
    <xf numFmtId="3" fontId="1" fillId="0" borderId="21" xfId="0" applyNumberFormat="1" applyFont="1" applyBorder="1" applyAlignment="1"/>
    <xf numFmtId="38" fontId="12" fillId="0" borderId="21" xfId="0" applyNumberFormat="1" applyFont="1" applyFill="1" applyBorder="1" applyAlignment="1">
      <alignment wrapText="1"/>
    </xf>
    <xf numFmtId="3" fontId="1" fillId="4" borderId="29" xfId="0" applyNumberFormat="1" applyFont="1" applyFill="1" applyBorder="1" applyAlignment="1"/>
    <xf numFmtId="3" fontId="1" fillId="0" borderId="21" xfId="0" applyNumberFormat="1" applyFont="1" applyFill="1" applyBorder="1" applyAlignment="1"/>
    <xf numFmtId="164" fontId="19" fillId="0" borderId="1" xfId="0" applyNumberFormat="1" applyFont="1" applyBorder="1"/>
    <xf numFmtId="164" fontId="19" fillId="0" borderId="25" xfId="0" applyNumberFormat="1" applyFont="1" applyBorder="1"/>
    <xf numFmtId="0" fontId="0" fillId="0" borderId="16" xfId="0" applyBorder="1"/>
    <xf numFmtId="0" fontId="0" fillId="0" borderId="17" xfId="0" applyBorder="1"/>
    <xf numFmtId="0" fontId="0" fillId="0" borderId="35" xfId="0" applyBorder="1"/>
    <xf numFmtId="0" fontId="0" fillId="0" borderId="21" xfId="0" applyFill="1" applyBorder="1"/>
    <xf numFmtId="164" fontId="6" fillId="0" borderId="47" xfId="0" applyNumberFormat="1" applyFont="1" applyFill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79" xfId="0" applyNumberFormat="1" applyFont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2" xfId="0" applyNumberFormat="1" applyFont="1" applyFill="1" applyBorder="1" applyAlignment="1">
      <alignment horizontal="right"/>
    </xf>
    <xf numFmtId="3" fontId="21" fillId="4" borderId="32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0" fontId="1" fillId="0" borderId="36" xfId="0" applyFont="1" applyFill="1" applyBorder="1" applyAlignment="1">
      <alignment horizontal="right"/>
    </xf>
    <xf numFmtId="3" fontId="1" fillId="0" borderId="79" xfId="0" applyNumberFormat="1" applyFont="1" applyFill="1" applyBorder="1" applyAlignment="1">
      <alignment horizontal="right"/>
    </xf>
    <xf numFmtId="1" fontId="1" fillId="0" borderId="7" xfId="0" applyNumberFormat="1" applyFont="1" applyBorder="1" applyAlignment="1">
      <alignment horizontal="right"/>
    </xf>
    <xf numFmtId="1" fontId="1" fillId="0" borderId="32" xfId="0" applyNumberFormat="1" applyFont="1" applyBorder="1" applyAlignment="1">
      <alignment horizontal="right"/>
    </xf>
    <xf numFmtId="1" fontId="1" fillId="0" borderId="79" xfId="0" applyNumberFormat="1" applyFont="1" applyFill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32" xfId="0" applyNumberFormat="1" applyFont="1" applyBorder="1" applyAlignment="1">
      <alignment horizontal="right"/>
    </xf>
    <xf numFmtId="3" fontId="19" fillId="0" borderId="79" xfId="0" applyNumberFormat="1" applyFont="1" applyBorder="1" applyAlignment="1">
      <alignment horizontal="right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0" fontId="1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22" fillId="2" borderId="25" xfId="0" applyNumberFormat="1" applyFont="1" applyFill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" fillId="0" borderId="36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3" fontId="12" fillId="3" borderId="44" xfId="0" applyNumberFormat="1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3" fontId="10" fillId="0" borderId="44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22" fillId="2" borderId="23" xfId="0" applyNumberFormat="1" applyFont="1" applyFill="1" applyBorder="1" applyAlignment="1">
      <alignment horizont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0" fontId="12" fillId="0" borderId="44" xfId="0" applyFont="1" applyBorder="1" applyAlignment="1">
      <alignment horizontal="center" vertical="center"/>
    </xf>
    <xf numFmtId="3" fontId="12" fillId="0" borderId="44" xfId="0" applyNumberFormat="1" applyFont="1" applyFill="1" applyBorder="1" applyAlignment="1">
      <alignment wrapText="1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 wrapText="1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9" fillId="0" borderId="44" xfId="0" applyNumberFormat="1" applyFont="1" applyFill="1" applyBorder="1" applyAlignment="1"/>
    <xf numFmtId="3" fontId="13" fillId="0" borderId="50" xfId="0" applyNumberFormat="1" applyFont="1" applyFill="1" applyBorder="1" applyAlignment="1">
      <alignment horizontal="center" vertical="center"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horizontal="center" vertical="center" wrapText="1"/>
    </xf>
    <xf numFmtId="3" fontId="21" fillId="4" borderId="50" xfId="0" applyNumberFormat="1" applyFont="1" applyFill="1" applyBorder="1" applyAlignment="1">
      <alignment horizontal="center" vertical="center" wrapText="1"/>
    </xf>
    <xf numFmtId="3" fontId="21" fillId="4" borderId="44" xfId="0" applyNumberFormat="1" applyFont="1" applyFill="1" applyBorder="1" applyAlignment="1">
      <alignment horizontal="center" vertic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50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21" fillId="0" borderId="52" xfId="0" applyNumberFormat="1" applyFont="1" applyBorder="1" applyAlignment="1">
      <alignment horizontal="center" vertical="center"/>
    </xf>
    <xf numFmtId="3" fontId="21" fillId="0" borderId="49" xfId="0" applyNumberFormat="1" applyFont="1" applyBorder="1" applyAlignment="1">
      <alignment horizontal="center" vertical="center"/>
    </xf>
    <xf numFmtId="3" fontId="1" fillId="0" borderId="56" xfId="0" applyNumberFormat="1" applyFont="1" applyBorder="1" applyAlignment="1">
      <alignment horizontal="center"/>
    </xf>
    <xf numFmtId="3" fontId="1" fillId="0" borderId="44" xfId="0" applyNumberFormat="1" applyFont="1" applyBorder="1" applyAlignment="1"/>
    <xf numFmtId="3" fontId="1" fillId="0" borderId="52" xfId="0" applyNumberFormat="1" applyFont="1" applyBorder="1" applyAlignment="1">
      <alignment horizontal="center"/>
    </xf>
    <xf numFmtId="3" fontId="1" fillId="0" borderId="57" xfId="0" applyNumberFormat="1" applyFont="1" applyBorder="1" applyAlignment="1">
      <alignment horizontal="center"/>
    </xf>
    <xf numFmtId="3" fontId="13" fillId="4" borderId="50" xfId="0" applyNumberFormat="1" applyFont="1" applyFill="1" applyBorder="1" applyAlignment="1">
      <alignment horizontal="center" vertical="center" wrapText="1"/>
    </xf>
    <xf numFmtId="3" fontId="13" fillId="4" borderId="44" xfId="0" applyNumberFormat="1" applyFont="1" applyFill="1" applyBorder="1" applyAlignment="1">
      <alignment horizontal="center" vertical="center" wrapText="1"/>
    </xf>
    <xf numFmtId="14" fontId="1" fillId="0" borderId="36" xfId="0" applyNumberFormat="1" applyFont="1" applyBorder="1" applyAlignment="1">
      <alignment horizontal="center"/>
    </xf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0" fontId="11" fillId="3" borderId="44" xfId="0" applyFont="1" applyFill="1" applyBorder="1" applyAlignment="1">
      <alignment wrapText="1"/>
    </xf>
    <xf numFmtId="3" fontId="23" fillId="0" borderId="44" xfId="0" applyNumberFormat="1" applyFont="1" applyBorder="1" applyAlignment="1"/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4" fillId="4" borderId="44" xfId="0" applyNumberFormat="1" applyFont="1" applyFill="1" applyBorder="1" applyAlignment="1"/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0" fillId="3" borderId="72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34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20" fillId="3" borderId="67" xfId="0" applyFont="1" applyFill="1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20" fillId="3" borderId="27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20" fillId="3" borderId="42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164" fontId="21" fillId="4" borderId="46" xfId="0" applyNumberFormat="1" applyFont="1" applyFill="1" applyBorder="1" applyAlignment="1">
      <alignment horizontal="center" vertical="center" textRotation="90"/>
    </xf>
    <xf numFmtId="0" fontId="20" fillId="3" borderId="12" xfId="0" applyFont="1" applyFill="1" applyBorder="1" applyAlignment="1">
      <alignment horizontal="center" vertical="center" wrapText="1"/>
    </xf>
    <xf numFmtId="164" fontId="21" fillId="4" borderId="10" xfId="0" applyNumberFormat="1" applyFont="1" applyFill="1" applyBorder="1" applyAlignment="1">
      <alignment horizontal="center" vertical="center" textRotation="90"/>
    </xf>
    <xf numFmtId="0" fontId="20" fillId="3" borderId="37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2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0" fillId="4" borderId="29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12" xfId="0" applyNumberFormat="1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1" fillId="4" borderId="37" xfId="0" applyNumberFormat="1" applyFont="1" applyFill="1" applyBorder="1" applyAlignment="1">
      <alignment horizontal="center" vertical="center" wrapText="1"/>
    </xf>
    <xf numFmtId="164" fontId="21" fillId="4" borderId="48" xfId="0" applyNumberFormat="1" applyFont="1" applyFill="1" applyBorder="1" applyAlignment="1">
      <alignment horizontal="center" vertical="center" textRotation="90"/>
    </xf>
    <xf numFmtId="0" fontId="18" fillId="2" borderId="42" xfId="0" applyFont="1" applyFill="1" applyBorder="1" applyAlignment="1">
      <alignment horizontal="right" vertical="center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21" fillId="4" borderId="4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7" fillId="4" borderId="42" xfId="0" applyFont="1" applyFill="1" applyBorder="1" applyAlignment="1">
      <alignment horizontal="center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3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4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 wrapText="1"/>
    </xf>
    <xf numFmtId="3" fontId="20" fillId="4" borderId="29" xfId="0" applyNumberFormat="1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74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57" xfId="0" applyFont="1" applyFill="1" applyBorder="1" applyAlignment="1">
      <alignment horizontal="center" vertical="center" wrapText="1"/>
    </xf>
    <xf numFmtId="0" fontId="20" fillId="3" borderId="49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72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0" fillId="3" borderId="43" xfId="0" applyFont="1" applyFill="1" applyBorder="1" applyAlignment="1">
      <alignment horizontal="center" vertical="center" wrapText="1"/>
    </xf>
    <xf numFmtId="0" fontId="21" fillId="4" borderId="28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wrapText="1"/>
    </xf>
    <xf numFmtId="3" fontId="20" fillId="4" borderId="46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0" fillId="4" borderId="68" xfId="0" applyNumberFormat="1" applyFont="1" applyFill="1" applyBorder="1" applyAlignment="1">
      <alignment horizontal="center" vertical="center"/>
    </xf>
    <xf numFmtId="3" fontId="20" fillId="4" borderId="47" xfId="0" applyNumberFormat="1" applyFont="1" applyFill="1" applyBorder="1" applyAlignment="1">
      <alignment horizontal="center" vertical="center"/>
    </xf>
    <xf numFmtId="3" fontId="20" fillId="4" borderId="67" xfId="0" applyNumberFormat="1" applyFont="1" applyFill="1" applyBorder="1" applyAlignment="1">
      <alignment horizontal="center" vertical="center"/>
    </xf>
    <xf numFmtId="164" fontId="21" fillId="4" borderId="45" xfId="0" applyNumberFormat="1" applyFont="1" applyFill="1" applyBorder="1" applyAlignment="1">
      <alignment horizontal="center" vertical="center" textRotation="90"/>
    </xf>
    <xf numFmtId="0" fontId="18" fillId="2" borderId="5" xfId="0" applyFont="1" applyFill="1" applyBorder="1" applyAlignment="1">
      <alignment horizontal="center" vertical="center"/>
    </xf>
    <xf numFmtId="0" fontId="18" fillId="2" borderId="73" xfId="0" applyFont="1" applyFill="1" applyBorder="1" applyAlignment="1">
      <alignment horizontal="center" vertical="center"/>
    </xf>
    <xf numFmtId="0" fontId="18" fillId="2" borderId="66" xfId="0" applyFont="1" applyFill="1" applyBorder="1" applyAlignment="1">
      <alignment horizontal="center" vertical="center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66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" fontId="21" fillId="4" borderId="67" xfId="0" applyNumberFormat="1" applyFont="1" applyFill="1" applyBorder="1" applyAlignment="1">
      <alignment horizontal="center" vertical="center" wrapText="1"/>
    </xf>
    <xf numFmtId="1" fontId="21" fillId="4" borderId="66" xfId="0" applyNumberFormat="1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45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3" fontId="20" fillId="4" borderId="22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18" fillId="2" borderId="51" xfId="0" applyFont="1" applyFill="1" applyBorder="1" applyAlignment="1">
      <alignment horizontal="center" vertical="center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R80"/>
  <sheetViews>
    <sheetView tabSelected="1" zoomScale="90" zoomScaleNormal="90" workbookViewId="0">
      <pane ySplit="3" topLeftCell="A4" activePane="bottomLeft" state="frozen"/>
      <selection pane="bottomLeft" activeCell="Q57" sqref="Q57"/>
    </sheetView>
  </sheetViews>
  <sheetFormatPr defaultColWidth="9.140625" defaultRowHeight="13.5" x14ac:dyDescent="0.25"/>
  <cols>
    <col min="1" max="1" width="9.140625" style="96"/>
    <col min="2" max="2" width="26.5703125" style="96" bestFit="1" customWidth="1"/>
    <col min="3" max="3" width="8.85546875" style="96" customWidth="1"/>
    <col min="4" max="4" width="3.5703125" style="96" customWidth="1"/>
    <col min="5" max="5" width="26.5703125" style="96" bestFit="1" customWidth="1"/>
    <col min="6" max="6" width="8.7109375" style="96" bestFit="1" customWidth="1"/>
    <col min="7" max="7" width="3.7109375" style="96" customWidth="1"/>
    <col min="8" max="8" width="26.5703125" style="96" bestFit="1" customWidth="1"/>
    <col min="9" max="9" width="8.28515625" style="96" bestFit="1" customWidth="1"/>
    <col min="10" max="10" width="3.7109375" style="96" customWidth="1"/>
    <col min="11" max="11" width="26.5703125" style="96" bestFit="1" customWidth="1"/>
    <col min="12" max="12" width="11.140625" style="96" customWidth="1"/>
    <col min="13" max="13" width="3.7109375" style="96" customWidth="1"/>
    <col min="14" max="14" width="26.5703125" style="356" bestFit="1" customWidth="1"/>
    <col min="15" max="15" width="11.140625" style="356" customWidth="1"/>
    <col min="16" max="16" width="3.7109375" style="96" customWidth="1"/>
    <col min="17" max="17" width="36.5703125" style="96" bestFit="1" customWidth="1"/>
    <col min="18" max="18" width="9.140625" style="96" bestFit="1" customWidth="1"/>
    <col min="19" max="19" width="61.7109375" style="96" bestFit="1" customWidth="1"/>
    <col min="20" max="16384" width="9.140625" style="96"/>
  </cols>
  <sheetData>
    <row r="2" spans="2:18" ht="13.15" x14ac:dyDescent="0.25">
      <c r="B2" s="609" t="s">
        <v>40</v>
      </c>
      <c r="C2" s="610"/>
      <c r="D2" s="80"/>
      <c r="E2" s="609" t="s">
        <v>40</v>
      </c>
      <c r="F2" s="610"/>
      <c r="G2" s="41"/>
      <c r="H2" s="609" t="s">
        <v>40</v>
      </c>
      <c r="I2" s="610"/>
      <c r="J2" s="81"/>
      <c r="K2" s="609" t="s">
        <v>40</v>
      </c>
      <c r="L2" s="610"/>
      <c r="M2" s="81"/>
      <c r="N2" s="609" t="s">
        <v>40</v>
      </c>
      <c r="O2" s="658"/>
    </row>
    <row r="3" spans="2:18" ht="15.75" customHeight="1" x14ac:dyDescent="0.25">
      <c r="B3" s="618" t="s">
        <v>127</v>
      </c>
      <c r="C3" s="618"/>
      <c r="D3" s="82"/>
      <c r="E3" s="611" t="s">
        <v>128</v>
      </c>
      <c r="F3" s="612"/>
      <c r="G3" s="82"/>
      <c r="H3" s="611" t="s">
        <v>129</v>
      </c>
      <c r="I3" s="612"/>
      <c r="J3" s="83"/>
      <c r="K3" s="616" t="s">
        <v>130</v>
      </c>
      <c r="L3" s="617"/>
      <c r="M3" s="81"/>
      <c r="N3" s="611" t="s">
        <v>131</v>
      </c>
      <c r="O3" s="662"/>
    </row>
    <row r="4" spans="2:18" ht="13.9" thickBot="1" x14ac:dyDescent="0.3">
      <c r="B4" s="613" t="s">
        <v>41</v>
      </c>
      <c r="C4" s="614"/>
      <c r="D4" s="80"/>
      <c r="E4" s="613" t="s">
        <v>41</v>
      </c>
      <c r="F4" s="614"/>
      <c r="G4" s="81"/>
      <c r="H4" s="613" t="s">
        <v>41</v>
      </c>
      <c r="I4" s="614"/>
      <c r="J4" s="81"/>
      <c r="K4" s="613" t="s">
        <v>41</v>
      </c>
      <c r="L4" s="615"/>
      <c r="M4" s="81"/>
      <c r="N4" s="613" t="s">
        <v>41</v>
      </c>
      <c r="O4" s="659"/>
    </row>
    <row r="5" spans="2:18" s="97" customFormat="1" ht="12.95" customHeight="1" x14ac:dyDescent="0.25">
      <c r="B5" s="606" t="s">
        <v>42</v>
      </c>
      <c r="C5" s="593">
        <f>'NY Waterway-(Port Imperial FC)'!W20</f>
        <v>30344</v>
      </c>
      <c r="D5" s="7"/>
      <c r="E5" s="606" t="s">
        <v>42</v>
      </c>
      <c r="F5" s="593">
        <f>'NY Waterway-(Port Imperial FC)'!W31</f>
        <v>45998</v>
      </c>
      <c r="G5" s="84"/>
      <c r="H5" s="606" t="s">
        <v>42</v>
      </c>
      <c r="I5" s="593">
        <f>'NY Waterway-(Port Imperial FC)'!W42</f>
        <v>61138</v>
      </c>
      <c r="J5" s="84"/>
      <c r="K5" s="606" t="s">
        <v>42</v>
      </c>
      <c r="L5" s="593">
        <f>'NY Waterway-(Port Imperial FC)'!W53</f>
        <v>62902</v>
      </c>
      <c r="M5" s="84"/>
      <c r="N5" s="606" t="s">
        <v>42</v>
      </c>
      <c r="O5" s="593">
        <f>'NY Waterway-(Port Imperial FC)'!W64</f>
        <v>33497</v>
      </c>
    </row>
    <row r="6" spans="2:18" s="97" customFormat="1" ht="12.95" customHeight="1" thickBot="1" x14ac:dyDescent="0.3">
      <c r="B6" s="607"/>
      <c r="C6" s="594"/>
      <c r="D6" s="8"/>
      <c r="E6" s="607"/>
      <c r="F6" s="594"/>
      <c r="G6" s="84"/>
      <c r="H6" s="607"/>
      <c r="I6" s="608"/>
      <c r="J6" s="84"/>
      <c r="K6" s="607"/>
      <c r="L6" s="608"/>
      <c r="M6" s="84"/>
      <c r="N6" s="607"/>
      <c r="O6" s="608"/>
    </row>
    <row r="7" spans="2:18" s="97" customFormat="1" ht="12.95" customHeight="1" x14ac:dyDescent="0.25">
      <c r="B7" s="606" t="s">
        <v>43</v>
      </c>
      <c r="C7" s="593">
        <f>SUM(SeaStreak!I20)</f>
        <v>5243</v>
      </c>
      <c r="D7" s="7"/>
      <c r="E7" s="606" t="s">
        <v>43</v>
      </c>
      <c r="F7" s="593">
        <f>SUM(SeaStreak!I31)</f>
        <v>7119</v>
      </c>
      <c r="G7" s="84"/>
      <c r="H7" s="606" t="s">
        <v>43</v>
      </c>
      <c r="I7" s="593">
        <f>SUM(SeaStreak!I42)</f>
        <v>8568</v>
      </c>
      <c r="J7" s="84"/>
      <c r="K7" s="606" t="s">
        <v>43</v>
      </c>
      <c r="L7" s="593">
        <f>SUM(SeaStreak!I53)</f>
        <v>9418</v>
      </c>
      <c r="M7" s="84"/>
      <c r="N7" s="606" t="s">
        <v>43</v>
      </c>
      <c r="O7" s="593">
        <f>SeaStreak!I64</f>
        <v>6158</v>
      </c>
    </row>
    <row r="8" spans="2:18" s="97" customFormat="1" ht="12.95" customHeight="1" thickBot="1" x14ac:dyDescent="0.3">
      <c r="B8" s="619"/>
      <c r="C8" s="594"/>
      <c r="D8" s="85"/>
      <c r="E8" s="619"/>
      <c r="F8" s="608"/>
      <c r="G8" s="84"/>
      <c r="H8" s="619"/>
      <c r="I8" s="608"/>
      <c r="J8" s="84"/>
      <c r="K8" s="619"/>
      <c r="L8" s="608"/>
      <c r="M8" s="84"/>
      <c r="N8" s="619"/>
      <c r="O8" s="608"/>
    </row>
    <row r="9" spans="2:18" s="97" customFormat="1" ht="12.95" customHeight="1" x14ac:dyDescent="0.25">
      <c r="B9" s="595" t="s">
        <v>44</v>
      </c>
      <c r="C9" s="593">
        <f>SUM('New York Water Taxi'!L20)</f>
        <v>1193</v>
      </c>
      <c r="D9" s="9"/>
      <c r="E9" s="595" t="s">
        <v>44</v>
      </c>
      <c r="F9" s="620">
        <f>SUM('New York Water Taxi'!L31)</f>
        <v>1598</v>
      </c>
      <c r="G9" s="84"/>
      <c r="H9" s="595" t="s">
        <v>44</v>
      </c>
      <c r="I9" s="620">
        <f>SUM('New York Water Taxi'!L42)</f>
        <v>1602</v>
      </c>
      <c r="J9" s="84"/>
      <c r="K9" s="595" t="s">
        <v>44</v>
      </c>
      <c r="L9" s="620">
        <f>SUM('New York Water Taxi'!L53)</f>
        <v>1520</v>
      </c>
      <c r="M9" s="84"/>
      <c r="N9" s="595" t="s">
        <v>44</v>
      </c>
      <c r="O9" s="620">
        <f>'New York Water Taxi'!L64</f>
        <v>937</v>
      </c>
    </row>
    <row r="10" spans="2:18" s="97" customFormat="1" ht="12.95" customHeight="1" thickBot="1" x14ac:dyDescent="0.3">
      <c r="B10" s="601"/>
      <c r="C10" s="594"/>
      <c r="D10" s="86"/>
      <c r="E10" s="601"/>
      <c r="F10" s="621"/>
      <c r="G10" s="84"/>
      <c r="H10" s="601"/>
      <c r="I10" s="622"/>
      <c r="J10" s="84"/>
      <c r="K10" s="601"/>
      <c r="L10" s="622"/>
      <c r="M10" s="84"/>
      <c r="N10" s="601"/>
      <c r="O10" s="622"/>
    </row>
    <row r="11" spans="2:18" s="97" customFormat="1" ht="12.95" customHeight="1" x14ac:dyDescent="0.25">
      <c r="B11" s="627" t="s">
        <v>31</v>
      </c>
      <c r="C11" s="593">
        <f>'Liberty Landing Ferry'!C14</f>
        <v>1192</v>
      </c>
      <c r="D11" s="9"/>
      <c r="E11" s="627" t="s">
        <v>31</v>
      </c>
      <c r="F11" s="620">
        <f>'Liberty Landing Ferry'!C25</f>
        <v>1947</v>
      </c>
      <c r="G11" s="84"/>
      <c r="H11" s="627" t="s">
        <v>31</v>
      </c>
      <c r="I11" s="620">
        <f>'Liberty Landing Ferry'!C36</f>
        <v>2168</v>
      </c>
      <c r="J11" s="84"/>
      <c r="K11" s="627" t="s">
        <v>31</v>
      </c>
      <c r="L11" s="620">
        <f>'Liberty Landing Ferry'!C47</f>
        <v>2339</v>
      </c>
      <c r="M11" s="84"/>
      <c r="N11" s="627" t="s">
        <v>31</v>
      </c>
      <c r="O11" s="620">
        <f>'Liberty Landing Ferry'!C58</f>
        <v>1251</v>
      </c>
    </row>
    <row r="12" spans="2:18" s="97" customFormat="1" ht="12.95" customHeight="1" thickBot="1" x14ac:dyDescent="0.3">
      <c r="B12" s="628"/>
      <c r="C12" s="594"/>
      <c r="D12" s="86"/>
      <c r="E12" s="628"/>
      <c r="F12" s="621"/>
      <c r="G12" s="84"/>
      <c r="H12" s="628"/>
      <c r="I12" s="622"/>
      <c r="J12" s="84"/>
      <c r="K12" s="628"/>
      <c r="L12" s="622"/>
      <c r="M12" s="84"/>
      <c r="N12" s="628"/>
      <c r="O12" s="622"/>
    </row>
    <row r="13" spans="2:18" s="177" customFormat="1" ht="12.95" customHeight="1" thickBot="1" x14ac:dyDescent="0.3">
      <c r="B13" s="627" t="s">
        <v>66</v>
      </c>
      <c r="C13" s="620">
        <f>'NYC Ferry'!AM20</f>
        <v>36463</v>
      </c>
      <c r="D13" s="86"/>
      <c r="E13" s="627" t="s">
        <v>66</v>
      </c>
      <c r="F13" s="620">
        <f>'NYC Ferry'!AM31</f>
        <v>58263</v>
      </c>
      <c r="G13" s="176"/>
      <c r="H13" s="627" t="s">
        <v>66</v>
      </c>
      <c r="I13" s="620">
        <f>'NYC Ferry'!AM42</f>
        <v>72754</v>
      </c>
      <c r="J13" s="176"/>
      <c r="K13" s="627" t="s">
        <v>66</v>
      </c>
      <c r="L13" s="620">
        <f>'NYC Ferry'!AM53</f>
        <v>73080</v>
      </c>
      <c r="M13" s="176"/>
      <c r="N13" s="627" t="s">
        <v>66</v>
      </c>
      <c r="O13" s="620">
        <f>'NYC Ferry'!AM64</f>
        <v>47022</v>
      </c>
    </row>
    <row r="14" spans="2:18" s="177" customFormat="1" ht="12.95" customHeight="1" thickBot="1" x14ac:dyDescent="0.3">
      <c r="B14" s="628"/>
      <c r="C14" s="621"/>
      <c r="D14" s="86"/>
      <c r="E14" s="628"/>
      <c r="F14" s="621"/>
      <c r="G14" s="176"/>
      <c r="H14" s="628"/>
      <c r="I14" s="621"/>
      <c r="J14" s="176"/>
      <c r="K14" s="628"/>
      <c r="L14" s="621"/>
      <c r="M14" s="176"/>
      <c r="N14" s="628"/>
      <c r="O14" s="621"/>
      <c r="Q14" s="623" t="s">
        <v>112</v>
      </c>
      <c r="R14" s="625">
        <f>AVERAGE('NYC Ferry'!E76,'NY Waterway-(Port Imperial FC)'!N70,SeaStreak!I70,'New York Water Taxi'!M81,'Weekday Totals'!G76)</f>
        <v>5877.7300000000014</v>
      </c>
    </row>
    <row r="15" spans="2:18" s="88" customFormat="1" ht="12.95" customHeight="1" x14ac:dyDescent="0.2">
      <c r="B15" s="623" t="s">
        <v>17</v>
      </c>
      <c r="C15" s="625">
        <f>SUM(C5:C14)</f>
        <v>74435</v>
      </c>
      <c r="D15" s="10"/>
      <c r="E15" s="623" t="s">
        <v>17</v>
      </c>
      <c r="F15" s="625">
        <f>SUM(F5:F14)</f>
        <v>114925</v>
      </c>
      <c r="G15" s="87"/>
      <c r="H15" s="623" t="s">
        <v>17</v>
      </c>
      <c r="I15" s="625">
        <f>SUM(I5:I14)</f>
        <v>146230</v>
      </c>
      <c r="J15" s="87"/>
      <c r="K15" s="623" t="s">
        <v>17</v>
      </c>
      <c r="L15" s="625">
        <f>SUM(L5:L14)</f>
        <v>149259</v>
      </c>
      <c r="M15" s="87"/>
      <c r="N15" s="623" t="s">
        <v>17</v>
      </c>
      <c r="O15" s="625">
        <f>SUM(O5:O14)</f>
        <v>88865</v>
      </c>
      <c r="Q15" s="660"/>
      <c r="R15" s="645"/>
    </row>
    <row r="16" spans="2:18" s="88" customFormat="1" ht="12.95" customHeight="1" thickBot="1" x14ac:dyDescent="0.25">
      <c r="B16" s="624"/>
      <c r="C16" s="626"/>
      <c r="D16" s="89"/>
      <c r="E16" s="624"/>
      <c r="F16" s="626"/>
      <c r="G16" s="87"/>
      <c r="H16" s="624"/>
      <c r="I16" s="626"/>
      <c r="J16" s="87"/>
      <c r="K16" s="624"/>
      <c r="L16" s="626"/>
      <c r="M16" s="87"/>
      <c r="N16" s="624"/>
      <c r="O16" s="626"/>
      <c r="Q16" s="660"/>
      <c r="R16" s="645"/>
    </row>
    <row r="17" spans="2:18" s="97" customFormat="1" ht="14.25" thickBot="1" x14ac:dyDescent="0.3">
      <c r="B17" s="90"/>
      <c r="C17" s="91"/>
      <c r="D17" s="84"/>
      <c r="E17" s="90"/>
      <c r="F17" s="91"/>
      <c r="G17" s="84"/>
      <c r="H17" s="90"/>
      <c r="I17" s="91"/>
      <c r="J17" s="84"/>
      <c r="K17" s="92"/>
      <c r="L17" s="93"/>
      <c r="M17" s="84"/>
      <c r="N17" s="364"/>
      <c r="O17" s="365"/>
      <c r="Q17" s="661"/>
      <c r="R17" s="646"/>
    </row>
    <row r="18" spans="2:18" ht="13.9" thickBot="1" x14ac:dyDescent="0.3">
      <c r="B18" s="629" t="s">
        <v>45</v>
      </c>
      <c r="C18" s="630"/>
      <c r="D18" s="80"/>
      <c r="E18" s="629" t="s">
        <v>45</v>
      </c>
      <c r="F18" s="630"/>
      <c r="G18" s="81"/>
      <c r="H18" s="629" t="s">
        <v>45</v>
      </c>
      <c r="I18" s="630"/>
      <c r="J18" s="81"/>
      <c r="K18" s="629" t="s">
        <v>45</v>
      </c>
      <c r="L18" s="631"/>
      <c r="M18" s="81"/>
      <c r="N18" s="629" t="s">
        <v>45</v>
      </c>
      <c r="O18" s="656"/>
      <c r="Q18" s="10"/>
      <c r="R18" s="10"/>
    </row>
    <row r="19" spans="2:18" ht="12.95" customHeight="1" x14ac:dyDescent="0.25">
      <c r="B19" s="606" t="s">
        <v>10</v>
      </c>
      <c r="C19" s="593">
        <f>SUM('NY Waterway-(Port Imperial FC)'!C20:G20, 'New York Water Taxi'!J20:J20, SeaStreak!C20:D20,'NYC Ferry'!C20,'NYC Ferry'!J20,'NYC Ferry'!M20,'NYC Ferry'!T20,'NYC Ferry'!AA20,'NYC Ferry'!AF20,'NYC Ferry'!AK20)</f>
        <v>13664</v>
      </c>
      <c r="D19" s="7"/>
      <c r="E19" s="606" t="s">
        <v>10</v>
      </c>
      <c r="F19" s="593">
        <f>SUM('NY Waterway-(Port Imperial FC)'!C31:G31, 'New York Water Taxi'!J31:J31, SeaStreak!C31:D31,'NYC Ferry'!C31,'NYC Ferry'!J31,'NYC Ferry'!M31,'NYC Ferry'!T31,'NYC Ferry'!AA31,'NYC Ferry'!AF31,'NYC Ferry'!AK31)</f>
        <v>22049</v>
      </c>
      <c r="G19" s="81"/>
      <c r="H19" s="606" t="s">
        <v>10</v>
      </c>
      <c r="I19" s="593">
        <f>SUM('NY Waterway-(Port Imperial FC)'!C42:G42, 'New York Water Taxi'!J42:J42, SeaStreak!C42:D42,'NYC Ferry'!C42,'NYC Ferry'!J42,'NYC Ferry'!M42,'NYC Ferry'!T42,'NYC Ferry'!AA42,'NYC Ferry'!AF42,'NYC Ferry'!AK42)</f>
        <v>27738</v>
      </c>
      <c r="J19" s="81"/>
      <c r="K19" s="606" t="s">
        <v>10</v>
      </c>
      <c r="L19" s="593">
        <f>SUM('NY Waterway-(Port Imperial FC)'!C53:G53, 'New York Water Taxi'!J53:J53, SeaStreak!C53:D53,'NYC Ferry'!C53,'NYC Ferry'!J53,'NYC Ferry'!M53,'NYC Ferry'!T53,'NYC Ferry'!AA53,'NYC Ferry'!AF53,'NYC Ferry'!AK53)</f>
        <v>27601</v>
      </c>
      <c r="M19" s="81"/>
      <c r="N19" s="606" t="s">
        <v>10</v>
      </c>
      <c r="O19" s="593">
        <f>SUM('NY Waterway-(Port Imperial FC)'!C64:G64, 'New York Water Taxi'!J64:J64, SeaStreak!C64:D64,'NYC Ferry'!C64,'NYC Ferry'!J64,'NYC Ferry'!M64,'NYC Ferry'!T64,'NYC Ferry'!AA64,'NYC Ferry'!AF64,'NYC Ferry'!AK64)</f>
        <v>19667</v>
      </c>
      <c r="Q19" s="647" t="s">
        <v>113</v>
      </c>
      <c r="R19" s="650">
        <f>SUM('NYC Ferry'!E76,'NY Waterway-(Port Imperial FC)'!N70,SeaStreak!I70,'New York Water Taxi'!M81,'Liberty Landing Ferry'!F75)</f>
        <v>23912.080000000005</v>
      </c>
    </row>
    <row r="20" spans="2:18" ht="12.95" customHeight="1" thickBot="1" x14ac:dyDescent="0.3">
      <c r="B20" s="607"/>
      <c r="C20" s="608"/>
      <c r="D20" s="8"/>
      <c r="E20" s="607"/>
      <c r="F20" s="594"/>
      <c r="G20" s="81"/>
      <c r="H20" s="607"/>
      <c r="I20" s="594"/>
      <c r="J20" s="81"/>
      <c r="K20" s="607"/>
      <c r="L20" s="594"/>
      <c r="M20" s="81"/>
      <c r="N20" s="607"/>
      <c r="O20" s="608"/>
      <c r="Q20" s="648"/>
      <c r="R20" s="651"/>
    </row>
    <row r="21" spans="2:18" ht="12.95" customHeight="1" thickBot="1" x14ac:dyDescent="0.3">
      <c r="B21" s="606" t="s">
        <v>13</v>
      </c>
      <c r="C21" s="593">
        <f>SUM(SeaStreak!G20:H20,'New York Water Taxi'!H20,'NYC Ferry'!I20,'NYC Ferry'!V20,'NYC Ferry'!AB20,'NYC Ferry'!AI20)</f>
        <v>10025</v>
      </c>
      <c r="D21" s="7"/>
      <c r="E21" s="606" t="s">
        <v>13</v>
      </c>
      <c r="F21" s="593">
        <f>SUM(SeaStreak!G31:H31,'New York Water Taxi'!H31, 'NYC Ferry'!I31,'NYC Ferry'!V31,'NYC Ferry'!AB31,'NYC Ferry'!AI31)</f>
        <v>12950</v>
      </c>
      <c r="G21" s="81"/>
      <c r="H21" s="606" t="s">
        <v>13</v>
      </c>
      <c r="I21" s="593">
        <f>SUM(SeaStreak!G42:H42,'New York Water Taxi'!H42, 'NYC Ferry'!I42,'NYC Ferry'!V42,'NYC Ferry'!AB42,'NYC Ferry'!AI42)</f>
        <v>15347</v>
      </c>
      <c r="J21" s="81"/>
      <c r="K21" s="606" t="s">
        <v>13</v>
      </c>
      <c r="L21" s="593">
        <f>SUM(SeaStreak!G53:H53,'New York Water Taxi'!H53,'NYC Ferry'!I53,'NYC Ferry'!V53,'NYC Ferry'!AB53,'NYC Ferry'!AI53)</f>
        <v>14468</v>
      </c>
      <c r="M21" s="81"/>
      <c r="N21" s="606" t="s">
        <v>13</v>
      </c>
      <c r="O21" s="593">
        <f>SUM(SeaStreak!G64:H64,'New York Water Taxi'!H64,'NYC Ferry'!I64,'NYC Ferry'!V64,'NYC Ferry'!AB64,'NYC Ferry'!AI64)</f>
        <v>8430</v>
      </c>
      <c r="Q21" s="649"/>
      <c r="R21" s="652"/>
    </row>
    <row r="22" spans="2:18" ht="12.95" customHeight="1" thickBot="1" x14ac:dyDescent="0.3">
      <c r="B22" s="619"/>
      <c r="C22" s="608"/>
      <c r="D22" s="85"/>
      <c r="E22" s="619"/>
      <c r="F22" s="633"/>
      <c r="G22" s="81"/>
      <c r="H22" s="619"/>
      <c r="I22" s="633"/>
      <c r="J22" s="81"/>
      <c r="K22" s="619"/>
      <c r="L22" s="633"/>
      <c r="M22" s="81"/>
      <c r="N22" s="619"/>
      <c r="O22" s="633"/>
      <c r="Q22" s="358"/>
      <c r="R22" s="361"/>
    </row>
    <row r="23" spans="2:18" ht="12.95" customHeight="1" x14ac:dyDescent="0.25">
      <c r="B23" s="595" t="s">
        <v>62</v>
      </c>
      <c r="C23" s="593">
        <f xml:space="preserve"> SUM('NY Waterway-(Port Imperial FC)'!H20,SeaStreak!E20:F20)</f>
        <v>0</v>
      </c>
      <c r="D23" s="8"/>
      <c r="E23" s="595" t="s">
        <v>62</v>
      </c>
      <c r="F23" s="593">
        <f>SUM( 'NY Waterway-(Port Imperial FC)'!H31,SeaStreak!E31:F31)</f>
        <v>1237</v>
      </c>
      <c r="G23" s="81"/>
      <c r="H23" s="595" t="s">
        <v>62</v>
      </c>
      <c r="I23" s="593">
        <f>SUM( 'NY Waterway-(Port Imperial FC)'!H42,SeaStreak!E42:F42)</f>
        <v>1380</v>
      </c>
      <c r="J23" s="81"/>
      <c r="K23" s="595" t="s">
        <v>62</v>
      </c>
      <c r="L23" s="593">
        <f>SUM('NY Waterway-(Port Imperial FC)'!H53,SeaStreak!E53:F53)</f>
        <v>1815</v>
      </c>
      <c r="M23" s="81"/>
      <c r="N23" s="595" t="s">
        <v>62</v>
      </c>
      <c r="O23" s="593">
        <f>SUM('NY Waterway-(Port Imperial FC)'!H64,SeaStreak!E64:F64)</f>
        <v>1337</v>
      </c>
      <c r="Q23" s="647" t="s">
        <v>114</v>
      </c>
      <c r="R23" s="650">
        <f>SUM('NYC Ferry'!E74,'NY Waterway-(Port Imperial FC)'!N68,SeaStreak!I68,'New York Water Taxi'!M79,'Liberty Landing Ferry'!F73)</f>
        <v>573714</v>
      </c>
    </row>
    <row r="24" spans="2:18" ht="12.95" customHeight="1" thickBot="1" x14ac:dyDescent="0.3">
      <c r="B24" s="596"/>
      <c r="C24" s="608"/>
      <c r="D24" s="8"/>
      <c r="E24" s="596"/>
      <c r="F24" s="594"/>
      <c r="G24" s="81"/>
      <c r="H24" s="596"/>
      <c r="I24" s="594"/>
      <c r="J24" s="81"/>
      <c r="K24" s="596"/>
      <c r="L24" s="594"/>
      <c r="M24" s="81"/>
      <c r="N24" s="657"/>
      <c r="O24" s="594"/>
      <c r="Q24" s="648"/>
      <c r="R24" s="651"/>
    </row>
    <row r="25" spans="2:18" ht="12.95" customHeight="1" thickBot="1" x14ac:dyDescent="0.3">
      <c r="B25" s="595" t="s">
        <v>8</v>
      </c>
      <c r="C25" s="620">
        <f>SUM('NY Waterway-(Port Imperial FC)'!O20:V20)</f>
        <v>11388</v>
      </c>
      <c r="D25" s="9"/>
      <c r="E25" s="595" t="s">
        <v>8</v>
      </c>
      <c r="F25" s="620">
        <f>SUM('NY Waterway-(Port Imperial FC)'!O31:V31)</f>
        <v>16719</v>
      </c>
      <c r="G25" s="81"/>
      <c r="H25" s="595" t="s">
        <v>8</v>
      </c>
      <c r="I25" s="620">
        <f>SUM('NY Waterway-(Port Imperial FC)'!O42:V42)</f>
        <v>20783</v>
      </c>
      <c r="J25" s="81"/>
      <c r="K25" s="595" t="s">
        <v>8</v>
      </c>
      <c r="L25" s="620">
        <f>SUM('NY Waterway-(Port Imperial FC)'!O53:V53)</f>
        <v>22187</v>
      </c>
      <c r="M25" s="81"/>
      <c r="N25" s="595" t="s">
        <v>8</v>
      </c>
      <c r="O25" s="620">
        <f>SUM('NY Waterway-(Port Imperial FC)'!O64:V64)</f>
        <v>12666</v>
      </c>
      <c r="Q25" s="649"/>
      <c r="R25" s="652"/>
    </row>
    <row r="26" spans="2:18" ht="12.95" customHeight="1" thickBot="1" x14ac:dyDescent="0.3">
      <c r="B26" s="596"/>
      <c r="C26" s="622"/>
      <c r="D26" s="83"/>
      <c r="E26" s="596"/>
      <c r="F26" s="622"/>
      <c r="G26" s="81"/>
      <c r="H26" s="596"/>
      <c r="I26" s="643"/>
      <c r="J26" s="81"/>
      <c r="K26" s="596"/>
      <c r="L26" s="644"/>
      <c r="M26" s="81"/>
      <c r="N26" s="657"/>
      <c r="O26" s="643"/>
      <c r="Q26" s="359"/>
      <c r="R26" s="362"/>
    </row>
    <row r="27" spans="2:18" ht="12.95" customHeight="1" thickBot="1" x14ac:dyDescent="0.3">
      <c r="B27" s="595" t="s">
        <v>9</v>
      </c>
      <c r="C27" s="620">
        <f>SUM('NY Waterway-(Port Imperial FC)'!K20:N20, 'Liberty Landing Ferry'!C14, 'New York Water Taxi'!C20)</f>
        <v>8309</v>
      </c>
      <c r="D27" s="9"/>
      <c r="E27" s="595" t="s">
        <v>9</v>
      </c>
      <c r="F27" s="599">
        <f>SUM('NY Waterway-(Port Imperial FC)'!K31:N31, 'Liberty Landing Ferry'!C25, 'New York Water Taxi'!C31)</f>
        <v>11449</v>
      </c>
      <c r="G27" s="81"/>
      <c r="H27" s="595" t="s">
        <v>9</v>
      </c>
      <c r="I27" s="620">
        <f>SUM('NY Waterway-(Port Imperial FC)'!K42:N42, 'Liberty Landing Ferry'!C36, 'New York Water Taxi'!C42)</f>
        <v>19837</v>
      </c>
      <c r="J27" s="81"/>
      <c r="K27" s="595" t="s">
        <v>9</v>
      </c>
      <c r="L27" s="620">
        <f>SUM('NY Waterway-(Port Imperial FC)'!K53:N53, 'Liberty Landing Ferry'!C47, 'New York Water Taxi'!C53)</f>
        <v>18839</v>
      </c>
      <c r="M27" s="81"/>
      <c r="N27" s="595" t="s">
        <v>9</v>
      </c>
      <c r="O27" s="620">
        <f>SUM('NY Waterway-(Port Imperial FC)'!K64:N64,'Liberty Landing Ferry'!C58,'New York Water Taxi'!C64)</f>
        <v>10957</v>
      </c>
      <c r="Q27" s="360" t="s">
        <v>103</v>
      </c>
      <c r="R27" s="363">
        <v>22</v>
      </c>
    </row>
    <row r="28" spans="2:18" ht="12.95" customHeight="1" thickBot="1" x14ac:dyDescent="0.3">
      <c r="B28" s="601"/>
      <c r="C28" s="622"/>
      <c r="D28" s="86"/>
      <c r="E28" s="601"/>
      <c r="F28" s="621"/>
      <c r="G28" s="81"/>
      <c r="H28" s="601"/>
      <c r="I28" s="621"/>
      <c r="J28" s="81"/>
      <c r="K28" s="601"/>
      <c r="L28" s="621"/>
      <c r="M28" s="81"/>
      <c r="N28" s="601"/>
      <c r="O28" s="621"/>
      <c r="Q28" s="358"/>
      <c r="R28" s="361"/>
    </row>
    <row r="29" spans="2:18" s="95" customFormat="1" ht="12.95" customHeight="1" x14ac:dyDescent="0.2">
      <c r="B29" s="595" t="s">
        <v>7</v>
      </c>
      <c r="C29" s="599">
        <f>SUM('New York Water Taxi'!D20)</f>
        <v>0</v>
      </c>
      <c r="D29" s="10"/>
      <c r="E29" s="595" t="s">
        <v>7</v>
      </c>
      <c r="F29" s="599">
        <f>SUM('New York Water Taxi'!D31)</f>
        <v>0</v>
      </c>
      <c r="G29" s="94"/>
      <c r="H29" s="595" t="s">
        <v>7</v>
      </c>
      <c r="I29" s="599">
        <f>SUM('New York Water Taxi'!D42)</f>
        <v>0</v>
      </c>
      <c r="J29" s="94"/>
      <c r="K29" s="595" t="s">
        <v>7</v>
      </c>
      <c r="L29" s="599">
        <f>SUM('New York Water Taxi'!D53)</f>
        <v>0</v>
      </c>
      <c r="M29" s="94"/>
      <c r="N29" s="595" t="s">
        <v>7</v>
      </c>
      <c r="O29" s="599">
        <f>SUM('New York Water Taxi'!D64)</f>
        <v>0</v>
      </c>
      <c r="Q29" s="647" t="s">
        <v>104</v>
      </c>
      <c r="R29" s="653">
        <f>R23/R27</f>
        <v>26077.909090909092</v>
      </c>
    </row>
    <row r="30" spans="2:18" s="95" customFormat="1" ht="12.95" customHeight="1" thickBot="1" x14ac:dyDescent="0.25">
      <c r="B30" s="601"/>
      <c r="C30" s="600"/>
      <c r="D30" s="89"/>
      <c r="E30" s="601"/>
      <c r="F30" s="632"/>
      <c r="G30" s="94"/>
      <c r="H30" s="601"/>
      <c r="I30" s="632"/>
      <c r="J30" s="94"/>
      <c r="K30" s="601"/>
      <c r="L30" s="632"/>
      <c r="M30" s="94"/>
      <c r="N30" s="601"/>
      <c r="O30" s="632"/>
      <c r="Q30" s="648"/>
      <c r="R30" s="654"/>
    </row>
    <row r="31" spans="2:18" ht="12.75" customHeight="1" thickBot="1" x14ac:dyDescent="0.3">
      <c r="B31" s="595" t="s">
        <v>90</v>
      </c>
      <c r="C31" s="599">
        <f>SUM('New York Water Taxi'!F20)</f>
        <v>0</v>
      </c>
      <c r="D31" s="81"/>
      <c r="E31" s="595" t="s">
        <v>90</v>
      </c>
      <c r="F31" s="599">
        <f>SUM('New York Water Taxi'!F31)</f>
        <v>0</v>
      </c>
      <c r="G31" s="81"/>
      <c r="H31" s="595" t="s">
        <v>90</v>
      </c>
      <c r="I31" s="599">
        <f>SUM('New York Water Taxi'!F42)</f>
        <v>0</v>
      </c>
      <c r="J31" s="81"/>
      <c r="K31" s="595" t="s">
        <v>90</v>
      </c>
      <c r="L31" s="599">
        <f>SUM('New York Water Taxi'!F53)</f>
        <v>0</v>
      </c>
      <c r="M31" s="81"/>
      <c r="N31" s="595" t="s">
        <v>90</v>
      </c>
      <c r="O31" s="599">
        <f>SUM('New York Water Taxi'!F64)</f>
        <v>0</v>
      </c>
      <c r="Q31" s="649"/>
      <c r="R31" s="655"/>
    </row>
    <row r="32" spans="2:18" ht="14.25" thickBot="1" x14ac:dyDescent="0.3">
      <c r="B32" s="601"/>
      <c r="C32" s="600"/>
      <c r="D32" s="81"/>
      <c r="E32" s="601"/>
      <c r="F32" s="603"/>
      <c r="G32" s="81"/>
      <c r="H32" s="601"/>
      <c r="I32" s="602"/>
      <c r="J32" s="81"/>
      <c r="K32" s="601"/>
      <c r="L32" s="603"/>
      <c r="M32" s="81"/>
      <c r="N32" s="601"/>
      <c r="O32" s="602"/>
    </row>
    <row r="33" spans="2:15" ht="12.75" customHeight="1" x14ac:dyDescent="0.25">
      <c r="B33" s="595" t="s">
        <v>87</v>
      </c>
      <c r="C33" s="599">
        <f>('New York Water Taxi'!G20)</f>
        <v>0</v>
      </c>
      <c r="D33" s="81"/>
      <c r="E33" s="595" t="s">
        <v>87</v>
      </c>
      <c r="F33" s="599">
        <f>'New York Water Taxi'!G31</f>
        <v>0</v>
      </c>
      <c r="G33" s="81"/>
      <c r="H33" s="595" t="s">
        <v>87</v>
      </c>
      <c r="I33" s="599">
        <f>'New York Water Taxi'!G42</f>
        <v>0</v>
      </c>
      <c r="J33" s="81"/>
      <c r="K33" s="595" t="s">
        <v>87</v>
      </c>
      <c r="L33" s="599">
        <f>'New York Water Taxi'!G53</f>
        <v>0</v>
      </c>
      <c r="M33" s="81"/>
      <c r="N33" s="595" t="s">
        <v>87</v>
      </c>
      <c r="O33" s="599">
        <f>SUM('New York Water Taxi'!G64)</f>
        <v>0</v>
      </c>
    </row>
    <row r="34" spans="2:15" ht="14.25" customHeight="1" thickBot="1" x14ac:dyDescent="0.3">
      <c r="B34" s="601"/>
      <c r="C34" s="600"/>
      <c r="D34" s="81"/>
      <c r="E34" s="601"/>
      <c r="F34" s="636"/>
      <c r="G34" s="81"/>
      <c r="H34" s="601"/>
      <c r="I34" s="605"/>
      <c r="J34" s="81"/>
      <c r="K34" s="601"/>
      <c r="L34" s="600"/>
      <c r="M34" s="81"/>
      <c r="N34" s="601"/>
      <c r="O34" s="600"/>
    </row>
    <row r="35" spans="2:15" x14ac:dyDescent="0.25">
      <c r="B35" s="597" t="s">
        <v>57</v>
      </c>
      <c r="C35" s="599">
        <f>SUM('NYC Ferry'!D20,'NYC Ferry'!N20,'New York Water Taxi'!E20)</f>
        <v>0</v>
      </c>
      <c r="D35" s="81"/>
      <c r="E35" s="597" t="s">
        <v>57</v>
      </c>
      <c r="F35" s="599">
        <f>SUM('NYC Ferry'!D31,'NYC Ferry'!N31,'New York Water Taxi'!E31)</f>
        <v>0</v>
      </c>
      <c r="G35" s="81"/>
      <c r="H35" s="597" t="s">
        <v>57</v>
      </c>
      <c r="I35" s="599">
        <f>SUM('NYC Ferry'!D42,'NYC Ferry'!N42,'New York Water Taxi'!E42)</f>
        <v>0</v>
      </c>
      <c r="J35" s="81"/>
      <c r="K35" s="597" t="s">
        <v>57</v>
      </c>
      <c r="L35" s="599">
        <f>SUM('NYC Ferry'!D53,'NYC Ferry'!N53,'New York Water Taxi'!E53)</f>
        <v>5598</v>
      </c>
      <c r="M35" s="81"/>
      <c r="N35" s="597" t="s">
        <v>57</v>
      </c>
      <c r="O35" s="599">
        <f>SUM('NYC Ferry'!D64,'NYC Ferry'!N64,'New York Water Taxi'!E64)</f>
        <v>3041</v>
      </c>
    </row>
    <row r="36" spans="2:15" ht="14.25" thickBot="1" x14ac:dyDescent="0.3">
      <c r="B36" s="598"/>
      <c r="C36" s="600"/>
      <c r="D36" s="81"/>
      <c r="E36" s="598"/>
      <c r="F36" s="600"/>
      <c r="G36" s="81"/>
      <c r="H36" s="598"/>
      <c r="I36" s="600"/>
      <c r="J36" s="81"/>
      <c r="K36" s="598"/>
      <c r="L36" s="600"/>
      <c r="M36" s="81"/>
      <c r="N36" s="598"/>
      <c r="O36" s="600"/>
    </row>
    <row r="37" spans="2:15" ht="12.75" customHeight="1" x14ac:dyDescent="0.25">
      <c r="B37" s="597" t="s">
        <v>58</v>
      </c>
      <c r="C37" s="599">
        <f>SUM('NYC Ferry'!E20)</f>
        <v>0</v>
      </c>
      <c r="D37" s="81"/>
      <c r="E37" s="597" t="s">
        <v>58</v>
      </c>
      <c r="F37" s="599">
        <f>SUM('NYC Ferry'!E31)</f>
        <v>0</v>
      </c>
      <c r="G37" s="81"/>
      <c r="H37" s="597" t="s">
        <v>58</v>
      </c>
      <c r="I37" s="599">
        <f>SUM('NYC Ferry'!E42)</f>
        <v>0</v>
      </c>
      <c r="J37" s="81"/>
      <c r="K37" s="597" t="s">
        <v>58</v>
      </c>
      <c r="L37" s="599">
        <f>SUM('NYC Ferry'!E53)</f>
        <v>0</v>
      </c>
      <c r="M37" s="81"/>
      <c r="N37" s="597" t="s">
        <v>58</v>
      </c>
      <c r="O37" s="599">
        <f>SUM('NYC Ferry'!E64)</f>
        <v>0</v>
      </c>
    </row>
    <row r="38" spans="2:15" ht="13.5" customHeight="1" thickBot="1" x14ac:dyDescent="0.3">
      <c r="B38" s="598"/>
      <c r="C38" s="600"/>
      <c r="D38" s="81"/>
      <c r="E38" s="598"/>
      <c r="F38" s="600"/>
      <c r="G38" s="81"/>
      <c r="H38" s="598"/>
      <c r="I38" s="600"/>
      <c r="J38" s="81"/>
      <c r="K38" s="598"/>
      <c r="L38" s="600"/>
      <c r="M38" s="81"/>
      <c r="N38" s="598"/>
      <c r="O38" s="600"/>
    </row>
    <row r="39" spans="2:15" ht="12.75" customHeight="1" x14ac:dyDescent="0.25">
      <c r="B39" s="597" t="s">
        <v>11</v>
      </c>
      <c r="C39" s="599">
        <f>SUM('NYC Ferry'!F20)</f>
        <v>3211</v>
      </c>
      <c r="D39" s="81"/>
      <c r="E39" s="597" t="s">
        <v>11</v>
      </c>
      <c r="F39" s="599">
        <f>SUM('NYC Ferry'!F31)</f>
        <v>5309</v>
      </c>
      <c r="G39" s="81"/>
      <c r="H39" s="597" t="s">
        <v>11</v>
      </c>
      <c r="I39" s="599">
        <f>SUM('NYC Ferry'!F42)</f>
        <v>6200</v>
      </c>
      <c r="J39" s="81"/>
      <c r="K39" s="597" t="s">
        <v>11</v>
      </c>
      <c r="L39" s="599">
        <f>SUM('NYC Ferry'!F53)</f>
        <v>5862</v>
      </c>
      <c r="M39" s="81"/>
      <c r="N39" s="597" t="s">
        <v>11</v>
      </c>
      <c r="O39" s="599">
        <f>SUM('NYC Ferry'!F64)</f>
        <v>3320</v>
      </c>
    </row>
    <row r="40" spans="2:15" ht="13.5" customHeight="1" thickBot="1" x14ac:dyDescent="0.3">
      <c r="B40" s="598"/>
      <c r="C40" s="600"/>
      <c r="D40" s="81"/>
      <c r="E40" s="598"/>
      <c r="F40" s="600"/>
      <c r="G40" s="81"/>
      <c r="H40" s="598"/>
      <c r="I40" s="600"/>
      <c r="J40" s="81"/>
      <c r="K40" s="598"/>
      <c r="L40" s="600"/>
      <c r="M40" s="81"/>
      <c r="N40" s="598"/>
      <c r="O40" s="600"/>
    </row>
    <row r="41" spans="2:15" ht="12.75" customHeight="1" x14ac:dyDescent="0.25">
      <c r="B41" s="597" t="s">
        <v>12</v>
      </c>
      <c r="C41" s="599">
        <f>SUM('NYC Ferry'!G20)</f>
        <v>0</v>
      </c>
      <c r="D41" s="81"/>
      <c r="E41" s="597" t="s">
        <v>12</v>
      </c>
      <c r="F41" s="599">
        <f>SUM('NYC Ferry'!G31)</f>
        <v>0</v>
      </c>
      <c r="G41" s="81"/>
      <c r="H41" s="597" t="s">
        <v>12</v>
      </c>
      <c r="I41" s="599">
        <f>SUM('NYC Ferry'!G42)</f>
        <v>0</v>
      </c>
      <c r="J41" s="81"/>
      <c r="K41" s="597" t="s">
        <v>12</v>
      </c>
      <c r="L41" s="599">
        <f>SUM('NYC Ferry'!G53)</f>
        <v>0</v>
      </c>
      <c r="M41" s="81"/>
      <c r="N41" s="597" t="s">
        <v>12</v>
      </c>
      <c r="O41" s="599">
        <f>SUM('NYC Ferry'!G64)</f>
        <v>0</v>
      </c>
    </row>
    <row r="42" spans="2:15" ht="13.5" customHeight="1" thickBot="1" x14ac:dyDescent="0.3">
      <c r="B42" s="598"/>
      <c r="C42" s="600"/>
      <c r="D42" s="81"/>
      <c r="E42" s="598"/>
      <c r="F42" s="600"/>
      <c r="G42" s="81"/>
      <c r="H42" s="598"/>
      <c r="I42" s="600"/>
      <c r="J42" s="81"/>
      <c r="K42" s="598"/>
      <c r="L42" s="600"/>
      <c r="M42" s="81"/>
      <c r="N42" s="598"/>
      <c r="O42" s="600"/>
    </row>
    <row r="43" spans="2:15" ht="12.75" customHeight="1" x14ac:dyDescent="0.25">
      <c r="B43" s="597" t="s">
        <v>83</v>
      </c>
      <c r="C43" s="599">
        <f>SUM('NYC Ferry'!H20,)</f>
        <v>1678</v>
      </c>
      <c r="D43" s="81"/>
      <c r="E43" s="597" t="s">
        <v>83</v>
      </c>
      <c r="F43" s="599">
        <f>SUM('NYC Ferry'!H31)</f>
        <v>2673</v>
      </c>
      <c r="G43" s="81"/>
      <c r="H43" s="597" t="s">
        <v>83</v>
      </c>
      <c r="I43" s="599">
        <f>SUM('NYC Ferry'!H42)</f>
        <v>3176</v>
      </c>
      <c r="J43" s="81"/>
      <c r="K43" s="597" t="s">
        <v>83</v>
      </c>
      <c r="L43" s="599">
        <f>SUM('NYC Ferry'!H53)</f>
        <v>3164</v>
      </c>
      <c r="M43" s="81"/>
      <c r="N43" s="597" t="s">
        <v>83</v>
      </c>
      <c r="O43" s="599">
        <f>SUM('NYC Ferry'!H64,)</f>
        <v>1538</v>
      </c>
    </row>
    <row r="44" spans="2:15" ht="13.5" customHeight="1" thickBot="1" x14ac:dyDescent="0.3">
      <c r="B44" s="598"/>
      <c r="C44" s="600"/>
      <c r="D44" s="81"/>
      <c r="E44" s="598"/>
      <c r="F44" s="600"/>
      <c r="G44" s="81"/>
      <c r="H44" s="598"/>
      <c r="I44" s="600"/>
      <c r="J44" s="81"/>
      <c r="K44" s="598"/>
      <c r="L44" s="600"/>
      <c r="M44" s="81"/>
      <c r="N44" s="598"/>
      <c r="O44" s="600"/>
    </row>
    <row r="45" spans="2:15" ht="12.75" customHeight="1" x14ac:dyDescent="0.25">
      <c r="B45" s="597" t="s">
        <v>71</v>
      </c>
      <c r="C45" s="599">
        <f>SUM('NYC Ferry'!P20)</f>
        <v>431</v>
      </c>
      <c r="D45" s="81"/>
      <c r="E45" s="597" t="s">
        <v>71</v>
      </c>
      <c r="F45" s="599">
        <f>SUM('NYC Ferry'!P31)</f>
        <v>768</v>
      </c>
      <c r="G45" s="81"/>
      <c r="H45" s="597" t="s">
        <v>71</v>
      </c>
      <c r="I45" s="599">
        <f>SUM('NYC Ferry'!P42)</f>
        <v>909</v>
      </c>
      <c r="J45" s="81"/>
      <c r="K45" s="597" t="s">
        <v>71</v>
      </c>
      <c r="L45" s="599">
        <f>SUM('NYC Ferry'!P53)</f>
        <v>787</v>
      </c>
      <c r="M45" s="81"/>
      <c r="N45" s="597" t="s">
        <v>71</v>
      </c>
      <c r="O45" s="599">
        <f>SUM('NYC Ferry'!P64)</f>
        <v>410</v>
      </c>
    </row>
    <row r="46" spans="2:15" ht="13.5" customHeight="1" thickBot="1" x14ac:dyDescent="0.3">
      <c r="B46" s="598"/>
      <c r="C46" s="600"/>
      <c r="D46" s="81"/>
      <c r="E46" s="598"/>
      <c r="F46" s="600"/>
      <c r="G46" s="81"/>
      <c r="H46" s="598"/>
      <c r="I46" s="600"/>
      <c r="J46" s="81"/>
      <c r="K46" s="598"/>
      <c r="L46" s="600"/>
      <c r="M46" s="81"/>
      <c r="N46" s="598"/>
      <c r="O46" s="600"/>
    </row>
    <row r="47" spans="2:15" ht="13.5" customHeight="1" x14ac:dyDescent="0.25">
      <c r="B47" s="597" t="s">
        <v>96</v>
      </c>
      <c r="C47" s="599">
        <f>'New York Water Taxi'!K20</f>
        <v>0</v>
      </c>
      <c r="D47" s="81"/>
      <c r="E47" s="597" t="s">
        <v>96</v>
      </c>
      <c r="F47" s="599">
        <f>'New York Water Taxi'!K31</f>
        <v>0</v>
      </c>
      <c r="G47" s="81"/>
      <c r="H47" s="597" t="s">
        <v>96</v>
      </c>
      <c r="I47" s="599">
        <f>SUM('New York Water Taxi'!K42)</f>
        <v>0</v>
      </c>
      <c r="J47" s="81"/>
      <c r="K47" s="597" t="s">
        <v>96</v>
      </c>
      <c r="L47" s="599">
        <f>'New York Water Taxi'!K53</f>
        <v>0</v>
      </c>
      <c r="M47" s="81"/>
      <c r="N47" s="597" t="s">
        <v>96</v>
      </c>
      <c r="O47" s="599">
        <f>SUM('New York Water Taxi'!K64)</f>
        <v>0</v>
      </c>
    </row>
    <row r="48" spans="2:15" ht="13.5" customHeight="1" thickBot="1" x14ac:dyDescent="0.3">
      <c r="B48" s="598"/>
      <c r="C48" s="600"/>
      <c r="D48" s="81"/>
      <c r="E48" s="598"/>
      <c r="F48" s="600"/>
      <c r="G48" s="81"/>
      <c r="H48" s="598"/>
      <c r="I48" s="641"/>
      <c r="J48" s="81"/>
      <c r="K48" s="598"/>
      <c r="L48" s="641"/>
      <c r="M48" s="81"/>
      <c r="N48" s="598"/>
      <c r="O48" s="641"/>
    </row>
    <row r="49" spans="2:15" ht="13.5" customHeight="1" x14ac:dyDescent="0.25">
      <c r="B49" s="634" t="s">
        <v>102</v>
      </c>
      <c r="C49" s="599">
        <f>SUM('NYC Ferry'!K20,'NYC Ferry'!Q20,'New York Water Taxi'!I20)</f>
        <v>1473</v>
      </c>
      <c r="D49" s="81"/>
      <c r="E49" s="634" t="s">
        <v>102</v>
      </c>
      <c r="F49" s="599">
        <f>SUM('NYC Ferry'!K31,'NYC Ferry'!Q31,'New York Water Taxi'!I31)</f>
        <v>2330</v>
      </c>
      <c r="G49" s="81"/>
      <c r="H49" s="634" t="s">
        <v>102</v>
      </c>
      <c r="I49" s="599">
        <f>SUM('NYC Ferry'!K42,'NYC Ferry'!Q42,'New York Water Taxi'!I42)</f>
        <v>2854</v>
      </c>
      <c r="J49" s="81"/>
      <c r="K49" s="634" t="s">
        <v>102</v>
      </c>
      <c r="L49" s="599">
        <f>SUM('NYC Ferry'!K53,'NYC Ferry'!Q53,'New York Water Taxi'!I53)</f>
        <v>2588</v>
      </c>
      <c r="M49" s="81"/>
      <c r="N49" s="634" t="s">
        <v>102</v>
      </c>
      <c r="O49" s="599">
        <f>SUM('NYC Ferry'!K64,'NYC Ferry'!Q64,'New York Water Taxi'!I64)</f>
        <v>1812</v>
      </c>
    </row>
    <row r="50" spans="2:15" ht="13.5" customHeight="1" thickBot="1" x14ac:dyDescent="0.3">
      <c r="B50" s="635"/>
      <c r="C50" s="600"/>
      <c r="D50" s="81"/>
      <c r="E50" s="635"/>
      <c r="F50" s="600"/>
      <c r="G50" s="81"/>
      <c r="H50" s="635"/>
      <c r="I50" s="605"/>
      <c r="J50" s="81"/>
      <c r="K50" s="635"/>
      <c r="L50" s="605"/>
      <c r="M50" s="81"/>
      <c r="N50" s="635"/>
      <c r="O50" s="605"/>
    </row>
    <row r="51" spans="2:15" ht="13.5" customHeight="1" x14ac:dyDescent="0.25">
      <c r="B51" s="597" t="s">
        <v>77</v>
      </c>
      <c r="C51" s="599">
        <f>SUM('NYC Ferry'!AH20,'NYC Ferry'!AE20)</f>
        <v>622</v>
      </c>
      <c r="D51" s="81"/>
      <c r="E51" s="597" t="s">
        <v>77</v>
      </c>
      <c r="F51" s="599">
        <f>SUM('NYC Ferry'!AH31,'NYC Ferry'!AE31,)</f>
        <v>1004</v>
      </c>
      <c r="G51" s="81"/>
      <c r="H51" s="597" t="s">
        <v>77</v>
      </c>
      <c r="I51" s="604">
        <f>SUM('NYC Ferry'!AH42,'NYC Ferry'!AE42)</f>
        <v>1207</v>
      </c>
      <c r="J51" s="81"/>
      <c r="K51" s="597" t="s">
        <v>77</v>
      </c>
      <c r="L51" s="604">
        <f>SUM('NYC Ferry'!AH53,'NYC Ferry'!AE53,)</f>
        <v>1007</v>
      </c>
      <c r="M51" s="81"/>
      <c r="N51" s="597" t="s">
        <v>77</v>
      </c>
      <c r="O51" s="604">
        <f>SUM('NYC Ferry'!AH64,'NYC Ferry'!AE64,)</f>
        <v>680</v>
      </c>
    </row>
    <row r="52" spans="2:15" ht="13.5" customHeight="1" thickBot="1" x14ac:dyDescent="0.3">
      <c r="B52" s="598"/>
      <c r="C52" s="600"/>
      <c r="D52" s="81"/>
      <c r="E52" s="598"/>
      <c r="F52" s="600"/>
      <c r="G52" s="81"/>
      <c r="H52" s="598"/>
      <c r="I52" s="605"/>
      <c r="J52" s="81"/>
      <c r="K52" s="598"/>
      <c r="L52" s="605"/>
      <c r="M52" s="81"/>
      <c r="N52" s="598"/>
      <c r="O52" s="605"/>
    </row>
    <row r="53" spans="2:15" ht="13.5" customHeight="1" x14ac:dyDescent="0.25">
      <c r="B53" s="597" t="s">
        <v>78</v>
      </c>
      <c r="C53" s="599">
        <f>SUM('NYC Ferry'!AG20,'NYC Ferry'!S20,)</f>
        <v>253</v>
      </c>
      <c r="D53" s="81"/>
      <c r="E53" s="597" t="s">
        <v>78</v>
      </c>
      <c r="F53" s="599">
        <f>SUM('NYC Ferry'!AG31,'NYC Ferry'!S31,)</f>
        <v>475</v>
      </c>
      <c r="G53" s="81"/>
      <c r="H53" s="597" t="s">
        <v>78</v>
      </c>
      <c r="I53" s="604">
        <f>SUM('NYC Ferry'!AG42,'NYC Ferry'!S42,)</f>
        <v>728</v>
      </c>
      <c r="J53" s="81"/>
      <c r="K53" s="597" t="s">
        <v>78</v>
      </c>
      <c r="L53" s="604">
        <f>SUM('NYC Ferry'!AG53,'NYC Ferry'!S53,)</f>
        <v>666</v>
      </c>
      <c r="M53" s="81"/>
      <c r="N53" s="597" t="s">
        <v>78</v>
      </c>
      <c r="O53" s="604">
        <f>SUM('NYC Ferry'!AG64,'NYC Ferry'!S64,)</f>
        <v>405</v>
      </c>
    </row>
    <row r="54" spans="2:15" ht="13.5" customHeight="1" thickBot="1" x14ac:dyDescent="0.3">
      <c r="B54" s="598"/>
      <c r="C54" s="600"/>
      <c r="D54" s="81"/>
      <c r="E54" s="598"/>
      <c r="F54" s="600"/>
      <c r="G54" s="81"/>
      <c r="H54" s="598"/>
      <c r="I54" s="605"/>
      <c r="J54" s="81"/>
      <c r="K54" s="598"/>
      <c r="L54" s="605"/>
      <c r="M54" s="81"/>
      <c r="N54" s="598"/>
      <c r="O54" s="605"/>
    </row>
    <row r="55" spans="2:15" ht="13.5" customHeight="1" x14ac:dyDescent="0.25">
      <c r="B55" s="597" t="s">
        <v>80</v>
      </c>
      <c r="C55" s="599">
        <f>SUM('NYC Ferry'!AD20)</f>
        <v>1738</v>
      </c>
      <c r="D55" s="81"/>
      <c r="E55" s="597" t="s">
        <v>80</v>
      </c>
      <c r="F55" s="599">
        <f>SUM('NYC Ferry'!AD31,)</f>
        <v>2751</v>
      </c>
      <c r="G55" s="81"/>
      <c r="H55" s="597" t="s">
        <v>80</v>
      </c>
      <c r="I55" s="604">
        <f>SUM('NYC Ferry'!AD42,)</f>
        <v>3376</v>
      </c>
      <c r="J55" s="81"/>
      <c r="K55" s="597" t="s">
        <v>80</v>
      </c>
      <c r="L55" s="604">
        <f>SUM('NYC Ferry'!AD53,)</f>
        <v>3225</v>
      </c>
      <c r="M55" s="81"/>
      <c r="N55" s="597" t="s">
        <v>80</v>
      </c>
      <c r="O55" s="604">
        <f>SUM('NYC Ferry'!AD64,)</f>
        <v>2112</v>
      </c>
    </row>
    <row r="56" spans="2:15" ht="13.5" customHeight="1" thickBot="1" x14ac:dyDescent="0.3">
      <c r="B56" s="598"/>
      <c r="C56" s="600"/>
      <c r="D56" s="81"/>
      <c r="E56" s="598"/>
      <c r="F56" s="600"/>
      <c r="G56" s="81"/>
      <c r="H56" s="598"/>
      <c r="I56" s="605"/>
      <c r="J56" s="81"/>
      <c r="K56" s="598"/>
      <c r="L56" s="605"/>
      <c r="M56" s="81"/>
      <c r="N56" s="598"/>
      <c r="O56" s="605"/>
    </row>
    <row r="57" spans="2:15" ht="13.5" customHeight="1" x14ac:dyDescent="0.25">
      <c r="B57" s="597" t="s">
        <v>79</v>
      </c>
      <c r="C57" s="599">
        <f>SUM('NYC Ferry'!AC20,'NYC Ferry'!Z20)</f>
        <v>3032</v>
      </c>
      <c r="D57" s="81"/>
      <c r="E57" s="597" t="s">
        <v>79</v>
      </c>
      <c r="F57" s="599">
        <f>SUM('NYC Ferry'!AC31,'NYC Ferry'!Z31)</f>
        <v>4081</v>
      </c>
      <c r="G57" s="81"/>
      <c r="H57" s="597" t="s">
        <v>79</v>
      </c>
      <c r="I57" s="604">
        <f>SUM('NYC Ferry'!AC42,'NYC Ferry'!Z42)</f>
        <v>4849</v>
      </c>
      <c r="J57" s="81"/>
      <c r="K57" s="597" t="s">
        <v>79</v>
      </c>
      <c r="L57" s="604">
        <f>SUM('NYC Ferry'!AC53,'NYC Ferry'!Z53)</f>
        <v>4682</v>
      </c>
      <c r="M57" s="81"/>
      <c r="N57" s="597" t="s">
        <v>79</v>
      </c>
      <c r="O57" s="604">
        <f>SUM('NYC Ferry'!AC64,'NYC Ferry'!Z64)</f>
        <v>2655</v>
      </c>
    </row>
    <row r="58" spans="2:15" ht="13.5" customHeight="1" thickBot="1" x14ac:dyDescent="0.3">
      <c r="B58" s="598"/>
      <c r="C58" s="600"/>
      <c r="D58" s="81"/>
      <c r="E58" s="598"/>
      <c r="F58" s="600"/>
      <c r="G58" s="81"/>
      <c r="H58" s="598"/>
      <c r="I58" s="605"/>
      <c r="J58" s="81"/>
      <c r="K58" s="598"/>
      <c r="L58" s="605"/>
      <c r="M58" s="81"/>
      <c r="N58" s="598"/>
      <c r="O58" s="605"/>
    </row>
    <row r="59" spans="2:15" ht="12.75" customHeight="1" x14ac:dyDescent="0.25">
      <c r="B59" s="597" t="s">
        <v>124</v>
      </c>
      <c r="C59" s="599">
        <f>SUM('NYC Ferry'!O20,,'NY Waterway-(Port Imperial FC)'!J20)</f>
        <v>1182</v>
      </c>
      <c r="D59" s="81"/>
      <c r="E59" s="597" t="s">
        <v>124</v>
      </c>
      <c r="F59" s="599">
        <f>SUM('NYC Ferry'!O31,'NY Waterway-(Port Imperial FC)'!J31)</f>
        <v>1880</v>
      </c>
      <c r="G59" s="81"/>
      <c r="H59" s="597" t="s">
        <v>124</v>
      </c>
      <c r="I59" s="599">
        <f>SUM('NYC Ferry'!O42,'NY Waterway-(Port Imperial FC)'!J42)</f>
        <v>2358</v>
      </c>
      <c r="J59" s="81"/>
      <c r="K59" s="597" t="s">
        <v>124</v>
      </c>
      <c r="L59" s="599">
        <f>SUM('NYC Ferry'!O53,'NY Waterway-(Port Imperial FC)'!J53)</f>
        <v>1550</v>
      </c>
      <c r="M59" s="81"/>
      <c r="N59" s="597" t="s">
        <v>124</v>
      </c>
      <c r="O59" s="599">
        <f>SUM('NYC Ferry'!O64,,'NY Waterway-(Port Imperial FC)'!J64)</f>
        <v>906</v>
      </c>
    </row>
    <row r="60" spans="2:15" ht="13.5" customHeight="1" thickBot="1" x14ac:dyDescent="0.3">
      <c r="B60" s="598"/>
      <c r="C60" s="600"/>
      <c r="D60" s="81"/>
      <c r="E60" s="598"/>
      <c r="F60" s="600"/>
      <c r="G60" s="81"/>
      <c r="H60" s="598"/>
      <c r="I60" s="600"/>
      <c r="J60" s="81"/>
      <c r="K60" s="598"/>
      <c r="L60" s="600"/>
      <c r="M60" s="81"/>
      <c r="N60" s="598"/>
      <c r="O60" s="600"/>
    </row>
    <row r="61" spans="2:15" ht="13.5" customHeight="1" x14ac:dyDescent="0.25">
      <c r="B61" s="637" t="s">
        <v>121</v>
      </c>
      <c r="C61" s="599">
        <f>'NYC Ferry'!AL20</f>
        <v>0</v>
      </c>
      <c r="D61" s="81"/>
      <c r="E61" s="637" t="s">
        <v>121</v>
      </c>
      <c r="F61" s="599">
        <f>'NYC Ferry'!AL31</f>
        <v>0</v>
      </c>
      <c r="G61" s="81"/>
      <c r="H61" s="637" t="s">
        <v>121</v>
      </c>
      <c r="I61" s="641">
        <f>'NYC Ferry'!AL42</f>
        <v>0</v>
      </c>
      <c r="J61" s="81"/>
      <c r="K61" s="637" t="s">
        <v>121</v>
      </c>
      <c r="L61" s="641">
        <f>SUM('NYC Ferry'!AL53)</f>
        <v>0</v>
      </c>
      <c r="M61" s="81"/>
      <c r="N61" s="637" t="s">
        <v>121</v>
      </c>
      <c r="O61" s="641">
        <f>SUM('NYC Ferry'!AL64,)</f>
        <v>0</v>
      </c>
    </row>
    <row r="62" spans="2:15" ht="13.5" customHeight="1" thickBot="1" x14ac:dyDescent="0.3">
      <c r="B62" s="635"/>
      <c r="C62" s="600"/>
      <c r="D62" s="81"/>
      <c r="E62" s="635"/>
      <c r="F62" s="600"/>
      <c r="G62" s="81"/>
      <c r="H62" s="635"/>
      <c r="I62" s="600"/>
      <c r="J62" s="81"/>
      <c r="K62" s="635"/>
      <c r="L62" s="600"/>
      <c r="M62" s="81"/>
      <c r="N62" s="635"/>
      <c r="O62" s="600"/>
    </row>
    <row r="63" spans="2:15" ht="13.5" customHeight="1" x14ac:dyDescent="0.25">
      <c r="B63" s="637" t="s">
        <v>122</v>
      </c>
      <c r="C63" s="599">
        <f>'NY Waterway-(Port Imperial FC)'!I20</f>
        <v>8648</v>
      </c>
      <c r="D63" s="81"/>
      <c r="E63" s="637" t="s">
        <v>122</v>
      </c>
      <c r="F63" s="599">
        <f>'NY Waterway-(Port Imperial FC)'!I31</f>
        <v>15314</v>
      </c>
      <c r="G63" s="81"/>
      <c r="H63" s="637" t="s">
        <v>122</v>
      </c>
      <c r="I63" s="641">
        <f>'NY Waterway-(Port Imperial FC)'!I42</f>
        <v>17308</v>
      </c>
      <c r="J63" s="81"/>
      <c r="K63" s="637" t="s">
        <v>122</v>
      </c>
      <c r="L63" s="641">
        <f>SUM(,'NY Waterway-(Port Imperial FC)'!I53)</f>
        <v>18834</v>
      </c>
      <c r="M63" s="81"/>
      <c r="N63" s="637" t="s">
        <v>122</v>
      </c>
      <c r="O63" s="641">
        <f>'NY Waterway-(Port Imperial FC)'!I64</f>
        <v>7316</v>
      </c>
    </row>
    <row r="64" spans="2:15" ht="13.5" customHeight="1" thickBot="1" x14ac:dyDescent="0.3">
      <c r="B64" s="635"/>
      <c r="C64" s="600"/>
      <c r="D64" s="81"/>
      <c r="E64" s="635"/>
      <c r="F64" s="600"/>
      <c r="G64" s="81"/>
      <c r="H64" s="635"/>
      <c r="I64" s="600"/>
      <c r="J64" s="81"/>
      <c r="K64" s="635"/>
      <c r="L64" s="600"/>
      <c r="M64" s="81"/>
      <c r="N64" s="635"/>
      <c r="O64" s="600"/>
    </row>
    <row r="65" spans="2:15" ht="13.5" customHeight="1" x14ac:dyDescent="0.25">
      <c r="B65" s="597" t="s">
        <v>70</v>
      </c>
      <c r="C65" s="599">
        <f>'NYC Ferry'!R20</f>
        <v>679</v>
      </c>
      <c r="D65" s="81"/>
      <c r="E65" s="597" t="s">
        <v>70</v>
      </c>
      <c r="F65" s="599">
        <f>'NYC Ferry'!R31</f>
        <v>1067</v>
      </c>
      <c r="G65" s="81"/>
      <c r="H65" s="597" t="s">
        <v>70</v>
      </c>
      <c r="I65" s="641">
        <f>'NYC Ferry'!R42</f>
        <v>1520</v>
      </c>
      <c r="J65" s="81"/>
      <c r="K65" s="597" t="s">
        <v>70</v>
      </c>
      <c r="L65" s="641">
        <f>'NYC Ferry'!R53</f>
        <v>1423</v>
      </c>
      <c r="M65" s="81"/>
      <c r="N65" s="597" t="s">
        <v>70</v>
      </c>
      <c r="O65" s="641">
        <f>SUM('NYC Ferry'!R64)</f>
        <v>800</v>
      </c>
    </row>
    <row r="66" spans="2:15" ht="13.5" customHeight="1" thickBot="1" x14ac:dyDescent="0.3">
      <c r="B66" s="598"/>
      <c r="C66" s="600"/>
      <c r="D66" s="81"/>
      <c r="E66" s="598"/>
      <c r="F66" s="600"/>
      <c r="G66" s="81"/>
      <c r="H66" s="598"/>
      <c r="I66" s="600"/>
      <c r="J66" s="81"/>
      <c r="K66" s="598"/>
      <c r="L66" s="600"/>
      <c r="M66" s="81"/>
      <c r="N66" s="598"/>
      <c r="O66" s="600"/>
    </row>
    <row r="67" spans="2:15" ht="13.5" customHeight="1" x14ac:dyDescent="0.25">
      <c r="B67" s="642" t="s">
        <v>65</v>
      </c>
      <c r="C67" s="599">
        <f>'NYC Ferry'!L20</f>
        <v>1719</v>
      </c>
      <c r="D67" s="81"/>
      <c r="E67" s="642" t="s">
        <v>65</v>
      </c>
      <c r="F67" s="599">
        <f>'NYC Ferry'!L31</f>
        <v>3637</v>
      </c>
      <c r="G67" s="81"/>
      <c r="H67" s="642" t="s">
        <v>65</v>
      </c>
      <c r="I67" s="641">
        <f>'NYC Ferry'!L42</f>
        <v>5078</v>
      </c>
      <c r="J67" s="81"/>
      <c r="K67" s="642" t="s">
        <v>65</v>
      </c>
      <c r="L67" s="641">
        <f>'NYC Ferry'!L53</f>
        <v>4937</v>
      </c>
      <c r="M67" s="81"/>
      <c r="N67" s="642" t="s">
        <v>65</v>
      </c>
      <c r="O67" s="641">
        <f>SUM('NYC Ferry'!L64)</f>
        <v>5199</v>
      </c>
    </row>
    <row r="68" spans="2:15" ht="13.5" customHeight="1" thickBot="1" x14ac:dyDescent="0.3">
      <c r="B68" s="598"/>
      <c r="C68" s="600"/>
      <c r="D68" s="81"/>
      <c r="E68" s="598"/>
      <c r="F68" s="600"/>
      <c r="G68" s="81"/>
      <c r="H68" s="598"/>
      <c r="I68" s="600"/>
      <c r="J68" s="81"/>
      <c r="K68" s="598"/>
      <c r="L68" s="600"/>
      <c r="M68" s="81"/>
      <c r="N68" s="598"/>
      <c r="O68" s="600"/>
    </row>
    <row r="69" spans="2:15" ht="13.5" customHeight="1" x14ac:dyDescent="0.25">
      <c r="B69" s="642" t="s">
        <v>72</v>
      </c>
      <c r="C69" s="599">
        <f>SUM('NYC Ferry'!Y20)</f>
        <v>1808</v>
      </c>
      <c r="D69" s="81"/>
      <c r="E69" s="642" t="s">
        <v>72</v>
      </c>
      <c r="F69" s="599">
        <f>SUM('NYC Ferry'!Y31)</f>
        <v>2792</v>
      </c>
      <c r="G69" s="81"/>
      <c r="H69" s="642" t="s">
        <v>72</v>
      </c>
      <c r="I69" s="641">
        <f>SUM('NYC Ferry'!Y42)</f>
        <v>3311</v>
      </c>
      <c r="J69" s="81"/>
      <c r="K69" s="642" t="s">
        <v>72</v>
      </c>
      <c r="L69" s="641">
        <f>SUM('NYC Ferry'!Y53)</f>
        <v>3053</v>
      </c>
      <c r="M69" s="81"/>
      <c r="N69" s="642" t="s">
        <v>72</v>
      </c>
      <c r="O69" s="641">
        <f>SUM('NYC Ferry'!Y64)</f>
        <v>1571</v>
      </c>
    </row>
    <row r="70" spans="2:15" ht="13.5" customHeight="1" thickBot="1" x14ac:dyDescent="0.3">
      <c r="B70" s="598"/>
      <c r="C70" s="600"/>
      <c r="D70" s="81"/>
      <c r="E70" s="598"/>
      <c r="F70" s="600"/>
      <c r="G70" s="81"/>
      <c r="H70" s="598"/>
      <c r="I70" s="600"/>
      <c r="J70" s="81"/>
      <c r="K70" s="598"/>
      <c r="L70" s="600"/>
      <c r="M70" s="81"/>
      <c r="N70" s="598"/>
      <c r="O70" s="600"/>
    </row>
    <row r="71" spans="2:15" ht="13.5" customHeight="1" x14ac:dyDescent="0.25">
      <c r="B71" s="642" t="s">
        <v>73</v>
      </c>
      <c r="C71" s="599">
        <f>SUM('NYC Ferry'!X20)</f>
        <v>1280</v>
      </c>
      <c r="D71" s="81"/>
      <c r="E71" s="642" t="s">
        <v>73</v>
      </c>
      <c r="F71" s="599">
        <f>SUM('NYC Ferry'!X31)</f>
        <v>1805</v>
      </c>
      <c r="G71" s="81"/>
      <c r="H71" s="642" t="s">
        <v>73</v>
      </c>
      <c r="I71" s="641">
        <f>SUM('NYC Ferry'!X42)</f>
        <v>2338</v>
      </c>
      <c r="J71" s="81"/>
      <c r="K71" s="642" t="s">
        <v>73</v>
      </c>
      <c r="L71" s="641">
        <f>SUM('NYC Ferry'!X53)</f>
        <v>1985</v>
      </c>
      <c r="M71" s="81"/>
      <c r="N71" s="642" t="s">
        <v>73</v>
      </c>
      <c r="O71" s="641">
        <f>SUM('NYC Ferry'!X64)</f>
        <v>1069</v>
      </c>
    </row>
    <row r="72" spans="2:15" ht="13.5" customHeight="1" thickBot="1" x14ac:dyDescent="0.3">
      <c r="B72" s="598"/>
      <c r="C72" s="600"/>
      <c r="D72" s="81"/>
      <c r="E72" s="598"/>
      <c r="F72" s="600"/>
      <c r="G72" s="81"/>
      <c r="H72" s="598"/>
      <c r="I72" s="600"/>
      <c r="J72" s="81"/>
      <c r="K72" s="598"/>
      <c r="L72" s="600"/>
      <c r="M72" s="81"/>
      <c r="N72" s="598"/>
      <c r="O72" s="600"/>
    </row>
    <row r="73" spans="2:15" ht="13.5" customHeight="1" x14ac:dyDescent="0.25">
      <c r="B73" s="597" t="s">
        <v>100</v>
      </c>
      <c r="C73" s="599">
        <f>'NYC Ferry'!U20</f>
        <v>1223</v>
      </c>
      <c r="D73" s="81"/>
      <c r="E73" s="597" t="s">
        <v>100</v>
      </c>
      <c r="F73" s="599">
        <f>'NYC Ferry'!U31</f>
        <v>1731</v>
      </c>
      <c r="G73" s="81"/>
      <c r="H73" s="597" t="s">
        <v>100</v>
      </c>
      <c r="I73" s="599">
        <f>'NYC Ferry'!U42</f>
        <v>1929</v>
      </c>
      <c r="J73" s="81"/>
      <c r="K73" s="597" t="s">
        <v>100</v>
      </c>
      <c r="L73" s="599">
        <f>'NYC Ferry'!U53</f>
        <v>1680</v>
      </c>
      <c r="M73" s="81"/>
      <c r="N73" s="597" t="s">
        <v>100</v>
      </c>
      <c r="O73" s="599">
        <f>SUM('NYC Ferry'!U64)</f>
        <v>948</v>
      </c>
    </row>
    <row r="74" spans="2:15" ht="13.5" customHeight="1" thickBot="1" x14ac:dyDescent="0.3">
      <c r="B74" s="598"/>
      <c r="C74" s="600"/>
      <c r="D74" s="81"/>
      <c r="E74" s="598"/>
      <c r="F74" s="600"/>
      <c r="G74" s="81"/>
      <c r="H74" s="598"/>
      <c r="I74" s="600"/>
      <c r="J74" s="81"/>
      <c r="K74" s="598"/>
      <c r="L74" s="600"/>
      <c r="M74" s="81"/>
      <c r="N74" s="598"/>
      <c r="O74" s="600"/>
    </row>
    <row r="75" spans="2:15" ht="13.5" customHeight="1" x14ac:dyDescent="0.25">
      <c r="B75" s="597" t="s">
        <v>59</v>
      </c>
      <c r="C75" s="599">
        <f>SUM('NYC Ferry'!W20,'NYC Ferry'!AJ20)</f>
        <v>2072</v>
      </c>
      <c r="D75" s="81"/>
      <c r="E75" s="597" t="s">
        <v>59</v>
      </c>
      <c r="F75" s="599">
        <f>SUM(,'NYC Ferry'!W31, 'NYC Ferry'!AJ31)</f>
        <v>2904</v>
      </c>
      <c r="G75" s="81"/>
      <c r="H75" s="597" t="s">
        <v>59</v>
      </c>
      <c r="I75" s="599">
        <f>SUM(,'NYC Ferry'!W42,'NYC Ferry'!AJ42)</f>
        <v>4004</v>
      </c>
      <c r="J75" s="81"/>
      <c r="K75" s="597" t="s">
        <v>59</v>
      </c>
      <c r="L75" s="599">
        <f>SUM('NYC Ferry'!W53,'NYC Ferry'!AJ53)</f>
        <v>3308</v>
      </c>
      <c r="M75" s="81"/>
      <c r="N75" s="597" t="s">
        <v>59</v>
      </c>
      <c r="O75" s="599">
        <f>SUM('NYC Ferry'!W64,'NYC Ferry'!AJ64)</f>
        <v>2026</v>
      </c>
    </row>
    <row r="76" spans="2:15" ht="13.5" customHeight="1" thickBot="1" x14ac:dyDescent="0.3">
      <c r="B76" s="598"/>
      <c r="C76" s="600"/>
      <c r="D76" s="81"/>
      <c r="E76" s="598"/>
      <c r="F76" s="600"/>
      <c r="G76" s="81"/>
      <c r="H76" s="598"/>
      <c r="I76" s="600"/>
      <c r="J76" s="81"/>
      <c r="K76" s="598"/>
      <c r="L76" s="600"/>
      <c r="M76" s="81"/>
      <c r="N76" s="598"/>
      <c r="O76" s="600"/>
    </row>
    <row r="77" spans="2:15" x14ac:dyDescent="0.25">
      <c r="B77" s="638" t="s">
        <v>17</v>
      </c>
      <c r="C77" s="625">
        <f>SUM(C19:C76)</f>
        <v>74435</v>
      </c>
      <c r="D77" s="81"/>
      <c r="E77" s="638" t="s">
        <v>17</v>
      </c>
      <c r="F77" s="625">
        <f>SUM(F19:F76)</f>
        <v>114925</v>
      </c>
      <c r="G77" s="81"/>
      <c r="H77" s="638" t="s">
        <v>17</v>
      </c>
      <c r="I77" s="625">
        <f>SUM(I19:I76)</f>
        <v>146230</v>
      </c>
      <c r="J77" s="81"/>
      <c r="K77" s="640" t="s">
        <v>17</v>
      </c>
      <c r="L77" s="625">
        <f>SUM(L19:L76)</f>
        <v>149259</v>
      </c>
      <c r="M77" s="81"/>
      <c r="N77" s="640" t="s">
        <v>17</v>
      </c>
      <c r="O77" s="625">
        <f>SUM(O19:O76)</f>
        <v>88865</v>
      </c>
    </row>
    <row r="78" spans="2:15" ht="14.25" thickBot="1" x14ac:dyDescent="0.3">
      <c r="B78" s="639"/>
      <c r="C78" s="626"/>
      <c r="D78" s="81"/>
      <c r="E78" s="639"/>
      <c r="F78" s="626"/>
      <c r="G78" s="81"/>
      <c r="H78" s="639"/>
      <c r="I78" s="626"/>
      <c r="J78" s="81"/>
      <c r="K78" s="639"/>
      <c r="L78" s="626"/>
      <c r="M78" s="81"/>
      <c r="N78" s="639"/>
      <c r="O78" s="626"/>
    </row>
    <row r="79" spans="2:15" x14ac:dyDescent="0.25">
      <c r="D79" s="81"/>
      <c r="G79" s="81"/>
      <c r="J79" s="81"/>
      <c r="M79" s="81"/>
    </row>
    <row r="80" spans="2:15" x14ac:dyDescent="0.25">
      <c r="D80" s="81"/>
      <c r="G80" s="81"/>
      <c r="J80" s="81"/>
      <c r="M80" s="81"/>
    </row>
  </sheetData>
  <mergeCells count="388">
    <mergeCell ref="B63:B64"/>
    <mergeCell ref="C63:C64"/>
    <mergeCell ref="E63:E64"/>
    <mergeCell ref="F63:F64"/>
    <mergeCell ref="H63:H64"/>
    <mergeCell ref="I63:I64"/>
    <mergeCell ref="K63:K64"/>
    <mergeCell ref="L63:L64"/>
    <mergeCell ref="N63:N64"/>
    <mergeCell ref="N75:N76"/>
    <mergeCell ref="O75:O76"/>
    <mergeCell ref="N77:N78"/>
    <mergeCell ref="O77:O78"/>
    <mergeCell ref="N61:N62"/>
    <mergeCell ref="O61:O62"/>
    <mergeCell ref="N65:N66"/>
    <mergeCell ref="O65:O66"/>
    <mergeCell ref="N67:N68"/>
    <mergeCell ref="O67:O68"/>
    <mergeCell ref="N69:N70"/>
    <mergeCell ref="O69:O70"/>
    <mergeCell ref="N71:N72"/>
    <mergeCell ref="O71:O72"/>
    <mergeCell ref="O63:O64"/>
    <mergeCell ref="N53:N54"/>
    <mergeCell ref="O53:O54"/>
    <mergeCell ref="N55:N56"/>
    <mergeCell ref="O55:O56"/>
    <mergeCell ref="N57:N58"/>
    <mergeCell ref="O57:O58"/>
    <mergeCell ref="N59:N60"/>
    <mergeCell ref="O59:O60"/>
    <mergeCell ref="N73:N74"/>
    <mergeCell ref="O73:O74"/>
    <mergeCell ref="N43:N44"/>
    <mergeCell ref="O43:O44"/>
    <mergeCell ref="N45:N46"/>
    <mergeCell ref="O45:O46"/>
    <mergeCell ref="N47:N48"/>
    <mergeCell ref="O47:O48"/>
    <mergeCell ref="N49:N50"/>
    <mergeCell ref="O49:O50"/>
    <mergeCell ref="N51:N52"/>
    <mergeCell ref="O51:O52"/>
    <mergeCell ref="N33:N34"/>
    <mergeCell ref="O33:O34"/>
    <mergeCell ref="N35:N36"/>
    <mergeCell ref="O35:O36"/>
    <mergeCell ref="N37:N38"/>
    <mergeCell ref="O37:O38"/>
    <mergeCell ref="N39:N40"/>
    <mergeCell ref="O39:O40"/>
    <mergeCell ref="N41:N42"/>
    <mergeCell ref="O41:O42"/>
    <mergeCell ref="N2:O2"/>
    <mergeCell ref="N4:O4"/>
    <mergeCell ref="N5:N6"/>
    <mergeCell ref="O5:O6"/>
    <mergeCell ref="N7:N8"/>
    <mergeCell ref="O7:O8"/>
    <mergeCell ref="N9:N10"/>
    <mergeCell ref="O9:O10"/>
    <mergeCell ref="Q14:Q17"/>
    <mergeCell ref="N3:O3"/>
    <mergeCell ref="N11:N12"/>
    <mergeCell ref="O11:O12"/>
    <mergeCell ref="N13:N14"/>
    <mergeCell ref="O13:O14"/>
    <mergeCell ref="N15:N16"/>
    <mergeCell ref="O15:O16"/>
    <mergeCell ref="R14:R17"/>
    <mergeCell ref="Q19:Q21"/>
    <mergeCell ref="R19:R21"/>
    <mergeCell ref="Q23:Q25"/>
    <mergeCell ref="R23:R25"/>
    <mergeCell ref="Q29:Q31"/>
    <mergeCell ref="R29:R31"/>
    <mergeCell ref="O25:O26"/>
    <mergeCell ref="O27:O28"/>
    <mergeCell ref="N18:O18"/>
    <mergeCell ref="N19:N20"/>
    <mergeCell ref="O19:O20"/>
    <mergeCell ref="N23:N24"/>
    <mergeCell ref="O23:O24"/>
    <mergeCell ref="N25:N26"/>
    <mergeCell ref="N21:N22"/>
    <mergeCell ref="O21:O22"/>
    <mergeCell ref="N27:N28"/>
    <mergeCell ref="N29:N30"/>
    <mergeCell ref="O29:O30"/>
    <mergeCell ref="N31:N32"/>
    <mergeCell ref="O31:O32"/>
    <mergeCell ref="L73:L74"/>
    <mergeCell ref="I73:I74"/>
    <mergeCell ref="F73:F74"/>
    <mergeCell ref="I61:I62"/>
    <mergeCell ref="K61:K62"/>
    <mergeCell ref="L61:L62"/>
    <mergeCell ref="H61:H62"/>
    <mergeCell ref="L65:L66"/>
    <mergeCell ref="L69:L70"/>
    <mergeCell ref="I25:I26"/>
    <mergeCell ref="K25:K26"/>
    <mergeCell ref="L25:L26"/>
    <mergeCell ref="I33:I34"/>
    <mergeCell ref="L33:L34"/>
    <mergeCell ref="C73:C74"/>
    <mergeCell ref="H45:H46"/>
    <mergeCell ref="K45:K46"/>
    <mergeCell ref="I45:I46"/>
    <mergeCell ref="L45:L46"/>
    <mergeCell ref="H51:H52"/>
    <mergeCell ref="K51:K52"/>
    <mergeCell ref="C51:C52"/>
    <mergeCell ref="F51:F52"/>
    <mergeCell ref="I51:I52"/>
    <mergeCell ref="L51:L52"/>
    <mergeCell ref="L49:L50"/>
    <mergeCell ref="L47:L48"/>
    <mergeCell ref="C57:C58"/>
    <mergeCell ref="E55:E56"/>
    <mergeCell ref="E57:E58"/>
    <mergeCell ref="F55:F56"/>
    <mergeCell ref="F57:F58"/>
    <mergeCell ref="H55:H56"/>
    <mergeCell ref="B75:B76"/>
    <mergeCell ref="E75:E76"/>
    <mergeCell ref="H75:H76"/>
    <mergeCell ref="K75:K76"/>
    <mergeCell ref="H65:H66"/>
    <mergeCell ref="I65:I66"/>
    <mergeCell ref="K65:K66"/>
    <mergeCell ref="E67:E68"/>
    <mergeCell ref="F67:F68"/>
    <mergeCell ref="H67:H68"/>
    <mergeCell ref="K69:K70"/>
    <mergeCell ref="E73:E74"/>
    <mergeCell ref="H73:H74"/>
    <mergeCell ref="K73:K74"/>
    <mergeCell ref="L75:L76"/>
    <mergeCell ref="I75:I76"/>
    <mergeCell ref="F75:F76"/>
    <mergeCell ref="C75:C76"/>
    <mergeCell ref="B53:B54"/>
    <mergeCell ref="H53:H54"/>
    <mergeCell ref="K53:K54"/>
    <mergeCell ref="E53:E54"/>
    <mergeCell ref="I53:I54"/>
    <mergeCell ref="B73:B74"/>
    <mergeCell ref="I67:I68"/>
    <mergeCell ref="K67:K68"/>
    <mergeCell ref="L53:L54"/>
    <mergeCell ref="L55:L56"/>
    <mergeCell ref="L57:L58"/>
    <mergeCell ref="F53:F54"/>
    <mergeCell ref="C53:C54"/>
    <mergeCell ref="B55:B56"/>
    <mergeCell ref="B57:B58"/>
    <mergeCell ref="C55:C56"/>
    <mergeCell ref="B65:B66"/>
    <mergeCell ref="C65:C66"/>
    <mergeCell ref="E65:E66"/>
    <mergeCell ref="F65:F66"/>
    <mergeCell ref="B51:B52"/>
    <mergeCell ref="E51:E52"/>
    <mergeCell ref="B47:B48"/>
    <mergeCell ref="E47:E48"/>
    <mergeCell ref="H47:H48"/>
    <mergeCell ref="K47:K48"/>
    <mergeCell ref="C47:C48"/>
    <mergeCell ref="F47:F48"/>
    <mergeCell ref="I47:I48"/>
    <mergeCell ref="H49:H50"/>
    <mergeCell ref="I49:I50"/>
    <mergeCell ref="K49:K50"/>
    <mergeCell ref="B77:B78"/>
    <mergeCell ref="C77:C78"/>
    <mergeCell ref="E77:E78"/>
    <mergeCell ref="F77:F78"/>
    <mergeCell ref="H77:H78"/>
    <mergeCell ref="I77:I78"/>
    <mergeCell ref="K77:K78"/>
    <mergeCell ref="L77:L78"/>
    <mergeCell ref="L67:L68"/>
    <mergeCell ref="B67:B68"/>
    <mergeCell ref="B71:B72"/>
    <mergeCell ref="C71:C72"/>
    <mergeCell ref="E71:E72"/>
    <mergeCell ref="F71:F72"/>
    <mergeCell ref="H71:H72"/>
    <mergeCell ref="I71:I72"/>
    <mergeCell ref="K71:K72"/>
    <mergeCell ref="L71:L72"/>
    <mergeCell ref="B69:B70"/>
    <mergeCell ref="C69:C70"/>
    <mergeCell ref="E69:E70"/>
    <mergeCell ref="F69:F70"/>
    <mergeCell ref="H69:H70"/>
    <mergeCell ref="I69:I70"/>
    <mergeCell ref="B31:B32"/>
    <mergeCell ref="C31:C32"/>
    <mergeCell ref="E31:E32"/>
    <mergeCell ref="F31:F32"/>
    <mergeCell ref="C67:C68"/>
    <mergeCell ref="E49:E50"/>
    <mergeCell ref="F49:F50"/>
    <mergeCell ref="B45:B46"/>
    <mergeCell ref="C45:C46"/>
    <mergeCell ref="B49:B50"/>
    <mergeCell ref="C49:C50"/>
    <mergeCell ref="B33:B34"/>
    <mergeCell ref="E33:E34"/>
    <mergeCell ref="C33:C34"/>
    <mergeCell ref="F33:F34"/>
    <mergeCell ref="B61:B62"/>
    <mergeCell ref="C61:C62"/>
    <mergeCell ref="E61:E62"/>
    <mergeCell ref="F61:F62"/>
    <mergeCell ref="B59:B60"/>
    <mergeCell ref="C59:C60"/>
    <mergeCell ref="E59:E60"/>
    <mergeCell ref="E45:E46"/>
    <mergeCell ref="F45:F46"/>
    <mergeCell ref="B35:B36"/>
    <mergeCell ref="C35:C36"/>
    <mergeCell ref="E35:E36"/>
    <mergeCell ref="F35:F36"/>
    <mergeCell ref="H35:H36"/>
    <mergeCell ref="I35:I36"/>
    <mergeCell ref="B37:B38"/>
    <mergeCell ref="C37:C38"/>
    <mergeCell ref="E37:E38"/>
    <mergeCell ref="F37:F38"/>
    <mergeCell ref="B43:B44"/>
    <mergeCell ref="C43:C44"/>
    <mergeCell ref="E43:E44"/>
    <mergeCell ref="F43:F44"/>
    <mergeCell ref="H43:H44"/>
    <mergeCell ref="I43:I44"/>
    <mergeCell ref="K43:K44"/>
    <mergeCell ref="L43:L44"/>
    <mergeCell ref="L37:L38"/>
    <mergeCell ref="B21:B22"/>
    <mergeCell ref="C21:C22"/>
    <mergeCell ref="E21:E22"/>
    <mergeCell ref="F21:F22"/>
    <mergeCell ref="H21:H22"/>
    <mergeCell ref="I21:I22"/>
    <mergeCell ref="K21:K22"/>
    <mergeCell ref="L21:L22"/>
    <mergeCell ref="B41:B42"/>
    <mergeCell ref="C41:C42"/>
    <mergeCell ref="E41:E42"/>
    <mergeCell ref="F41:F42"/>
    <mergeCell ref="H41:H42"/>
    <mergeCell ref="H37:H38"/>
    <mergeCell ref="B39:B40"/>
    <mergeCell ref="C39:C40"/>
    <mergeCell ref="E39:E40"/>
    <mergeCell ref="F39:F40"/>
    <mergeCell ref="H39:H40"/>
    <mergeCell ref="I39:I40"/>
    <mergeCell ref="K39:K40"/>
    <mergeCell ref="L39:L40"/>
    <mergeCell ref="I41:I42"/>
    <mergeCell ref="K41:K42"/>
    <mergeCell ref="B29:B30"/>
    <mergeCell ref="C29:C30"/>
    <mergeCell ref="E29:E30"/>
    <mergeCell ref="F29:F30"/>
    <mergeCell ref="H29:H30"/>
    <mergeCell ref="I29:I30"/>
    <mergeCell ref="K29:K30"/>
    <mergeCell ref="L29:L30"/>
    <mergeCell ref="B27:B28"/>
    <mergeCell ref="C27:C28"/>
    <mergeCell ref="E27:E28"/>
    <mergeCell ref="F27:F28"/>
    <mergeCell ref="H27:H28"/>
    <mergeCell ref="I27:I28"/>
    <mergeCell ref="K27:K28"/>
    <mergeCell ref="L27:L28"/>
    <mergeCell ref="B18:C18"/>
    <mergeCell ref="E18:F18"/>
    <mergeCell ref="H18:I18"/>
    <mergeCell ref="K18:L18"/>
    <mergeCell ref="C19:C20"/>
    <mergeCell ref="E19:E20"/>
    <mergeCell ref="F19:F20"/>
    <mergeCell ref="H19:H20"/>
    <mergeCell ref="I19:I20"/>
    <mergeCell ref="K19:K20"/>
    <mergeCell ref="L19:L20"/>
    <mergeCell ref="B19:B20"/>
    <mergeCell ref="B23:B24"/>
    <mergeCell ref="E23:E24"/>
    <mergeCell ref="H23:H24"/>
    <mergeCell ref="C23:C24"/>
    <mergeCell ref="B25:B26"/>
    <mergeCell ref="C25:C26"/>
    <mergeCell ref="E25:E26"/>
    <mergeCell ref="F25:F26"/>
    <mergeCell ref="H25:H26"/>
    <mergeCell ref="F23:F24"/>
    <mergeCell ref="B15:B16"/>
    <mergeCell ref="C15:C16"/>
    <mergeCell ref="E15:E16"/>
    <mergeCell ref="F15:F16"/>
    <mergeCell ref="H15:H16"/>
    <mergeCell ref="I15:I16"/>
    <mergeCell ref="L15:L16"/>
    <mergeCell ref="K15:K16"/>
    <mergeCell ref="B11:B12"/>
    <mergeCell ref="C11:C12"/>
    <mergeCell ref="E11:E12"/>
    <mergeCell ref="F11:F12"/>
    <mergeCell ref="H11:H12"/>
    <mergeCell ref="I11:I12"/>
    <mergeCell ref="K11:K12"/>
    <mergeCell ref="L11:L12"/>
    <mergeCell ref="B13:B14"/>
    <mergeCell ref="C13:C14"/>
    <mergeCell ref="E13:E14"/>
    <mergeCell ref="F13:F14"/>
    <mergeCell ref="L13:L14"/>
    <mergeCell ref="H13:H14"/>
    <mergeCell ref="I13:I14"/>
    <mergeCell ref="K13:K14"/>
    <mergeCell ref="B7:B8"/>
    <mergeCell ref="C7:C8"/>
    <mergeCell ref="E7:E8"/>
    <mergeCell ref="F7:F8"/>
    <mergeCell ref="H7:H8"/>
    <mergeCell ref="I7:I8"/>
    <mergeCell ref="K7:K8"/>
    <mergeCell ref="L7:L8"/>
    <mergeCell ref="B9:B10"/>
    <mergeCell ref="C9:C10"/>
    <mergeCell ref="E9:E10"/>
    <mergeCell ref="F9:F10"/>
    <mergeCell ref="H9:H10"/>
    <mergeCell ref="I9:I10"/>
    <mergeCell ref="K9:K10"/>
    <mergeCell ref="L9:L10"/>
    <mergeCell ref="K5:K6"/>
    <mergeCell ref="L5:L6"/>
    <mergeCell ref="B5:B6"/>
    <mergeCell ref="C5:C6"/>
    <mergeCell ref="E5:E6"/>
    <mergeCell ref="H5:H6"/>
    <mergeCell ref="I5:I6"/>
    <mergeCell ref="F5:F6"/>
    <mergeCell ref="B2:C2"/>
    <mergeCell ref="E2:F2"/>
    <mergeCell ref="H2:I2"/>
    <mergeCell ref="K2:L2"/>
    <mergeCell ref="E3:F3"/>
    <mergeCell ref="H3:I3"/>
    <mergeCell ref="B4:C4"/>
    <mergeCell ref="E4:F4"/>
    <mergeCell ref="H4:I4"/>
    <mergeCell ref="K4:L4"/>
    <mergeCell ref="K3:L3"/>
    <mergeCell ref="B3:C3"/>
    <mergeCell ref="I23:I24"/>
    <mergeCell ref="K23:K24"/>
    <mergeCell ref="L23:L24"/>
    <mergeCell ref="K35:K36"/>
    <mergeCell ref="L35:L36"/>
    <mergeCell ref="F59:F60"/>
    <mergeCell ref="H59:H60"/>
    <mergeCell ref="I59:I60"/>
    <mergeCell ref="K59:K60"/>
    <mergeCell ref="L59:L60"/>
    <mergeCell ref="H31:H32"/>
    <mergeCell ref="I31:I32"/>
    <mergeCell ref="K31:K32"/>
    <mergeCell ref="L31:L32"/>
    <mergeCell ref="L41:L42"/>
    <mergeCell ref="I37:I38"/>
    <mergeCell ref="K37:K38"/>
    <mergeCell ref="H33:H34"/>
    <mergeCell ref="K33:K34"/>
    <mergeCell ref="H57:H58"/>
    <mergeCell ref="I55:I56"/>
    <mergeCell ref="I57:I58"/>
    <mergeCell ref="K55:K56"/>
    <mergeCell ref="K57:K58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B17:M18 B15 D15:E15 G15:H15 J15:K15 M15 B36 M35 B38 D37 M37 B40 B39 M39 B42 B41 M41 B44 D43 M43 B20 B19 M19 B27:B30 B60 B78:E78 D19:E19 D35 F36:G36 F38:G38 G37 F40:G40 G39 F42:G42 G41 F44:G44 G43 B34 F34:G34 G35 I36:J36 I38:J38 J37 I40:J40 J39 I42:J42 J41 I44:J44 J43 I34:J34 J35 L36:M36 L38:M38 L40:M40 L42:M42 L44:M44 L34:M34 D39 D41 D59 D61 G19:H19 G59 G61 J19:K19 J59 J61 M59 M61 B62 J62 B16 J16:M16 J78:K78 B26 B25 D25:E25 G25:H25 J25:K25 M25 D16:H16 B77 D77:E77 G77:H77 J77:K77 M77 D36 D38 D40 D42 D44 D20:M20 D60 D33:D34 D62 D26:M26 D28:M28 D27:E27 G27:H27 D30:M30 D29:E29 G29:H29 J29:M29 G78:H78 M78 M27 J27:K27 F60:G60 G33 J33 M33 B32 D31:D32 F32:G32 I32:J32 L32:M32 G31 J31 M31 F62:G62 L62:M62 I60:J60 L60:M60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ColWidth="9.140625" defaultRowHeight="13.5" outlineLevelRow="1" x14ac:dyDescent="0.25"/>
  <cols>
    <col min="1" max="1" width="18.7109375" style="59" bestFit="1" customWidth="1"/>
    <col min="2" max="2" width="10.140625" style="59" bestFit="1" customWidth="1"/>
    <col min="3" max="7" width="15.7109375" style="59" customWidth="1"/>
    <col min="8" max="8" width="16.28515625" style="59" bestFit="1" customWidth="1"/>
    <col min="9" max="16384" width="9.140625" style="59"/>
  </cols>
  <sheetData>
    <row r="1" spans="1:7" ht="15" customHeight="1" x14ac:dyDescent="0.25">
      <c r="B1" s="121"/>
      <c r="C1" s="746" t="s">
        <v>43</v>
      </c>
      <c r="D1" s="747"/>
      <c r="E1" s="746"/>
      <c r="F1" s="748"/>
      <c r="G1" s="757" t="s">
        <v>17</v>
      </c>
    </row>
    <row r="2" spans="1:7" ht="15" customHeight="1" thickBot="1" x14ac:dyDescent="0.3">
      <c r="B2" s="121"/>
      <c r="C2" s="807"/>
      <c r="D2" s="811"/>
      <c r="E2" s="807"/>
      <c r="F2" s="812"/>
      <c r="G2" s="758"/>
    </row>
    <row r="3" spans="1:7" x14ac:dyDescent="0.25">
      <c r="A3" s="764" t="s">
        <v>48</v>
      </c>
      <c r="B3" s="814" t="s">
        <v>49</v>
      </c>
      <c r="C3" s="726" t="s">
        <v>46</v>
      </c>
      <c r="D3" s="801" t="s">
        <v>47</v>
      </c>
      <c r="E3" s="726"/>
      <c r="F3" s="801"/>
      <c r="G3" s="758"/>
    </row>
    <row r="4" spans="1:7" ht="14.25" customHeight="1" thickBot="1" x14ac:dyDescent="0.3">
      <c r="A4" s="765"/>
      <c r="B4" s="815"/>
      <c r="C4" s="765"/>
      <c r="D4" s="767"/>
      <c r="E4" s="765"/>
      <c r="F4" s="767"/>
      <c r="G4" s="758"/>
    </row>
    <row r="5" spans="1:7" s="65" customFormat="1" ht="12.75" customHeight="1" thickBot="1" x14ac:dyDescent="0.3">
      <c r="A5" s="134"/>
      <c r="B5" s="118"/>
      <c r="C5" s="60"/>
      <c r="D5" s="61"/>
      <c r="E5" s="62"/>
      <c r="F5" s="63"/>
      <c r="G5" s="64"/>
    </row>
    <row r="6" spans="1:7" s="65" customFormat="1" ht="12.75" customHeight="1" thickBot="1" x14ac:dyDescent="0.3">
      <c r="A6" s="134"/>
      <c r="B6" s="111"/>
      <c r="C6" s="60"/>
      <c r="D6" s="61"/>
      <c r="E6" s="62"/>
      <c r="F6" s="63"/>
      <c r="G6" s="64"/>
    </row>
    <row r="7" spans="1:7" s="65" customFormat="1" ht="12.75" customHeight="1" thickBot="1" x14ac:dyDescent="0.3">
      <c r="A7" s="134"/>
      <c r="B7" s="111"/>
      <c r="C7" s="60"/>
      <c r="D7" s="61"/>
      <c r="E7" s="62"/>
      <c r="F7" s="63"/>
      <c r="G7" s="64"/>
    </row>
    <row r="8" spans="1:7" s="65" customFormat="1" ht="12.75" customHeight="1" thickBot="1" x14ac:dyDescent="0.3">
      <c r="A8" s="139"/>
      <c r="B8" s="111"/>
      <c r="C8" s="60"/>
      <c r="D8" s="61"/>
      <c r="E8" s="62"/>
      <c r="F8" s="63"/>
      <c r="G8" s="64"/>
    </row>
    <row r="9" spans="1:7" s="65" customFormat="1" ht="12.75" customHeight="1" thickBot="1" x14ac:dyDescent="0.3">
      <c r="A9" s="139"/>
      <c r="B9" s="111"/>
      <c r="C9" s="60"/>
      <c r="D9" s="61"/>
      <c r="E9" s="62"/>
      <c r="F9" s="63"/>
      <c r="G9" s="64"/>
    </row>
    <row r="10" spans="1:7" s="65" customFormat="1" ht="12.75" customHeight="1" outlineLevel="1" thickBot="1" x14ac:dyDescent="0.3">
      <c r="A10" s="139"/>
      <c r="B10" s="143"/>
      <c r="C10" s="62"/>
      <c r="D10" s="66"/>
      <c r="E10" s="62"/>
      <c r="F10" s="63"/>
      <c r="G10" s="64">
        <f>SUM(C10:F10)</f>
        <v>0</v>
      </c>
    </row>
    <row r="11" spans="1:7" s="65" customFormat="1" ht="14.25" outlineLevel="1" thickBot="1" x14ac:dyDescent="0.3">
      <c r="A11" s="139"/>
      <c r="B11" s="111"/>
      <c r="C11" s="67"/>
      <c r="D11" s="68"/>
      <c r="E11" s="67"/>
      <c r="F11" s="69"/>
      <c r="G11" s="64">
        <f>SUM(C11:F11)</f>
        <v>0</v>
      </c>
    </row>
    <row r="12" spans="1:7" s="71" customFormat="1" ht="14.25" customHeight="1" outlineLevel="1" thickBot="1" x14ac:dyDescent="0.3">
      <c r="A12" s="100" t="s">
        <v>19</v>
      </c>
      <c r="B12" s="791" t="s">
        <v>22</v>
      </c>
      <c r="C12" s="107">
        <f>SUM(C5:C11)</f>
        <v>0</v>
      </c>
      <c r="D12" s="107">
        <f>SUM(D5:D11)</f>
        <v>0</v>
      </c>
      <c r="E12" s="107">
        <f>SUM(E5:E11)</f>
        <v>0</v>
      </c>
      <c r="F12" s="107">
        <f>SUM(F5:F11)</f>
        <v>0</v>
      </c>
      <c r="G12" s="107">
        <f>SUM(G5:G11)</f>
        <v>0</v>
      </c>
    </row>
    <row r="13" spans="1:7" s="71" customFormat="1" ht="14.25" customHeight="1" outlineLevel="1" thickBot="1" x14ac:dyDescent="0.3">
      <c r="A13" s="101" t="s">
        <v>21</v>
      </c>
      <c r="B13" s="792"/>
      <c r="C13" s="108" t="e">
        <f>AVERAGE(C5:C11)</f>
        <v>#DIV/0!</v>
      </c>
      <c r="D13" s="108" t="e">
        <f>AVERAGE(D5:D11)</f>
        <v>#DIV/0!</v>
      </c>
      <c r="E13" s="108" t="e">
        <f>AVERAGE(E5:E11)</f>
        <v>#DIV/0!</v>
      </c>
      <c r="F13" s="108" t="e">
        <f>AVERAGE(F5:F11)</f>
        <v>#DIV/0!</v>
      </c>
      <c r="G13" s="108">
        <f>AVERAGE(G5:G11)</f>
        <v>0</v>
      </c>
    </row>
    <row r="14" spans="1:7" s="71" customFormat="1" ht="14.25" customHeight="1" thickBot="1" x14ac:dyDescent="0.3">
      <c r="A14" s="26" t="s">
        <v>18</v>
      </c>
      <c r="B14" s="792"/>
      <c r="C14" s="78">
        <f>SUM(C5:C9)</f>
        <v>0</v>
      </c>
      <c r="D14" s="78">
        <f>SUM(D5:D9)</f>
        <v>0</v>
      </c>
      <c r="E14" s="78">
        <f>SUM(E5:E9)</f>
        <v>0</v>
      </c>
      <c r="F14" s="78">
        <f>SUM(F5:F9)</f>
        <v>0</v>
      </c>
      <c r="G14" s="78">
        <f>SUM(G5:G9)</f>
        <v>0</v>
      </c>
    </row>
    <row r="15" spans="1:7" s="71" customFormat="1" ht="14.25" customHeight="1" thickBot="1" x14ac:dyDescent="0.3">
      <c r="A15" s="26" t="s">
        <v>20</v>
      </c>
      <c r="B15" s="793"/>
      <c r="C15" s="79" t="e">
        <f>AVERAGE(C5:C9)</f>
        <v>#DIV/0!</v>
      </c>
      <c r="D15" s="79" t="e">
        <f>AVERAGE(D5:D9)</f>
        <v>#DIV/0!</v>
      </c>
      <c r="E15" s="79" t="e">
        <f>AVERAGE(E5:E9)</f>
        <v>#DIV/0!</v>
      </c>
      <c r="F15" s="79" t="e">
        <f>AVERAGE(F5:F9)</f>
        <v>#DIV/0!</v>
      </c>
      <c r="G15" s="79" t="e">
        <f>AVERAGE(G5:G9)</f>
        <v>#DIV/0!</v>
      </c>
    </row>
    <row r="16" spans="1:7" s="71" customFormat="1" ht="13.5" customHeight="1" thickBot="1" x14ac:dyDescent="0.3">
      <c r="A16" s="25"/>
      <c r="B16" s="112"/>
      <c r="C16" s="60"/>
      <c r="D16" s="61"/>
      <c r="E16" s="60"/>
      <c r="F16" s="72"/>
      <c r="G16" s="141"/>
    </row>
    <row r="17" spans="1:7" s="71" customFormat="1" ht="13.5" customHeight="1" thickBot="1" x14ac:dyDescent="0.3">
      <c r="A17" s="25"/>
      <c r="B17" s="113"/>
      <c r="C17" s="60"/>
      <c r="D17" s="61"/>
      <c r="E17" s="62"/>
      <c r="F17" s="63"/>
      <c r="G17" s="141"/>
    </row>
    <row r="18" spans="1:7" s="71" customFormat="1" ht="15" customHeight="1" thickBot="1" x14ac:dyDescent="0.3">
      <c r="A18" s="25"/>
      <c r="B18" s="113"/>
      <c r="C18" s="60"/>
      <c r="D18" s="61"/>
      <c r="E18" s="62"/>
      <c r="F18" s="63"/>
      <c r="G18" s="141"/>
    </row>
    <row r="19" spans="1:7" s="71" customFormat="1" ht="14.25" customHeight="1" thickBot="1" x14ac:dyDescent="0.3">
      <c r="A19" s="25"/>
      <c r="B19" s="113"/>
      <c r="C19" s="60"/>
      <c r="D19" s="61"/>
      <c r="E19" s="62"/>
      <c r="F19" s="63"/>
      <c r="G19" s="141"/>
    </row>
    <row r="20" spans="1:7" s="71" customFormat="1" ht="14.25" customHeight="1" thickBot="1" x14ac:dyDescent="0.3">
      <c r="A20" s="25"/>
      <c r="B20" s="113"/>
      <c r="C20" s="60"/>
      <c r="D20" s="61"/>
      <c r="E20" s="62"/>
      <c r="F20" s="63"/>
      <c r="G20" s="141"/>
    </row>
    <row r="21" spans="1:7" s="71" customFormat="1" ht="14.25" customHeight="1" outlineLevel="1" thickBot="1" x14ac:dyDescent="0.3">
      <c r="A21" s="136"/>
      <c r="B21" s="113"/>
      <c r="C21" s="62"/>
      <c r="D21" s="66"/>
      <c r="E21" s="62"/>
      <c r="F21" s="63"/>
      <c r="G21" s="141">
        <f>SUM(C21:F21)</f>
        <v>0</v>
      </c>
    </row>
    <row r="22" spans="1:7" s="71" customFormat="1" ht="14.25" customHeight="1" outlineLevel="1" thickBot="1" x14ac:dyDescent="0.3">
      <c r="A22" s="136"/>
      <c r="B22" s="113"/>
      <c r="C22" s="67"/>
      <c r="D22" s="68"/>
      <c r="E22" s="67"/>
      <c r="F22" s="69"/>
      <c r="G22" s="141">
        <f>SUM(C22:F22)</f>
        <v>0</v>
      </c>
    </row>
    <row r="23" spans="1:7" s="71" customFormat="1" ht="14.25" customHeight="1" outlineLevel="1" thickBot="1" x14ac:dyDescent="0.3">
      <c r="A23" s="100" t="s">
        <v>19</v>
      </c>
      <c r="B23" s="791" t="s">
        <v>23</v>
      </c>
      <c r="C23" s="107">
        <f>SUM(C16:C22)</f>
        <v>0</v>
      </c>
      <c r="D23" s="107">
        <f>SUM(D16:D22)</f>
        <v>0</v>
      </c>
      <c r="E23" s="107">
        <f>SUM(E16:E22)</f>
        <v>0</v>
      </c>
      <c r="F23" s="107">
        <f>SUM(F16:F22)</f>
        <v>0</v>
      </c>
      <c r="G23" s="107">
        <f>SUM(G16:G22)</f>
        <v>0</v>
      </c>
    </row>
    <row r="24" spans="1:7" s="71" customFormat="1" ht="14.25" customHeight="1" outlineLevel="1" thickBot="1" x14ac:dyDescent="0.3">
      <c r="A24" s="101" t="s">
        <v>21</v>
      </c>
      <c r="B24" s="792"/>
      <c r="C24" s="108" t="e">
        <f>AVERAGE(C16:C22)</f>
        <v>#DIV/0!</v>
      </c>
      <c r="D24" s="108" t="e">
        <f>AVERAGE(D16:D22)</f>
        <v>#DIV/0!</v>
      </c>
      <c r="E24" s="108" t="e">
        <f>AVERAGE(E16:E22)</f>
        <v>#DIV/0!</v>
      </c>
      <c r="F24" s="108" t="e">
        <f>AVERAGE(F16:F22)</f>
        <v>#DIV/0!</v>
      </c>
      <c r="G24" s="108">
        <f>AVERAGE(G16:G22)</f>
        <v>0</v>
      </c>
    </row>
    <row r="25" spans="1:7" s="71" customFormat="1" ht="14.25" customHeight="1" thickBot="1" x14ac:dyDescent="0.3">
      <c r="A25" s="26" t="s">
        <v>18</v>
      </c>
      <c r="B25" s="792"/>
      <c r="C25" s="78">
        <f>SUM(C16:C20)</f>
        <v>0</v>
      </c>
      <c r="D25" s="78">
        <f>SUM(D16:D20)</f>
        <v>0</v>
      </c>
      <c r="E25" s="78">
        <f>SUM(E16:E20)</f>
        <v>0</v>
      </c>
      <c r="F25" s="78">
        <f>SUM(F16:F20)</f>
        <v>0</v>
      </c>
      <c r="G25" s="78">
        <f>SUM(G16:G20)</f>
        <v>0</v>
      </c>
    </row>
    <row r="26" spans="1:7" s="71" customFormat="1" ht="14.25" customHeight="1" thickBot="1" x14ac:dyDescent="0.3">
      <c r="A26" s="26" t="s">
        <v>20</v>
      </c>
      <c r="B26" s="793"/>
      <c r="C26" s="79" t="e">
        <f>AVERAGE(C16:C20)</f>
        <v>#DIV/0!</v>
      </c>
      <c r="D26" s="79" t="e">
        <f>AVERAGE(D16:D20)</f>
        <v>#DIV/0!</v>
      </c>
      <c r="E26" s="79" t="e">
        <f>AVERAGE(E16:E20)</f>
        <v>#DIV/0!</v>
      </c>
      <c r="F26" s="79" t="e">
        <f>AVERAGE(F16:F20)</f>
        <v>#DIV/0!</v>
      </c>
      <c r="G26" s="79" t="e">
        <f>AVERAGE(G16:G20)</f>
        <v>#DIV/0!</v>
      </c>
    </row>
    <row r="27" spans="1:7" s="71" customFormat="1" ht="14.25" customHeight="1" thickBot="1" x14ac:dyDescent="0.3">
      <c r="A27" s="25"/>
      <c r="B27" s="135"/>
      <c r="C27" s="60"/>
      <c r="D27" s="61"/>
      <c r="E27" s="60"/>
      <c r="F27" s="72"/>
      <c r="G27" s="141"/>
    </row>
    <row r="28" spans="1:7" s="71" customFormat="1" ht="15.75" customHeight="1" thickBot="1" x14ac:dyDescent="0.3">
      <c r="A28" s="25"/>
      <c r="B28" s="115"/>
      <c r="C28" s="60"/>
      <c r="D28" s="61"/>
      <c r="E28" s="62"/>
      <c r="F28" s="63"/>
      <c r="G28" s="141"/>
    </row>
    <row r="29" spans="1:7" s="71" customFormat="1" ht="13.5" customHeight="1" thickBot="1" x14ac:dyDescent="0.3">
      <c r="A29" s="25"/>
      <c r="B29" s="115"/>
      <c r="C29" s="60"/>
      <c r="D29" s="61"/>
      <c r="E29" s="62"/>
      <c r="F29" s="63"/>
      <c r="G29" s="141"/>
    </row>
    <row r="30" spans="1:7" s="71" customFormat="1" ht="12.75" customHeight="1" thickBot="1" x14ac:dyDescent="0.3">
      <c r="A30" s="25"/>
      <c r="B30" s="115"/>
      <c r="C30" s="60"/>
      <c r="D30" s="61"/>
      <c r="E30" s="62"/>
      <c r="F30" s="63"/>
      <c r="G30" s="141"/>
    </row>
    <row r="31" spans="1:7" s="71" customFormat="1" ht="14.25" thickBot="1" x14ac:dyDescent="0.3">
      <c r="A31" s="25"/>
      <c r="B31" s="115"/>
      <c r="C31" s="60"/>
      <c r="D31" s="61"/>
      <c r="E31" s="62"/>
      <c r="F31" s="63"/>
      <c r="G31" s="141"/>
    </row>
    <row r="32" spans="1:7" s="71" customFormat="1" ht="14.25" customHeight="1" outlineLevel="1" thickBot="1" x14ac:dyDescent="0.3">
      <c r="A32" s="136"/>
      <c r="B32" s="113"/>
      <c r="C32" s="62"/>
      <c r="D32" s="66"/>
      <c r="E32" s="62"/>
      <c r="F32" s="63"/>
      <c r="G32" s="141">
        <f>SUM(C32:F32)</f>
        <v>0</v>
      </c>
    </row>
    <row r="33" spans="1:8" s="71" customFormat="1" ht="14.25" customHeight="1" outlineLevel="1" thickBot="1" x14ac:dyDescent="0.3">
      <c r="A33" s="136"/>
      <c r="B33" s="113"/>
      <c r="C33" s="67"/>
      <c r="D33" s="68"/>
      <c r="E33" s="67"/>
      <c r="F33" s="69"/>
      <c r="G33" s="141">
        <f>SUM(C33:F33)</f>
        <v>0</v>
      </c>
    </row>
    <row r="34" spans="1:8" s="71" customFormat="1" ht="14.25" customHeight="1" outlineLevel="1" thickBot="1" x14ac:dyDescent="0.3">
      <c r="A34" s="100" t="s">
        <v>19</v>
      </c>
      <c r="B34" s="791" t="s">
        <v>24</v>
      </c>
      <c r="C34" s="107">
        <f>SUM(C27:C33)</f>
        <v>0</v>
      </c>
      <c r="D34" s="107">
        <f>SUM(D27:D33)</f>
        <v>0</v>
      </c>
      <c r="E34" s="107">
        <f>SUM(E27:E33)</f>
        <v>0</v>
      </c>
      <c r="F34" s="107">
        <f>SUM(F27:F33)</f>
        <v>0</v>
      </c>
      <c r="G34" s="107">
        <f>SUM(G27:G33)</f>
        <v>0</v>
      </c>
    </row>
    <row r="35" spans="1:8" s="71" customFormat="1" ht="14.25" customHeight="1" outlineLevel="1" thickBot="1" x14ac:dyDescent="0.3">
      <c r="A35" s="101" t="s">
        <v>21</v>
      </c>
      <c r="B35" s="792"/>
      <c r="C35" s="108" t="e">
        <f>AVERAGE(C27:C33)</f>
        <v>#DIV/0!</v>
      </c>
      <c r="D35" s="108" t="e">
        <f>AVERAGE(D27:D33)</f>
        <v>#DIV/0!</v>
      </c>
      <c r="E35" s="108" t="e">
        <f>AVERAGE(E27:E33)</f>
        <v>#DIV/0!</v>
      </c>
      <c r="F35" s="108" t="e">
        <f>AVERAGE(F27:F33)</f>
        <v>#DIV/0!</v>
      </c>
      <c r="G35" s="108">
        <f>AVERAGE(G27:G33)</f>
        <v>0</v>
      </c>
    </row>
    <row r="36" spans="1:8" s="71" customFormat="1" ht="14.25" customHeight="1" thickBot="1" x14ac:dyDescent="0.3">
      <c r="A36" s="26" t="s">
        <v>18</v>
      </c>
      <c r="B36" s="792"/>
      <c r="C36" s="78">
        <f>SUM(C27:C31)</f>
        <v>0</v>
      </c>
      <c r="D36" s="78">
        <f>SUM(D27:D31)</f>
        <v>0</v>
      </c>
      <c r="E36" s="78">
        <f>SUM(E27:E31)</f>
        <v>0</v>
      </c>
      <c r="F36" s="78">
        <f>SUM(F27:F31)</f>
        <v>0</v>
      </c>
      <c r="G36" s="78">
        <f>SUM(G27:G31)</f>
        <v>0</v>
      </c>
    </row>
    <row r="37" spans="1:8" s="71" customFormat="1" ht="15.75" customHeight="1" thickBot="1" x14ac:dyDescent="0.3">
      <c r="A37" s="26" t="s">
        <v>20</v>
      </c>
      <c r="B37" s="793"/>
      <c r="C37" s="79" t="e">
        <f>AVERAGE(C27:C31)</f>
        <v>#DIV/0!</v>
      </c>
      <c r="D37" s="79" t="e">
        <f>AVERAGE(D27:D31)</f>
        <v>#DIV/0!</v>
      </c>
      <c r="E37" s="79" t="e">
        <f>AVERAGE(E27:E31)</f>
        <v>#DIV/0!</v>
      </c>
      <c r="F37" s="79" t="e">
        <f>AVERAGE(F27:F31)</f>
        <v>#DIV/0!</v>
      </c>
      <c r="G37" s="79" t="e">
        <f>AVERAGE(G27:G31)</f>
        <v>#DIV/0!</v>
      </c>
    </row>
    <row r="38" spans="1:8" s="71" customFormat="1" ht="12.75" customHeight="1" thickBot="1" x14ac:dyDescent="0.3">
      <c r="A38" s="25"/>
      <c r="B38" s="135"/>
      <c r="C38" s="60"/>
      <c r="D38" s="61"/>
      <c r="E38" s="60"/>
      <c r="F38" s="72"/>
      <c r="G38" s="73"/>
    </row>
    <row r="39" spans="1:8" s="71" customFormat="1" ht="15.75" customHeight="1" thickBot="1" x14ac:dyDescent="0.3">
      <c r="A39" s="25"/>
      <c r="B39" s="115"/>
      <c r="C39" s="60"/>
      <c r="D39" s="61"/>
      <c r="E39" s="62"/>
      <c r="F39" s="63"/>
      <c r="G39" s="64"/>
    </row>
    <row r="40" spans="1:8" s="71" customFormat="1" ht="17.25" customHeight="1" thickBot="1" x14ac:dyDescent="0.3">
      <c r="A40" s="25"/>
      <c r="B40" s="115"/>
      <c r="C40" s="60"/>
      <c r="D40" s="61"/>
      <c r="E40" s="62"/>
      <c r="F40" s="63"/>
      <c r="G40" s="64"/>
    </row>
    <row r="41" spans="1:8" s="71" customFormat="1" ht="14.25" customHeight="1" thickBot="1" x14ac:dyDescent="0.3">
      <c r="A41" s="25"/>
      <c r="B41" s="115"/>
      <c r="C41" s="60"/>
      <c r="D41" s="61"/>
      <c r="E41" s="62"/>
      <c r="F41" s="63"/>
      <c r="G41" s="64"/>
    </row>
    <row r="42" spans="1:8" s="71" customFormat="1" ht="17.25" customHeight="1" thickBot="1" x14ac:dyDescent="0.3">
      <c r="A42" s="25"/>
      <c r="B42" s="115"/>
      <c r="C42" s="60"/>
      <c r="D42" s="61"/>
      <c r="E42" s="62"/>
      <c r="F42" s="63"/>
      <c r="G42" s="64"/>
    </row>
    <row r="43" spans="1:8" s="71" customFormat="1" ht="14.25" customHeight="1" outlineLevel="1" thickBot="1" x14ac:dyDescent="0.3">
      <c r="A43" s="136"/>
      <c r="B43" s="113"/>
      <c r="C43" s="62"/>
      <c r="D43" s="66"/>
      <c r="E43" s="62"/>
      <c r="F43" s="63"/>
      <c r="G43" s="64">
        <f>SUM(C43:F43)</f>
        <v>0</v>
      </c>
      <c r="H43" s="110"/>
    </row>
    <row r="44" spans="1:8" s="71" customFormat="1" ht="14.25" customHeight="1" outlineLevel="1" thickBot="1" x14ac:dyDescent="0.3">
      <c r="A44" s="136"/>
      <c r="B44" s="113"/>
      <c r="C44" s="67"/>
      <c r="D44" s="68"/>
      <c r="E44" s="67"/>
      <c r="F44" s="69"/>
      <c r="G44" s="70">
        <f>SUM(C44:F44)</f>
        <v>0</v>
      </c>
      <c r="H44" s="110"/>
    </row>
    <row r="45" spans="1:8" s="71" customFormat="1" ht="14.25" customHeight="1" outlineLevel="1" thickBot="1" x14ac:dyDescent="0.3">
      <c r="A45" s="100" t="s">
        <v>19</v>
      </c>
      <c r="B45" s="791" t="s">
        <v>25</v>
      </c>
      <c r="C45" s="107">
        <f>SUM(C38:C44)</f>
        <v>0</v>
      </c>
      <c r="D45" s="107">
        <f>SUM(D38:D44)</f>
        <v>0</v>
      </c>
      <c r="E45" s="107">
        <f>SUM(E38:E44)</f>
        <v>0</v>
      </c>
      <c r="F45" s="107">
        <f>SUM(F38:F44)</f>
        <v>0</v>
      </c>
      <c r="G45" s="107">
        <f>SUM(G38:G44)</f>
        <v>0</v>
      </c>
    </row>
    <row r="46" spans="1:8" s="71" customFormat="1" ht="14.25" customHeight="1" outlineLevel="1" thickBot="1" x14ac:dyDescent="0.3">
      <c r="A46" s="101" t="s">
        <v>21</v>
      </c>
      <c r="B46" s="792"/>
      <c r="C46" s="108" t="e">
        <f>AVERAGE(C38:C44)</f>
        <v>#DIV/0!</v>
      </c>
      <c r="D46" s="108" t="e">
        <f>AVERAGE(D38:D44)</f>
        <v>#DIV/0!</v>
      </c>
      <c r="E46" s="108" t="e">
        <f>AVERAGE(E38:E44)</f>
        <v>#DIV/0!</v>
      </c>
      <c r="F46" s="108" t="e">
        <f>AVERAGE(F38:F44)</f>
        <v>#DIV/0!</v>
      </c>
      <c r="G46" s="108">
        <f>AVERAGE(G38:G44)</f>
        <v>0</v>
      </c>
    </row>
    <row r="47" spans="1:8" s="71" customFormat="1" ht="14.25" customHeight="1" thickBot="1" x14ac:dyDescent="0.3">
      <c r="A47" s="26" t="s">
        <v>18</v>
      </c>
      <c r="B47" s="792"/>
      <c r="C47" s="78">
        <f>SUM(C38:C42)</f>
        <v>0</v>
      </c>
      <c r="D47" s="78">
        <f>SUM(D38:D42)</f>
        <v>0</v>
      </c>
      <c r="E47" s="78">
        <f>SUM(E38:E42)</f>
        <v>0</v>
      </c>
      <c r="F47" s="78">
        <f>SUM(F38:F42)</f>
        <v>0</v>
      </c>
      <c r="G47" s="78">
        <f>SUM(G38:G42)</f>
        <v>0</v>
      </c>
    </row>
    <row r="48" spans="1:8" s="71" customFormat="1" ht="13.5" customHeight="1" thickBot="1" x14ac:dyDescent="0.3">
      <c r="A48" s="26" t="s">
        <v>20</v>
      </c>
      <c r="B48" s="793"/>
      <c r="C48" s="79" t="e">
        <f>AVERAGE(C38:C42)</f>
        <v>#DIV/0!</v>
      </c>
      <c r="D48" s="79" t="e">
        <f>AVERAGE(D38:D42)</f>
        <v>#DIV/0!</v>
      </c>
      <c r="E48" s="79" t="e">
        <f>AVERAGE(E38:E42)</f>
        <v>#DIV/0!</v>
      </c>
      <c r="F48" s="79" t="e">
        <f>AVERAGE(F38:F42)</f>
        <v>#DIV/0!</v>
      </c>
      <c r="G48" s="79" t="e">
        <f>AVERAGE(G38:G42)</f>
        <v>#DIV/0!</v>
      </c>
    </row>
    <row r="49" spans="1:7" s="71" customFormat="1" ht="13.5" customHeight="1" thickBot="1" x14ac:dyDescent="0.3">
      <c r="A49" s="25"/>
      <c r="B49" s="114"/>
      <c r="C49" s="130"/>
      <c r="D49" s="131"/>
      <c r="E49" s="60"/>
      <c r="F49" s="72"/>
      <c r="G49" s="73"/>
    </row>
    <row r="50" spans="1:7" s="71" customFormat="1" ht="14.25" customHeight="1" thickBot="1" x14ac:dyDescent="0.3">
      <c r="A50" s="25"/>
      <c r="B50" s="129"/>
      <c r="C50" s="132"/>
      <c r="D50" s="133"/>
      <c r="E50" s="62"/>
      <c r="F50" s="63"/>
      <c r="G50" s="64"/>
    </row>
    <row r="51" spans="1:7" s="71" customFormat="1" ht="13.5" customHeight="1" thickBot="1" x14ac:dyDescent="0.3">
      <c r="A51" s="25"/>
      <c r="B51" s="129"/>
      <c r="C51" s="60"/>
      <c r="D51" s="72"/>
      <c r="E51" s="62"/>
      <c r="F51" s="63"/>
      <c r="G51" s="64"/>
    </row>
    <row r="52" spans="1:7" s="71" customFormat="1" ht="13.5" customHeight="1" thickBot="1" x14ac:dyDescent="0.3">
      <c r="A52" s="136"/>
      <c r="B52" s="129"/>
      <c r="C52" s="60"/>
      <c r="D52" s="72"/>
      <c r="E52" s="62"/>
      <c r="F52" s="63"/>
      <c r="G52" s="64"/>
    </row>
    <row r="53" spans="1:7" s="71" customFormat="1" ht="12" customHeight="1" x14ac:dyDescent="0.25">
      <c r="A53" s="136"/>
      <c r="B53" s="129"/>
      <c r="C53" s="130"/>
      <c r="D53" s="164"/>
      <c r="E53" s="67"/>
      <c r="F53" s="69"/>
      <c r="G53" s="70"/>
    </row>
    <row r="54" spans="1:7" s="71" customFormat="1" ht="14.25" customHeight="1" outlineLevel="1" thickBot="1" x14ac:dyDescent="0.3">
      <c r="A54" s="167"/>
      <c r="B54" s="173"/>
      <c r="C54" s="62"/>
      <c r="D54" s="63"/>
      <c r="E54" s="62"/>
      <c r="F54" s="63"/>
      <c r="G54" s="62">
        <f>SUM(C54:F54)</f>
        <v>0</v>
      </c>
    </row>
    <row r="55" spans="1:7" s="71" customFormat="1" ht="16.5" hidden="1" customHeight="1" outlineLevel="1" thickBot="1" x14ac:dyDescent="0.3">
      <c r="A55" s="136" t="s">
        <v>2</v>
      </c>
      <c r="B55" s="113">
        <f>B54+1</f>
        <v>1</v>
      </c>
      <c r="C55" s="165"/>
      <c r="D55" s="166"/>
      <c r="E55" s="130"/>
      <c r="F55" s="164"/>
      <c r="G55" s="62">
        <f>SUM(C55:F55)</f>
        <v>0</v>
      </c>
    </row>
    <row r="56" spans="1:7" s="71" customFormat="1" ht="16.5" customHeight="1" outlineLevel="1" thickBot="1" x14ac:dyDescent="0.3">
      <c r="A56" s="100" t="s">
        <v>19</v>
      </c>
      <c r="B56" s="791" t="s">
        <v>26</v>
      </c>
      <c r="C56" s="107">
        <f>SUM(C49:C55)</f>
        <v>0</v>
      </c>
      <c r="D56" s="107">
        <f>SUM(D49:D55)</f>
        <v>0</v>
      </c>
      <c r="E56" s="107">
        <f>SUM(E49:E55)</f>
        <v>0</v>
      </c>
      <c r="F56" s="107">
        <f>SUM(F49:F55)</f>
        <v>0</v>
      </c>
      <c r="G56" s="107">
        <f>SUM(G49:G55)</f>
        <v>0</v>
      </c>
    </row>
    <row r="57" spans="1:7" s="71" customFormat="1" ht="14.25" customHeight="1" outlineLevel="1" thickBot="1" x14ac:dyDescent="0.3">
      <c r="A57" s="101" t="s">
        <v>21</v>
      </c>
      <c r="B57" s="792"/>
      <c r="C57" s="108" t="e">
        <f>AVERAGE(C49:C55)</f>
        <v>#DIV/0!</v>
      </c>
      <c r="D57" s="108" t="e">
        <f>AVERAGE(D49:D55)</f>
        <v>#DIV/0!</v>
      </c>
      <c r="E57" s="108" t="e">
        <f>AVERAGE(E49:E55)</f>
        <v>#DIV/0!</v>
      </c>
      <c r="F57" s="108" t="e">
        <f>AVERAGE(F49:F55)</f>
        <v>#DIV/0!</v>
      </c>
      <c r="G57" s="108">
        <f>AVERAGE(G49:G55)</f>
        <v>0</v>
      </c>
    </row>
    <row r="58" spans="1:7" s="71" customFormat="1" ht="15.75" customHeight="1" thickBot="1" x14ac:dyDescent="0.3">
      <c r="A58" s="26" t="s">
        <v>18</v>
      </c>
      <c r="B58" s="792"/>
      <c r="C58" s="78">
        <f>SUM(C49:C53)</f>
        <v>0</v>
      </c>
      <c r="D58" s="78">
        <f>SUM(D49:D53)</f>
        <v>0</v>
      </c>
      <c r="E58" s="78">
        <f>SUM(E49:E53)</f>
        <v>0</v>
      </c>
      <c r="F58" s="78">
        <f>SUM(F49:F53)</f>
        <v>0</v>
      </c>
      <c r="G58" s="78">
        <f>SUM(G49:G53)</f>
        <v>0</v>
      </c>
    </row>
    <row r="59" spans="1:7" s="71" customFormat="1" ht="14.25" customHeight="1" thickBot="1" x14ac:dyDescent="0.3">
      <c r="A59" s="26" t="s">
        <v>20</v>
      </c>
      <c r="B59" s="793"/>
      <c r="C59" s="79" t="e">
        <f>AVERAGE(C49:C53)</f>
        <v>#DIV/0!</v>
      </c>
      <c r="D59" s="79" t="e">
        <f>AVERAGE(D49:D53)</f>
        <v>#DIV/0!</v>
      </c>
      <c r="E59" s="79" t="e">
        <f>AVERAGE(E49:E53)</f>
        <v>#DIV/0!</v>
      </c>
      <c r="F59" s="79" t="e">
        <f>AVERAGE(F49:F53)</f>
        <v>#DIV/0!</v>
      </c>
      <c r="G59" s="79" t="e">
        <f>AVERAGE(G49:G53)</f>
        <v>#DIV/0!</v>
      </c>
    </row>
    <row r="60" spans="1:7" s="71" customFormat="1" ht="1.5" hidden="1" customHeight="1" x14ac:dyDescent="0.25">
      <c r="A60" s="125"/>
      <c r="B60" s="117"/>
      <c r="C60" s="60"/>
      <c r="D60" s="61"/>
      <c r="E60" s="60"/>
      <c r="F60" s="72"/>
      <c r="G60" s="73"/>
    </row>
    <row r="61" spans="1:7" s="71" customFormat="1" ht="17.25" hidden="1" customHeight="1" x14ac:dyDescent="0.25">
      <c r="A61" s="126"/>
      <c r="B61" s="115"/>
      <c r="C61" s="60"/>
      <c r="D61" s="61"/>
      <c r="E61" s="62"/>
      <c r="F61" s="63"/>
      <c r="G61" s="64"/>
    </row>
    <row r="62" spans="1:7" s="71" customFormat="1" ht="18" hidden="1" customHeight="1" x14ac:dyDescent="0.25">
      <c r="A62" s="122"/>
      <c r="B62" s="115"/>
      <c r="C62" s="60"/>
      <c r="D62" s="61"/>
      <c r="E62" s="62"/>
      <c r="F62" s="63"/>
      <c r="G62" s="64"/>
    </row>
    <row r="63" spans="1:7" s="71" customFormat="1" ht="16.5" hidden="1" customHeight="1" x14ac:dyDescent="0.25">
      <c r="A63" s="122"/>
      <c r="B63" s="115"/>
      <c r="C63" s="60"/>
      <c r="D63" s="61"/>
      <c r="E63" s="62"/>
      <c r="F63" s="63"/>
      <c r="G63" s="64"/>
    </row>
    <row r="64" spans="1:7" s="71" customFormat="1" ht="15" hidden="1" customHeight="1" x14ac:dyDescent="0.25">
      <c r="A64" s="122"/>
      <c r="B64" s="115"/>
      <c r="C64" s="60"/>
      <c r="D64" s="61"/>
      <c r="E64" s="62"/>
      <c r="F64" s="63"/>
      <c r="G64" s="64"/>
    </row>
    <row r="65" spans="1:7" s="71" customFormat="1" ht="17.25" hidden="1" customHeight="1" outlineLevel="1" x14ac:dyDescent="0.25">
      <c r="A65" s="122"/>
      <c r="B65" s="115"/>
      <c r="C65" s="62"/>
      <c r="D65" s="66"/>
      <c r="E65" s="62"/>
      <c r="F65" s="63"/>
      <c r="G65" s="64"/>
    </row>
    <row r="66" spans="1:7" s="71" customFormat="1" ht="12" hidden="1" customHeight="1" outlineLevel="1" thickBot="1" x14ac:dyDescent="0.3">
      <c r="A66" s="122"/>
      <c r="B66" s="116"/>
      <c r="C66" s="67"/>
      <c r="D66" s="68"/>
      <c r="E66" s="67"/>
      <c r="F66" s="69"/>
      <c r="G66" s="70"/>
    </row>
    <row r="67" spans="1:7" s="71" customFormat="1" ht="15" hidden="1" customHeight="1" outlineLevel="1" thickBot="1" x14ac:dyDescent="0.3">
      <c r="A67" s="100" t="s">
        <v>19</v>
      </c>
      <c r="B67" s="791" t="s">
        <v>30</v>
      </c>
      <c r="C67" s="107">
        <f>SUM(C60:C66)</f>
        <v>0</v>
      </c>
      <c r="D67" s="107">
        <f>SUM(D60:D66)</f>
        <v>0</v>
      </c>
      <c r="E67" s="107">
        <f>SUM(E60:E66)</f>
        <v>0</v>
      </c>
      <c r="F67" s="107">
        <f>SUM(F60:F66)</f>
        <v>0</v>
      </c>
      <c r="G67" s="107">
        <f>SUM(G60:G66)</f>
        <v>0</v>
      </c>
    </row>
    <row r="68" spans="1:7" s="71" customFormat="1" ht="14.25" hidden="1" customHeight="1" outlineLevel="1" thickBot="1" x14ac:dyDescent="0.3">
      <c r="A68" s="101" t="s">
        <v>21</v>
      </c>
      <c r="B68" s="792"/>
      <c r="C68" s="108" t="e">
        <f>AVERAGE(C60:C66)</f>
        <v>#DIV/0!</v>
      </c>
      <c r="D68" s="108" t="e">
        <f>AVERAGE(D60:D66)</f>
        <v>#DIV/0!</v>
      </c>
      <c r="E68" s="108" t="e">
        <f>AVERAGE(E60:E66)</f>
        <v>#DIV/0!</v>
      </c>
      <c r="F68" s="108" t="e">
        <f>AVERAGE(F60:F66)</f>
        <v>#DIV/0!</v>
      </c>
      <c r="G68" s="108" t="e">
        <f>AVERAGE(G60:G66)</f>
        <v>#DIV/0!</v>
      </c>
    </row>
    <row r="69" spans="1:7" s="71" customFormat="1" ht="15.75" hidden="1" customHeight="1" thickBot="1" x14ac:dyDescent="0.3">
      <c r="A69" s="26" t="s">
        <v>18</v>
      </c>
      <c r="B69" s="792"/>
      <c r="C69" s="78">
        <f>SUM(C60:C64)</f>
        <v>0</v>
      </c>
      <c r="D69" s="78">
        <f>SUM(D60:D64)</f>
        <v>0</v>
      </c>
      <c r="E69" s="78">
        <f>SUM(E60:E64)</f>
        <v>0</v>
      </c>
      <c r="F69" s="78">
        <f>SUM(F60:F64)</f>
        <v>0</v>
      </c>
      <c r="G69" s="78">
        <f>SUM(G60:G64)</f>
        <v>0</v>
      </c>
    </row>
    <row r="70" spans="1:7" s="71" customFormat="1" ht="17.25" hidden="1" customHeight="1" thickBot="1" x14ac:dyDescent="0.3">
      <c r="A70" s="26" t="s">
        <v>20</v>
      </c>
      <c r="B70" s="793"/>
      <c r="C70" s="79" t="e">
        <f>AVERAGE(C60:C64)</f>
        <v>#DIV/0!</v>
      </c>
      <c r="D70" s="79" t="e">
        <f>AVERAGE(D60:D64)</f>
        <v>#DIV/0!</v>
      </c>
      <c r="E70" s="79" t="e">
        <f>AVERAGE(E60:E64)</f>
        <v>#DIV/0!</v>
      </c>
      <c r="F70" s="79" t="e">
        <f>AVERAGE(F60:F64)</f>
        <v>#DIV/0!</v>
      </c>
      <c r="G70" s="79" t="e">
        <f>AVERAGE(G60:G64)</f>
        <v>#DIV/0!</v>
      </c>
    </row>
    <row r="71" spans="1:7" s="71" customFormat="1" ht="14.25" customHeight="1" x14ac:dyDescent="0.25">
      <c r="A71" s="44"/>
      <c r="B71" s="45"/>
      <c r="C71" s="74"/>
      <c r="D71" s="74"/>
      <c r="E71" s="74"/>
      <c r="F71" s="74"/>
      <c r="G71" s="74"/>
    </row>
    <row r="72" spans="1:7" s="71" customFormat="1" ht="30" customHeight="1" x14ac:dyDescent="0.25">
      <c r="B72" s="75"/>
      <c r="C72" s="36" t="s">
        <v>46</v>
      </c>
      <c r="D72" s="36" t="s">
        <v>47</v>
      </c>
      <c r="E72" s="808" t="s">
        <v>55</v>
      </c>
      <c r="F72" s="813"/>
      <c r="G72" s="809"/>
    </row>
    <row r="73" spans="1:7" ht="30" customHeight="1" x14ac:dyDescent="0.25">
      <c r="B73" s="38" t="s">
        <v>27</v>
      </c>
      <c r="C73" s="76">
        <f>SUM(C56:D56, C45:D45, C34:D34, C23:D23, C12:D12, C67:D67)</f>
        <v>0</v>
      </c>
      <c r="D73" s="76">
        <f>SUM(E67:F67, E56:F56, E45:F45, E34:F34, E23:F23, E12:F12)</f>
        <v>0</v>
      </c>
      <c r="E73" s="810" t="s">
        <v>27</v>
      </c>
      <c r="F73" s="782"/>
      <c r="G73" s="98">
        <f>SUM(G12, G23, G34, G45, G56, G67)</f>
        <v>0</v>
      </c>
    </row>
    <row r="74" spans="1:7" ht="30" customHeight="1" x14ac:dyDescent="0.25">
      <c r="B74" s="38" t="s">
        <v>28</v>
      </c>
      <c r="C74" s="76">
        <f>SUM(C58:D58, C47:D47, C36:D36, C25:D25, C14:D14, C69:D69)</f>
        <v>0</v>
      </c>
      <c r="D74" s="76">
        <f>SUM(E69:F69, E58:F58, E47:F47, E36:F36, E25:F25, E14:F14)</f>
        <v>0</v>
      </c>
      <c r="E74" s="705" t="s">
        <v>28</v>
      </c>
      <c r="F74" s="705"/>
      <c r="G74" s="99">
        <f>SUM(G58, G47, G36, G25, G14, G69)</f>
        <v>0</v>
      </c>
    </row>
    <row r="75" spans="1:7" ht="30" customHeight="1" x14ac:dyDescent="0.25">
      <c r="E75" s="810" t="s">
        <v>56</v>
      </c>
      <c r="F75" s="782"/>
      <c r="G75" s="99">
        <f>AVERAGE(G12, G23, G34, G45, G56, G67)</f>
        <v>0</v>
      </c>
    </row>
    <row r="76" spans="1:7" ht="30" customHeight="1" x14ac:dyDescent="0.25">
      <c r="E76" s="705" t="s">
        <v>20</v>
      </c>
      <c r="F76" s="705"/>
      <c r="G76" s="98">
        <f>AVERAGE(G58, G47, G36, G25, G14, G69)</f>
        <v>0</v>
      </c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4"/>
  <sheetViews>
    <sheetView zoomScaleNormal="100" workbookViewId="0">
      <selection activeCell="G71" sqref="G71"/>
    </sheetView>
  </sheetViews>
  <sheetFormatPr defaultRowHeight="15" x14ac:dyDescent="0.25"/>
  <cols>
    <col min="2" max="2" width="22.42578125" bestFit="1" customWidth="1"/>
    <col min="3" max="3" width="18.140625" customWidth="1"/>
  </cols>
  <sheetData>
    <row r="1" spans="2:3" ht="15.75" thickBot="1" x14ac:dyDescent="0.3"/>
    <row r="2" spans="2:3" ht="15.75" thickBot="1" x14ac:dyDescent="0.3">
      <c r="B2" s="663" t="s">
        <v>115</v>
      </c>
      <c r="C2" s="664"/>
    </row>
    <row r="3" spans="2:3" ht="15.75" thickBot="1" x14ac:dyDescent="0.3">
      <c r="B3" s="665"/>
      <c r="C3" s="666"/>
    </row>
    <row r="4" spans="2:3" ht="15.75" thickBot="1" x14ac:dyDescent="0.3">
      <c r="B4" s="629" t="s">
        <v>41</v>
      </c>
      <c r="C4" s="667"/>
    </row>
    <row r="5" spans="2:3" ht="12.75" customHeight="1" x14ac:dyDescent="0.25">
      <c r="B5" s="606" t="s">
        <v>42</v>
      </c>
      <c r="C5" s="593">
        <f>'NY Waterway-(Port Imperial FC)'!N69</f>
        <v>382023</v>
      </c>
    </row>
    <row r="6" spans="2:3" ht="13.5" customHeight="1" thickBot="1" x14ac:dyDescent="0.3">
      <c r="B6" s="607"/>
      <c r="C6" s="608"/>
    </row>
    <row r="7" spans="2:3" ht="12.75" customHeight="1" x14ac:dyDescent="0.25">
      <c r="B7" s="606" t="s">
        <v>43</v>
      </c>
      <c r="C7" s="593">
        <f>(SeaStreak!I69)</f>
        <v>48748</v>
      </c>
    </row>
    <row r="8" spans="2:3" ht="13.5" customHeight="1" thickBot="1" x14ac:dyDescent="0.3">
      <c r="B8" s="668"/>
      <c r="C8" s="608"/>
    </row>
    <row r="9" spans="2:3" ht="12.75" customHeight="1" x14ac:dyDescent="0.25">
      <c r="B9" s="595" t="s">
        <v>44</v>
      </c>
      <c r="C9" s="620">
        <f>'New York Water Taxi'!M80</f>
        <v>6850</v>
      </c>
    </row>
    <row r="10" spans="2:3" ht="13.5" customHeight="1" thickBot="1" x14ac:dyDescent="0.3">
      <c r="B10" s="669"/>
      <c r="C10" s="622"/>
    </row>
    <row r="11" spans="2:3" ht="12.75" customHeight="1" x14ac:dyDescent="0.25">
      <c r="B11" s="627" t="s">
        <v>31</v>
      </c>
      <c r="C11" s="620">
        <f>('Liberty Landing Ferry'!F74)</f>
        <v>11278</v>
      </c>
    </row>
    <row r="12" spans="2:3" ht="13.5" customHeight="1" thickBot="1" x14ac:dyDescent="0.3">
      <c r="B12" s="672"/>
      <c r="C12" s="622"/>
    </row>
    <row r="13" spans="2:3" ht="13.5" customHeight="1" x14ac:dyDescent="0.25">
      <c r="B13" s="627" t="s">
        <v>66</v>
      </c>
      <c r="C13" s="620">
        <f>'NYC Ferry'!E73</f>
        <v>504102</v>
      </c>
    </row>
    <row r="14" spans="2:3" ht="13.5" customHeight="1" thickBot="1" x14ac:dyDescent="0.3">
      <c r="B14" s="672"/>
      <c r="C14" s="622"/>
    </row>
    <row r="15" spans="2:3" ht="13.5" hidden="1" customHeight="1" x14ac:dyDescent="0.25">
      <c r="B15" s="627" t="s">
        <v>61</v>
      </c>
      <c r="C15" s="620">
        <f>'Water Tours'!F74</f>
        <v>0</v>
      </c>
    </row>
    <row r="16" spans="2:3" ht="13.5" hidden="1" customHeight="1" thickBot="1" x14ac:dyDescent="0.3">
      <c r="B16" s="672"/>
      <c r="C16" s="622"/>
    </row>
    <row r="17" spans="2:3" x14ac:dyDescent="0.25">
      <c r="B17" s="623" t="s">
        <v>17</v>
      </c>
      <c r="C17" s="625">
        <f>SUM(C5:C16)</f>
        <v>953001</v>
      </c>
    </row>
    <row r="18" spans="2:3" ht="15.75" thickBot="1" x14ac:dyDescent="0.3">
      <c r="B18" s="670"/>
      <c r="C18" s="671"/>
    </row>
    <row r="19" spans="2:3" ht="15.75" thickBot="1" x14ac:dyDescent="0.3">
      <c r="B19" s="39"/>
      <c r="C19" s="40"/>
    </row>
    <row r="20" spans="2:3" ht="15.75" thickBot="1" x14ac:dyDescent="0.3">
      <c r="B20" s="629" t="s">
        <v>45</v>
      </c>
      <c r="C20" s="667"/>
    </row>
    <row r="21" spans="2:3" x14ac:dyDescent="0.25">
      <c r="B21" s="606" t="s">
        <v>10</v>
      </c>
      <c r="C21" s="593">
        <f>SUM('NYC Ferry'!C68,'NY Waterway-(Port Imperial FC)'!D68,'New York Water Taxi'!J79,)</f>
        <v>156940</v>
      </c>
    </row>
    <row r="22" spans="2:3" ht="15.75" thickBot="1" x14ac:dyDescent="0.3">
      <c r="B22" s="607"/>
      <c r="C22" s="608"/>
    </row>
    <row r="23" spans="2:3" x14ac:dyDescent="0.25">
      <c r="B23" s="606" t="s">
        <v>62</v>
      </c>
      <c r="C23" s="593">
        <f>SeaStreak!B68</f>
        <v>23389</v>
      </c>
    </row>
    <row r="24" spans="2:3" ht="15.75" thickBot="1" x14ac:dyDescent="0.3">
      <c r="B24" s="607"/>
      <c r="C24" s="608"/>
    </row>
    <row r="25" spans="2:3" x14ac:dyDescent="0.25">
      <c r="B25" s="595" t="s">
        <v>8</v>
      </c>
      <c r="C25" s="620">
        <f>'NY Waterway-(Port Imperial FC)'!G68</f>
        <v>125616</v>
      </c>
    </row>
    <row r="26" spans="2:3" ht="15.75" thickBot="1" x14ac:dyDescent="0.3">
      <c r="B26" s="673"/>
      <c r="C26" s="622"/>
    </row>
    <row r="27" spans="2:3" x14ac:dyDescent="0.25">
      <c r="B27" s="606" t="s">
        <v>13</v>
      </c>
      <c r="C27" s="593">
        <f>SUM('NYC Ferry'!D68,SeaStreak!C68,'New York Water Taxi'!H79,)</f>
        <v>94312</v>
      </c>
    </row>
    <row r="28" spans="2:3" ht="15.75" thickBot="1" x14ac:dyDescent="0.3">
      <c r="B28" s="668"/>
      <c r="C28" s="608"/>
    </row>
    <row r="29" spans="2:3" ht="12.75" customHeight="1" x14ac:dyDescent="0.25">
      <c r="B29" s="606" t="s">
        <v>105</v>
      </c>
      <c r="C29" s="593">
        <f>SUM('NY Waterway-(Port Imperial FC)'!F68,'Liberty Landing Ferry'!B73)</f>
        <v>89460</v>
      </c>
    </row>
    <row r="30" spans="2:3" ht="15.75" thickBot="1" x14ac:dyDescent="0.3">
      <c r="B30" s="668"/>
      <c r="C30" s="608"/>
    </row>
    <row r="31" spans="2:3" x14ac:dyDescent="0.25">
      <c r="B31" s="595" t="s">
        <v>7</v>
      </c>
      <c r="C31" s="599">
        <f>SUM('New York Water Taxi'!D79)</f>
        <v>0</v>
      </c>
    </row>
    <row r="32" spans="2:3" ht="15.75" thickBot="1" x14ac:dyDescent="0.3">
      <c r="B32" s="669"/>
      <c r="C32" s="600"/>
    </row>
    <row r="33" spans="2:7" x14ac:dyDescent="0.25">
      <c r="B33" s="606" t="s">
        <v>90</v>
      </c>
      <c r="C33" s="599">
        <f>SUM('New York Water Taxi'!F79)</f>
        <v>0</v>
      </c>
    </row>
    <row r="34" spans="2:7" ht="15.75" thickBot="1" x14ac:dyDescent="0.3">
      <c r="B34" s="668"/>
      <c r="C34" s="600"/>
    </row>
    <row r="35" spans="2:7" ht="13.5" customHeight="1" x14ac:dyDescent="0.25">
      <c r="B35" s="597" t="s">
        <v>57</v>
      </c>
      <c r="C35" s="599">
        <f>SUM('NYC Ferry'!E68,'New York Water Taxi'!E79)</f>
        <v>19156</v>
      </c>
    </row>
    <row r="36" spans="2:7" ht="14.25" customHeight="1" thickBot="1" x14ac:dyDescent="0.3">
      <c r="B36" s="598"/>
      <c r="C36" s="600"/>
    </row>
    <row r="37" spans="2:7" ht="14.25" customHeight="1" x14ac:dyDescent="0.25">
      <c r="B37" s="597" t="s">
        <v>87</v>
      </c>
      <c r="C37" s="599">
        <f>SUM('New York Water Taxi'!G79)</f>
        <v>0</v>
      </c>
    </row>
    <row r="38" spans="2:7" ht="14.25" customHeight="1" thickBot="1" x14ac:dyDescent="0.3">
      <c r="B38" s="598"/>
      <c r="C38" s="600"/>
    </row>
    <row r="39" spans="2:7" ht="13.5" customHeight="1" x14ac:dyDescent="0.25">
      <c r="B39" s="597" t="s">
        <v>58</v>
      </c>
      <c r="C39" s="599">
        <f>SUM('NYC Ferry'!I68)</f>
        <v>0</v>
      </c>
    </row>
    <row r="40" spans="2:7" ht="14.25" customHeight="1" thickBot="1" x14ac:dyDescent="0.3">
      <c r="B40" s="598"/>
      <c r="C40" s="600"/>
    </row>
    <row r="41" spans="2:7" ht="13.5" customHeight="1" x14ac:dyDescent="0.25">
      <c r="B41" s="597" t="s">
        <v>11</v>
      </c>
      <c r="C41" s="599">
        <f>SUM('NYC Ferry'!J68)</f>
        <v>39494</v>
      </c>
    </row>
    <row r="42" spans="2:7" ht="14.25" customHeight="1" thickBot="1" x14ac:dyDescent="0.3">
      <c r="B42" s="598"/>
      <c r="C42" s="600"/>
    </row>
    <row r="43" spans="2:7" ht="13.5" customHeight="1" x14ac:dyDescent="0.25">
      <c r="B43" s="597" t="s">
        <v>12</v>
      </c>
      <c r="C43" s="599">
        <f>SUM('NYC Ferry'!G68)</f>
        <v>0</v>
      </c>
    </row>
    <row r="44" spans="2:7" ht="14.25" customHeight="1" thickBot="1" x14ac:dyDescent="0.3">
      <c r="B44" s="598"/>
      <c r="C44" s="600"/>
    </row>
    <row r="45" spans="2:7" ht="13.5" customHeight="1" x14ac:dyDescent="0.25">
      <c r="B45" s="597" t="s">
        <v>93</v>
      </c>
      <c r="C45" s="599">
        <f>SUM('NYC Ferry'!H68)</f>
        <v>21277</v>
      </c>
    </row>
    <row r="46" spans="2:7" ht="14.25" customHeight="1" thickBot="1" x14ac:dyDescent="0.3">
      <c r="B46" s="598"/>
      <c r="C46" s="600"/>
    </row>
    <row r="47" spans="2:7" ht="14.25" customHeight="1" x14ac:dyDescent="0.25">
      <c r="B47" s="597" t="s">
        <v>29</v>
      </c>
      <c r="C47" s="599">
        <f>SUM('NYC Ferry'!W68,'NY Waterway-(Port Imperial FC)'!H68)</f>
        <v>139823</v>
      </c>
      <c r="G47" s="6"/>
    </row>
    <row r="48" spans="2:7" ht="14.25" customHeight="1" thickBot="1" x14ac:dyDescent="0.3">
      <c r="B48" s="598"/>
      <c r="C48" s="600"/>
    </row>
    <row r="49" spans="2:3" ht="14.25" customHeight="1" x14ac:dyDescent="0.25">
      <c r="B49" s="597" t="s">
        <v>71</v>
      </c>
      <c r="C49" s="599">
        <f>SUM('NYC Ferry'!N68)</f>
        <v>6227</v>
      </c>
    </row>
    <row r="50" spans="2:3" ht="14.25" customHeight="1" thickBot="1" x14ac:dyDescent="0.3">
      <c r="B50" s="598"/>
      <c r="C50" s="600"/>
    </row>
    <row r="51" spans="2:3" ht="14.25" customHeight="1" x14ac:dyDescent="0.25">
      <c r="B51" s="597" t="s">
        <v>96</v>
      </c>
      <c r="C51" s="599">
        <f>SUM('New York Water Taxi'!K79)</f>
        <v>0</v>
      </c>
    </row>
    <row r="52" spans="2:3" ht="14.25" customHeight="1" thickBot="1" x14ac:dyDescent="0.3">
      <c r="B52" s="598"/>
      <c r="C52" s="600"/>
    </row>
    <row r="53" spans="2:3" ht="14.25" customHeight="1" x14ac:dyDescent="0.25">
      <c r="B53" s="634" t="s">
        <v>106</v>
      </c>
      <c r="C53" s="599">
        <f>SUM('NYC Ferry'!K68,'New York Water Taxi'!I79)</f>
        <v>16473</v>
      </c>
    </row>
    <row r="54" spans="2:3" ht="14.25" customHeight="1" thickBot="1" x14ac:dyDescent="0.3">
      <c r="B54" s="635"/>
      <c r="C54" s="600"/>
    </row>
    <row r="55" spans="2:3" ht="14.25" customHeight="1" x14ac:dyDescent="0.25">
      <c r="B55" s="597" t="s">
        <v>77</v>
      </c>
      <c r="C55" s="599">
        <f>SUM('NYC Ferry'!V68)</f>
        <v>7190</v>
      </c>
    </row>
    <row r="56" spans="2:3" ht="14.25" customHeight="1" thickBot="1" x14ac:dyDescent="0.3">
      <c r="B56" s="598"/>
      <c r="C56" s="600"/>
    </row>
    <row r="57" spans="2:3" ht="14.25" customHeight="1" x14ac:dyDescent="0.25">
      <c r="B57" s="597" t="s">
        <v>78</v>
      </c>
      <c r="C57" s="599">
        <f>SUM('NYC Ferry'!U68)</f>
        <v>5004</v>
      </c>
    </row>
    <row r="58" spans="2:3" ht="14.25" customHeight="1" thickBot="1" x14ac:dyDescent="0.3">
      <c r="B58" s="598"/>
      <c r="C58" s="600"/>
    </row>
    <row r="59" spans="2:3" ht="14.25" customHeight="1" x14ac:dyDescent="0.25">
      <c r="B59" s="597" t="s">
        <v>80</v>
      </c>
      <c r="C59" s="599">
        <f>SUM('NYC Ferry'!T68)</f>
        <v>19499</v>
      </c>
    </row>
    <row r="60" spans="2:3" ht="14.25" customHeight="1" thickBot="1" x14ac:dyDescent="0.3">
      <c r="B60" s="598"/>
      <c r="C60" s="600"/>
    </row>
    <row r="61" spans="2:3" ht="14.25" customHeight="1" x14ac:dyDescent="0.25">
      <c r="B61" s="597" t="s">
        <v>79</v>
      </c>
      <c r="C61" s="599">
        <f>SUM('NYC Ferry'!S68)</f>
        <v>33304</v>
      </c>
    </row>
    <row r="62" spans="2:3" ht="14.25" customHeight="1" thickBot="1" x14ac:dyDescent="0.3">
      <c r="B62" s="598"/>
      <c r="C62" s="600"/>
    </row>
    <row r="63" spans="2:3" ht="14.25" customHeight="1" x14ac:dyDescent="0.25">
      <c r="B63" s="674" t="s">
        <v>94</v>
      </c>
      <c r="C63" s="599">
        <f>SUM('NYC Ferry'!M68,'NY Waterway-(Port Imperial FC)'!I68)</f>
        <v>34685</v>
      </c>
    </row>
    <row r="64" spans="2:3" ht="14.25" customHeight="1" thickBot="1" x14ac:dyDescent="0.3">
      <c r="B64" s="675"/>
      <c r="C64" s="600"/>
    </row>
    <row r="65" spans="2:3" ht="14.25" customHeight="1" x14ac:dyDescent="0.25">
      <c r="B65" s="597" t="s">
        <v>108</v>
      </c>
      <c r="C65" s="599">
        <f>SUM('NYC Ferry'!O68)</f>
        <v>10846</v>
      </c>
    </row>
    <row r="66" spans="2:3" ht="14.25" customHeight="1" thickBot="1" x14ac:dyDescent="0.3">
      <c r="B66" s="598"/>
      <c r="C66" s="600"/>
    </row>
    <row r="67" spans="2:3" ht="14.25" customHeight="1" x14ac:dyDescent="0.25">
      <c r="B67" s="597" t="s">
        <v>65</v>
      </c>
      <c r="C67" s="599">
        <f>SUM('NYC Ferry'!L68)</f>
        <v>41355</v>
      </c>
    </row>
    <row r="68" spans="2:3" ht="14.25" customHeight="1" thickBot="1" x14ac:dyDescent="0.3">
      <c r="B68" s="598"/>
      <c r="C68" s="600"/>
    </row>
    <row r="69" spans="2:3" ht="14.25" customHeight="1" x14ac:dyDescent="0.25">
      <c r="B69" s="597" t="s">
        <v>72</v>
      </c>
      <c r="C69" s="599">
        <f>SUM('NYC Ferry'!R68)</f>
        <v>20866</v>
      </c>
    </row>
    <row r="70" spans="2:3" ht="14.25" customHeight="1" thickBot="1" x14ac:dyDescent="0.3">
      <c r="B70" s="598"/>
      <c r="C70" s="600"/>
    </row>
    <row r="71" spans="2:3" ht="14.25" customHeight="1" x14ac:dyDescent="0.25">
      <c r="B71" s="597" t="s">
        <v>73</v>
      </c>
      <c r="C71" s="599">
        <f>SUM('NYC Ferry'!Q68)</f>
        <v>14579</v>
      </c>
    </row>
    <row r="72" spans="2:3" ht="14.25" customHeight="1" thickBot="1" x14ac:dyDescent="0.3">
      <c r="B72" s="598"/>
      <c r="C72" s="600"/>
    </row>
    <row r="73" spans="2:3" ht="14.25" customHeight="1" x14ac:dyDescent="0.25">
      <c r="B73" s="597" t="s">
        <v>100</v>
      </c>
      <c r="C73" s="599">
        <f>SUM('NYC Ferry'!P68)</f>
        <v>10179</v>
      </c>
    </row>
    <row r="74" spans="2:3" ht="14.25" customHeight="1" thickBot="1" x14ac:dyDescent="0.3">
      <c r="B74" s="598"/>
      <c r="C74" s="600"/>
    </row>
    <row r="75" spans="2:3" ht="14.25" customHeight="1" x14ac:dyDescent="0.25">
      <c r="B75" s="597" t="s">
        <v>59</v>
      </c>
      <c r="C75" s="599">
        <f>SUM('NYC Ferry'!F68)</f>
        <v>23327</v>
      </c>
    </row>
    <row r="76" spans="2:3" ht="14.25" customHeight="1" thickBot="1" x14ac:dyDescent="0.3">
      <c r="B76" s="598"/>
      <c r="C76" s="600"/>
    </row>
    <row r="77" spans="2:3" x14ac:dyDescent="0.25">
      <c r="B77" s="638" t="s">
        <v>17</v>
      </c>
      <c r="C77" s="625">
        <f>SUM(C21:C76)</f>
        <v>953001</v>
      </c>
    </row>
    <row r="78" spans="2:3" ht="15.75" thickBot="1" x14ac:dyDescent="0.3">
      <c r="B78" s="676"/>
      <c r="C78" s="671"/>
    </row>
    <row r="82" spans="10:11" x14ac:dyDescent="0.25">
      <c r="J82" s="6"/>
      <c r="K82" s="6"/>
    </row>
    <row r="83" spans="10:11" x14ac:dyDescent="0.25">
      <c r="J83" s="6"/>
      <c r="K83" s="6"/>
    </row>
    <row r="84" spans="10:11" x14ac:dyDescent="0.25">
      <c r="J84" s="6"/>
      <c r="K84" s="6"/>
    </row>
    <row r="85" spans="10:11" x14ac:dyDescent="0.25">
      <c r="J85" s="6"/>
      <c r="K85" s="6"/>
    </row>
    <row r="86" spans="10:11" x14ac:dyDescent="0.25">
      <c r="J86" s="6"/>
      <c r="K86" s="6"/>
    </row>
    <row r="87" spans="10:11" x14ac:dyDescent="0.25">
      <c r="J87" s="6"/>
      <c r="K87" s="6"/>
    </row>
    <row r="88" spans="10:11" x14ac:dyDescent="0.25">
      <c r="J88" s="6"/>
      <c r="K88" s="6"/>
    </row>
    <row r="89" spans="10:11" x14ac:dyDescent="0.25">
      <c r="J89" s="6"/>
      <c r="K89" s="6"/>
    </row>
    <row r="90" spans="10:11" x14ac:dyDescent="0.25">
      <c r="J90" s="6"/>
      <c r="K90" s="6"/>
    </row>
    <row r="91" spans="10:11" x14ac:dyDescent="0.25">
      <c r="J91" s="6"/>
      <c r="K91" s="6"/>
    </row>
    <row r="92" spans="10:11" x14ac:dyDescent="0.25">
      <c r="J92" s="6"/>
      <c r="K92" s="6"/>
    </row>
    <row r="93" spans="10:11" x14ac:dyDescent="0.25">
      <c r="K93" s="6"/>
    </row>
    <row r="94" spans="10:11" x14ac:dyDescent="0.25">
      <c r="K94" s="6"/>
    </row>
    <row r="95" spans="10:11" x14ac:dyDescent="0.25">
      <c r="J95" s="6"/>
      <c r="K95" s="6"/>
    </row>
    <row r="96" spans="10:11" x14ac:dyDescent="0.25">
      <c r="J96" s="6"/>
      <c r="K96" s="6"/>
    </row>
    <row r="97" spans="10:11" x14ac:dyDescent="0.25">
      <c r="J97" s="6"/>
      <c r="K97" s="6"/>
    </row>
    <row r="98" spans="10:11" x14ac:dyDescent="0.25">
      <c r="J98" s="6"/>
      <c r="K98" s="6"/>
    </row>
    <row r="99" spans="10:11" x14ac:dyDescent="0.25">
      <c r="J99" s="6"/>
      <c r="K99" s="6"/>
    </row>
    <row r="100" spans="10:11" x14ac:dyDescent="0.25">
      <c r="J100" s="6"/>
      <c r="K100" s="6"/>
    </row>
    <row r="101" spans="10:11" x14ac:dyDescent="0.25">
      <c r="J101" s="6"/>
      <c r="K101" s="6"/>
    </row>
    <row r="102" spans="10:11" x14ac:dyDescent="0.25">
      <c r="J102" s="6"/>
      <c r="K102" s="6"/>
    </row>
    <row r="103" spans="10:11" x14ac:dyDescent="0.25">
      <c r="J103" s="6"/>
      <c r="K103" s="6"/>
    </row>
    <row r="104" spans="10:11" x14ac:dyDescent="0.25">
      <c r="J104" s="6"/>
      <c r="K104" s="6"/>
    </row>
    <row r="105" spans="10:11" x14ac:dyDescent="0.25">
      <c r="J105" s="6"/>
      <c r="K105" s="6"/>
    </row>
    <row r="106" spans="10:11" x14ac:dyDescent="0.25">
      <c r="J106" s="6"/>
      <c r="K106" s="6"/>
    </row>
    <row r="107" spans="10:11" x14ac:dyDescent="0.25">
      <c r="J107" s="6"/>
      <c r="K107" s="6"/>
    </row>
    <row r="108" spans="10:11" x14ac:dyDescent="0.25">
      <c r="J108" s="6"/>
    </row>
    <row r="109" spans="10:11" x14ac:dyDescent="0.25">
      <c r="J109" s="6"/>
      <c r="K109" s="6"/>
    </row>
    <row r="110" spans="10:11" x14ac:dyDescent="0.25">
      <c r="J110" s="6"/>
    </row>
    <row r="111" spans="10:11" x14ac:dyDescent="0.25">
      <c r="J111" s="6"/>
      <c r="K111" s="6"/>
    </row>
    <row r="112" spans="10:11" x14ac:dyDescent="0.25">
      <c r="J112" s="6"/>
      <c r="K112" s="6"/>
    </row>
    <row r="113" spans="10:11" x14ac:dyDescent="0.25">
      <c r="J113" s="6"/>
      <c r="K113" s="6"/>
    </row>
    <row r="114" spans="10:11" x14ac:dyDescent="0.25">
      <c r="J114" s="6"/>
      <c r="K114" s="6"/>
    </row>
  </sheetData>
  <mergeCells count="76">
    <mergeCell ref="B55:B56"/>
    <mergeCell ref="B57:B58"/>
    <mergeCell ref="C55:C56"/>
    <mergeCell ref="B61:B62"/>
    <mergeCell ref="C59:C60"/>
    <mergeCell ref="C61:C62"/>
    <mergeCell ref="B69:B70"/>
    <mergeCell ref="C69:C70"/>
    <mergeCell ref="B77:B78"/>
    <mergeCell ref="C77:C78"/>
    <mergeCell ref="B67:B68"/>
    <mergeCell ref="C67:C68"/>
    <mergeCell ref="B73:B74"/>
    <mergeCell ref="C73:C74"/>
    <mergeCell ref="B75:B76"/>
    <mergeCell ref="C75:C76"/>
    <mergeCell ref="B71:B72"/>
    <mergeCell ref="C71:C72"/>
    <mergeCell ref="B45:B46"/>
    <mergeCell ref="C45:C46"/>
    <mergeCell ref="B47:B48"/>
    <mergeCell ref="C47:C48"/>
    <mergeCell ref="B65:B66"/>
    <mergeCell ref="C65:C66"/>
    <mergeCell ref="B53:B54"/>
    <mergeCell ref="C53:C54"/>
    <mergeCell ref="B49:B50"/>
    <mergeCell ref="C49:C50"/>
    <mergeCell ref="C57:C58"/>
    <mergeCell ref="B59:B60"/>
    <mergeCell ref="B63:B64"/>
    <mergeCell ref="C63:C64"/>
    <mergeCell ref="B51:B52"/>
    <mergeCell ref="C51:C52"/>
    <mergeCell ref="B41:B42"/>
    <mergeCell ref="C41:C42"/>
    <mergeCell ref="B43:B44"/>
    <mergeCell ref="C43:C44"/>
    <mergeCell ref="B29:B30"/>
    <mergeCell ref="C29:C30"/>
    <mergeCell ref="B31:B32"/>
    <mergeCell ref="C31:C32"/>
    <mergeCell ref="B33:B34"/>
    <mergeCell ref="C33:C34"/>
    <mergeCell ref="B35:B36"/>
    <mergeCell ref="C35:C36"/>
    <mergeCell ref="B39:B40"/>
    <mergeCell ref="C39:C40"/>
    <mergeCell ref="B37:B38"/>
    <mergeCell ref="C37:C38"/>
    <mergeCell ref="B25:B26"/>
    <mergeCell ref="C25:C26"/>
    <mergeCell ref="B27:B28"/>
    <mergeCell ref="C27:C28"/>
    <mergeCell ref="B23:B24"/>
    <mergeCell ref="C23:C24"/>
    <mergeCell ref="B7:B8"/>
    <mergeCell ref="C7:C8"/>
    <mergeCell ref="B9:B10"/>
    <mergeCell ref="C9:C10"/>
    <mergeCell ref="B21:B22"/>
    <mergeCell ref="C21:C22"/>
    <mergeCell ref="C11:C12"/>
    <mergeCell ref="B17:B18"/>
    <mergeCell ref="C17:C18"/>
    <mergeCell ref="B20:C20"/>
    <mergeCell ref="B13:B14"/>
    <mergeCell ref="C13:C14"/>
    <mergeCell ref="B15:B16"/>
    <mergeCell ref="C15:C16"/>
    <mergeCell ref="B11:B12"/>
    <mergeCell ref="B2:C2"/>
    <mergeCell ref="B3:C3"/>
    <mergeCell ref="B4:C4"/>
    <mergeCell ref="B5:B6"/>
    <mergeCell ref="C5:C6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zoomScale="95" zoomScaleNormal="9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73" sqref="G73"/>
    </sheetView>
  </sheetViews>
  <sheetFormatPr defaultRowHeight="15" x14ac:dyDescent="0.25"/>
  <cols>
    <col min="1" max="1" width="18.7109375" style="1" bestFit="1" customWidth="1"/>
    <col min="2" max="2" width="10.7109375" style="120" bestFit="1" customWidth="1"/>
    <col min="3" max="3" width="17.5703125" style="120" customWidth="1"/>
    <col min="4" max="4" width="17.5703125" style="1" customWidth="1"/>
    <col min="5" max="5" width="14.5703125" style="1" customWidth="1"/>
    <col min="6" max="6" width="13.7109375" style="1" customWidth="1"/>
    <col min="7" max="8" width="11.7109375" style="1" customWidth="1"/>
    <col min="9" max="9" width="14.85546875" style="1" bestFit="1" customWidth="1"/>
    <col min="10" max="10" width="13" style="1" customWidth="1"/>
    <col min="11" max="11" width="11.7109375" style="1" customWidth="1"/>
    <col min="12" max="14" width="11.7109375" style="213" customWidth="1"/>
    <col min="15" max="15" width="13.28515625" style="1" customWidth="1"/>
    <col min="16" max="16" width="11.7109375" style="1" customWidth="1"/>
    <col min="17" max="27" width="11.7109375" style="213" customWidth="1"/>
    <col min="28" max="28" width="13.42578125" customWidth="1"/>
    <col min="29" max="29" width="11" customWidth="1"/>
    <col min="30" max="30" width="10.85546875" style="250" bestFit="1" customWidth="1"/>
    <col min="31" max="31" width="10.85546875" style="215" customWidth="1"/>
    <col min="32" max="32" width="11.7109375" style="213" customWidth="1"/>
    <col min="33" max="33" width="14.28515625" customWidth="1"/>
    <col min="34" max="34" width="12.42578125" customWidth="1"/>
    <col min="35" max="35" width="10.85546875" customWidth="1"/>
    <col min="36" max="36" width="10.5703125" customWidth="1"/>
    <col min="37" max="37" width="9.140625" style="215"/>
    <col min="38" max="38" width="10.5703125" style="215" customWidth="1"/>
  </cols>
  <sheetData>
    <row r="1" spans="1:39" x14ac:dyDescent="0.25">
      <c r="A1" s="708" t="s">
        <v>48</v>
      </c>
      <c r="B1" s="711" t="s">
        <v>49</v>
      </c>
      <c r="C1" s="713" t="s">
        <v>64</v>
      </c>
      <c r="D1" s="714"/>
      <c r="E1" s="714"/>
      <c r="F1" s="714"/>
      <c r="G1" s="714"/>
      <c r="H1" s="714"/>
      <c r="I1" s="715"/>
      <c r="J1" s="677" t="s">
        <v>65</v>
      </c>
      <c r="K1" s="678"/>
      <c r="L1" s="679"/>
      <c r="M1" s="677" t="s">
        <v>69</v>
      </c>
      <c r="N1" s="678"/>
      <c r="O1" s="678"/>
      <c r="P1" s="678"/>
      <c r="Q1" s="678"/>
      <c r="R1" s="678"/>
      <c r="S1" s="679"/>
      <c r="T1" s="677" t="s">
        <v>72</v>
      </c>
      <c r="U1" s="678"/>
      <c r="V1" s="678"/>
      <c r="W1" s="678"/>
      <c r="X1" s="678"/>
      <c r="Y1" s="678"/>
      <c r="Z1" s="679"/>
      <c r="AA1" s="677" t="s">
        <v>80</v>
      </c>
      <c r="AB1" s="678"/>
      <c r="AC1" s="678"/>
      <c r="AD1" s="678"/>
      <c r="AE1" s="679"/>
      <c r="AF1" s="723" t="s">
        <v>76</v>
      </c>
      <c r="AG1" s="724"/>
      <c r="AH1" s="724"/>
      <c r="AI1" s="724"/>
      <c r="AJ1" s="725"/>
      <c r="AK1" s="735" t="s">
        <v>99</v>
      </c>
      <c r="AL1" s="736"/>
      <c r="AM1" s="730"/>
    </row>
    <row r="2" spans="1:39" ht="15.75" thickBot="1" x14ac:dyDescent="0.3">
      <c r="A2" s="709"/>
      <c r="B2" s="712"/>
      <c r="C2" s="716"/>
      <c r="D2" s="717"/>
      <c r="E2" s="717"/>
      <c r="F2" s="717"/>
      <c r="G2" s="717"/>
      <c r="H2" s="717"/>
      <c r="I2" s="718"/>
      <c r="J2" s="680"/>
      <c r="K2" s="681"/>
      <c r="L2" s="682"/>
      <c r="M2" s="694"/>
      <c r="N2" s="695"/>
      <c r="O2" s="695"/>
      <c r="P2" s="695"/>
      <c r="Q2" s="695"/>
      <c r="R2" s="695"/>
      <c r="S2" s="696"/>
      <c r="T2" s="680"/>
      <c r="U2" s="681"/>
      <c r="V2" s="681"/>
      <c r="W2" s="681"/>
      <c r="X2" s="681"/>
      <c r="Y2" s="681"/>
      <c r="Z2" s="682"/>
      <c r="AA2" s="680"/>
      <c r="AB2" s="681"/>
      <c r="AC2" s="681"/>
      <c r="AD2" s="681"/>
      <c r="AE2" s="682"/>
      <c r="AF2" s="726"/>
      <c r="AG2" s="727"/>
      <c r="AH2" s="727"/>
      <c r="AI2" s="727"/>
      <c r="AJ2" s="728"/>
      <c r="AK2" s="737"/>
      <c r="AL2" s="738"/>
      <c r="AM2" s="731"/>
    </row>
    <row r="3" spans="1:39" x14ac:dyDescent="0.25">
      <c r="A3" s="709"/>
      <c r="B3" s="712"/>
      <c r="C3" s="697" t="s">
        <v>10</v>
      </c>
      <c r="D3" s="683" t="s">
        <v>57</v>
      </c>
      <c r="E3" s="683" t="s">
        <v>58</v>
      </c>
      <c r="F3" s="683" t="s">
        <v>11</v>
      </c>
      <c r="G3" s="683" t="s">
        <v>12</v>
      </c>
      <c r="H3" s="683" t="s">
        <v>93</v>
      </c>
      <c r="I3" s="692" t="s">
        <v>13</v>
      </c>
      <c r="J3" s="697" t="s">
        <v>10</v>
      </c>
      <c r="K3" s="683" t="s">
        <v>102</v>
      </c>
      <c r="L3" s="692" t="s">
        <v>65</v>
      </c>
      <c r="M3" s="697" t="s">
        <v>10</v>
      </c>
      <c r="N3" s="683" t="s">
        <v>57</v>
      </c>
      <c r="O3" s="683" t="s">
        <v>109</v>
      </c>
      <c r="P3" s="683" t="s">
        <v>71</v>
      </c>
      <c r="Q3" s="683" t="s">
        <v>102</v>
      </c>
      <c r="R3" s="683" t="s">
        <v>70</v>
      </c>
      <c r="S3" s="692" t="s">
        <v>78</v>
      </c>
      <c r="T3" s="689" t="s">
        <v>10</v>
      </c>
      <c r="U3" s="683" t="s">
        <v>100</v>
      </c>
      <c r="V3" s="683" t="s">
        <v>13</v>
      </c>
      <c r="W3" s="683" t="s">
        <v>59</v>
      </c>
      <c r="X3" s="683" t="s">
        <v>73</v>
      </c>
      <c r="Y3" s="687" t="s">
        <v>72</v>
      </c>
      <c r="Z3" s="685" t="s">
        <v>79</v>
      </c>
      <c r="AA3" s="697" t="s">
        <v>10</v>
      </c>
      <c r="AB3" s="683" t="s">
        <v>13</v>
      </c>
      <c r="AC3" s="683" t="s">
        <v>79</v>
      </c>
      <c r="AD3" s="683" t="s">
        <v>80</v>
      </c>
      <c r="AE3" s="692" t="s">
        <v>77</v>
      </c>
      <c r="AF3" s="689" t="s">
        <v>10</v>
      </c>
      <c r="AG3" s="683" t="s">
        <v>78</v>
      </c>
      <c r="AH3" s="683" t="s">
        <v>77</v>
      </c>
      <c r="AI3" s="683" t="s">
        <v>13</v>
      </c>
      <c r="AJ3" s="692" t="s">
        <v>59</v>
      </c>
      <c r="AK3" s="697" t="s">
        <v>10</v>
      </c>
      <c r="AL3" s="692" t="s">
        <v>29</v>
      </c>
      <c r="AM3" s="731"/>
    </row>
    <row r="4" spans="1:39" ht="15.75" thickBot="1" x14ac:dyDescent="0.3">
      <c r="A4" s="710"/>
      <c r="B4" s="712"/>
      <c r="C4" s="700"/>
      <c r="D4" s="703"/>
      <c r="E4" s="703"/>
      <c r="F4" s="703"/>
      <c r="G4" s="703"/>
      <c r="H4" s="703"/>
      <c r="I4" s="702"/>
      <c r="J4" s="700"/>
      <c r="K4" s="703"/>
      <c r="L4" s="702"/>
      <c r="M4" s="698"/>
      <c r="N4" s="684"/>
      <c r="O4" s="684"/>
      <c r="P4" s="684"/>
      <c r="Q4" s="684"/>
      <c r="R4" s="684"/>
      <c r="S4" s="693"/>
      <c r="T4" s="690"/>
      <c r="U4" s="691"/>
      <c r="V4" s="684"/>
      <c r="W4" s="684"/>
      <c r="X4" s="684"/>
      <c r="Y4" s="688"/>
      <c r="Z4" s="686"/>
      <c r="AA4" s="729"/>
      <c r="AB4" s="734"/>
      <c r="AC4" s="734"/>
      <c r="AD4" s="733"/>
      <c r="AE4" s="743"/>
      <c r="AF4" s="742"/>
      <c r="AG4" s="741"/>
      <c r="AH4" s="741"/>
      <c r="AI4" s="741"/>
      <c r="AJ4" s="740"/>
      <c r="AK4" s="739"/>
      <c r="AL4" s="702"/>
      <c r="AM4" s="732"/>
    </row>
    <row r="5" spans="1:39" s="346" customFormat="1" ht="17.25" hidden="1" thickBot="1" x14ac:dyDescent="0.35">
      <c r="A5" s="136" t="s">
        <v>1</v>
      </c>
      <c r="B5" s="434"/>
      <c r="C5" s="479"/>
      <c r="D5" s="436"/>
      <c r="E5" s="436"/>
      <c r="F5" s="436"/>
      <c r="G5" s="436"/>
      <c r="H5" s="436"/>
      <c r="I5" s="481"/>
      <c r="J5" s="483"/>
      <c r="K5" s="436"/>
      <c r="L5" s="476"/>
      <c r="M5" s="212"/>
      <c r="N5" s="194"/>
      <c r="O5" s="194"/>
      <c r="P5" s="194"/>
      <c r="Q5" s="242"/>
      <c r="R5" s="194"/>
      <c r="S5" s="206"/>
      <c r="T5" s="479"/>
      <c r="U5" s="436"/>
      <c r="V5" s="436"/>
      <c r="W5" s="436"/>
      <c r="X5" s="436"/>
      <c r="Y5" s="436"/>
      <c r="Z5" s="476"/>
      <c r="AA5" s="208"/>
      <c r="AB5" s="170"/>
      <c r="AC5" s="195"/>
      <c r="AD5" s="195"/>
      <c r="AE5" s="204"/>
      <c r="AF5" s="479"/>
      <c r="AG5" s="436"/>
      <c r="AH5" s="436"/>
      <c r="AI5" s="436"/>
      <c r="AJ5" s="476"/>
      <c r="AK5" s="435"/>
      <c r="AL5" s="437"/>
      <c r="AM5" s="174">
        <f>SUM(C5:AL5)</f>
        <v>0</v>
      </c>
    </row>
    <row r="6" spans="1:39" s="346" customFormat="1" ht="17.25" hidden="1" thickBot="1" x14ac:dyDescent="0.35">
      <c r="A6" s="136" t="s">
        <v>2</v>
      </c>
      <c r="B6" s="434"/>
      <c r="C6" s="480"/>
      <c r="D6" s="475"/>
      <c r="E6" s="475"/>
      <c r="F6" s="475"/>
      <c r="G6" s="475"/>
      <c r="H6" s="475"/>
      <c r="I6" s="482"/>
      <c r="J6" s="484"/>
      <c r="K6" s="475"/>
      <c r="L6" s="477"/>
      <c r="M6" s="474"/>
      <c r="N6" s="475"/>
      <c r="O6" s="475"/>
      <c r="P6" s="475"/>
      <c r="Q6" s="477"/>
      <c r="R6" s="195"/>
      <c r="S6" s="204"/>
      <c r="T6" s="480"/>
      <c r="U6" s="475"/>
      <c r="V6" s="475"/>
      <c r="W6" s="475"/>
      <c r="X6" s="475"/>
      <c r="Y6" s="475"/>
      <c r="Z6" s="477"/>
      <c r="AA6" s="208"/>
      <c r="AB6" s="170"/>
      <c r="AC6" s="195"/>
      <c r="AD6" s="195"/>
      <c r="AE6" s="204"/>
      <c r="AF6" s="480"/>
      <c r="AG6" s="475"/>
      <c r="AH6" s="475"/>
      <c r="AI6" s="475"/>
      <c r="AJ6" s="477"/>
      <c r="AK6" s="474"/>
      <c r="AL6" s="205"/>
      <c r="AM6" s="174">
        <f>SUM(C6:AL6)</f>
        <v>0</v>
      </c>
    </row>
    <row r="7" spans="1:39" ht="15.75" hidden="1" thickBot="1" x14ac:dyDescent="0.3">
      <c r="A7" s="144" t="s">
        <v>19</v>
      </c>
      <c r="B7" s="701" t="s">
        <v>116</v>
      </c>
      <c r="C7" s="478">
        <f>SUM(C5:C6)</f>
        <v>0</v>
      </c>
      <c r="D7" s="478">
        <f>SUM(D5:D6)</f>
        <v>0</v>
      </c>
      <c r="E7" s="478">
        <f t="shared" ref="E7:AJ7" si="0">SUM(E5:E6)</f>
        <v>0</v>
      </c>
      <c r="F7" s="478">
        <f>SUM(F5:F6)</f>
        <v>0</v>
      </c>
      <c r="G7" s="478">
        <f t="shared" si="0"/>
        <v>0</v>
      </c>
      <c r="H7" s="478">
        <f>SUM(H5:H6)</f>
        <v>0</v>
      </c>
      <c r="I7" s="478">
        <f t="shared" si="0"/>
        <v>0</v>
      </c>
      <c r="J7" s="478">
        <f t="shared" si="0"/>
        <v>0</v>
      </c>
      <c r="K7" s="478">
        <f t="shared" si="0"/>
        <v>0</v>
      </c>
      <c r="L7" s="478">
        <f t="shared" si="0"/>
        <v>0</v>
      </c>
      <c r="M7" s="478">
        <f t="shared" si="0"/>
        <v>0</v>
      </c>
      <c r="N7" s="478">
        <f t="shared" si="0"/>
        <v>0</v>
      </c>
      <c r="O7" s="478">
        <f t="shared" si="0"/>
        <v>0</v>
      </c>
      <c r="P7" s="478">
        <f t="shared" si="0"/>
        <v>0</v>
      </c>
      <c r="Q7" s="478">
        <f t="shared" si="0"/>
        <v>0</v>
      </c>
      <c r="R7" s="478">
        <f t="shared" si="0"/>
        <v>0</v>
      </c>
      <c r="S7" s="478">
        <f t="shared" si="0"/>
        <v>0</v>
      </c>
      <c r="T7" s="478">
        <f>SUM(T5:T6)</f>
        <v>0</v>
      </c>
      <c r="U7" s="478">
        <f>SUM(U5:U6)</f>
        <v>0</v>
      </c>
      <c r="V7" s="478">
        <f t="shared" si="0"/>
        <v>0</v>
      </c>
      <c r="W7" s="478">
        <f>SUM(W5:W6)</f>
        <v>0</v>
      </c>
      <c r="X7" s="478">
        <f t="shared" si="0"/>
        <v>0</v>
      </c>
      <c r="Y7" s="478">
        <f>SUM(Y5:Y6)</f>
        <v>0</v>
      </c>
      <c r="Z7" s="478">
        <f t="shared" si="0"/>
        <v>0</v>
      </c>
      <c r="AA7" s="478">
        <f>SUM(AA5:AA6)</f>
        <v>0</v>
      </c>
      <c r="AB7" s="478">
        <f>SUM(AB5:AB6)</f>
        <v>0</v>
      </c>
      <c r="AC7" s="478">
        <f>SUM(AC5:AC6)</f>
        <v>0</v>
      </c>
      <c r="AD7" s="478">
        <f t="shared" si="0"/>
        <v>0</v>
      </c>
      <c r="AE7" s="478">
        <f>SUM(AE5:AE6)</f>
        <v>0</v>
      </c>
      <c r="AF7" s="478">
        <f t="shared" si="0"/>
        <v>0</v>
      </c>
      <c r="AG7" s="478">
        <f t="shared" si="0"/>
        <v>0</v>
      </c>
      <c r="AH7" s="478">
        <f t="shared" si="0"/>
        <v>0</v>
      </c>
      <c r="AI7" s="478">
        <f t="shared" si="0"/>
        <v>0</v>
      </c>
      <c r="AJ7" s="478">
        <f t="shared" si="0"/>
        <v>0</v>
      </c>
      <c r="AK7" s="478">
        <f>SUM(AK5:AK6)</f>
        <v>0</v>
      </c>
      <c r="AL7" s="478">
        <f>SUM(AL5:AL6)</f>
        <v>0</v>
      </c>
      <c r="AM7" s="478">
        <f>SUM(AM5:AM6)</f>
        <v>0</v>
      </c>
    </row>
    <row r="8" spans="1:39" ht="15.75" hidden="1" thickBot="1" x14ac:dyDescent="0.3">
      <c r="A8" s="101" t="s">
        <v>21</v>
      </c>
      <c r="B8" s="699"/>
      <c r="C8" s="209" t="e">
        <f>AVERAGE(C5:C6)</f>
        <v>#DIV/0!</v>
      </c>
      <c r="D8" s="209" t="e">
        <f t="shared" ref="D8:AM8" si="1">AVERAGE(D5:D6)</f>
        <v>#DIV/0!</v>
      </c>
      <c r="E8" s="209" t="e">
        <f t="shared" si="1"/>
        <v>#DIV/0!</v>
      </c>
      <c r="F8" s="209" t="e">
        <f t="shared" si="1"/>
        <v>#DIV/0!</v>
      </c>
      <c r="G8" s="209" t="e">
        <f t="shared" si="1"/>
        <v>#DIV/0!</v>
      </c>
      <c r="H8" s="209" t="e">
        <f t="shared" si="1"/>
        <v>#DIV/0!</v>
      </c>
      <c r="I8" s="209" t="e">
        <f t="shared" si="1"/>
        <v>#DIV/0!</v>
      </c>
      <c r="J8" s="209" t="e">
        <f t="shared" si="1"/>
        <v>#DIV/0!</v>
      </c>
      <c r="K8" s="209" t="e">
        <f t="shared" si="1"/>
        <v>#DIV/0!</v>
      </c>
      <c r="L8" s="209" t="e">
        <f t="shared" si="1"/>
        <v>#DIV/0!</v>
      </c>
      <c r="M8" s="209" t="e">
        <f t="shared" si="1"/>
        <v>#DIV/0!</v>
      </c>
      <c r="N8" s="209" t="e">
        <f t="shared" si="1"/>
        <v>#DIV/0!</v>
      </c>
      <c r="O8" s="209" t="e">
        <f t="shared" si="1"/>
        <v>#DIV/0!</v>
      </c>
      <c r="P8" s="209" t="e">
        <f t="shared" si="1"/>
        <v>#DIV/0!</v>
      </c>
      <c r="Q8" s="209" t="e">
        <f t="shared" si="1"/>
        <v>#DIV/0!</v>
      </c>
      <c r="R8" s="209" t="e">
        <f t="shared" si="1"/>
        <v>#DIV/0!</v>
      </c>
      <c r="S8" s="209" t="e">
        <f t="shared" si="1"/>
        <v>#DIV/0!</v>
      </c>
      <c r="T8" s="209" t="e">
        <f t="shared" si="1"/>
        <v>#DIV/0!</v>
      </c>
      <c r="U8" s="209" t="e">
        <f t="shared" si="1"/>
        <v>#DIV/0!</v>
      </c>
      <c r="V8" s="209" t="e">
        <f t="shared" si="1"/>
        <v>#DIV/0!</v>
      </c>
      <c r="W8" s="209" t="e">
        <f t="shared" si="1"/>
        <v>#DIV/0!</v>
      </c>
      <c r="X8" s="209" t="e">
        <f t="shared" si="1"/>
        <v>#DIV/0!</v>
      </c>
      <c r="Y8" s="209" t="e">
        <f t="shared" si="1"/>
        <v>#DIV/0!</v>
      </c>
      <c r="Z8" s="209" t="e">
        <f t="shared" si="1"/>
        <v>#DIV/0!</v>
      </c>
      <c r="AA8" s="209" t="e">
        <f t="shared" si="1"/>
        <v>#DIV/0!</v>
      </c>
      <c r="AB8" s="209" t="e">
        <f t="shared" si="1"/>
        <v>#DIV/0!</v>
      </c>
      <c r="AC8" s="209" t="e">
        <f t="shared" si="1"/>
        <v>#DIV/0!</v>
      </c>
      <c r="AD8" s="209" t="e">
        <f t="shared" si="1"/>
        <v>#DIV/0!</v>
      </c>
      <c r="AE8" s="209" t="e">
        <f t="shared" si="1"/>
        <v>#DIV/0!</v>
      </c>
      <c r="AF8" s="209" t="e">
        <f t="shared" si="1"/>
        <v>#DIV/0!</v>
      </c>
      <c r="AG8" s="209" t="e">
        <f t="shared" si="1"/>
        <v>#DIV/0!</v>
      </c>
      <c r="AH8" s="209" t="e">
        <f t="shared" si="1"/>
        <v>#DIV/0!</v>
      </c>
      <c r="AI8" s="209" t="e">
        <f t="shared" si="1"/>
        <v>#DIV/0!</v>
      </c>
      <c r="AJ8" s="209" t="e">
        <f t="shared" si="1"/>
        <v>#DIV/0!</v>
      </c>
      <c r="AK8" s="209" t="e">
        <f t="shared" si="1"/>
        <v>#DIV/0!</v>
      </c>
      <c r="AL8" s="209" t="e">
        <f t="shared" si="1"/>
        <v>#DIV/0!</v>
      </c>
      <c r="AM8" s="209">
        <f t="shared" si="1"/>
        <v>0</v>
      </c>
    </row>
    <row r="9" spans="1:39" ht="15.75" hidden="1" thickBot="1" x14ac:dyDescent="0.3">
      <c r="A9" s="26" t="s">
        <v>18</v>
      </c>
      <c r="B9" s="699"/>
      <c r="C9" s="210" t="e">
        <f>SUM(#REF!)</f>
        <v>#REF!</v>
      </c>
      <c r="D9" s="210" t="e">
        <f>SUM(#REF!)</f>
        <v>#REF!</v>
      </c>
      <c r="E9" s="210" t="e">
        <f>SUM(#REF!)</f>
        <v>#REF!</v>
      </c>
      <c r="F9" s="210" t="e">
        <f>SUM(#REF!)</f>
        <v>#REF!</v>
      </c>
      <c r="G9" s="210" t="e">
        <f>SUM(#REF!)</f>
        <v>#REF!</v>
      </c>
      <c r="H9" s="210" t="e">
        <f>SUM(#REF!)</f>
        <v>#REF!</v>
      </c>
      <c r="I9" s="210" t="e">
        <f>SUM(#REF!)</f>
        <v>#REF!</v>
      </c>
      <c r="J9" s="210" t="e">
        <f>SUM(#REF!)</f>
        <v>#REF!</v>
      </c>
      <c r="K9" s="210" t="e">
        <f>SUM(#REF!)</f>
        <v>#REF!</v>
      </c>
      <c r="L9" s="210" t="e">
        <f>SUM(#REF!)</f>
        <v>#REF!</v>
      </c>
      <c r="M9" s="210" t="e">
        <f>SUM(#REF!)</f>
        <v>#REF!</v>
      </c>
      <c r="N9" s="210" t="e">
        <f>SUM(#REF!)</f>
        <v>#REF!</v>
      </c>
      <c r="O9" s="210" t="e">
        <f>SUM(#REF!)</f>
        <v>#REF!</v>
      </c>
      <c r="P9" s="210" t="e">
        <f>SUM(#REF!)</f>
        <v>#REF!</v>
      </c>
      <c r="Q9" s="210" t="e">
        <f>SUM(#REF!)</f>
        <v>#REF!</v>
      </c>
      <c r="R9" s="210" t="e">
        <f>SUM(#REF!)</f>
        <v>#REF!</v>
      </c>
      <c r="S9" s="210" t="e">
        <f>SUM(#REF!)</f>
        <v>#REF!</v>
      </c>
      <c r="T9" s="210" t="e">
        <f>SUM(#REF!)</f>
        <v>#REF!</v>
      </c>
      <c r="U9" s="210" t="e">
        <f>SUM(#REF!)</f>
        <v>#REF!</v>
      </c>
      <c r="V9" s="210" t="e">
        <f>SUM(#REF!)</f>
        <v>#REF!</v>
      </c>
      <c r="W9" s="210" t="e">
        <f>SUM(#REF!)</f>
        <v>#REF!</v>
      </c>
      <c r="X9" s="210" t="e">
        <f>SUM(#REF!)</f>
        <v>#REF!</v>
      </c>
      <c r="Y9" s="210" t="e">
        <f>SUM(#REF!)</f>
        <v>#REF!</v>
      </c>
      <c r="Z9" s="210" t="e">
        <f>SUM(#REF!)</f>
        <v>#REF!</v>
      </c>
      <c r="AA9" s="210" t="e">
        <f>SUM(#REF!)</f>
        <v>#REF!</v>
      </c>
      <c r="AB9" s="210" t="e">
        <f>SUM(#REF!)</f>
        <v>#REF!</v>
      </c>
      <c r="AC9" s="210" t="e">
        <f>SUM(#REF!)</f>
        <v>#REF!</v>
      </c>
      <c r="AD9" s="210" t="e">
        <f>SUM(#REF!)</f>
        <v>#REF!</v>
      </c>
      <c r="AE9" s="210" t="e">
        <f>SUM(#REF!)</f>
        <v>#REF!</v>
      </c>
      <c r="AF9" s="210" t="e">
        <f>SUM(#REF!)</f>
        <v>#REF!</v>
      </c>
      <c r="AG9" s="210" t="e">
        <f>SUM(#REF!)</f>
        <v>#REF!</v>
      </c>
      <c r="AH9" s="210" t="e">
        <f>SUM(#REF!)</f>
        <v>#REF!</v>
      </c>
      <c r="AI9" s="210" t="e">
        <f>SUM(#REF!)</f>
        <v>#REF!</v>
      </c>
      <c r="AJ9" s="210" t="e">
        <f>SUM(#REF!)</f>
        <v>#REF!</v>
      </c>
      <c r="AK9" s="210" t="e">
        <f>SUM(#REF!)</f>
        <v>#REF!</v>
      </c>
      <c r="AL9" s="210" t="e">
        <f>SUM(#REF!)</f>
        <v>#REF!</v>
      </c>
      <c r="AM9" s="210" t="e">
        <f>SUM(#REF!)</f>
        <v>#REF!</v>
      </c>
    </row>
    <row r="10" spans="1:39" ht="15.75" hidden="1" thickBot="1" x14ac:dyDescent="0.3">
      <c r="A10" s="26" t="s">
        <v>20</v>
      </c>
      <c r="B10" s="699"/>
      <c r="C10" s="210" t="e">
        <f>AVERAGE(#REF!)</f>
        <v>#REF!</v>
      </c>
      <c r="D10" s="210" t="e">
        <f>AVERAGE(#REF!)</f>
        <v>#REF!</v>
      </c>
      <c r="E10" s="210" t="e">
        <f>AVERAGE(#REF!)</f>
        <v>#REF!</v>
      </c>
      <c r="F10" s="210" t="e">
        <f>AVERAGE(#REF!)</f>
        <v>#REF!</v>
      </c>
      <c r="G10" s="210" t="e">
        <f>AVERAGE(#REF!)</f>
        <v>#REF!</v>
      </c>
      <c r="H10" s="210" t="e">
        <f>AVERAGE(#REF!)</f>
        <v>#REF!</v>
      </c>
      <c r="I10" s="210" t="e">
        <f>AVERAGE(#REF!)</f>
        <v>#REF!</v>
      </c>
      <c r="J10" s="210" t="e">
        <f>AVERAGE(#REF!)</f>
        <v>#REF!</v>
      </c>
      <c r="K10" s="210" t="e">
        <f>AVERAGE(#REF!)</f>
        <v>#REF!</v>
      </c>
      <c r="L10" s="210" t="e">
        <f>AVERAGE(#REF!)</f>
        <v>#REF!</v>
      </c>
      <c r="M10" s="210" t="e">
        <f>AVERAGE(#REF!)</f>
        <v>#REF!</v>
      </c>
      <c r="N10" s="210" t="e">
        <f>AVERAGE(#REF!)</f>
        <v>#REF!</v>
      </c>
      <c r="O10" s="210" t="e">
        <f>AVERAGE(#REF!)</f>
        <v>#REF!</v>
      </c>
      <c r="P10" s="210" t="e">
        <f>AVERAGE(#REF!)</f>
        <v>#REF!</v>
      </c>
      <c r="Q10" s="210" t="e">
        <f>AVERAGE(#REF!)</f>
        <v>#REF!</v>
      </c>
      <c r="R10" s="210" t="e">
        <f>AVERAGE(#REF!)</f>
        <v>#REF!</v>
      </c>
      <c r="S10" s="210" t="e">
        <f>AVERAGE(#REF!)</f>
        <v>#REF!</v>
      </c>
      <c r="T10" s="210" t="e">
        <f>AVERAGE(#REF!)</f>
        <v>#REF!</v>
      </c>
      <c r="U10" s="210" t="e">
        <f>AVERAGE(#REF!)</f>
        <v>#REF!</v>
      </c>
      <c r="V10" s="210" t="e">
        <f>AVERAGE(#REF!)</f>
        <v>#REF!</v>
      </c>
      <c r="W10" s="210" t="e">
        <f>AVERAGE(#REF!)</f>
        <v>#REF!</v>
      </c>
      <c r="X10" s="210" t="e">
        <f>AVERAGE(#REF!)</f>
        <v>#REF!</v>
      </c>
      <c r="Y10" s="210" t="e">
        <f>AVERAGE(#REF!)</f>
        <v>#REF!</v>
      </c>
      <c r="Z10" s="210" t="e">
        <f>AVERAGE(#REF!)</f>
        <v>#REF!</v>
      </c>
      <c r="AA10" s="210" t="e">
        <f>AVERAGE(#REF!)</f>
        <v>#REF!</v>
      </c>
      <c r="AB10" s="210" t="e">
        <f>AVERAGE(#REF!)</f>
        <v>#REF!</v>
      </c>
      <c r="AC10" s="210" t="e">
        <f>AVERAGE(#REF!)</f>
        <v>#REF!</v>
      </c>
      <c r="AD10" s="210" t="e">
        <f>AVERAGE(#REF!)</f>
        <v>#REF!</v>
      </c>
      <c r="AE10" s="210" t="e">
        <f>AVERAGE(#REF!)</f>
        <v>#REF!</v>
      </c>
      <c r="AF10" s="210" t="e">
        <f>AVERAGE(#REF!)</f>
        <v>#REF!</v>
      </c>
      <c r="AG10" s="210" t="e">
        <f>AVERAGE(#REF!)</f>
        <v>#REF!</v>
      </c>
      <c r="AH10" s="210" t="e">
        <f>AVERAGE(#REF!)</f>
        <v>#REF!</v>
      </c>
      <c r="AI10" s="210" t="e">
        <f>AVERAGE(#REF!)</f>
        <v>#REF!</v>
      </c>
      <c r="AJ10" s="210" t="e">
        <f>AVERAGE(#REF!)</f>
        <v>#REF!</v>
      </c>
      <c r="AK10" s="210" t="e">
        <f>AVERAGE(#REF!)</f>
        <v>#REF!</v>
      </c>
      <c r="AL10" s="210" t="e">
        <f>AVERAGE(#REF!)</f>
        <v>#REF!</v>
      </c>
      <c r="AM10" s="210" t="e">
        <f>AVERAGE(#REF!)</f>
        <v>#REF!</v>
      </c>
    </row>
    <row r="11" spans="1:39" ht="15.75" hidden="1" thickBot="1" x14ac:dyDescent="0.3">
      <c r="A11" s="136" t="s">
        <v>3</v>
      </c>
      <c r="B11" s="340"/>
      <c r="C11" s="212"/>
      <c r="D11" s="194"/>
      <c r="E11" s="194"/>
      <c r="F11" s="194"/>
      <c r="G11" s="194"/>
      <c r="H11" s="194"/>
      <c r="I11" s="206"/>
      <c r="J11" s="212"/>
      <c r="K11" s="194"/>
      <c r="L11" s="206"/>
      <c r="M11" s="212"/>
      <c r="N11" s="194"/>
      <c r="O11" s="194"/>
      <c r="P11" s="194"/>
      <c r="Q11" s="242"/>
      <c r="R11" s="195"/>
      <c r="S11" s="204"/>
      <c r="T11" s="308"/>
      <c r="U11" s="194"/>
      <c r="V11" s="194"/>
      <c r="W11" s="194"/>
      <c r="X11" s="307"/>
      <c r="Y11" s="242"/>
      <c r="Z11" s="203"/>
      <c r="AA11" s="208"/>
      <c r="AB11" s="498"/>
      <c r="AC11" s="195"/>
      <c r="AD11" s="195"/>
      <c r="AE11" s="204"/>
      <c r="AF11" s="308"/>
      <c r="AG11" s="344"/>
      <c r="AH11" s="194"/>
      <c r="AI11" s="194"/>
      <c r="AJ11" s="206"/>
      <c r="AK11" s="212"/>
      <c r="AL11" s="206"/>
      <c r="AM11" s="174">
        <f t="shared" ref="AM11:AM13" si="2">SUM(C11:AL11)</f>
        <v>0</v>
      </c>
    </row>
    <row r="12" spans="1:39" ht="15.75" thickBot="1" x14ac:dyDescent="0.3">
      <c r="A12" s="136" t="s">
        <v>4</v>
      </c>
      <c r="B12" s="340">
        <v>44348</v>
      </c>
      <c r="C12" s="244">
        <v>557</v>
      </c>
      <c r="D12" s="245"/>
      <c r="E12" s="245"/>
      <c r="F12" s="245">
        <v>873</v>
      </c>
      <c r="G12" s="245"/>
      <c r="H12" s="245">
        <v>503</v>
      </c>
      <c r="I12" s="342">
        <v>910</v>
      </c>
      <c r="J12" s="244">
        <v>495</v>
      </c>
      <c r="K12" s="245">
        <v>223</v>
      </c>
      <c r="L12" s="204">
        <v>537</v>
      </c>
      <c r="M12" s="208">
        <v>482</v>
      </c>
      <c r="N12" s="195"/>
      <c r="O12" s="195">
        <v>301</v>
      </c>
      <c r="P12" s="195">
        <v>149</v>
      </c>
      <c r="Q12" s="203">
        <v>55</v>
      </c>
      <c r="R12" s="195">
        <v>245</v>
      </c>
      <c r="S12" s="204">
        <v>90</v>
      </c>
      <c r="T12" s="217">
        <v>374</v>
      </c>
      <c r="U12" s="195">
        <v>317</v>
      </c>
      <c r="V12" s="195">
        <v>606</v>
      </c>
      <c r="W12" s="195">
        <v>578</v>
      </c>
      <c r="X12" s="195">
        <v>342</v>
      </c>
      <c r="Y12" s="203">
        <v>477</v>
      </c>
      <c r="Z12" s="203">
        <v>404</v>
      </c>
      <c r="AA12" s="208">
        <v>471</v>
      </c>
      <c r="AB12" s="245">
        <v>355</v>
      </c>
      <c r="AC12" s="195">
        <v>414</v>
      </c>
      <c r="AD12" s="195">
        <v>461</v>
      </c>
      <c r="AE12" s="204">
        <v>166</v>
      </c>
      <c r="AF12" s="217"/>
      <c r="AG12" s="345"/>
      <c r="AH12" s="195"/>
      <c r="AI12" s="195"/>
      <c r="AJ12" s="204"/>
      <c r="AK12" s="208"/>
      <c r="AL12" s="204"/>
      <c r="AM12" s="174">
        <f t="shared" si="2"/>
        <v>10385</v>
      </c>
    </row>
    <row r="13" spans="1:39" ht="15.75" thickBot="1" x14ac:dyDescent="0.3">
      <c r="A13" s="136" t="s">
        <v>5</v>
      </c>
      <c r="B13" s="340">
        <v>44349</v>
      </c>
      <c r="C13" s="244">
        <v>511</v>
      </c>
      <c r="D13" s="245"/>
      <c r="E13" s="245"/>
      <c r="F13" s="245">
        <v>891</v>
      </c>
      <c r="G13" s="245"/>
      <c r="H13" s="245">
        <v>458</v>
      </c>
      <c r="I13" s="342">
        <v>960</v>
      </c>
      <c r="J13" s="244">
        <v>518</v>
      </c>
      <c r="K13" s="245">
        <v>159</v>
      </c>
      <c r="L13" s="204">
        <v>492</v>
      </c>
      <c r="M13" s="208">
        <v>520</v>
      </c>
      <c r="N13" s="195"/>
      <c r="O13" s="195">
        <v>321</v>
      </c>
      <c r="P13" s="195">
        <v>131</v>
      </c>
      <c r="Q13" s="203">
        <v>71</v>
      </c>
      <c r="R13" s="195">
        <v>212</v>
      </c>
      <c r="S13" s="204">
        <v>67</v>
      </c>
      <c r="T13" s="217">
        <v>413</v>
      </c>
      <c r="U13" s="195">
        <v>376</v>
      </c>
      <c r="V13" s="195">
        <v>626</v>
      </c>
      <c r="W13" s="195">
        <v>560</v>
      </c>
      <c r="X13" s="195">
        <v>398</v>
      </c>
      <c r="Y13" s="203">
        <v>493</v>
      </c>
      <c r="Z13" s="203">
        <v>714</v>
      </c>
      <c r="AA13" s="208">
        <v>446</v>
      </c>
      <c r="AB13" s="245">
        <v>317</v>
      </c>
      <c r="AC13" s="195">
        <v>355</v>
      </c>
      <c r="AD13" s="195">
        <v>518</v>
      </c>
      <c r="AE13" s="204">
        <v>207</v>
      </c>
      <c r="AF13" s="217"/>
      <c r="AG13" s="195"/>
      <c r="AH13" s="195"/>
      <c r="AI13" s="195"/>
      <c r="AJ13" s="204"/>
      <c r="AK13" s="208"/>
      <c r="AL13" s="204"/>
      <c r="AM13" s="174">
        <f t="shared" si="2"/>
        <v>10734</v>
      </c>
    </row>
    <row r="14" spans="1:39" ht="15.75" thickBot="1" x14ac:dyDescent="0.3">
      <c r="A14" s="136" t="s">
        <v>6</v>
      </c>
      <c r="B14" s="340">
        <v>44350</v>
      </c>
      <c r="C14" s="244">
        <v>360</v>
      </c>
      <c r="D14" s="245"/>
      <c r="E14" s="245"/>
      <c r="F14" s="245">
        <v>711</v>
      </c>
      <c r="G14" s="245"/>
      <c r="H14" s="245">
        <v>330</v>
      </c>
      <c r="I14" s="342">
        <v>726</v>
      </c>
      <c r="J14" s="244">
        <v>267</v>
      </c>
      <c r="K14" s="245">
        <v>125</v>
      </c>
      <c r="L14" s="204">
        <v>310</v>
      </c>
      <c r="M14" s="208">
        <v>376</v>
      </c>
      <c r="N14" s="195"/>
      <c r="O14" s="195">
        <v>370</v>
      </c>
      <c r="P14" s="195">
        <v>68</v>
      </c>
      <c r="Q14" s="203">
        <v>46</v>
      </c>
      <c r="R14" s="195">
        <v>94</v>
      </c>
      <c r="S14" s="204">
        <v>50</v>
      </c>
      <c r="T14" s="217">
        <v>306</v>
      </c>
      <c r="U14" s="195">
        <v>264</v>
      </c>
      <c r="V14" s="195">
        <v>548</v>
      </c>
      <c r="W14" s="195">
        <v>429</v>
      </c>
      <c r="X14" s="195">
        <v>253</v>
      </c>
      <c r="Y14" s="203">
        <v>401</v>
      </c>
      <c r="Z14" s="203">
        <v>268</v>
      </c>
      <c r="AA14" s="208">
        <v>292</v>
      </c>
      <c r="AB14" s="245">
        <v>258</v>
      </c>
      <c r="AC14" s="195">
        <v>265</v>
      </c>
      <c r="AD14" s="195">
        <v>409</v>
      </c>
      <c r="AE14" s="204">
        <v>111</v>
      </c>
      <c r="AF14" s="217"/>
      <c r="AG14" s="195"/>
      <c r="AH14" s="195"/>
      <c r="AI14" s="195"/>
      <c r="AJ14" s="204"/>
      <c r="AK14" s="208"/>
      <c r="AL14" s="204"/>
      <c r="AM14" s="174">
        <f>SUM(C14:AL14)</f>
        <v>7637</v>
      </c>
    </row>
    <row r="15" spans="1:39" ht="15.75" thickBot="1" x14ac:dyDescent="0.3">
      <c r="A15" s="136" t="s">
        <v>0</v>
      </c>
      <c r="B15" s="340">
        <v>44351</v>
      </c>
      <c r="C15" s="244">
        <v>367</v>
      </c>
      <c r="D15" s="245"/>
      <c r="E15" s="245"/>
      <c r="F15" s="245">
        <v>736</v>
      </c>
      <c r="G15" s="245"/>
      <c r="H15" s="245">
        <v>387</v>
      </c>
      <c r="I15" s="342">
        <v>715</v>
      </c>
      <c r="J15" s="244">
        <v>355</v>
      </c>
      <c r="K15" s="245">
        <v>136</v>
      </c>
      <c r="L15" s="204">
        <v>380</v>
      </c>
      <c r="M15" s="208">
        <v>314</v>
      </c>
      <c r="N15" s="195"/>
      <c r="O15" s="195">
        <v>190</v>
      </c>
      <c r="P15" s="195">
        <v>83</v>
      </c>
      <c r="Q15" s="203">
        <v>53</v>
      </c>
      <c r="R15" s="195">
        <v>128</v>
      </c>
      <c r="S15" s="204">
        <v>46</v>
      </c>
      <c r="T15" s="217">
        <v>272</v>
      </c>
      <c r="U15" s="195">
        <v>266</v>
      </c>
      <c r="V15" s="195">
        <v>472</v>
      </c>
      <c r="W15" s="195">
        <v>505</v>
      </c>
      <c r="X15" s="195">
        <v>287</v>
      </c>
      <c r="Y15" s="203">
        <v>437</v>
      </c>
      <c r="Z15" s="203">
        <v>334</v>
      </c>
      <c r="AA15" s="208">
        <v>236</v>
      </c>
      <c r="AB15" s="245">
        <v>242</v>
      </c>
      <c r="AC15" s="195">
        <v>278</v>
      </c>
      <c r="AD15" s="195">
        <v>350</v>
      </c>
      <c r="AE15" s="204">
        <v>138</v>
      </c>
      <c r="AF15" s="217"/>
      <c r="AG15" s="195"/>
      <c r="AH15" s="195"/>
      <c r="AI15" s="195"/>
      <c r="AJ15" s="204"/>
      <c r="AK15" s="208"/>
      <c r="AL15" s="204"/>
      <c r="AM15" s="174">
        <f t="shared" ref="AM15:AM17" si="3">SUM(C15:AL15)</f>
        <v>7707</v>
      </c>
    </row>
    <row r="16" spans="1:39" ht="15.75" thickBot="1" x14ac:dyDescent="0.3">
      <c r="A16" s="136" t="s">
        <v>1</v>
      </c>
      <c r="B16" s="340">
        <v>44352</v>
      </c>
      <c r="C16" s="244">
        <v>1788</v>
      </c>
      <c r="D16" s="245"/>
      <c r="E16" s="245"/>
      <c r="F16" s="245">
        <v>2303</v>
      </c>
      <c r="G16" s="245"/>
      <c r="H16" s="245">
        <v>1263</v>
      </c>
      <c r="I16" s="342">
        <v>1764</v>
      </c>
      <c r="J16" s="244">
        <v>3429</v>
      </c>
      <c r="K16" s="245">
        <v>643</v>
      </c>
      <c r="L16" s="204">
        <v>3832</v>
      </c>
      <c r="M16" s="208">
        <v>1878</v>
      </c>
      <c r="N16" s="195"/>
      <c r="O16" s="195">
        <v>1103</v>
      </c>
      <c r="P16" s="195">
        <v>420</v>
      </c>
      <c r="Q16" s="203">
        <v>264</v>
      </c>
      <c r="R16" s="195">
        <v>782</v>
      </c>
      <c r="S16" s="204">
        <v>363</v>
      </c>
      <c r="T16" s="217">
        <v>1408</v>
      </c>
      <c r="U16" s="195">
        <v>432</v>
      </c>
      <c r="V16" s="195">
        <v>827</v>
      </c>
      <c r="W16" s="195">
        <v>1271</v>
      </c>
      <c r="X16" s="195">
        <v>844</v>
      </c>
      <c r="Y16" s="203">
        <v>1249</v>
      </c>
      <c r="Z16" s="203">
        <v>1136</v>
      </c>
      <c r="AA16" s="208">
        <v>1340</v>
      </c>
      <c r="AB16" s="245">
        <v>497</v>
      </c>
      <c r="AC16" s="195">
        <v>1153</v>
      </c>
      <c r="AD16" s="195">
        <v>955</v>
      </c>
      <c r="AE16" s="204">
        <v>385</v>
      </c>
      <c r="AF16" s="217"/>
      <c r="AG16" s="195"/>
      <c r="AH16" s="195"/>
      <c r="AI16" s="195"/>
      <c r="AJ16" s="204"/>
      <c r="AK16" s="208">
        <v>726</v>
      </c>
      <c r="AL16" s="204">
        <v>596</v>
      </c>
      <c r="AM16" s="174">
        <f t="shared" si="3"/>
        <v>32651</v>
      </c>
    </row>
    <row r="17" spans="1:39" ht="15.75" thickBot="1" x14ac:dyDescent="0.3">
      <c r="A17" s="136" t="s">
        <v>2</v>
      </c>
      <c r="B17" s="340">
        <v>44353</v>
      </c>
      <c r="C17" s="244">
        <v>1559</v>
      </c>
      <c r="D17" s="245"/>
      <c r="E17" s="245"/>
      <c r="F17" s="245">
        <v>1774</v>
      </c>
      <c r="G17" s="245"/>
      <c r="H17" s="245">
        <v>1091</v>
      </c>
      <c r="I17" s="342">
        <v>1289</v>
      </c>
      <c r="J17" s="244">
        <v>4282</v>
      </c>
      <c r="K17" s="245">
        <v>719</v>
      </c>
      <c r="L17" s="204">
        <v>4662</v>
      </c>
      <c r="M17" s="208">
        <v>1223</v>
      </c>
      <c r="N17" s="195"/>
      <c r="O17" s="195">
        <v>1060</v>
      </c>
      <c r="P17" s="195">
        <v>294</v>
      </c>
      <c r="Q17" s="203">
        <v>270</v>
      </c>
      <c r="R17" s="195">
        <v>735</v>
      </c>
      <c r="S17" s="204">
        <v>448</v>
      </c>
      <c r="T17" s="217">
        <v>1422</v>
      </c>
      <c r="U17" s="195">
        <v>323</v>
      </c>
      <c r="V17" s="195">
        <v>686</v>
      </c>
      <c r="W17" s="195">
        <v>1211</v>
      </c>
      <c r="X17" s="195">
        <v>812</v>
      </c>
      <c r="Y17" s="203">
        <v>1107</v>
      </c>
      <c r="Z17" s="203">
        <v>1031</v>
      </c>
      <c r="AA17" s="208">
        <v>1301</v>
      </c>
      <c r="AB17" s="245">
        <v>448</v>
      </c>
      <c r="AC17" s="195">
        <v>929</v>
      </c>
      <c r="AD17" s="195">
        <v>835</v>
      </c>
      <c r="AE17" s="204">
        <v>367</v>
      </c>
      <c r="AF17" s="217"/>
      <c r="AG17" s="195"/>
      <c r="AH17" s="195"/>
      <c r="AI17" s="195"/>
      <c r="AJ17" s="204"/>
      <c r="AK17" s="208">
        <v>528</v>
      </c>
      <c r="AL17" s="204">
        <v>471</v>
      </c>
      <c r="AM17" s="174">
        <f t="shared" si="3"/>
        <v>30877</v>
      </c>
    </row>
    <row r="18" spans="1:39" ht="15.75" thickBot="1" x14ac:dyDescent="0.3">
      <c r="A18" s="144" t="s">
        <v>19</v>
      </c>
      <c r="B18" s="699" t="s">
        <v>22</v>
      </c>
      <c r="C18" s="209">
        <f>SUM(C11:C17)</f>
        <v>5142</v>
      </c>
      <c r="D18" s="209">
        <f>SUM(D11:D17)</f>
        <v>0</v>
      </c>
      <c r="E18" s="209">
        <f>SUM(E11:E17)</f>
        <v>0</v>
      </c>
      <c r="F18" s="209">
        <f t="shared" ref="F18:AL18" si="4">SUM(F11:F17)</f>
        <v>7288</v>
      </c>
      <c r="G18" s="209">
        <f t="shared" si="4"/>
        <v>0</v>
      </c>
      <c r="H18" s="209">
        <f t="shared" si="4"/>
        <v>4032</v>
      </c>
      <c r="I18" s="209">
        <f t="shared" si="4"/>
        <v>6364</v>
      </c>
      <c r="J18" s="209">
        <f t="shared" si="4"/>
        <v>9346</v>
      </c>
      <c r="K18" s="209">
        <f t="shared" si="4"/>
        <v>2005</v>
      </c>
      <c r="L18" s="209">
        <f t="shared" si="4"/>
        <v>10213</v>
      </c>
      <c r="M18" s="209">
        <f t="shared" si="4"/>
        <v>4793</v>
      </c>
      <c r="N18" s="209">
        <f t="shared" si="4"/>
        <v>0</v>
      </c>
      <c r="O18" s="209">
        <f t="shared" si="4"/>
        <v>3345</v>
      </c>
      <c r="P18" s="209">
        <f t="shared" si="4"/>
        <v>1145</v>
      </c>
      <c r="Q18" s="209">
        <f t="shared" si="4"/>
        <v>759</v>
      </c>
      <c r="R18" s="209">
        <f t="shared" si="4"/>
        <v>2196</v>
      </c>
      <c r="S18" s="209">
        <f t="shared" si="4"/>
        <v>1064</v>
      </c>
      <c r="T18" s="209">
        <f t="shared" si="4"/>
        <v>4195</v>
      </c>
      <c r="U18" s="209">
        <f t="shared" si="4"/>
        <v>1978</v>
      </c>
      <c r="V18" s="209">
        <f t="shared" si="4"/>
        <v>3765</v>
      </c>
      <c r="W18" s="209">
        <f t="shared" si="4"/>
        <v>4554</v>
      </c>
      <c r="X18" s="209">
        <f t="shared" si="4"/>
        <v>2936</v>
      </c>
      <c r="Y18" s="209">
        <f t="shared" si="4"/>
        <v>4164</v>
      </c>
      <c r="Z18" s="209">
        <f t="shared" si="4"/>
        <v>3887</v>
      </c>
      <c r="AA18" s="209">
        <f t="shared" si="4"/>
        <v>4086</v>
      </c>
      <c r="AB18" s="209">
        <f t="shared" si="4"/>
        <v>2117</v>
      </c>
      <c r="AC18" s="209">
        <f t="shared" si="4"/>
        <v>3394</v>
      </c>
      <c r="AD18" s="209">
        <f t="shared" si="4"/>
        <v>3528</v>
      </c>
      <c r="AE18" s="209">
        <f t="shared" si="4"/>
        <v>1374</v>
      </c>
      <c r="AF18" s="209">
        <f t="shared" si="4"/>
        <v>0</v>
      </c>
      <c r="AG18" s="209">
        <f t="shared" si="4"/>
        <v>0</v>
      </c>
      <c r="AH18" s="209">
        <f t="shared" si="4"/>
        <v>0</v>
      </c>
      <c r="AI18" s="209">
        <f t="shared" si="4"/>
        <v>0</v>
      </c>
      <c r="AJ18" s="209">
        <f t="shared" si="4"/>
        <v>0</v>
      </c>
      <c r="AK18" s="209">
        <f t="shared" si="4"/>
        <v>1254</v>
      </c>
      <c r="AL18" s="209">
        <f t="shared" si="4"/>
        <v>1067</v>
      </c>
      <c r="AM18" s="209">
        <f>SUM(AM11:AM17)</f>
        <v>99991</v>
      </c>
    </row>
    <row r="19" spans="1:39" ht="15.75" thickBot="1" x14ac:dyDescent="0.3">
      <c r="A19" s="101" t="s">
        <v>21</v>
      </c>
      <c r="B19" s="699"/>
      <c r="C19" s="209">
        <f>AVERAGE(C11:C17)</f>
        <v>857</v>
      </c>
      <c r="D19" s="209" t="e">
        <f>AVERAGE(D11:D17)</f>
        <v>#DIV/0!</v>
      </c>
      <c r="E19" s="209" t="e">
        <f t="shared" ref="E19:AM19" si="5">AVERAGE(E11:E17)</f>
        <v>#DIV/0!</v>
      </c>
      <c r="F19" s="209">
        <f t="shared" si="5"/>
        <v>1214.6666666666667</v>
      </c>
      <c r="G19" s="209" t="e">
        <f t="shared" si="5"/>
        <v>#DIV/0!</v>
      </c>
      <c r="H19" s="209">
        <f t="shared" si="5"/>
        <v>672</v>
      </c>
      <c r="I19" s="209">
        <f t="shared" si="5"/>
        <v>1060.6666666666667</v>
      </c>
      <c r="J19" s="209">
        <f t="shared" si="5"/>
        <v>1557.6666666666667</v>
      </c>
      <c r="K19" s="209">
        <f t="shared" si="5"/>
        <v>334.16666666666669</v>
      </c>
      <c r="L19" s="209">
        <f t="shared" si="5"/>
        <v>1702.1666666666667</v>
      </c>
      <c r="M19" s="209">
        <f t="shared" si="5"/>
        <v>798.83333333333337</v>
      </c>
      <c r="N19" s="209" t="e">
        <f t="shared" si="5"/>
        <v>#DIV/0!</v>
      </c>
      <c r="O19" s="209">
        <f t="shared" si="5"/>
        <v>557.5</v>
      </c>
      <c r="P19" s="209">
        <f t="shared" si="5"/>
        <v>190.83333333333334</v>
      </c>
      <c r="Q19" s="209">
        <f t="shared" si="5"/>
        <v>126.5</v>
      </c>
      <c r="R19" s="209">
        <f t="shared" si="5"/>
        <v>366</v>
      </c>
      <c r="S19" s="209">
        <f t="shared" si="5"/>
        <v>177.33333333333334</v>
      </c>
      <c r="T19" s="209">
        <f t="shared" si="5"/>
        <v>699.16666666666663</v>
      </c>
      <c r="U19" s="209">
        <f t="shared" si="5"/>
        <v>329.66666666666669</v>
      </c>
      <c r="V19" s="209">
        <f t="shared" si="5"/>
        <v>627.5</v>
      </c>
      <c r="W19" s="209">
        <f t="shared" si="5"/>
        <v>759</v>
      </c>
      <c r="X19" s="209">
        <f t="shared" si="5"/>
        <v>489.33333333333331</v>
      </c>
      <c r="Y19" s="209">
        <f t="shared" si="5"/>
        <v>694</v>
      </c>
      <c r="Z19" s="209">
        <f t="shared" si="5"/>
        <v>647.83333333333337</v>
      </c>
      <c r="AA19" s="209">
        <f t="shared" si="5"/>
        <v>681</v>
      </c>
      <c r="AB19" s="209">
        <f t="shared" si="5"/>
        <v>352.83333333333331</v>
      </c>
      <c r="AC19" s="209">
        <f t="shared" si="5"/>
        <v>565.66666666666663</v>
      </c>
      <c r="AD19" s="209">
        <f t="shared" si="5"/>
        <v>588</v>
      </c>
      <c r="AE19" s="209">
        <f t="shared" si="5"/>
        <v>229</v>
      </c>
      <c r="AF19" s="209" t="e">
        <f t="shared" si="5"/>
        <v>#DIV/0!</v>
      </c>
      <c r="AG19" s="209" t="e">
        <f t="shared" si="5"/>
        <v>#DIV/0!</v>
      </c>
      <c r="AH19" s="209" t="e">
        <f t="shared" si="5"/>
        <v>#DIV/0!</v>
      </c>
      <c r="AI19" s="209" t="e">
        <f t="shared" si="5"/>
        <v>#DIV/0!</v>
      </c>
      <c r="AJ19" s="209" t="e">
        <f t="shared" si="5"/>
        <v>#DIV/0!</v>
      </c>
      <c r="AK19" s="209">
        <f t="shared" si="5"/>
        <v>627</v>
      </c>
      <c r="AL19" s="209">
        <f t="shared" si="5"/>
        <v>533.5</v>
      </c>
      <c r="AM19" s="209">
        <f t="shared" si="5"/>
        <v>14284.428571428571</v>
      </c>
    </row>
    <row r="20" spans="1:39" ht="15.75" thickBot="1" x14ac:dyDescent="0.3">
      <c r="A20" s="26" t="s">
        <v>18</v>
      </c>
      <c r="B20" s="699"/>
      <c r="C20" s="210">
        <f>SUM(C11:C15)</f>
        <v>1795</v>
      </c>
      <c r="D20" s="210">
        <f t="shared" ref="D20:AL20" si="6">SUM(D11:D15)</f>
        <v>0</v>
      </c>
      <c r="E20" s="210">
        <f t="shared" si="6"/>
        <v>0</v>
      </c>
      <c r="F20" s="210">
        <f t="shared" si="6"/>
        <v>3211</v>
      </c>
      <c r="G20" s="210">
        <f t="shared" si="6"/>
        <v>0</v>
      </c>
      <c r="H20" s="210">
        <f t="shared" si="6"/>
        <v>1678</v>
      </c>
      <c r="I20" s="210">
        <f t="shared" si="6"/>
        <v>3311</v>
      </c>
      <c r="J20" s="210">
        <f t="shared" si="6"/>
        <v>1635</v>
      </c>
      <c r="K20" s="210">
        <f t="shared" si="6"/>
        <v>643</v>
      </c>
      <c r="L20" s="210">
        <f t="shared" si="6"/>
        <v>1719</v>
      </c>
      <c r="M20" s="210">
        <f t="shared" si="6"/>
        <v>1692</v>
      </c>
      <c r="N20" s="210">
        <f t="shared" si="6"/>
        <v>0</v>
      </c>
      <c r="O20" s="210">
        <f t="shared" si="6"/>
        <v>1182</v>
      </c>
      <c r="P20" s="210">
        <f t="shared" si="6"/>
        <v>431</v>
      </c>
      <c r="Q20" s="210">
        <f t="shared" si="6"/>
        <v>225</v>
      </c>
      <c r="R20" s="210">
        <f t="shared" si="6"/>
        <v>679</v>
      </c>
      <c r="S20" s="210">
        <f t="shared" si="6"/>
        <v>253</v>
      </c>
      <c r="T20" s="210">
        <f t="shared" si="6"/>
        <v>1365</v>
      </c>
      <c r="U20" s="210">
        <f t="shared" si="6"/>
        <v>1223</v>
      </c>
      <c r="V20" s="210">
        <f t="shared" si="6"/>
        <v>2252</v>
      </c>
      <c r="W20" s="210">
        <f t="shared" si="6"/>
        <v>2072</v>
      </c>
      <c r="X20" s="210">
        <f t="shared" si="6"/>
        <v>1280</v>
      </c>
      <c r="Y20" s="210">
        <f t="shared" si="6"/>
        <v>1808</v>
      </c>
      <c r="Z20" s="210">
        <f t="shared" si="6"/>
        <v>1720</v>
      </c>
      <c r="AA20" s="210">
        <f t="shared" si="6"/>
        <v>1445</v>
      </c>
      <c r="AB20" s="210">
        <f t="shared" si="6"/>
        <v>1172</v>
      </c>
      <c r="AC20" s="210">
        <f t="shared" si="6"/>
        <v>1312</v>
      </c>
      <c r="AD20" s="210">
        <f t="shared" si="6"/>
        <v>1738</v>
      </c>
      <c r="AE20" s="210">
        <f t="shared" si="6"/>
        <v>622</v>
      </c>
      <c r="AF20" s="210">
        <f t="shared" si="6"/>
        <v>0</v>
      </c>
      <c r="AG20" s="210">
        <f t="shared" si="6"/>
        <v>0</v>
      </c>
      <c r="AH20" s="210">
        <f t="shared" si="6"/>
        <v>0</v>
      </c>
      <c r="AI20" s="210">
        <f t="shared" si="6"/>
        <v>0</v>
      </c>
      <c r="AJ20" s="210">
        <f t="shared" si="6"/>
        <v>0</v>
      </c>
      <c r="AK20" s="210">
        <f t="shared" si="6"/>
        <v>0</v>
      </c>
      <c r="AL20" s="210">
        <f t="shared" si="6"/>
        <v>0</v>
      </c>
      <c r="AM20" s="210">
        <f>SUM(AM11:AM15)</f>
        <v>36463</v>
      </c>
    </row>
    <row r="21" spans="1:39" ht="15.75" thickBot="1" x14ac:dyDescent="0.3">
      <c r="A21" s="26" t="s">
        <v>20</v>
      </c>
      <c r="B21" s="699"/>
      <c r="C21" s="210">
        <f>AVERAGE(C11:C15)</f>
        <v>448.75</v>
      </c>
      <c r="D21" s="210" t="e">
        <f t="shared" ref="D21:AM21" si="7">AVERAGE(D11:D15)</f>
        <v>#DIV/0!</v>
      </c>
      <c r="E21" s="210" t="e">
        <f t="shared" si="7"/>
        <v>#DIV/0!</v>
      </c>
      <c r="F21" s="210">
        <f t="shared" si="7"/>
        <v>802.75</v>
      </c>
      <c r="G21" s="210" t="e">
        <f t="shared" si="7"/>
        <v>#DIV/0!</v>
      </c>
      <c r="H21" s="210">
        <f t="shared" si="7"/>
        <v>419.5</v>
      </c>
      <c r="I21" s="210">
        <f t="shared" si="7"/>
        <v>827.75</v>
      </c>
      <c r="J21" s="210">
        <f t="shared" si="7"/>
        <v>408.75</v>
      </c>
      <c r="K21" s="210">
        <f t="shared" si="7"/>
        <v>160.75</v>
      </c>
      <c r="L21" s="210">
        <f t="shared" si="7"/>
        <v>429.75</v>
      </c>
      <c r="M21" s="210">
        <f t="shared" si="7"/>
        <v>423</v>
      </c>
      <c r="N21" s="210" t="e">
        <f t="shared" si="7"/>
        <v>#DIV/0!</v>
      </c>
      <c r="O21" s="210">
        <f t="shared" si="7"/>
        <v>295.5</v>
      </c>
      <c r="P21" s="210">
        <f t="shared" si="7"/>
        <v>107.75</v>
      </c>
      <c r="Q21" s="210">
        <f t="shared" si="7"/>
        <v>56.25</v>
      </c>
      <c r="R21" s="210">
        <f t="shared" si="7"/>
        <v>169.75</v>
      </c>
      <c r="S21" s="210">
        <f t="shared" si="7"/>
        <v>63.25</v>
      </c>
      <c r="T21" s="210">
        <f t="shared" si="7"/>
        <v>341.25</v>
      </c>
      <c r="U21" s="210">
        <f t="shared" si="7"/>
        <v>305.75</v>
      </c>
      <c r="V21" s="210">
        <f t="shared" si="7"/>
        <v>563</v>
      </c>
      <c r="W21" s="210">
        <f t="shared" si="7"/>
        <v>518</v>
      </c>
      <c r="X21" s="210">
        <f t="shared" si="7"/>
        <v>320</v>
      </c>
      <c r="Y21" s="210">
        <f t="shared" si="7"/>
        <v>452</v>
      </c>
      <c r="Z21" s="210">
        <f t="shared" si="7"/>
        <v>430</v>
      </c>
      <c r="AA21" s="210">
        <f t="shared" si="7"/>
        <v>361.25</v>
      </c>
      <c r="AB21" s="210">
        <f t="shared" si="7"/>
        <v>293</v>
      </c>
      <c r="AC21" s="210">
        <f t="shared" si="7"/>
        <v>328</v>
      </c>
      <c r="AD21" s="210">
        <f t="shared" si="7"/>
        <v>434.5</v>
      </c>
      <c r="AE21" s="210">
        <f t="shared" si="7"/>
        <v>155.5</v>
      </c>
      <c r="AF21" s="210" t="e">
        <f t="shared" si="7"/>
        <v>#DIV/0!</v>
      </c>
      <c r="AG21" s="210" t="e">
        <f t="shared" si="7"/>
        <v>#DIV/0!</v>
      </c>
      <c r="AH21" s="210" t="e">
        <f t="shared" si="7"/>
        <v>#DIV/0!</v>
      </c>
      <c r="AI21" s="210" t="e">
        <f t="shared" si="7"/>
        <v>#DIV/0!</v>
      </c>
      <c r="AJ21" s="210" t="e">
        <f t="shared" si="7"/>
        <v>#DIV/0!</v>
      </c>
      <c r="AK21" s="210" t="e">
        <f t="shared" si="7"/>
        <v>#DIV/0!</v>
      </c>
      <c r="AL21" s="210" t="e">
        <f t="shared" si="7"/>
        <v>#DIV/0!</v>
      </c>
      <c r="AM21" s="210">
        <f t="shared" si="7"/>
        <v>7292.6</v>
      </c>
    </row>
    <row r="22" spans="1:39" ht="15.75" thickBot="1" x14ac:dyDescent="0.3">
      <c r="A22" s="136" t="s">
        <v>3</v>
      </c>
      <c r="B22" s="341">
        <f>B17+1</f>
        <v>44354</v>
      </c>
      <c r="C22" s="244">
        <v>642</v>
      </c>
      <c r="D22" s="195"/>
      <c r="E22" s="195"/>
      <c r="F22" s="195">
        <v>1026</v>
      </c>
      <c r="G22" s="195"/>
      <c r="H22" s="195">
        <v>531</v>
      </c>
      <c r="I22" s="204">
        <v>948</v>
      </c>
      <c r="J22" s="208">
        <v>1023</v>
      </c>
      <c r="K22" s="195">
        <v>240</v>
      </c>
      <c r="L22" s="204">
        <v>1067</v>
      </c>
      <c r="M22" s="208">
        <v>569</v>
      </c>
      <c r="N22" s="195"/>
      <c r="O22" s="195">
        <v>424</v>
      </c>
      <c r="P22" s="195">
        <v>143</v>
      </c>
      <c r="Q22" s="203">
        <v>103</v>
      </c>
      <c r="R22" s="195">
        <v>228</v>
      </c>
      <c r="S22" s="204">
        <v>137</v>
      </c>
      <c r="T22" s="217">
        <v>511</v>
      </c>
      <c r="U22" s="195">
        <v>312</v>
      </c>
      <c r="V22" s="195">
        <v>631</v>
      </c>
      <c r="W22" s="195">
        <v>558</v>
      </c>
      <c r="X22" s="195">
        <v>351</v>
      </c>
      <c r="Y22" s="203">
        <v>590</v>
      </c>
      <c r="Z22" s="203">
        <v>395</v>
      </c>
      <c r="AA22" s="208">
        <v>489</v>
      </c>
      <c r="AB22" s="170">
        <v>300</v>
      </c>
      <c r="AC22" s="195">
        <v>421</v>
      </c>
      <c r="AD22" s="195">
        <v>501</v>
      </c>
      <c r="AE22" s="204">
        <v>212</v>
      </c>
      <c r="AF22" s="217"/>
      <c r="AG22" s="195"/>
      <c r="AH22" s="195"/>
      <c r="AI22" s="195"/>
      <c r="AJ22" s="204"/>
      <c r="AK22" s="208"/>
      <c r="AL22" s="204"/>
      <c r="AM22" s="174">
        <f>SUM(C22:AL22)</f>
        <v>12352</v>
      </c>
    </row>
    <row r="23" spans="1:39" ht="15.75" thickBot="1" x14ac:dyDescent="0.3">
      <c r="A23" s="136" t="s">
        <v>4</v>
      </c>
      <c r="B23" s="341">
        <f t="shared" ref="B23:B28" si="8">B22+1</f>
        <v>44355</v>
      </c>
      <c r="C23" s="244">
        <v>475</v>
      </c>
      <c r="D23" s="195"/>
      <c r="E23" s="195"/>
      <c r="F23" s="195">
        <v>1163</v>
      </c>
      <c r="G23" s="195"/>
      <c r="H23" s="195">
        <v>479</v>
      </c>
      <c r="I23" s="204">
        <v>782</v>
      </c>
      <c r="J23" s="208">
        <v>607</v>
      </c>
      <c r="K23" s="195">
        <v>212</v>
      </c>
      <c r="L23" s="204">
        <v>684</v>
      </c>
      <c r="M23" s="208">
        <v>468</v>
      </c>
      <c r="N23" s="195"/>
      <c r="O23" s="195">
        <v>313</v>
      </c>
      <c r="P23" s="195">
        <v>150</v>
      </c>
      <c r="Q23" s="203">
        <v>59</v>
      </c>
      <c r="R23" s="195">
        <v>222</v>
      </c>
      <c r="S23" s="204">
        <v>76</v>
      </c>
      <c r="T23" s="217">
        <v>336</v>
      </c>
      <c r="U23" s="170">
        <v>321</v>
      </c>
      <c r="V23" s="195">
        <v>607</v>
      </c>
      <c r="W23" s="195">
        <v>473</v>
      </c>
      <c r="X23" s="195">
        <v>265</v>
      </c>
      <c r="Y23" s="203">
        <v>470</v>
      </c>
      <c r="Z23" s="203">
        <v>279</v>
      </c>
      <c r="AA23" s="208">
        <v>451</v>
      </c>
      <c r="AB23" s="170">
        <v>301</v>
      </c>
      <c r="AC23" s="195">
        <v>339</v>
      </c>
      <c r="AD23" s="195">
        <v>514</v>
      </c>
      <c r="AE23" s="204">
        <v>179</v>
      </c>
      <c r="AF23" s="217"/>
      <c r="AG23" s="170"/>
      <c r="AH23" s="195"/>
      <c r="AI23" s="195"/>
      <c r="AJ23" s="204"/>
      <c r="AK23" s="208"/>
      <c r="AL23" s="204"/>
      <c r="AM23" s="174">
        <f t="shared" ref="AM23:AM28" si="9">SUM(C23:AL23)</f>
        <v>10225</v>
      </c>
    </row>
    <row r="24" spans="1:39" ht="15.75" thickBot="1" x14ac:dyDescent="0.3">
      <c r="A24" s="136" t="s">
        <v>5</v>
      </c>
      <c r="B24" s="341">
        <f t="shared" si="8"/>
        <v>44356</v>
      </c>
      <c r="C24" s="244">
        <v>557</v>
      </c>
      <c r="D24" s="195"/>
      <c r="E24" s="195"/>
      <c r="F24" s="195">
        <v>950</v>
      </c>
      <c r="G24" s="195"/>
      <c r="H24" s="195">
        <v>462</v>
      </c>
      <c r="I24" s="204">
        <v>958</v>
      </c>
      <c r="J24" s="208">
        <v>547</v>
      </c>
      <c r="K24" s="195">
        <v>214</v>
      </c>
      <c r="L24" s="204">
        <v>524</v>
      </c>
      <c r="M24" s="208">
        <v>534</v>
      </c>
      <c r="N24" s="195"/>
      <c r="O24" s="195">
        <v>400</v>
      </c>
      <c r="P24" s="195">
        <v>135</v>
      </c>
      <c r="Q24" s="203">
        <v>58</v>
      </c>
      <c r="R24" s="195">
        <v>161</v>
      </c>
      <c r="S24" s="204">
        <v>76</v>
      </c>
      <c r="T24" s="217">
        <v>430</v>
      </c>
      <c r="U24" s="195">
        <v>371</v>
      </c>
      <c r="V24" s="195">
        <v>679</v>
      </c>
      <c r="W24" s="195">
        <v>617</v>
      </c>
      <c r="X24" s="195">
        <v>327</v>
      </c>
      <c r="Y24" s="203">
        <v>528</v>
      </c>
      <c r="Z24" s="203">
        <v>427</v>
      </c>
      <c r="AA24" s="208">
        <v>478</v>
      </c>
      <c r="AB24" s="170">
        <v>282</v>
      </c>
      <c r="AC24" s="195">
        <v>408</v>
      </c>
      <c r="AD24" s="195">
        <v>533</v>
      </c>
      <c r="AE24" s="204">
        <v>188</v>
      </c>
      <c r="AF24" s="217"/>
      <c r="AG24" s="195"/>
      <c r="AH24" s="195"/>
      <c r="AI24" s="195"/>
      <c r="AJ24" s="204"/>
      <c r="AK24" s="208"/>
      <c r="AL24" s="204"/>
      <c r="AM24" s="174">
        <f t="shared" si="9"/>
        <v>10844</v>
      </c>
    </row>
    <row r="25" spans="1:39" ht="15.75" thickBot="1" x14ac:dyDescent="0.3">
      <c r="A25" s="136" t="s">
        <v>6</v>
      </c>
      <c r="B25" s="341">
        <f t="shared" si="8"/>
        <v>44357</v>
      </c>
      <c r="C25" s="244">
        <v>693</v>
      </c>
      <c r="D25" s="195"/>
      <c r="E25" s="195"/>
      <c r="F25" s="195">
        <v>1143</v>
      </c>
      <c r="G25" s="195"/>
      <c r="H25" s="195">
        <v>613</v>
      </c>
      <c r="I25" s="204">
        <v>1070</v>
      </c>
      <c r="J25" s="208">
        <v>834</v>
      </c>
      <c r="K25" s="195">
        <v>221</v>
      </c>
      <c r="L25" s="204">
        <v>835</v>
      </c>
      <c r="M25" s="208">
        <v>674</v>
      </c>
      <c r="N25" s="195"/>
      <c r="O25" s="195">
        <v>417</v>
      </c>
      <c r="P25" s="195">
        <v>175</v>
      </c>
      <c r="Q25" s="203">
        <v>126</v>
      </c>
      <c r="R25" s="195">
        <v>249</v>
      </c>
      <c r="S25" s="204">
        <v>118</v>
      </c>
      <c r="T25" s="217">
        <v>702</v>
      </c>
      <c r="U25" s="195">
        <v>429</v>
      </c>
      <c r="V25" s="195">
        <v>811</v>
      </c>
      <c r="W25" s="195">
        <v>636</v>
      </c>
      <c r="X25" s="195">
        <v>434</v>
      </c>
      <c r="Y25" s="203">
        <v>660</v>
      </c>
      <c r="Z25" s="203">
        <v>507</v>
      </c>
      <c r="AA25" s="208">
        <v>534</v>
      </c>
      <c r="AB25" s="170">
        <v>373</v>
      </c>
      <c r="AC25" s="195">
        <v>446</v>
      </c>
      <c r="AD25" s="195">
        <v>611</v>
      </c>
      <c r="AE25" s="204">
        <v>222</v>
      </c>
      <c r="AF25" s="217"/>
      <c r="AG25" s="195"/>
      <c r="AH25" s="195"/>
      <c r="AI25" s="195"/>
      <c r="AJ25" s="204"/>
      <c r="AK25" s="208"/>
      <c r="AL25" s="204"/>
      <c r="AM25" s="174">
        <f t="shared" si="9"/>
        <v>13533</v>
      </c>
    </row>
    <row r="26" spans="1:39" ht="15.75" thickBot="1" x14ac:dyDescent="0.3">
      <c r="A26" s="136" t="s">
        <v>0</v>
      </c>
      <c r="B26" s="341">
        <f t="shared" si="8"/>
        <v>44358</v>
      </c>
      <c r="C26" s="244">
        <v>607</v>
      </c>
      <c r="D26" s="195"/>
      <c r="E26" s="195"/>
      <c r="F26" s="195">
        <v>1027</v>
      </c>
      <c r="G26" s="195"/>
      <c r="H26" s="195">
        <v>588</v>
      </c>
      <c r="I26" s="204">
        <v>1032</v>
      </c>
      <c r="J26" s="208">
        <v>529</v>
      </c>
      <c r="K26" s="195">
        <v>181</v>
      </c>
      <c r="L26" s="204">
        <v>527</v>
      </c>
      <c r="M26" s="208">
        <v>552</v>
      </c>
      <c r="N26" s="195"/>
      <c r="O26" s="195">
        <v>326</v>
      </c>
      <c r="P26" s="195">
        <v>165</v>
      </c>
      <c r="Q26" s="203">
        <v>85</v>
      </c>
      <c r="R26" s="195">
        <v>207</v>
      </c>
      <c r="S26" s="204">
        <v>68</v>
      </c>
      <c r="T26" s="217">
        <v>461</v>
      </c>
      <c r="U26" s="195">
        <v>298</v>
      </c>
      <c r="V26" s="195">
        <v>625</v>
      </c>
      <c r="W26" s="195">
        <v>620</v>
      </c>
      <c r="X26" s="195">
        <v>428</v>
      </c>
      <c r="Y26" s="203">
        <v>544</v>
      </c>
      <c r="Z26" s="203">
        <v>451</v>
      </c>
      <c r="AA26" s="208">
        <v>442</v>
      </c>
      <c r="AB26" s="170">
        <v>343</v>
      </c>
      <c r="AC26" s="195">
        <v>408</v>
      </c>
      <c r="AD26" s="195">
        <v>592</v>
      </c>
      <c r="AE26" s="204">
        <v>203</v>
      </c>
      <c r="AF26" s="217"/>
      <c r="AG26" s="195"/>
      <c r="AH26" s="195"/>
      <c r="AI26" s="195"/>
      <c r="AJ26" s="204"/>
      <c r="AK26" s="208"/>
      <c r="AL26" s="204"/>
      <c r="AM26" s="174">
        <f t="shared" si="9"/>
        <v>11309</v>
      </c>
    </row>
    <row r="27" spans="1:39" ht="15.75" thickBot="1" x14ac:dyDescent="0.3">
      <c r="A27" s="136" t="s">
        <v>1</v>
      </c>
      <c r="B27" s="341">
        <f t="shared" si="8"/>
        <v>44359</v>
      </c>
      <c r="C27" s="244">
        <v>1116</v>
      </c>
      <c r="D27" s="195"/>
      <c r="E27" s="195"/>
      <c r="F27" s="195">
        <v>1535</v>
      </c>
      <c r="G27" s="195"/>
      <c r="H27" s="195">
        <v>906</v>
      </c>
      <c r="I27" s="204">
        <v>1337</v>
      </c>
      <c r="J27" s="208">
        <v>930</v>
      </c>
      <c r="K27" s="195">
        <v>261</v>
      </c>
      <c r="L27" s="204">
        <v>1022</v>
      </c>
      <c r="M27" s="208">
        <v>1369</v>
      </c>
      <c r="N27" s="195"/>
      <c r="O27" s="195">
        <v>897</v>
      </c>
      <c r="P27" s="195">
        <v>465</v>
      </c>
      <c r="Q27" s="203">
        <v>91</v>
      </c>
      <c r="R27" s="195">
        <v>599</v>
      </c>
      <c r="S27" s="204">
        <v>210</v>
      </c>
      <c r="T27" s="217">
        <v>996</v>
      </c>
      <c r="U27" s="195">
        <v>326</v>
      </c>
      <c r="V27" s="195">
        <v>731</v>
      </c>
      <c r="W27" s="195">
        <v>1020</v>
      </c>
      <c r="X27" s="195">
        <v>768</v>
      </c>
      <c r="Y27" s="203">
        <v>1089</v>
      </c>
      <c r="Z27" s="203">
        <v>846</v>
      </c>
      <c r="AA27" s="208">
        <v>767</v>
      </c>
      <c r="AB27" s="170">
        <v>291</v>
      </c>
      <c r="AC27" s="195">
        <v>753</v>
      </c>
      <c r="AD27" s="195">
        <v>615</v>
      </c>
      <c r="AE27" s="204">
        <v>315</v>
      </c>
      <c r="AF27" s="217"/>
      <c r="AG27" s="195"/>
      <c r="AH27" s="195"/>
      <c r="AI27" s="195"/>
      <c r="AJ27" s="204"/>
      <c r="AK27" s="208">
        <v>566</v>
      </c>
      <c r="AL27" s="204">
        <v>407</v>
      </c>
      <c r="AM27" s="174">
        <f t="shared" si="9"/>
        <v>20228</v>
      </c>
    </row>
    <row r="28" spans="1:39" s="500" customFormat="1" ht="15.75" thickBot="1" x14ac:dyDescent="0.3">
      <c r="A28" s="136" t="s">
        <v>2</v>
      </c>
      <c r="B28" s="216">
        <f t="shared" si="8"/>
        <v>44360</v>
      </c>
      <c r="C28" s="244">
        <v>1086</v>
      </c>
      <c r="D28" s="170"/>
      <c r="E28" s="170"/>
      <c r="F28" s="170">
        <v>1466</v>
      </c>
      <c r="G28" s="170"/>
      <c r="H28" s="170">
        <v>914</v>
      </c>
      <c r="I28" s="207">
        <v>1054</v>
      </c>
      <c r="J28" s="211">
        <v>1013</v>
      </c>
      <c r="K28" s="170">
        <v>272</v>
      </c>
      <c r="L28" s="207">
        <v>1106</v>
      </c>
      <c r="M28" s="211">
        <v>1119</v>
      </c>
      <c r="N28" s="170"/>
      <c r="O28" s="170">
        <v>1065</v>
      </c>
      <c r="P28" s="170">
        <v>334</v>
      </c>
      <c r="Q28" s="172">
        <v>209</v>
      </c>
      <c r="R28" s="170">
        <v>589</v>
      </c>
      <c r="S28" s="207">
        <v>239</v>
      </c>
      <c r="T28" s="243">
        <v>1015</v>
      </c>
      <c r="U28" s="170">
        <v>293</v>
      </c>
      <c r="V28" s="170">
        <v>572</v>
      </c>
      <c r="W28" s="170">
        <v>1026</v>
      </c>
      <c r="X28" s="170">
        <v>619</v>
      </c>
      <c r="Y28" s="172">
        <v>815</v>
      </c>
      <c r="Z28" s="172">
        <v>809</v>
      </c>
      <c r="AA28" s="211">
        <v>993</v>
      </c>
      <c r="AB28" s="170">
        <v>354</v>
      </c>
      <c r="AC28" s="170">
        <v>655</v>
      </c>
      <c r="AD28" s="170">
        <v>611</v>
      </c>
      <c r="AE28" s="207">
        <v>265</v>
      </c>
      <c r="AF28" s="243"/>
      <c r="AG28" s="170"/>
      <c r="AH28" s="170"/>
      <c r="AI28" s="170"/>
      <c r="AJ28" s="207"/>
      <c r="AK28" s="211">
        <v>759</v>
      </c>
      <c r="AL28" s="207">
        <v>544</v>
      </c>
      <c r="AM28" s="174">
        <f t="shared" si="9"/>
        <v>19796</v>
      </c>
    </row>
    <row r="29" spans="1:39" ht="15.75" thickBot="1" x14ac:dyDescent="0.3">
      <c r="A29" s="144" t="s">
        <v>19</v>
      </c>
      <c r="B29" s="699" t="s">
        <v>23</v>
      </c>
      <c r="C29" s="209">
        <f t="shared" ref="C29:H29" si="10">SUM(C22:C28)</f>
        <v>5176</v>
      </c>
      <c r="D29" s="209">
        <f t="shared" si="10"/>
        <v>0</v>
      </c>
      <c r="E29" s="209">
        <f t="shared" si="10"/>
        <v>0</v>
      </c>
      <c r="F29" s="209">
        <f t="shared" si="10"/>
        <v>8310</v>
      </c>
      <c r="G29" s="209">
        <f t="shared" si="10"/>
        <v>0</v>
      </c>
      <c r="H29" s="209">
        <f t="shared" si="10"/>
        <v>4493</v>
      </c>
      <c r="I29" s="209">
        <f t="shared" ref="I29:AL29" si="11">SUM(I22:I28)</f>
        <v>7181</v>
      </c>
      <c r="J29" s="209">
        <f t="shared" si="11"/>
        <v>5483</v>
      </c>
      <c r="K29" s="209">
        <f t="shared" si="11"/>
        <v>1601</v>
      </c>
      <c r="L29" s="209">
        <f t="shared" si="11"/>
        <v>5765</v>
      </c>
      <c r="M29" s="209">
        <f t="shared" si="11"/>
        <v>5285</v>
      </c>
      <c r="N29" s="209">
        <f t="shared" si="11"/>
        <v>0</v>
      </c>
      <c r="O29" s="209">
        <f t="shared" si="11"/>
        <v>3842</v>
      </c>
      <c r="P29" s="209">
        <f t="shared" si="11"/>
        <v>1567</v>
      </c>
      <c r="Q29" s="209">
        <f t="shared" si="11"/>
        <v>731</v>
      </c>
      <c r="R29" s="209">
        <f t="shared" si="11"/>
        <v>2255</v>
      </c>
      <c r="S29" s="209">
        <f t="shared" si="11"/>
        <v>924</v>
      </c>
      <c r="T29" s="209">
        <f t="shared" si="11"/>
        <v>4451</v>
      </c>
      <c r="U29" s="209">
        <f t="shared" si="11"/>
        <v>2350</v>
      </c>
      <c r="V29" s="209">
        <f t="shared" si="11"/>
        <v>4656</v>
      </c>
      <c r="W29" s="209">
        <f t="shared" si="11"/>
        <v>4950</v>
      </c>
      <c r="X29" s="209">
        <f t="shared" si="11"/>
        <v>3192</v>
      </c>
      <c r="Y29" s="209">
        <f t="shared" si="11"/>
        <v>4696</v>
      </c>
      <c r="Z29" s="209">
        <f t="shared" si="11"/>
        <v>3714</v>
      </c>
      <c r="AA29" s="209">
        <f t="shared" si="11"/>
        <v>4154</v>
      </c>
      <c r="AB29" s="209">
        <f t="shared" si="11"/>
        <v>2244</v>
      </c>
      <c r="AC29" s="209">
        <f t="shared" si="11"/>
        <v>3430</v>
      </c>
      <c r="AD29" s="209">
        <f t="shared" si="11"/>
        <v>3977</v>
      </c>
      <c r="AE29" s="209">
        <f t="shared" si="11"/>
        <v>1584</v>
      </c>
      <c r="AF29" s="209">
        <f t="shared" si="11"/>
        <v>0</v>
      </c>
      <c r="AG29" s="209">
        <f t="shared" si="11"/>
        <v>0</v>
      </c>
      <c r="AH29" s="209">
        <f t="shared" si="11"/>
        <v>0</v>
      </c>
      <c r="AI29" s="209">
        <f t="shared" si="11"/>
        <v>0</v>
      </c>
      <c r="AJ29" s="209">
        <f t="shared" si="11"/>
        <v>0</v>
      </c>
      <c r="AK29" s="209">
        <f t="shared" si="11"/>
        <v>1325</v>
      </c>
      <c r="AL29" s="209">
        <f t="shared" si="11"/>
        <v>951</v>
      </c>
      <c r="AM29" s="209">
        <f>SUM(AM22:AM28)</f>
        <v>98287</v>
      </c>
    </row>
    <row r="30" spans="1:39" ht="15.75" thickBot="1" x14ac:dyDescent="0.3">
      <c r="A30" s="101" t="s">
        <v>21</v>
      </c>
      <c r="B30" s="699"/>
      <c r="C30" s="209">
        <f>AVERAGE(C22:C28)</f>
        <v>739.42857142857144</v>
      </c>
      <c r="D30" s="209" t="e">
        <f t="shared" ref="D30:AM30" si="12">AVERAGE(D22:D28)</f>
        <v>#DIV/0!</v>
      </c>
      <c r="E30" s="209" t="e">
        <f t="shared" si="12"/>
        <v>#DIV/0!</v>
      </c>
      <c r="F30" s="209">
        <f t="shared" si="12"/>
        <v>1187.1428571428571</v>
      </c>
      <c r="G30" s="209" t="e">
        <f t="shared" si="12"/>
        <v>#DIV/0!</v>
      </c>
      <c r="H30" s="209">
        <f t="shared" si="12"/>
        <v>641.85714285714289</v>
      </c>
      <c r="I30" s="209">
        <f t="shared" si="12"/>
        <v>1025.8571428571429</v>
      </c>
      <c r="J30" s="209">
        <f t="shared" si="12"/>
        <v>783.28571428571433</v>
      </c>
      <c r="K30" s="209">
        <f t="shared" si="12"/>
        <v>228.71428571428572</v>
      </c>
      <c r="L30" s="209">
        <f t="shared" si="12"/>
        <v>823.57142857142856</v>
      </c>
      <c r="M30" s="209">
        <f t="shared" si="12"/>
        <v>755</v>
      </c>
      <c r="N30" s="209" t="e">
        <f t="shared" si="12"/>
        <v>#DIV/0!</v>
      </c>
      <c r="O30" s="209">
        <f t="shared" si="12"/>
        <v>548.85714285714289</v>
      </c>
      <c r="P30" s="209">
        <f t="shared" si="12"/>
        <v>223.85714285714286</v>
      </c>
      <c r="Q30" s="209">
        <f t="shared" si="12"/>
        <v>104.42857142857143</v>
      </c>
      <c r="R30" s="209">
        <f t="shared" si="12"/>
        <v>322.14285714285717</v>
      </c>
      <c r="S30" s="209">
        <f t="shared" si="12"/>
        <v>132</v>
      </c>
      <c r="T30" s="209">
        <f t="shared" si="12"/>
        <v>635.85714285714289</v>
      </c>
      <c r="U30" s="209">
        <f t="shared" si="12"/>
        <v>335.71428571428572</v>
      </c>
      <c r="V30" s="209">
        <f t="shared" si="12"/>
        <v>665.14285714285711</v>
      </c>
      <c r="W30" s="209">
        <f t="shared" si="12"/>
        <v>707.14285714285711</v>
      </c>
      <c r="X30" s="209">
        <f t="shared" si="12"/>
        <v>456</v>
      </c>
      <c r="Y30" s="209">
        <f t="shared" si="12"/>
        <v>670.85714285714289</v>
      </c>
      <c r="Z30" s="209">
        <f t="shared" si="12"/>
        <v>530.57142857142856</v>
      </c>
      <c r="AA30" s="209">
        <f t="shared" si="12"/>
        <v>593.42857142857144</v>
      </c>
      <c r="AB30" s="209">
        <f t="shared" si="12"/>
        <v>320.57142857142856</v>
      </c>
      <c r="AC30" s="209">
        <f t="shared" si="12"/>
        <v>490</v>
      </c>
      <c r="AD30" s="209">
        <f t="shared" si="12"/>
        <v>568.14285714285711</v>
      </c>
      <c r="AE30" s="209">
        <f t="shared" si="12"/>
        <v>226.28571428571428</v>
      </c>
      <c r="AF30" s="209" t="e">
        <f t="shared" si="12"/>
        <v>#DIV/0!</v>
      </c>
      <c r="AG30" s="209" t="e">
        <f t="shared" si="12"/>
        <v>#DIV/0!</v>
      </c>
      <c r="AH30" s="209" t="e">
        <f t="shared" si="12"/>
        <v>#DIV/0!</v>
      </c>
      <c r="AI30" s="209" t="e">
        <f t="shared" si="12"/>
        <v>#DIV/0!</v>
      </c>
      <c r="AJ30" s="209" t="e">
        <f t="shared" si="12"/>
        <v>#DIV/0!</v>
      </c>
      <c r="AK30" s="209">
        <f t="shared" si="12"/>
        <v>662.5</v>
      </c>
      <c r="AL30" s="209">
        <f t="shared" si="12"/>
        <v>475.5</v>
      </c>
      <c r="AM30" s="209">
        <f t="shared" si="12"/>
        <v>14041</v>
      </c>
    </row>
    <row r="31" spans="1:39" ht="15.75" thickBot="1" x14ac:dyDescent="0.3">
      <c r="A31" s="26" t="s">
        <v>18</v>
      </c>
      <c r="B31" s="699"/>
      <c r="C31" s="210">
        <f>SUM(C22:C26)</f>
        <v>2974</v>
      </c>
      <c r="D31" s="210">
        <f>SUM(D22:D26)</f>
        <v>0</v>
      </c>
      <c r="E31" s="210">
        <f>SUM(E22:E26)</f>
        <v>0</v>
      </c>
      <c r="F31" s="210">
        <f t="shared" ref="F31:AM31" si="13">SUM(F22:F26)</f>
        <v>5309</v>
      </c>
      <c r="G31" s="210">
        <f t="shared" si="13"/>
        <v>0</v>
      </c>
      <c r="H31" s="210">
        <f t="shared" si="13"/>
        <v>2673</v>
      </c>
      <c r="I31" s="210">
        <f t="shared" si="13"/>
        <v>4790</v>
      </c>
      <c r="J31" s="210">
        <f t="shared" si="13"/>
        <v>3540</v>
      </c>
      <c r="K31" s="210">
        <f t="shared" si="13"/>
        <v>1068</v>
      </c>
      <c r="L31" s="210">
        <f t="shared" si="13"/>
        <v>3637</v>
      </c>
      <c r="M31" s="210">
        <f t="shared" si="13"/>
        <v>2797</v>
      </c>
      <c r="N31" s="210">
        <f t="shared" si="13"/>
        <v>0</v>
      </c>
      <c r="O31" s="210">
        <f t="shared" si="13"/>
        <v>1880</v>
      </c>
      <c r="P31" s="210">
        <f t="shared" si="13"/>
        <v>768</v>
      </c>
      <c r="Q31" s="210">
        <f t="shared" si="13"/>
        <v>431</v>
      </c>
      <c r="R31" s="210">
        <f t="shared" si="13"/>
        <v>1067</v>
      </c>
      <c r="S31" s="210">
        <f t="shared" si="13"/>
        <v>475</v>
      </c>
      <c r="T31" s="210">
        <f t="shared" si="13"/>
        <v>2440</v>
      </c>
      <c r="U31" s="210">
        <f t="shared" si="13"/>
        <v>1731</v>
      </c>
      <c r="V31" s="210">
        <f t="shared" si="13"/>
        <v>3353</v>
      </c>
      <c r="W31" s="210">
        <f t="shared" si="13"/>
        <v>2904</v>
      </c>
      <c r="X31" s="210">
        <f t="shared" si="13"/>
        <v>1805</v>
      </c>
      <c r="Y31" s="210">
        <f t="shared" si="13"/>
        <v>2792</v>
      </c>
      <c r="Z31" s="210">
        <f t="shared" si="13"/>
        <v>2059</v>
      </c>
      <c r="AA31" s="210">
        <f t="shared" si="13"/>
        <v>2394</v>
      </c>
      <c r="AB31" s="210">
        <f t="shared" si="13"/>
        <v>1599</v>
      </c>
      <c r="AC31" s="210">
        <f t="shared" si="13"/>
        <v>2022</v>
      </c>
      <c r="AD31" s="210">
        <f t="shared" si="13"/>
        <v>2751</v>
      </c>
      <c r="AE31" s="210">
        <f t="shared" si="13"/>
        <v>1004</v>
      </c>
      <c r="AF31" s="210">
        <f t="shared" si="13"/>
        <v>0</v>
      </c>
      <c r="AG31" s="210">
        <f t="shared" si="13"/>
        <v>0</v>
      </c>
      <c r="AH31" s="210">
        <f t="shared" si="13"/>
        <v>0</v>
      </c>
      <c r="AI31" s="210">
        <f t="shared" si="13"/>
        <v>0</v>
      </c>
      <c r="AJ31" s="210">
        <f t="shared" si="13"/>
        <v>0</v>
      </c>
      <c r="AK31" s="210">
        <f t="shared" si="13"/>
        <v>0</v>
      </c>
      <c r="AL31" s="210">
        <f t="shared" si="13"/>
        <v>0</v>
      </c>
      <c r="AM31" s="210">
        <f t="shared" si="13"/>
        <v>58263</v>
      </c>
    </row>
    <row r="32" spans="1:39" ht="15.75" thickBot="1" x14ac:dyDescent="0.3">
      <c r="A32" s="26" t="s">
        <v>20</v>
      </c>
      <c r="B32" s="699"/>
      <c r="C32" s="210">
        <f>AVERAGE(C22:CQ26)</f>
        <v>896.35384615384612</v>
      </c>
      <c r="D32" s="210" t="e">
        <f>AVERAGE(D22:D26)</f>
        <v>#DIV/0!</v>
      </c>
      <c r="E32" s="210" t="e">
        <f>AVERAGE(E22:E26)</f>
        <v>#DIV/0!</v>
      </c>
      <c r="F32" s="210">
        <f t="shared" ref="F32:AM32" si="14">AVERAGE(F22:F26)</f>
        <v>1061.8</v>
      </c>
      <c r="G32" s="210" t="e">
        <f t="shared" si="14"/>
        <v>#DIV/0!</v>
      </c>
      <c r="H32" s="210">
        <f t="shared" si="14"/>
        <v>534.6</v>
      </c>
      <c r="I32" s="210">
        <f t="shared" si="14"/>
        <v>958</v>
      </c>
      <c r="J32" s="210">
        <f t="shared" si="14"/>
        <v>708</v>
      </c>
      <c r="K32" s="210">
        <f t="shared" si="14"/>
        <v>213.6</v>
      </c>
      <c r="L32" s="210">
        <f t="shared" si="14"/>
        <v>727.4</v>
      </c>
      <c r="M32" s="210">
        <f t="shared" si="14"/>
        <v>559.4</v>
      </c>
      <c r="N32" s="210" t="e">
        <f t="shared" si="14"/>
        <v>#DIV/0!</v>
      </c>
      <c r="O32" s="210">
        <f t="shared" si="14"/>
        <v>376</v>
      </c>
      <c r="P32" s="210">
        <f t="shared" si="14"/>
        <v>153.6</v>
      </c>
      <c r="Q32" s="210">
        <f t="shared" si="14"/>
        <v>86.2</v>
      </c>
      <c r="R32" s="210">
        <f t="shared" si="14"/>
        <v>213.4</v>
      </c>
      <c r="S32" s="210">
        <f t="shared" si="14"/>
        <v>95</v>
      </c>
      <c r="T32" s="210">
        <f t="shared" si="14"/>
        <v>488</v>
      </c>
      <c r="U32" s="210">
        <f t="shared" si="14"/>
        <v>346.2</v>
      </c>
      <c r="V32" s="210">
        <f t="shared" si="14"/>
        <v>670.6</v>
      </c>
      <c r="W32" s="210">
        <f t="shared" si="14"/>
        <v>580.79999999999995</v>
      </c>
      <c r="X32" s="210">
        <f t="shared" si="14"/>
        <v>361</v>
      </c>
      <c r="Y32" s="210">
        <f t="shared" si="14"/>
        <v>558.4</v>
      </c>
      <c r="Z32" s="210">
        <f t="shared" si="14"/>
        <v>411.8</v>
      </c>
      <c r="AA32" s="210">
        <f t="shared" si="14"/>
        <v>478.8</v>
      </c>
      <c r="AB32" s="210">
        <f t="shared" si="14"/>
        <v>319.8</v>
      </c>
      <c r="AC32" s="210">
        <f t="shared" si="14"/>
        <v>404.4</v>
      </c>
      <c r="AD32" s="210">
        <f t="shared" si="14"/>
        <v>550.20000000000005</v>
      </c>
      <c r="AE32" s="210">
        <f t="shared" si="14"/>
        <v>200.8</v>
      </c>
      <c r="AF32" s="210" t="e">
        <f t="shared" si="14"/>
        <v>#DIV/0!</v>
      </c>
      <c r="AG32" s="210" t="e">
        <f t="shared" si="14"/>
        <v>#DIV/0!</v>
      </c>
      <c r="AH32" s="210" t="e">
        <f t="shared" si="14"/>
        <v>#DIV/0!</v>
      </c>
      <c r="AI32" s="210" t="e">
        <f t="shared" si="14"/>
        <v>#DIV/0!</v>
      </c>
      <c r="AJ32" s="210" t="e">
        <f t="shared" si="14"/>
        <v>#DIV/0!</v>
      </c>
      <c r="AK32" s="210" t="e">
        <f t="shared" si="14"/>
        <v>#DIV/0!</v>
      </c>
      <c r="AL32" s="210" t="e">
        <f t="shared" si="14"/>
        <v>#DIV/0!</v>
      </c>
      <c r="AM32" s="210">
        <f t="shared" si="14"/>
        <v>11652.6</v>
      </c>
    </row>
    <row r="33" spans="1:39" ht="15.75" thickBot="1" x14ac:dyDescent="0.3">
      <c r="A33" s="136" t="s">
        <v>3</v>
      </c>
      <c r="B33" s="216">
        <f>B28+1</f>
        <v>44361</v>
      </c>
      <c r="C33" s="244">
        <v>418</v>
      </c>
      <c r="D33" s="245"/>
      <c r="E33" s="170"/>
      <c r="F33" s="170">
        <v>730</v>
      </c>
      <c r="G33" s="170"/>
      <c r="H33" s="170">
        <v>385</v>
      </c>
      <c r="I33" s="207">
        <v>780</v>
      </c>
      <c r="J33" s="211">
        <v>397</v>
      </c>
      <c r="K33" s="170">
        <v>129</v>
      </c>
      <c r="L33" s="207">
        <v>438</v>
      </c>
      <c r="M33" s="211">
        <v>426</v>
      </c>
      <c r="N33" s="170"/>
      <c r="O33" s="170">
        <v>226</v>
      </c>
      <c r="P33" s="170">
        <v>93</v>
      </c>
      <c r="Q33" s="172">
        <v>69</v>
      </c>
      <c r="R33" s="170">
        <v>166</v>
      </c>
      <c r="S33" s="207">
        <v>73</v>
      </c>
      <c r="T33" s="243">
        <v>422</v>
      </c>
      <c r="U33" s="170">
        <v>290</v>
      </c>
      <c r="V33" s="170">
        <v>589</v>
      </c>
      <c r="W33" s="170">
        <v>475</v>
      </c>
      <c r="X33" s="170">
        <v>331</v>
      </c>
      <c r="Y33" s="172">
        <v>391</v>
      </c>
      <c r="Z33" s="172">
        <v>268</v>
      </c>
      <c r="AA33" s="211">
        <v>393</v>
      </c>
      <c r="AB33" s="170">
        <v>278</v>
      </c>
      <c r="AC33" s="170">
        <v>315</v>
      </c>
      <c r="AD33" s="170">
        <v>580</v>
      </c>
      <c r="AE33" s="207">
        <v>154</v>
      </c>
      <c r="AF33" s="243"/>
      <c r="AG33" s="170"/>
      <c r="AH33" s="170"/>
      <c r="AI33" s="170"/>
      <c r="AJ33" s="207"/>
      <c r="AK33" s="208"/>
      <c r="AL33" s="204"/>
      <c r="AM33" s="174">
        <f t="shared" ref="AM33:AM39" si="15">SUM(C33:AL33)</f>
        <v>8816</v>
      </c>
    </row>
    <row r="34" spans="1:39" ht="15.75" thickBot="1" x14ac:dyDescent="0.3">
      <c r="A34" s="136" t="s">
        <v>4</v>
      </c>
      <c r="B34" s="216">
        <f t="shared" ref="B34:B39" si="16">B33+1</f>
        <v>44362</v>
      </c>
      <c r="C34" s="244">
        <v>819</v>
      </c>
      <c r="D34" s="245"/>
      <c r="E34" s="170"/>
      <c r="F34" s="170">
        <v>1190</v>
      </c>
      <c r="G34" s="170"/>
      <c r="H34" s="170">
        <v>563</v>
      </c>
      <c r="I34" s="207">
        <v>1037</v>
      </c>
      <c r="J34" s="211">
        <v>729</v>
      </c>
      <c r="K34" s="170">
        <v>237</v>
      </c>
      <c r="L34" s="207">
        <v>706</v>
      </c>
      <c r="M34" s="211">
        <v>461</v>
      </c>
      <c r="N34" s="170"/>
      <c r="O34" s="170">
        <v>370</v>
      </c>
      <c r="P34" s="170">
        <v>210</v>
      </c>
      <c r="Q34" s="172">
        <v>223</v>
      </c>
      <c r="R34" s="170">
        <v>248</v>
      </c>
      <c r="S34" s="207">
        <v>151</v>
      </c>
      <c r="T34" s="243">
        <v>581</v>
      </c>
      <c r="U34" s="170">
        <v>377</v>
      </c>
      <c r="V34" s="170">
        <v>724</v>
      </c>
      <c r="W34" s="170">
        <v>731</v>
      </c>
      <c r="X34" s="170">
        <v>409</v>
      </c>
      <c r="Y34" s="172">
        <v>857</v>
      </c>
      <c r="Z34" s="172">
        <v>432</v>
      </c>
      <c r="AA34" s="211">
        <v>577</v>
      </c>
      <c r="AB34" s="170">
        <v>392</v>
      </c>
      <c r="AC34" s="170">
        <v>482</v>
      </c>
      <c r="AD34" s="170">
        <v>628</v>
      </c>
      <c r="AE34" s="207">
        <v>240</v>
      </c>
      <c r="AF34" s="243"/>
      <c r="AG34" s="170"/>
      <c r="AH34" s="170"/>
      <c r="AI34" s="170"/>
      <c r="AJ34" s="207"/>
      <c r="AK34" s="208"/>
      <c r="AL34" s="204"/>
      <c r="AM34" s="174">
        <f t="shared" si="15"/>
        <v>13374</v>
      </c>
    </row>
    <row r="35" spans="1:39" ht="15.75" thickBot="1" x14ac:dyDescent="0.3">
      <c r="A35" s="136" t="s">
        <v>5</v>
      </c>
      <c r="B35" s="216">
        <f t="shared" si="16"/>
        <v>44363</v>
      </c>
      <c r="C35" s="244">
        <v>886</v>
      </c>
      <c r="D35" s="245"/>
      <c r="E35" s="170"/>
      <c r="F35" s="170">
        <v>1273</v>
      </c>
      <c r="G35" s="170"/>
      <c r="H35" s="170">
        <v>647</v>
      </c>
      <c r="I35" s="207">
        <v>1145</v>
      </c>
      <c r="J35" s="211">
        <v>1069</v>
      </c>
      <c r="K35" s="170">
        <v>303</v>
      </c>
      <c r="L35" s="207">
        <v>1150</v>
      </c>
      <c r="M35" s="211">
        <v>704</v>
      </c>
      <c r="N35" s="170"/>
      <c r="O35" s="170">
        <v>556</v>
      </c>
      <c r="P35" s="170">
        <v>179</v>
      </c>
      <c r="Q35" s="172">
        <v>80</v>
      </c>
      <c r="R35" s="170">
        <v>344</v>
      </c>
      <c r="S35" s="207">
        <v>145</v>
      </c>
      <c r="T35" s="243">
        <v>657</v>
      </c>
      <c r="U35" s="170">
        <v>424</v>
      </c>
      <c r="V35" s="170">
        <v>850</v>
      </c>
      <c r="W35" s="170">
        <v>1046</v>
      </c>
      <c r="X35" s="170">
        <v>545</v>
      </c>
      <c r="Y35" s="172">
        <v>596</v>
      </c>
      <c r="Z35" s="172">
        <v>496</v>
      </c>
      <c r="AA35" s="211">
        <v>631</v>
      </c>
      <c r="AB35" s="170">
        <v>426</v>
      </c>
      <c r="AC35" s="170">
        <v>513</v>
      </c>
      <c r="AD35" s="170">
        <v>637</v>
      </c>
      <c r="AE35" s="207">
        <v>225</v>
      </c>
      <c r="AF35" s="243"/>
      <c r="AG35" s="170"/>
      <c r="AH35" s="170"/>
      <c r="AI35" s="170"/>
      <c r="AJ35" s="207"/>
      <c r="AK35" s="208"/>
      <c r="AL35" s="204"/>
      <c r="AM35" s="174">
        <f t="shared" si="15"/>
        <v>15527</v>
      </c>
    </row>
    <row r="36" spans="1:39" ht="15.75" thickBot="1" x14ac:dyDescent="0.3">
      <c r="A36" s="136" t="s">
        <v>6</v>
      </c>
      <c r="B36" s="216">
        <f t="shared" si="16"/>
        <v>44364</v>
      </c>
      <c r="C36" s="244">
        <v>681</v>
      </c>
      <c r="D36" s="245"/>
      <c r="E36" s="170"/>
      <c r="F36" s="170">
        <v>1396</v>
      </c>
      <c r="G36" s="170"/>
      <c r="H36" s="170">
        <v>754</v>
      </c>
      <c r="I36" s="207">
        <v>1318</v>
      </c>
      <c r="J36" s="211">
        <v>968</v>
      </c>
      <c r="K36" s="170">
        <v>348</v>
      </c>
      <c r="L36" s="207">
        <v>1112</v>
      </c>
      <c r="M36" s="211">
        <v>726</v>
      </c>
      <c r="N36" s="170"/>
      <c r="O36" s="170">
        <v>569</v>
      </c>
      <c r="P36" s="170">
        <v>172</v>
      </c>
      <c r="Q36" s="172">
        <v>153</v>
      </c>
      <c r="R36" s="170">
        <v>373</v>
      </c>
      <c r="S36" s="207">
        <v>160</v>
      </c>
      <c r="T36" s="243">
        <v>672</v>
      </c>
      <c r="U36" s="170">
        <v>399</v>
      </c>
      <c r="V36" s="170">
        <v>913</v>
      </c>
      <c r="W36" s="170">
        <v>828</v>
      </c>
      <c r="X36" s="170">
        <v>488</v>
      </c>
      <c r="Y36" s="172">
        <v>685</v>
      </c>
      <c r="Z36" s="172">
        <v>510</v>
      </c>
      <c r="AA36" s="211">
        <v>651</v>
      </c>
      <c r="AB36" s="170">
        <v>419</v>
      </c>
      <c r="AC36" s="170">
        <v>528</v>
      </c>
      <c r="AD36" s="170">
        <v>760</v>
      </c>
      <c r="AE36" s="207">
        <v>250</v>
      </c>
      <c r="AF36" s="243"/>
      <c r="AG36" s="170"/>
      <c r="AH36" s="170"/>
      <c r="AI36" s="170"/>
      <c r="AJ36" s="207"/>
      <c r="AK36" s="208"/>
      <c r="AL36" s="204"/>
      <c r="AM36" s="174">
        <f t="shared" si="15"/>
        <v>15833</v>
      </c>
    </row>
    <row r="37" spans="1:39" ht="15.75" thickBot="1" x14ac:dyDescent="0.3">
      <c r="A37" s="136" t="s">
        <v>0</v>
      </c>
      <c r="B37" s="216">
        <f t="shared" si="16"/>
        <v>44365</v>
      </c>
      <c r="C37" s="244">
        <v>984</v>
      </c>
      <c r="D37" s="245"/>
      <c r="E37" s="170"/>
      <c r="F37" s="170">
        <v>1611</v>
      </c>
      <c r="G37" s="170"/>
      <c r="H37" s="170">
        <v>827</v>
      </c>
      <c r="I37" s="207">
        <v>1433</v>
      </c>
      <c r="J37" s="211">
        <v>1772</v>
      </c>
      <c r="K37" s="170">
        <v>310</v>
      </c>
      <c r="L37" s="207">
        <v>1672</v>
      </c>
      <c r="M37" s="211">
        <v>1051</v>
      </c>
      <c r="N37" s="170"/>
      <c r="O37" s="170">
        <v>637</v>
      </c>
      <c r="P37" s="170">
        <v>255</v>
      </c>
      <c r="Q37" s="172">
        <v>165</v>
      </c>
      <c r="R37" s="170">
        <v>389</v>
      </c>
      <c r="S37" s="207">
        <v>199</v>
      </c>
      <c r="T37" s="243">
        <v>869</v>
      </c>
      <c r="U37" s="195">
        <v>439</v>
      </c>
      <c r="V37" s="195">
        <v>698</v>
      </c>
      <c r="W37" s="195">
        <v>924</v>
      </c>
      <c r="X37" s="195">
        <v>565</v>
      </c>
      <c r="Y37" s="203">
        <v>782</v>
      </c>
      <c r="Z37" s="203">
        <v>631</v>
      </c>
      <c r="AA37" s="208">
        <v>785</v>
      </c>
      <c r="AB37" s="170">
        <v>423</v>
      </c>
      <c r="AC37" s="170">
        <v>674</v>
      </c>
      <c r="AD37" s="170">
        <v>771</v>
      </c>
      <c r="AE37" s="207">
        <v>338</v>
      </c>
      <c r="AF37" s="217"/>
      <c r="AG37" s="195"/>
      <c r="AH37" s="195"/>
      <c r="AI37" s="195"/>
      <c r="AJ37" s="204"/>
      <c r="AK37" s="208"/>
      <c r="AL37" s="204"/>
      <c r="AM37" s="174">
        <f t="shared" si="15"/>
        <v>19204</v>
      </c>
    </row>
    <row r="38" spans="1:39" ht="15.75" thickBot="1" x14ac:dyDescent="0.3">
      <c r="A38" s="136" t="s">
        <v>1</v>
      </c>
      <c r="B38" s="216">
        <f t="shared" si="16"/>
        <v>44366</v>
      </c>
      <c r="C38" s="244">
        <v>1429</v>
      </c>
      <c r="D38" s="245">
        <v>2086</v>
      </c>
      <c r="E38" s="170"/>
      <c r="F38" s="170">
        <v>1956</v>
      </c>
      <c r="G38" s="170"/>
      <c r="H38" s="170">
        <v>1157</v>
      </c>
      <c r="I38" s="207">
        <v>1796</v>
      </c>
      <c r="J38" s="211">
        <v>2124</v>
      </c>
      <c r="K38" s="170">
        <v>364</v>
      </c>
      <c r="L38" s="207">
        <v>2266</v>
      </c>
      <c r="M38" s="211">
        <v>836</v>
      </c>
      <c r="N38" s="170">
        <v>450</v>
      </c>
      <c r="O38" s="170">
        <v>536</v>
      </c>
      <c r="P38" s="170">
        <v>304</v>
      </c>
      <c r="Q38" s="172">
        <v>143</v>
      </c>
      <c r="R38" s="170">
        <v>507</v>
      </c>
      <c r="S38" s="207">
        <v>256</v>
      </c>
      <c r="T38" s="243">
        <v>990</v>
      </c>
      <c r="U38" s="195">
        <v>276</v>
      </c>
      <c r="V38" s="195">
        <v>715</v>
      </c>
      <c r="W38" s="195">
        <v>955</v>
      </c>
      <c r="X38" s="195">
        <v>698</v>
      </c>
      <c r="Y38" s="203">
        <v>974</v>
      </c>
      <c r="Z38" s="203">
        <v>840</v>
      </c>
      <c r="AA38" s="208">
        <v>1101</v>
      </c>
      <c r="AB38" s="170">
        <v>411</v>
      </c>
      <c r="AC38" s="195">
        <v>780</v>
      </c>
      <c r="AD38" s="195">
        <v>765</v>
      </c>
      <c r="AE38" s="204">
        <v>285</v>
      </c>
      <c r="AF38" s="217"/>
      <c r="AG38" s="195"/>
      <c r="AH38" s="195"/>
      <c r="AI38" s="195"/>
      <c r="AJ38" s="204"/>
      <c r="AK38" s="208">
        <v>652</v>
      </c>
      <c r="AL38" s="204">
        <v>571</v>
      </c>
      <c r="AM38" s="174">
        <f t="shared" si="15"/>
        <v>26223</v>
      </c>
    </row>
    <row r="39" spans="1:39" ht="15.75" thickBot="1" x14ac:dyDescent="0.3">
      <c r="A39" s="136" t="s">
        <v>2</v>
      </c>
      <c r="B39" s="216">
        <f t="shared" si="16"/>
        <v>44367</v>
      </c>
      <c r="C39" s="244">
        <v>1962</v>
      </c>
      <c r="D39" s="245">
        <v>2052</v>
      </c>
      <c r="E39" s="170"/>
      <c r="F39" s="170">
        <v>2146</v>
      </c>
      <c r="G39" s="170"/>
      <c r="H39" s="170">
        <v>1400</v>
      </c>
      <c r="I39" s="207">
        <v>1594</v>
      </c>
      <c r="J39" s="211">
        <v>3264</v>
      </c>
      <c r="K39" s="170">
        <v>700</v>
      </c>
      <c r="L39" s="207">
        <v>3758</v>
      </c>
      <c r="M39" s="211">
        <v>1085</v>
      </c>
      <c r="N39" s="170">
        <v>668</v>
      </c>
      <c r="O39" s="170">
        <v>743</v>
      </c>
      <c r="P39" s="170">
        <v>393</v>
      </c>
      <c r="Q39" s="172">
        <v>319</v>
      </c>
      <c r="R39" s="170">
        <v>825</v>
      </c>
      <c r="S39" s="207">
        <v>437</v>
      </c>
      <c r="T39" s="243">
        <v>1377</v>
      </c>
      <c r="U39" s="170">
        <v>367</v>
      </c>
      <c r="V39" s="170">
        <v>732</v>
      </c>
      <c r="W39" s="170">
        <v>1186</v>
      </c>
      <c r="X39" s="170">
        <v>906</v>
      </c>
      <c r="Y39" s="172">
        <v>1107</v>
      </c>
      <c r="Z39" s="172">
        <v>972</v>
      </c>
      <c r="AA39" s="211">
        <v>1352</v>
      </c>
      <c r="AB39" s="170">
        <v>458</v>
      </c>
      <c r="AC39" s="170">
        <v>941</v>
      </c>
      <c r="AD39" s="170">
        <v>885</v>
      </c>
      <c r="AE39" s="207">
        <v>366</v>
      </c>
      <c r="AF39" s="243"/>
      <c r="AG39" s="170"/>
      <c r="AH39" s="170"/>
      <c r="AI39" s="170"/>
      <c r="AJ39" s="207"/>
      <c r="AK39" s="211">
        <v>723</v>
      </c>
      <c r="AL39" s="207">
        <v>606</v>
      </c>
      <c r="AM39" s="174">
        <f t="shared" si="15"/>
        <v>33324</v>
      </c>
    </row>
    <row r="40" spans="1:39" ht="15.75" thickBot="1" x14ac:dyDescent="0.3">
      <c r="A40" s="144" t="s">
        <v>19</v>
      </c>
      <c r="B40" s="699" t="s">
        <v>24</v>
      </c>
      <c r="C40" s="209">
        <f>SUM(C33:C39)</f>
        <v>7179</v>
      </c>
      <c r="D40" s="209">
        <f t="shared" ref="D40:AL40" si="17">SUM(D33:D39)</f>
        <v>4138</v>
      </c>
      <c r="E40" s="209">
        <f t="shared" si="17"/>
        <v>0</v>
      </c>
      <c r="F40" s="209">
        <f t="shared" si="17"/>
        <v>10302</v>
      </c>
      <c r="G40" s="209">
        <f t="shared" si="17"/>
        <v>0</v>
      </c>
      <c r="H40" s="209">
        <f t="shared" si="17"/>
        <v>5733</v>
      </c>
      <c r="I40" s="209">
        <f t="shared" si="17"/>
        <v>9103</v>
      </c>
      <c r="J40" s="209">
        <f t="shared" si="17"/>
        <v>10323</v>
      </c>
      <c r="K40" s="209">
        <f t="shared" si="17"/>
        <v>2391</v>
      </c>
      <c r="L40" s="209">
        <f t="shared" si="17"/>
        <v>11102</v>
      </c>
      <c r="M40" s="209">
        <f t="shared" si="17"/>
        <v>5289</v>
      </c>
      <c r="N40" s="209">
        <f t="shared" si="17"/>
        <v>1118</v>
      </c>
      <c r="O40" s="209">
        <f t="shared" si="17"/>
        <v>3637</v>
      </c>
      <c r="P40" s="209">
        <f t="shared" si="17"/>
        <v>1606</v>
      </c>
      <c r="Q40" s="209">
        <f t="shared" si="17"/>
        <v>1152</v>
      </c>
      <c r="R40" s="209">
        <f t="shared" si="17"/>
        <v>2852</v>
      </c>
      <c r="S40" s="209">
        <f t="shared" si="17"/>
        <v>1421</v>
      </c>
      <c r="T40" s="209">
        <f t="shared" si="17"/>
        <v>5568</v>
      </c>
      <c r="U40" s="209">
        <f t="shared" si="17"/>
        <v>2572</v>
      </c>
      <c r="V40" s="209">
        <f t="shared" si="17"/>
        <v>5221</v>
      </c>
      <c r="W40" s="209">
        <f t="shared" si="17"/>
        <v>6145</v>
      </c>
      <c r="X40" s="209">
        <f t="shared" si="17"/>
        <v>3942</v>
      </c>
      <c r="Y40" s="209">
        <f t="shared" si="17"/>
        <v>5392</v>
      </c>
      <c r="Z40" s="209">
        <f>SUM(Z33:Z39)</f>
        <v>4149</v>
      </c>
      <c r="AA40" s="209">
        <f t="shared" si="17"/>
        <v>5490</v>
      </c>
      <c r="AB40" s="209">
        <f t="shared" si="17"/>
        <v>2807</v>
      </c>
      <c r="AC40" s="209">
        <f t="shared" si="17"/>
        <v>4233</v>
      </c>
      <c r="AD40" s="209">
        <f t="shared" si="17"/>
        <v>5026</v>
      </c>
      <c r="AE40" s="209">
        <f>SUM(AE33:AE39)</f>
        <v>1858</v>
      </c>
      <c r="AF40" s="209">
        <f t="shared" si="17"/>
        <v>0</v>
      </c>
      <c r="AG40" s="209">
        <f t="shared" si="17"/>
        <v>0</v>
      </c>
      <c r="AH40" s="209">
        <f t="shared" si="17"/>
        <v>0</v>
      </c>
      <c r="AI40" s="209">
        <f t="shared" si="17"/>
        <v>0</v>
      </c>
      <c r="AJ40" s="209">
        <f t="shared" si="17"/>
        <v>0</v>
      </c>
      <c r="AK40" s="209">
        <f t="shared" si="17"/>
        <v>1375</v>
      </c>
      <c r="AL40" s="209">
        <f t="shared" si="17"/>
        <v>1177</v>
      </c>
      <c r="AM40" s="209">
        <f>SUM(AM33:AM39)</f>
        <v>132301</v>
      </c>
    </row>
    <row r="41" spans="1:39" ht="15.75" thickBot="1" x14ac:dyDescent="0.3">
      <c r="A41" s="101" t="s">
        <v>21</v>
      </c>
      <c r="B41" s="699"/>
      <c r="C41" s="209">
        <f>AVERAGE(C33:C39)</f>
        <v>1025.5714285714287</v>
      </c>
      <c r="D41" s="209">
        <f t="shared" ref="D41:AM41" si="18">AVERAGE(D33:D39)</f>
        <v>2069</v>
      </c>
      <c r="E41" s="209" t="e">
        <f t="shared" si="18"/>
        <v>#DIV/0!</v>
      </c>
      <c r="F41" s="209">
        <f t="shared" si="18"/>
        <v>1471.7142857142858</v>
      </c>
      <c r="G41" s="209" t="e">
        <f t="shared" si="18"/>
        <v>#DIV/0!</v>
      </c>
      <c r="H41" s="209">
        <f t="shared" si="18"/>
        <v>819</v>
      </c>
      <c r="I41" s="209">
        <f t="shared" si="18"/>
        <v>1300.4285714285713</v>
      </c>
      <c r="J41" s="209">
        <f t="shared" si="18"/>
        <v>1474.7142857142858</v>
      </c>
      <c r="K41" s="209">
        <f t="shared" si="18"/>
        <v>341.57142857142856</v>
      </c>
      <c r="L41" s="209">
        <f t="shared" si="18"/>
        <v>1586</v>
      </c>
      <c r="M41" s="209">
        <f t="shared" si="18"/>
        <v>755.57142857142856</v>
      </c>
      <c r="N41" s="209">
        <f t="shared" si="18"/>
        <v>559</v>
      </c>
      <c r="O41" s="209">
        <f t="shared" si="18"/>
        <v>519.57142857142856</v>
      </c>
      <c r="P41" s="209">
        <f t="shared" si="18"/>
        <v>229.42857142857142</v>
      </c>
      <c r="Q41" s="209">
        <f t="shared" si="18"/>
        <v>164.57142857142858</v>
      </c>
      <c r="R41" s="209">
        <f t="shared" si="18"/>
        <v>407.42857142857144</v>
      </c>
      <c r="S41" s="209">
        <f t="shared" si="18"/>
        <v>203</v>
      </c>
      <c r="T41" s="209">
        <f t="shared" si="18"/>
        <v>795.42857142857144</v>
      </c>
      <c r="U41" s="209">
        <f t="shared" si="18"/>
        <v>367.42857142857144</v>
      </c>
      <c r="V41" s="209">
        <f t="shared" si="18"/>
        <v>745.85714285714289</v>
      </c>
      <c r="W41" s="209">
        <f t="shared" si="18"/>
        <v>877.85714285714289</v>
      </c>
      <c r="X41" s="209">
        <f t="shared" si="18"/>
        <v>563.14285714285711</v>
      </c>
      <c r="Y41" s="209">
        <f t="shared" si="18"/>
        <v>770.28571428571433</v>
      </c>
      <c r="Z41" s="209">
        <f t="shared" si="18"/>
        <v>592.71428571428567</v>
      </c>
      <c r="AA41" s="209">
        <f t="shared" si="18"/>
        <v>784.28571428571433</v>
      </c>
      <c r="AB41" s="209">
        <f t="shared" si="18"/>
        <v>401</v>
      </c>
      <c r="AC41" s="209">
        <f t="shared" si="18"/>
        <v>604.71428571428567</v>
      </c>
      <c r="AD41" s="209">
        <f t="shared" si="18"/>
        <v>718</v>
      </c>
      <c r="AE41" s="209">
        <f t="shared" si="18"/>
        <v>265.42857142857144</v>
      </c>
      <c r="AF41" s="209" t="e">
        <f t="shared" si="18"/>
        <v>#DIV/0!</v>
      </c>
      <c r="AG41" s="209" t="e">
        <f t="shared" si="18"/>
        <v>#DIV/0!</v>
      </c>
      <c r="AH41" s="209" t="e">
        <f t="shared" si="18"/>
        <v>#DIV/0!</v>
      </c>
      <c r="AI41" s="209" t="e">
        <f t="shared" si="18"/>
        <v>#DIV/0!</v>
      </c>
      <c r="AJ41" s="209" t="e">
        <f t="shared" si="18"/>
        <v>#DIV/0!</v>
      </c>
      <c r="AK41" s="209">
        <f t="shared" si="18"/>
        <v>687.5</v>
      </c>
      <c r="AL41" s="209">
        <f t="shared" si="18"/>
        <v>588.5</v>
      </c>
      <c r="AM41" s="209">
        <f t="shared" si="18"/>
        <v>18900.142857142859</v>
      </c>
    </row>
    <row r="42" spans="1:39" ht="15.75" thickBot="1" x14ac:dyDescent="0.3">
      <c r="A42" s="26" t="s">
        <v>18</v>
      </c>
      <c r="B42" s="699"/>
      <c r="C42" s="210">
        <f>SUM(C33:C37)</f>
        <v>3788</v>
      </c>
      <c r="D42" s="210">
        <f>SUM(D33:D37)</f>
        <v>0</v>
      </c>
      <c r="E42" s="210">
        <f>SUM(E33:E37)</f>
        <v>0</v>
      </c>
      <c r="F42" s="210">
        <f>SUM(F33:F37)</f>
        <v>6200</v>
      </c>
      <c r="G42" s="210">
        <f t="shared" ref="G42:AL42" si="19">SUM(G33:G37)</f>
        <v>0</v>
      </c>
      <c r="H42" s="210">
        <f t="shared" si="19"/>
        <v>3176</v>
      </c>
      <c r="I42" s="210">
        <f t="shared" si="19"/>
        <v>5713</v>
      </c>
      <c r="J42" s="210">
        <f t="shared" si="19"/>
        <v>4935</v>
      </c>
      <c r="K42" s="210">
        <f t="shared" si="19"/>
        <v>1327</v>
      </c>
      <c r="L42" s="210">
        <f t="shared" si="19"/>
        <v>5078</v>
      </c>
      <c r="M42" s="210">
        <f t="shared" si="19"/>
        <v>3368</v>
      </c>
      <c r="N42" s="210">
        <f t="shared" si="19"/>
        <v>0</v>
      </c>
      <c r="O42" s="210">
        <f t="shared" si="19"/>
        <v>2358</v>
      </c>
      <c r="P42" s="210">
        <f t="shared" si="19"/>
        <v>909</v>
      </c>
      <c r="Q42" s="210">
        <f t="shared" si="19"/>
        <v>690</v>
      </c>
      <c r="R42" s="210">
        <f t="shared" si="19"/>
        <v>1520</v>
      </c>
      <c r="S42" s="210">
        <f t="shared" si="19"/>
        <v>728</v>
      </c>
      <c r="T42" s="210">
        <f t="shared" si="19"/>
        <v>3201</v>
      </c>
      <c r="U42" s="210">
        <f t="shared" si="19"/>
        <v>1929</v>
      </c>
      <c r="V42" s="210">
        <f t="shared" si="19"/>
        <v>3774</v>
      </c>
      <c r="W42" s="210">
        <f t="shared" si="19"/>
        <v>4004</v>
      </c>
      <c r="X42" s="210">
        <f t="shared" si="19"/>
        <v>2338</v>
      </c>
      <c r="Y42" s="210">
        <f t="shared" si="19"/>
        <v>3311</v>
      </c>
      <c r="Z42" s="210">
        <f>SUM(Z33:Z37)</f>
        <v>2337</v>
      </c>
      <c r="AA42" s="210">
        <f t="shared" si="19"/>
        <v>3037</v>
      </c>
      <c r="AB42" s="210">
        <f t="shared" si="19"/>
        <v>1938</v>
      </c>
      <c r="AC42" s="210">
        <f t="shared" si="19"/>
        <v>2512</v>
      </c>
      <c r="AD42" s="210">
        <f t="shared" si="19"/>
        <v>3376</v>
      </c>
      <c r="AE42" s="210">
        <f>SUM(AE33:AE37)</f>
        <v>1207</v>
      </c>
      <c r="AF42" s="210">
        <f t="shared" si="19"/>
        <v>0</v>
      </c>
      <c r="AG42" s="210">
        <f t="shared" si="19"/>
        <v>0</v>
      </c>
      <c r="AH42" s="210">
        <f t="shared" si="19"/>
        <v>0</v>
      </c>
      <c r="AI42" s="210">
        <f t="shared" si="19"/>
        <v>0</v>
      </c>
      <c r="AJ42" s="210">
        <f t="shared" si="19"/>
        <v>0</v>
      </c>
      <c r="AK42" s="210">
        <f t="shared" si="19"/>
        <v>0</v>
      </c>
      <c r="AL42" s="210">
        <f t="shared" si="19"/>
        <v>0</v>
      </c>
      <c r="AM42" s="210">
        <f>SUM(AM33:AM37)</f>
        <v>72754</v>
      </c>
    </row>
    <row r="43" spans="1:39" ht="15.75" thickBot="1" x14ac:dyDescent="0.3">
      <c r="A43" s="26" t="s">
        <v>20</v>
      </c>
      <c r="B43" s="699"/>
      <c r="C43" s="210">
        <f>AVERAGE(C33:C37)</f>
        <v>757.6</v>
      </c>
      <c r="D43" s="210" t="e">
        <f t="shared" ref="D43:AM43" si="20">AVERAGE(D33:D37)</f>
        <v>#DIV/0!</v>
      </c>
      <c r="E43" s="210" t="e">
        <f t="shared" si="20"/>
        <v>#DIV/0!</v>
      </c>
      <c r="F43" s="210">
        <f t="shared" si="20"/>
        <v>1240</v>
      </c>
      <c r="G43" s="210" t="e">
        <f t="shared" si="20"/>
        <v>#DIV/0!</v>
      </c>
      <c r="H43" s="210">
        <f t="shared" si="20"/>
        <v>635.20000000000005</v>
      </c>
      <c r="I43" s="210">
        <f t="shared" si="20"/>
        <v>1142.5999999999999</v>
      </c>
      <c r="J43" s="210">
        <f t="shared" si="20"/>
        <v>987</v>
      </c>
      <c r="K43" s="210">
        <f t="shared" si="20"/>
        <v>265.39999999999998</v>
      </c>
      <c r="L43" s="210">
        <f t="shared" si="20"/>
        <v>1015.6</v>
      </c>
      <c r="M43" s="210">
        <f t="shared" si="20"/>
        <v>673.6</v>
      </c>
      <c r="N43" s="210" t="e">
        <f t="shared" si="20"/>
        <v>#DIV/0!</v>
      </c>
      <c r="O43" s="210">
        <f t="shared" si="20"/>
        <v>471.6</v>
      </c>
      <c r="P43" s="210">
        <f t="shared" si="20"/>
        <v>181.8</v>
      </c>
      <c r="Q43" s="210">
        <f t="shared" si="20"/>
        <v>138</v>
      </c>
      <c r="R43" s="210">
        <f t="shared" si="20"/>
        <v>304</v>
      </c>
      <c r="S43" s="210">
        <f t="shared" si="20"/>
        <v>145.6</v>
      </c>
      <c r="T43" s="210">
        <f t="shared" si="20"/>
        <v>640.20000000000005</v>
      </c>
      <c r="U43" s="210">
        <f t="shared" si="20"/>
        <v>385.8</v>
      </c>
      <c r="V43" s="210">
        <f t="shared" si="20"/>
        <v>754.8</v>
      </c>
      <c r="W43" s="210">
        <f t="shared" si="20"/>
        <v>800.8</v>
      </c>
      <c r="X43" s="210">
        <f t="shared" si="20"/>
        <v>467.6</v>
      </c>
      <c r="Y43" s="210">
        <f t="shared" si="20"/>
        <v>662.2</v>
      </c>
      <c r="Z43" s="210">
        <f t="shared" si="20"/>
        <v>467.4</v>
      </c>
      <c r="AA43" s="210">
        <f t="shared" si="20"/>
        <v>607.4</v>
      </c>
      <c r="AB43" s="210">
        <f t="shared" si="20"/>
        <v>387.6</v>
      </c>
      <c r="AC43" s="210">
        <f t="shared" si="20"/>
        <v>502.4</v>
      </c>
      <c r="AD43" s="210">
        <f t="shared" si="20"/>
        <v>675.2</v>
      </c>
      <c r="AE43" s="210">
        <f t="shared" si="20"/>
        <v>241.4</v>
      </c>
      <c r="AF43" s="210" t="e">
        <f t="shared" si="20"/>
        <v>#DIV/0!</v>
      </c>
      <c r="AG43" s="210" t="e">
        <f t="shared" si="20"/>
        <v>#DIV/0!</v>
      </c>
      <c r="AH43" s="210" t="e">
        <f t="shared" si="20"/>
        <v>#DIV/0!</v>
      </c>
      <c r="AI43" s="210" t="e">
        <f t="shared" si="20"/>
        <v>#DIV/0!</v>
      </c>
      <c r="AJ43" s="210" t="e">
        <f t="shared" si="20"/>
        <v>#DIV/0!</v>
      </c>
      <c r="AK43" s="210" t="e">
        <f t="shared" si="20"/>
        <v>#DIV/0!</v>
      </c>
      <c r="AL43" s="210" t="e">
        <f t="shared" si="20"/>
        <v>#DIV/0!</v>
      </c>
      <c r="AM43" s="210">
        <f t="shared" si="20"/>
        <v>14550.8</v>
      </c>
    </row>
    <row r="44" spans="1:39" ht="15.75" thickBot="1" x14ac:dyDescent="0.3">
      <c r="A44" s="136" t="s">
        <v>3</v>
      </c>
      <c r="B44" s="216">
        <f>B39+1</f>
        <v>44368</v>
      </c>
      <c r="C44" s="244">
        <v>766</v>
      </c>
      <c r="D44" s="195">
        <v>878</v>
      </c>
      <c r="E44" s="195"/>
      <c r="F44" s="195">
        <v>1111</v>
      </c>
      <c r="G44" s="245"/>
      <c r="H44" s="195">
        <v>549</v>
      </c>
      <c r="I44" s="204">
        <v>1028</v>
      </c>
      <c r="J44" s="208">
        <v>1186</v>
      </c>
      <c r="K44" s="195">
        <v>293</v>
      </c>
      <c r="L44" s="204">
        <v>1279</v>
      </c>
      <c r="M44" s="208">
        <v>503</v>
      </c>
      <c r="N44" s="195">
        <v>167</v>
      </c>
      <c r="O44" s="195">
        <v>274</v>
      </c>
      <c r="P44" s="195">
        <v>126</v>
      </c>
      <c r="Q44" s="203">
        <v>131</v>
      </c>
      <c r="R44" s="195">
        <v>253</v>
      </c>
      <c r="S44" s="204">
        <v>157</v>
      </c>
      <c r="T44" s="217">
        <v>557</v>
      </c>
      <c r="U44" s="195">
        <v>314</v>
      </c>
      <c r="V44" s="195">
        <v>571</v>
      </c>
      <c r="W44" s="195">
        <v>571</v>
      </c>
      <c r="X44" s="195">
        <v>360</v>
      </c>
      <c r="Y44" s="203">
        <v>585</v>
      </c>
      <c r="Z44" s="203">
        <v>379</v>
      </c>
      <c r="AA44" s="208">
        <v>978</v>
      </c>
      <c r="AB44" s="170">
        <v>376</v>
      </c>
      <c r="AC44" s="195">
        <v>484</v>
      </c>
      <c r="AD44" s="195">
        <v>654</v>
      </c>
      <c r="AE44" s="204">
        <v>180</v>
      </c>
      <c r="AF44" s="217"/>
      <c r="AG44" s="195"/>
      <c r="AH44" s="195"/>
      <c r="AI44" s="195"/>
      <c r="AJ44" s="204"/>
      <c r="AK44" s="208"/>
      <c r="AL44" s="204"/>
      <c r="AM44" s="174">
        <f t="shared" ref="AM44:AM50" si="21">SUM(C44:AL44)</f>
        <v>14710</v>
      </c>
    </row>
    <row r="45" spans="1:39" ht="15.75" thickBot="1" x14ac:dyDescent="0.3">
      <c r="A45" s="136" t="s">
        <v>4</v>
      </c>
      <c r="B45" s="216">
        <f t="shared" ref="B45:B50" si="22">B44+1</f>
        <v>44369</v>
      </c>
      <c r="C45" s="244">
        <v>447</v>
      </c>
      <c r="D45" s="195">
        <v>251</v>
      </c>
      <c r="E45" s="195"/>
      <c r="F45" s="195">
        <v>707</v>
      </c>
      <c r="G45" s="245"/>
      <c r="H45" s="195">
        <v>273</v>
      </c>
      <c r="I45" s="204">
        <v>643</v>
      </c>
      <c r="J45" s="208">
        <v>471</v>
      </c>
      <c r="K45" s="195">
        <v>146</v>
      </c>
      <c r="L45" s="204">
        <v>443</v>
      </c>
      <c r="M45" s="208">
        <v>249</v>
      </c>
      <c r="N45" s="195">
        <v>49</v>
      </c>
      <c r="O45" s="195">
        <v>138</v>
      </c>
      <c r="P45" s="195">
        <v>89</v>
      </c>
      <c r="Q45" s="203">
        <v>42</v>
      </c>
      <c r="R45" s="195">
        <v>99</v>
      </c>
      <c r="S45" s="204">
        <v>38</v>
      </c>
      <c r="T45" s="217">
        <v>280</v>
      </c>
      <c r="U45" s="195">
        <v>278</v>
      </c>
      <c r="V45" s="195">
        <v>672</v>
      </c>
      <c r="W45" s="195">
        <v>472</v>
      </c>
      <c r="X45" s="195">
        <v>203</v>
      </c>
      <c r="Y45" s="203">
        <v>384</v>
      </c>
      <c r="Z45" s="203">
        <v>253</v>
      </c>
      <c r="AA45" s="208">
        <v>618</v>
      </c>
      <c r="AB45" s="170">
        <v>260</v>
      </c>
      <c r="AC45" s="195">
        <v>267</v>
      </c>
      <c r="AD45" s="195">
        <v>411</v>
      </c>
      <c r="AE45" s="204">
        <v>131</v>
      </c>
      <c r="AF45" s="217"/>
      <c r="AG45" s="195"/>
      <c r="AH45" s="195"/>
      <c r="AI45" s="195"/>
      <c r="AJ45" s="204"/>
      <c r="AK45" s="208"/>
      <c r="AL45" s="204"/>
      <c r="AM45" s="174">
        <f t="shared" si="21"/>
        <v>8314</v>
      </c>
    </row>
    <row r="46" spans="1:39" ht="15.75" thickBot="1" x14ac:dyDescent="0.3">
      <c r="A46" s="136" t="s">
        <v>5</v>
      </c>
      <c r="B46" s="216">
        <f t="shared" si="22"/>
        <v>44370</v>
      </c>
      <c r="C46" s="244">
        <v>994</v>
      </c>
      <c r="D46" s="195">
        <v>1015</v>
      </c>
      <c r="E46" s="195"/>
      <c r="F46" s="195">
        <v>1381</v>
      </c>
      <c r="G46" s="245"/>
      <c r="H46" s="195">
        <v>745</v>
      </c>
      <c r="I46" s="204">
        <v>1241</v>
      </c>
      <c r="J46" s="208">
        <v>944</v>
      </c>
      <c r="K46" s="195">
        <v>274</v>
      </c>
      <c r="L46" s="204">
        <v>1024</v>
      </c>
      <c r="M46" s="208">
        <v>619</v>
      </c>
      <c r="N46" s="195">
        <v>363</v>
      </c>
      <c r="O46" s="195">
        <v>415</v>
      </c>
      <c r="P46" s="195">
        <v>199</v>
      </c>
      <c r="Q46" s="203">
        <v>107</v>
      </c>
      <c r="R46" s="195">
        <v>363</v>
      </c>
      <c r="S46" s="204">
        <v>148</v>
      </c>
      <c r="T46" s="217">
        <v>603</v>
      </c>
      <c r="U46" s="195">
        <v>407</v>
      </c>
      <c r="V46" s="195">
        <v>721</v>
      </c>
      <c r="W46" s="195">
        <v>728</v>
      </c>
      <c r="X46" s="195">
        <v>478</v>
      </c>
      <c r="Y46" s="203">
        <v>648</v>
      </c>
      <c r="Z46" s="203">
        <v>513</v>
      </c>
      <c r="AA46" s="208">
        <v>658</v>
      </c>
      <c r="AB46" s="170">
        <v>405</v>
      </c>
      <c r="AC46" s="195">
        <v>560</v>
      </c>
      <c r="AD46" s="195">
        <v>693</v>
      </c>
      <c r="AE46" s="204">
        <v>244</v>
      </c>
      <c r="AF46" s="217"/>
      <c r="AG46" s="195"/>
      <c r="AH46" s="195"/>
      <c r="AI46" s="195"/>
      <c r="AJ46" s="204"/>
      <c r="AK46" s="208"/>
      <c r="AL46" s="204"/>
      <c r="AM46" s="174">
        <f t="shared" si="21"/>
        <v>16490</v>
      </c>
    </row>
    <row r="47" spans="1:39" ht="15.75" thickBot="1" x14ac:dyDescent="0.3">
      <c r="A47" s="136" t="s">
        <v>6</v>
      </c>
      <c r="B47" s="216">
        <f t="shared" si="22"/>
        <v>44371</v>
      </c>
      <c r="C47" s="244">
        <v>957</v>
      </c>
      <c r="D47" s="195">
        <v>1030</v>
      </c>
      <c r="E47" s="195"/>
      <c r="F47" s="195">
        <v>1264</v>
      </c>
      <c r="G47" s="245"/>
      <c r="H47" s="195">
        <v>754</v>
      </c>
      <c r="I47" s="204">
        <v>1158</v>
      </c>
      <c r="J47" s="208">
        <v>1097</v>
      </c>
      <c r="K47" s="195">
        <v>271</v>
      </c>
      <c r="L47" s="204">
        <v>1138</v>
      </c>
      <c r="M47" s="208">
        <v>592</v>
      </c>
      <c r="N47" s="195">
        <v>246</v>
      </c>
      <c r="O47" s="195">
        <v>317</v>
      </c>
      <c r="P47" s="195">
        <v>194</v>
      </c>
      <c r="Q47" s="203">
        <v>124</v>
      </c>
      <c r="R47" s="195">
        <v>354</v>
      </c>
      <c r="S47" s="204">
        <v>136</v>
      </c>
      <c r="T47" s="217">
        <v>678</v>
      </c>
      <c r="U47" s="195">
        <v>360</v>
      </c>
      <c r="V47" s="195">
        <v>695</v>
      </c>
      <c r="W47" s="195">
        <v>756</v>
      </c>
      <c r="X47" s="195">
        <v>441</v>
      </c>
      <c r="Y47" s="203">
        <v>648</v>
      </c>
      <c r="Z47" s="203">
        <v>531</v>
      </c>
      <c r="AA47" s="208">
        <v>663</v>
      </c>
      <c r="AB47" s="170">
        <v>397</v>
      </c>
      <c r="AC47" s="195">
        <v>564</v>
      </c>
      <c r="AD47" s="195">
        <v>736</v>
      </c>
      <c r="AE47" s="204">
        <v>188</v>
      </c>
      <c r="AF47" s="217"/>
      <c r="AG47" s="195"/>
      <c r="AH47" s="195"/>
      <c r="AI47" s="195"/>
      <c r="AJ47" s="204"/>
      <c r="AK47" s="208"/>
      <c r="AL47" s="204"/>
      <c r="AM47" s="174">
        <f t="shared" si="21"/>
        <v>16289</v>
      </c>
    </row>
    <row r="48" spans="1:39" ht="15.75" thickBot="1" x14ac:dyDescent="0.3">
      <c r="A48" s="136" t="s">
        <v>0</v>
      </c>
      <c r="B48" s="216">
        <f t="shared" si="22"/>
        <v>44372</v>
      </c>
      <c r="C48" s="244">
        <v>1151</v>
      </c>
      <c r="D48" s="195">
        <v>1359</v>
      </c>
      <c r="E48" s="195"/>
      <c r="F48" s="195">
        <v>1399</v>
      </c>
      <c r="G48" s="245"/>
      <c r="H48" s="195">
        <v>843</v>
      </c>
      <c r="I48" s="204">
        <v>1320</v>
      </c>
      <c r="J48" s="208">
        <v>975</v>
      </c>
      <c r="K48" s="195">
        <v>286</v>
      </c>
      <c r="L48" s="204">
        <v>1053</v>
      </c>
      <c r="M48" s="208">
        <v>618</v>
      </c>
      <c r="N48" s="195">
        <v>240</v>
      </c>
      <c r="O48" s="195">
        <v>406</v>
      </c>
      <c r="P48" s="195">
        <v>179</v>
      </c>
      <c r="Q48" s="203">
        <v>146</v>
      </c>
      <c r="R48" s="195">
        <v>354</v>
      </c>
      <c r="S48" s="204">
        <v>187</v>
      </c>
      <c r="T48" s="217">
        <v>631</v>
      </c>
      <c r="U48" s="195">
        <v>321</v>
      </c>
      <c r="V48" s="195">
        <v>657</v>
      </c>
      <c r="W48" s="195">
        <v>781</v>
      </c>
      <c r="X48" s="195">
        <v>503</v>
      </c>
      <c r="Y48" s="203">
        <v>788</v>
      </c>
      <c r="Z48" s="203">
        <v>558</v>
      </c>
      <c r="AA48" s="208">
        <v>584</v>
      </c>
      <c r="AB48" s="170">
        <v>370</v>
      </c>
      <c r="AC48" s="195">
        <v>573</v>
      </c>
      <c r="AD48" s="195">
        <v>731</v>
      </c>
      <c r="AE48" s="204">
        <v>264</v>
      </c>
      <c r="AF48" s="217"/>
      <c r="AG48" s="195"/>
      <c r="AH48" s="195"/>
      <c r="AI48" s="195"/>
      <c r="AJ48" s="204"/>
      <c r="AK48" s="208"/>
      <c r="AL48" s="204"/>
      <c r="AM48" s="174">
        <f t="shared" si="21"/>
        <v>17277</v>
      </c>
    </row>
    <row r="49" spans="1:39" ht="15.75" thickBot="1" x14ac:dyDescent="0.3">
      <c r="A49" s="136" t="s">
        <v>1</v>
      </c>
      <c r="B49" s="216">
        <f t="shared" si="22"/>
        <v>44373</v>
      </c>
      <c r="C49" s="244">
        <v>1670</v>
      </c>
      <c r="D49" s="195">
        <v>2138</v>
      </c>
      <c r="E49" s="195"/>
      <c r="F49" s="195">
        <v>2693</v>
      </c>
      <c r="G49" s="245"/>
      <c r="H49" s="195">
        <v>1223</v>
      </c>
      <c r="I49" s="204">
        <v>1890</v>
      </c>
      <c r="J49" s="208">
        <v>1615</v>
      </c>
      <c r="K49" s="195">
        <v>389</v>
      </c>
      <c r="L49" s="204">
        <v>1888</v>
      </c>
      <c r="M49" s="208">
        <v>1003</v>
      </c>
      <c r="N49" s="195">
        <v>635</v>
      </c>
      <c r="O49" s="195">
        <v>481</v>
      </c>
      <c r="P49" s="195">
        <v>415</v>
      </c>
      <c r="Q49" s="203">
        <v>157</v>
      </c>
      <c r="R49" s="195">
        <v>656</v>
      </c>
      <c r="S49" s="204">
        <v>281</v>
      </c>
      <c r="T49" s="217">
        <v>1002</v>
      </c>
      <c r="U49" s="195">
        <v>369</v>
      </c>
      <c r="V49" s="195">
        <v>832</v>
      </c>
      <c r="W49" s="195">
        <v>1242</v>
      </c>
      <c r="X49" s="195">
        <v>725</v>
      </c>
      <c r="Y49" s="203">
        <v>1077</v>
      </c>
      <c r="Z49" s="203">
        <v>875</v>
      </c>
      <c r="AA49" s="208">
        <v>980</v>
      </c>
      <c r="AB49" s="170">
        <v>452</v>
      </c>
      <c r="AC49" s="195">
        <v>900</v>
      </c>
      <c r="AD49" s="195">
        <v>815</v>
      </c>
      <c r="AE49" s="204">
        <v>338</v>
      </c>
      <c r="AF49" s="217"/>
      <c r="AG49" s="195"/>
      <c r="AH49" s="195"/>
      <c r="AI49" s="195"/>
      <c r="AJ49" s="204"/>
      <c r="AK49" s="208">
        <v>1068</v>
      </c>
      <c r="AL49" s="204">
        <v>654</v>
      </c>
      <c r="AM49" s="174">
        <f t="shared" si="21"/>
        <v>28463</v>
      </c>
    </row>
    <row r="50" spans="1:39" ht="15.75" thickBot="1" x14ac:dyDescent="0.3">
      <c r="A50" s="136" t="s">
        <v>2</v>
      </c>
      <c r="B50" s="216">
        <f t="shared" si="22"/>
        <v>44374</v>
      </c>
      <c r="C50" s="244">
        <v>1327</v>
      </c>
      <c r="D50" s="195">
        <v>1976</v>
      </c>
      <c r="E50" s="195"/>
      <c r="F50" s="195">
        <v>1719</v>
      </c>
      <c r="G50" s="245"/>
      <c r="H50" s="195">
        <v>1094</v>
      </c>
      <c r="I50" s="204">
        <v>1394</v>
      </c>
      <c r="J50" s="208">
        <v>1872</v>
      </c>
      <c r="K50" s="195">
        <v>397</v>
      </c>
      <c r="L50" s="204">
        <v>2251</v>
      </c>
      <c r="M50" s="208">
        <v>790</v>
      </c>
      <c r="N50" s="195">
        <v>512</v>
      </c>
      <c r="O50" s="195">
        <v>551</v>
      </c>
      <c r="P50" s="195">
        <v>297</v>
      </c>
      <c r="Q50" s="203">
        <v>218</v>
      </c>
      <c r="R50" s="195">
        <v>664</v>
      </c>
      <c r="S50" s="204">
        <v>243</v>
      </c>
      <c r="T50" s="217">
        <v>1221</v>
      </c>
      <c r="U50" s="195">
        <v>282</v>
      </c>
      <c r="V50" s="195">
        <v>748</v>
      </c>
      <c r="W50" s="195">
        <v>1102</v>
      </c>
      <c r="X50" s="195">
        <v>730</v>
      </c>
      <c r="Y50" s="203">
        <v>913</v>
      </c>
      <c r="Z50" s="203">
        <v>716</v>
      </c>
      <c r="AA50" s="208">
        <v>965</v>
      </c>
      <c r="AB50" s="170">
        <v>334</v>
      </c>
      <c r="AC50" s="195">
        <v>669</v>
      </c>
      <c r="AD50" s="195">
        <v>816</v>
      </c>
      <c r="AE50" s="204">
        <v>349</v>
      </c>
      <c r="AF50" s="217"/>
      <c r="AG50" s="195"/>
      <c r="AH50" s="195"/>
      <c r="AI50" s="195"/>
      <c r="AJ50" s="204"/>
      <c r="AK50" s="208">
        <v>464</v>
      </c>
      <c r="AL50" s="204">
        <v>344</v>
      </c>
      <c r="AM50" s="174">
        <f t="shared" si="21"/>
        <v>24958</v>
      </c>
    </row>
    <row r="51" spans="1:39" ht="15.75" thickBot="1" x14ac:dyDescent="0.3">
      <c r="A51" s="144" t="s">
        <v>19</v>
      </c>
      <c r="B51" s="699" t="s">
        <v>25</v>
      </c>
      <c r="C51" s="209">
        <f>SUM(C44:C50)</f>
        <v>7312</v>
      </c>
      <c r="D51" s="209">
        <f t="shared" ref="D51:AJ51" si="23">SUM(D44:D50)</f>
        <v>8647</v>
      </c>
      <c r="E51" s="209">
        <f t="shared" si="23"/>
        <v>0</v>
      </c>
      <c r="F51" s="209">
        <f t="shared" si="23"/>
        <v>10274</v>
      </c>
      <c r="G51" s="209">
        <f t="shared" si="23"/>
        <v>0</v>
      </c>
      <c r="H51" s="209">
        <f t="shared" si="23"/>
        <v>5481</v>
      </c>
      <c r="I51" s="209">
        <f t="shared" si="23"/>
        <v>8674</v>
      </c>
      <c r="J51" s="209">
        <f t="shared" si="23"/>
        <v>8160</v>
      </c>
      <c r="K51" s="209">
        <f t="shared" si="23"/>
        <v>2056</v>
      </c>
      <c r="L51" s="209">
        <f t="shared" si="23"/>
        <v>9076</v>
      </c>
      <c r="M51" s="209">
        <f t="shared" si="23"/>
        <v>4374</v>
      </c>
      <c r="N51" s="209">
        <f>SUM(N44:N50)</f>
        <v>2212</v>
      </c>
      <c r="O51" s="209">
        <f t="shared" si="23"/>
        <v>2582</v>
      </c>
      <c r="P51" s="209">
        <f t="shared" si="23"/>
        <v>1499</v>
      </c>
      <c r="Q51" s="209">
        <f t="shared" si="23"/>
        <v>925</v>
      </c>
      <c r="R51" s="209">
        <f t="shared" si="23"/>
        <v>2743</v>
      </c>
      <c r="S51" s="209">
        <f t="shared" si="23"/>
        <v>1190</v>
      </c>
      <c r="T51" s="209">
        <f t="shared" si="23"/>
        <v>4972</v>
      </c>
      <c r="U51" s="209">
        <f t="shared" si="23"/>
        <v>2331</v>
      </c>
      <c r="V51" s="209">
        <f t="shared" si="23"/>
        <v>4896</v>
      </c>
      <c r="W51" s="209">
        <f t="shared" si="23"/>
        <v>5652</v>
      </c>
      <c r="X51" s="209">
        <f t="shared" si="23"/>
        <v>3440</v>
      </c>
      <c r="Y51" s="209">
        <f t="shared" si="23"/>
        <v>5043</v>
      </c>
      <c r="Z51" s="209">
        <f>SUM(Z44:Z50)</f>
        <v>3825</v>
      </c>
      <c r="AA51" s="209">
        <f t="shared" si="23"/>
        <v>5446</v>
      </c>
      <c r="AB51" s="209">
        <f t="shared" si="23"/>
        <v>2594</v>
      </c>
      <c r="AC51" s="209">
        <f t="shared" si="23"/>
        <v>4017</v>
      </c>
      <c r="AD51" s="209">
        <f t="shared" si="23"/>
        <v>4856</v>
      </c>
      <c r="AE51" s="209">
        <f>SUM(AE44:AE50)</f>
        <v>1694</v>
      </c>
      <c r="AF51" s="209">
        <f t="shared" si="23"/>
        <v>0</v>
      </c>
      <c r="AG51" s="209">
        <f t="shared" si="23"/>
        <v>0</v>
      </c>
      <c r="AH51" s="209">
        <f t="shared" si="23"/>
        <v>0</v>
      </c>
      <c r="AI51" s="209">
        <f t="shared" si="23"/>
        <v>0</v>
      </c>
      <c r="AJ51" s="209">
        <f t="shared" si="23"/>
        <v>0</v>
      </c>
      <c r="AK51" s="209">
        <f>SUM(AK44:AK50)</f>
        <v>1532</v>
      </c>
      <c r="AL51" s="209">
        <f>SUM(AL44:AL50)</f>
        <v>998</v>
      </c>
      <c r="AM51" s="209">
        <f>SUM(AM44:AM50)</f>
        <v>126501</v>
      </c>
    </row>
    <row r="52" spans="1:39" ht="15.75" thickBot="1" x14ac:dyDescent="0.3">
      <c r="A52" s="101" t="s">
        <v>21</v>
      </c>
      <c r="B52" s="699"/>
      <c r="C52" s="209">
        <f>AVERAGE(C44:C50)</f>
        <v>1044.5714285714287</v>
      </c>
      <c r="D52" s="209">
        <f>AVERAGE(D44:D50)</f>
        <v>1235.2857142857142</v>
      </c>
      <c r="E52" s="209" t="e">
        <f t="shared" ref="E52:AL52" si="24">AVERAGE(E44:E50)</f>
        <v>#DIV/0!</v>
      </c>
      <c r="F52" s="209">
        <f t="shared" si="24"/>
        <v>1467.7142857142858</v>
      </c>
      <c r="G52" s="209" t="e">
        <f t="shared" si="24"/>
        <v>#DIV/0!</v>
      </c>
      <c r="H52" s="209">
        <f t="shared" si="24"/>
        <v>783</v>
      </c>
      <c r="I52" s="209">
        <f t="shared" si="24"/>
        <v>1239.1428571428571</v>
      </c>
      <c r="J52" s="209">
        <f t="shared" si="24"/>
        <v>1165.7142857142858</v>
      </c>
      <c r="K52" s="209">
        <f t="shared" si="24"/>
        <v>293.71428571428572</v>
      </c>
      <c r="L52" s="209">
        <f t="shared" si="24"/>
        <v>1296.5714285714287</v>
      </c>
      <c r="M52" s="209">
        <f t="shared" si="24"/>
        <v>624.85714285714289</v>
      </c>
      <c r="N52" s="209">
        <f t="shared" si="24"/>
        <v>316</v>
      </c>
      <c r="O52" s="209">
        <f t="shared" si="24"/>
        <v>368.85714285714283</v>
      </c>
      <c r="P52" s="209">
        <f t="shared" si="24"/>
        <v>214.14285714285714</v>
      </c>
      <c r="Q52" s="209">
        <f t="shared" si="24"/>
        <v>132.14285714285714</v>
      </c>
      <c r="R52" s="209">
        <f t="shared" si="24"/>
        <v>391.85714285714283</v>
      </c>
      <c r="S52" s="209">
        <f t="shared" si="24"/>
        <v>170</v>
      </c>
      <c r="T52" s="209">
        <f t="shared" si="24"/>
        <v>710.28571428571433</v>
      </c>
      <c r="U52" s="209">
        <f t="shared" si="24"/>
        <v>333</v>
      </c>
      <c r="V52" s="209">
        <f t="shared" si="24"/>
        <v>699.42857142857144</v>
      </c>
      <c r="W52" s="209">
        <f t="shared" si="24"/>
        <v>807.42857142857144</v>
      </c>
      <c r="X52" s="209">
        <f t="shared" si="24"/>
        <v>491.42857142857144</v>
      </c>
      <c r="Y52" s="209">
        <f t="shared" si="24"/>
        <v>720.42857142857144</v>
      </c>
      <c r="Z52" s="209">
        <f t="shared" si="24"/>
        <v>546.42857142857144</v>
      </c>
      <c r="AA52" s="209">
        <f t="shared" si="24"/>
        <v>778</v>
      </c>
      <c r="AB52" s="209">
        <f t="shared" si="24"/>
        <v>370.57142857142856</v>
      </c>
      <c r="AC52" s="209">
        <f t="shared" si="24"/>
        <v>573.85714285714289</v>
      </c>
      <c r="AD52" s="209">
        <f t="shared" si="24"/>
        <v>693.71428571428567</v>
      </c>
      <c r="AE52" s="209">
        <f t="shared" si="24"/>
        <v>242</v>
      </c>
      <c r="AF52" s="209" t="e">
        <f t="shared" si="24"/>
        <v>#DIV/0!</v>
      </c>
      <c r="AG52" s="209" t="e">
        <f t="shared" si="24"/>
        <v>#DIV/0!</v>
      </c>
      <c r="AH52" s="209" t="e">
        <f t="shared" si="24"/>
        <v>#DIV/0!</v>
      </c>
      <c r="AI52" s="209" t="e">
        <f t="shared" si="24"/>
        <v>#DIV/0!</v>
      </c>
      <c r="AJ52" s="209" t="e">
        <f t="shared" si="24"/>
        <v>#DIV/0!</v>
      </c>
      <c r="AK52" s="209">
        <f t="shared" si="24"/>
        <v>766</v>
      </c>
      <c r="AL52" s="209">
        <f t="shared" si="24"/>
        <v>499</v>
      </c>
      <c r="AM52" s="209">
        <f>AVERAGE(AM44:AM50)</f>
        <v>18071.571428571428</v>
      </c>
    </row>
    <row r="53" spans="1:39" ht="15.75" thickBot="1" x14ac:dyDescent="0.3">
      <c r="A53" s="26" t="s">
        <v>18</v>
      </c>
      <c r="B53" s="699"/>
      <c r="C53" s="210">
        <f t="shared" ref="C53:AE53" si="25">SUM(C44:C48)</f>
        <v>4315</v>
      </c>
      <c r="D53" s="210">
        <f t="shared" si="25"/>
        <v>4533</v>
      </c>
      <c r="E53" s="210">
        <f t="shared" si="25"/>
        <v>0</v>
      </c>
      <c r="F53" s="210">
        <f t="shared" si="25"/>
        <v>5862</v>
      </c>
      <c r="G53" s="210">
        <f t="shared" si="25"/>
        <v>0</v>
      </c>
      <c r="H53" s="210">
        <f t="shared" si="25"/>
        <v>3164</v>
      </c>
      <c r="I53" s="210">
        <f t="shared" si="25"/>
        <v>5390</v>
      </c>
      <c r="J53" s="210">
        <f t="shared" si="25"/>
        <v>4673</v>
      </c>
      <c r="K53" s="210">
        <f t="shared" si="25"/>
        <v>1270</v>
      </c>
      <c r="L53" s="210">
        <f t="shared" si="25"/>
        <v>4937</v>
      </c>
      <c r="M53" s="210">
        <f t="shared" si="25"/>
        <v>2581</v>
      </c>
      <c r="N53" s="210">
        <f t="shared" si="25"/>
        <v>1065</v>
      </c>
      <c r="O53" s="210">
        <f t="shared" si="25"/>
        <v>1550</v>
      </c>
      <c r="P53" s="210">
        <f t="shared" si="25"/>
        <v>787</v>
      </c>
      <c r="Q53" s="210">
        <f t="shared" si="25"/>
        <v>550</v>
      </c>
      <c r="R53" s="210">
        <f t="shared" si="25"/>
        <v>1423</v>
      </c>
      <c r="S53" s="210">
        <f t="shared" si="25"/>
        <v>666</v>
      </c>
      <c r="T53" s="210">
        <f t="shared" si="25"/>
        <v>2749</v>
      </c>
      <c r="U53" s="210">
        <f t="shared" si="25"/>
        <v>1680</v>
      </c>
      <c r="V53" s="210">
        <f t="shared" si="25"/>
        <v>3316</v>
      </c>
      <c r="W53" s="210">
        <f t="shared" si="25"/>
        <v>3308</v>
      </c>
      <c r="X53" s="210">
        <f t="shared" si="25"/>
        <v>1985</v>
      </c>
      <c r="Y53" s="210">
        <f t="shared" si="25"/>
        <v>3053</v>
      </c>
      <c r="Z53" s="210">
        <f t="shared" si="25"/>
        <v>2234</v>
      </c>
      <c r="AA53" s="210">
        <f t="shared" si="25"/>
        <v>3501</v>
      </c>
      <c r="AB53" s="210">
        <f t="shared" si="25"/>
        <v>1808</v>
      </c>
      <c r="AC53" s="210">
        <f t="shared" si="25"/>
        <v>2448</v>
      </c>
      <c r="AD53" s="210">
        <f t="shared" si="25"/>
        <v>3225</v>
      </c>
      <c r="AE53" s="210">
        <f t="shared" si="25"/>
        <v>1007</v>
      </c>
      <c r="AF53" s="210">
        <f t="shared" ref="AF53:AL53" si="26">SUM(AF44:AF48)</f>
        <v>0</v>
      </c>
      <c r="AG53" s="210">
        <f t="shared" si="26"/>
        <v>0</v>
      </c>
      <c r="AH53" s="210">
        <f t="shared" si="26"/>
        <v>0</v>
      </c>
      <c r="AI53" s="210">
        <f t="shared" si="26"/>
        <v>0</v>
      </c>
      <c r="AJ53" s="210">
        <f t="shared" si="26"/>
        <v>0</v>
      </c>
      <c r="AK53" s="210">
        <f>SUM(AK44:AK48)</f>
        <v>0</v>
      </c>
      <c r="AL53" s="210">
        <f t="shared" si="26"/>
        <v>0</v>
      </c>
      <c r="AM53" s="210">
        <f>SUM(AM44:AM48)</f>
        <v>73080</v>
      </c>
    </row>
    <row r="54" spans="1:39" ht="15.75" thickBot="1" x14ac:dyDescent="0.3">
      <c r="A54" s="26" t="s">
        <v>20</v>
      </c>
      <c r="B54" s="699"/>
      <c r="C54" s="210">
        <f>AVERAGE(C44:C48)</f>
        <v>863</v>
      </c>
      <c r="D54" s="210">
        <f t="shared" ref="D54:AL54" si="27">AVERAGE(D44:D48)</f>
        <v>906.6</v>
      </c>
      <c r="E54" s="210" t="e">
        <f t="shared" si="27"/>
        <v>#DIV/0!</v>
      </c>
      <c r="F54" s="210">
        <f t="shared" si="27"/>
        <v>1172.4000000000001</v>
      </c>
      <c r="G54" s="210" t="e">
        <f t="shared" si="27"/>
        <v>#DIV/0!</v>
      </c>
      <c r="H54" s="210">
        <f t="shared" si="27"/>
        <v>632.79999999999995</v>
      </c>
      <c r="I54" s="210">
        <f t="shared" si="27"/>
        <v>1078</v>
      </c>
      <c r="J54" s="210">
        <f t="shared" si="27"/>
        <v>934.6</v>
      </c>
      <c r="K54" s="210">
        <f t="shared" si="27"/>
        <v>254</v>
      </c>
      <c r="L54" s="210">
        <f t="shared" si="27"/>
        <v>987.4</v>
      </c>
      <c r="M54" s="210">
        <f t="shared" si="27"/>
        <v>516.20000000000005</v>
      </c>
      <c r="N54" s="210">
        <f t="shared" si="27"/>
        <v>213</v>
      </c>
      <c r="O54" s="210">
        <f t="shared" si="27"/>
        <v>310</v>
      </c>
      <c r="P54" s="210">
        <f t="shared" si="27"/>
        <v>157.4</v>
      </c>
      <c r="Q54" s="210">
        <f t="shared" si="27"/>
        <v>110</v>
      </c>
      <c r="R54" s="210">
        <f t="shared" si="27"/>
        <v>284.60000000000002</v>
      </c>
      <c r="S54" s="210">
        <f t="shared" si="27"/>
        <v>133.19999999999999</v>
      </c>
      <c r="T54" s="210">
        <f t="shared" si="27"/>
        <v>549.79999999999995</v>
      </c>
      <c r="U54" s="210">
        <f t="shared" si="27"/>
        <v>336</v>
      </c>
      <c r="V54" s="210">
        <f t="shared" si="27"/>
        <v>663.2</v>
      </c>
      <c r="W54" s="210">
        <f t="shared" si="27"/>
        <v>661.6</v>
      </c>
      <c r="X54" s="210">
        <f t="shared" si="27"/>
        <v>397</v>
      </c>
      <c r="Y54" s="210">
        <f t="shared" si="27"/>
        <v>610.6</v>
      </c>
      <c r="Z54" s="210">
        <f t="shared" si="27"/>
        <v>446.8</v>
      </c>
      <c r="AA54" s="210">
        <f t="shared" si="27"/>
        <v>700.2</v>
      </c>
      <c r="AB54" s="210">
        <f t="shared" si="27"/>
        <v>361.6</v>
      </c>
      <c r="AC54" s="210">
        <f t="shared" si="27"/>
        <v>489.6</v>
      </c>
      <c r="AD54" s="210">
        <f t="shared" si="27"/>
        <v>645</v>
      </c>
      <c r="AE54" s="210">
        <f t="shared" si="27"/>
        <v>201.4</v>
      </c>
      <c r="AF54" s="210" t="e">
        <f t="shared" si="27"/>
        <v>#DIV/0!</v>
      </c>
      <c r="AG54" s="210" t="e">
        <f t="shared" si="27"/>
        <v>#DIV/0!</v>
      </c>
      <c r="AH54" s="210" t="e">
        <f t="shared" si="27"/>
        <v>#DIV/0!</v>
      </c>
      <c r="AI54" s="210" t="e">
        <f t="shared" si="27"/>
        <v>#DIV/0!</v>
      </c>
      <c r="AJ54" s="210" t="e">
        <f t="shared" si="27"/>
        <v>#DIV/0!</v>
      </c>
      <c r="AK54" s="210" t="e">
        <f t="shared" si="27"/>
        <v>#DIV/0!</v>
      </c>
      <c r="AL54" s="210" t="e">
        <f t="shared" si="27"/>
        <v>#DIV/0!</v>
      </c>
      <c r="AM54" s="210">
        <f>AVERAGE(AM44:AM48)</f>
        <v>14616</v>
      </c>
    </row>
    <row r="55" spans="1:39" ht="15.75" thickBot="1" x14ac:dyDescent="0.3">
      <c r="A55" s="136" t="s">
        <v>3</v>
      </c>
      <c r="B55" s="216">
        <f>B50+1</f>
        <v>44375</v>
      </c>
      <c r="C55" s="244">
        <v>923</v>
      </c>
      <c r="D55" s="170">
        <v>827</v>
      </c>
      <c r="E55" s="170"/>
      <c r="F55" s="170">
        <v>1178</v>
      </c>
      <c r="G55" s="245"/>
      <c r="H55" s="170">
        <v>526</v>
      </c>
      <c r="I55" s="207">
        <v>904</v>
      </c>
      <c r="J55" s="211">
        <v>1572</v>
      </c>
      <c r="K55" s="170">
        <v>384</v>
      </c>
      <c r="L55" s="207">
        <v>1641</v>
      </c>
      <c r="M55" s="211">
        <v>519</v>
      </c>
      <c r="N55" s="170">
        <v>253</v>
      </c>
      <c r="O55" s="170">
        <v>330</v>
      </c>
      <c r="P55" s="170">
        <v>111</v>
      </c>
      <c r="Q55" s="172">
        <v>87</v>
      </c>
      <c r="R55" s="170">
        <v>260</v>
      </c>
      <c r="S55" s="207">
        <v>162</v>
      </c>
      <c r="T55" s="243">
        <v>544</v>
      </c>
      <c r="U55" s="170">
        <v>329</v>
      </c>
      <c r="V55" s="170">
        <v>678</v>
      </c>
      <c r="W55" s="170">
        <v>601</v>
      </c>
      <c r="X55" s="170">
        <v>408</v>
      </c>
      <c r="Y55" s="172">
        <v>481</v>
      </c>
      <c r="Z55" s="172">
        <v>422</v>
      </c>
      <c r="AA55" s="211">
        <v>605</v>
      </c>
      <c r="AB55" s="170">
        <v>351</v>
      </c>
      <c r="AC55" s="170">
        <v>389</v>
      </c>
      <c r="AD55" s="170">
        <v>710</v>
      </c>
      <c r="AE55" s="207">
        <v>247</v>
      </c>
      <c r="AF55" s="243"/>
      <c r="AG55" s="170"/>
      <c r="AH55" s="170"/>
      <c r="AI55" s="170"/>
      <c r="AJ55" s="207"/>
      <c r="AK55" s="211"/>
      <c r="AL55" s="207"/>
      <c r="AM55" s="499">
        <f t="shared" ref="AM55:AM59" si="28">SUM(C55:AL55)</f>
        <v>15442</v>
      </c>
    </row>
    <row r="56" spans="1:39" ht="15.75" thickBot="1" x14ac:dyDescent="0.3">
      <c r="A56" s="136" t="s">
        <v>4</v>
      </c>
      <c r="B56" s="216">
        <f t="shared" ref="B56:B57" si="29">B55+1</f>
        <v>44376</v>
      </c>
      <c r="C56" s="244">
        <v>878</v>
      </c>
      <c r="D56" s="170">
        <v>812</v>
      </c>
      <c r="E56" s="170"/>
      <c r="F56" s="170">
        <v>1039</v>
      </c>
      <c r="G56" s="245"/>
      <c r="H56" s="170">
        <v>511</v>
      </c>
      <c r="I56" s="207">
        <v>1069</v>
      </c>
      <c r="J56" s="211">
        <v>1705</v>
      </c>
      <c r="K56" s="170">
        <v>333</v>
      </c>
      <c r="L56" s="207">
        <v>1859</v>
      </c>
      <c r="M56" s="211">
        <v>463</v>
      </c>
      <c r="N56" s="170">
        <v>189</v>
      </c>
      <c r="O56" s="170">
        <v>290</v>
      </c>
      <c r="P56" s="170">
        <v>130</v>
      </c>
      <c r="Q56" s="172">
        <v>87</v>
      </c>
      <c r="R56" s="170">
        <v>285</v>
      </c>
      <c r="S56" s="207">
        <v>130</v>
      </c>
      <c r="T56" s="243">
        <v>535</v>
      </c>
      <c r="U56" s="170">
        <v>314</v>
      </c>
      <c r="V56" s="170">
        <v>619</v>
      </c>
      <c r="W56" s="170">
        <v>841</v>
      </c>
      <c r="X56" s="170">
        <v>334</v>
      </c>
      <c r="Y56" s="172">
        <v>530</v>
      </c>
      <c r="Z56" s="172">
        <v>464</v>
      </c>
      <c r="AA56" s="211">
        <v>763</v>
      </c>
      <c r="AB56" s="170">
        <v>387</v>
      </c>
      <c r="AC56" s="170">
        <v>597</v>
      </c>
      <c r="AD56" s="170">
        <v>812</v>
      </c>
      <c r="AE56" s="207">
        <v>253</v>
      </c>
      <c r="AF56" s="243"/>
      <c r="AG56" s="170"/>
      <c r="AH56" s="170"/>
      <c r="AI56" s="170"/>
      <c r="AJ56" s="207"/>
      <c r="AK56" s="211"/>
      <c r="AL56" s="207"/>
      <c r="AM56" s="499">
        <f t="shared" si="28"/>
        <v>16229</v>
      </c>
    </row>
    <row r="57" spans="1:39" ht="15.75" thickBot="1" x14ac:dyDescent="0.3">
      <c r="A57" s="136" t="s">
        <v>5</v>
      </c>
      <c r="B57" s="216">
        <f t="shared" si="29"/>
        <v>44377</v>
      </c>
      <c r="C57" s="244">
        <v>752</v>
      </c>
      <c r="D57" s="170">
        <v>766</v>
      </c>
      <c r="E57" s="170"/>
      <c r="F57" s="170">
        <v>1103</v>
      </c>
      <c r="G57" s="245"/>
      <c r="H57" s="170">
        <v>501</v>
      </c>
      <c r="I57" s="207">
        <v>936</v>
      </c>
      <c r="J57" s="211">
        <v>1676</v>
      </c>
      <c r="K57" s="170">
        <v>312</v>
      </c>
      <c r="L57" s="207">
        <v>1699</v>
      </c>
      <c r="M57" s="211">
        <v>449</v>
      </c>
      <c r="N57" s="170">
        <v>194</v>
      </c>
      <c r="O57" s="170">
        <v>286</v>
      </c>
      <c r="P57" s="170">
        <v>169</v>
      </c>
      <c r="Q57" s="172">
        <v>124</v>
      </c>
      <c r="R57" s="170">
        <v>255</v>
      </c>
      <c r="S57" s="207">
        <v>113</v>
      </c>
      <c r="T57" s="243">
        <v>1023</v>
      </c>
      <c r="U57" s="170">
        <v>305</v>
      </c>
      <c r="V57" s="170">
        <v>700</v>
      </c>
      <c r="W57" s="170">
        <v>584</v>
      </c>
      <c r="X57" s="170">
        <v>327</v>
      </c>
      <c r="Y57" s="172">
        <v>560</v>
      </c>
      <c r="Z57" s="172">
        <v>361</v>
      </c>
      <c r="AA57" s="211">
        <v>601</v>
      </c>
      <c r="AB57" s="170">
        <v>363</v>
      </c>
      <c r="AC57" s="170">
        <v>422</v>
      </c>
      <c r="AD57" s="170">
        <v>590</v>
      </c>
      <c r="AE57" s="207">
        <v>180</v>
      </c>
      <c r="AF57" s="243"/>
      <c r="AG57" s="170"/>
      <c r="AH57" s="170"/>
      <c r="AI57" s="170"/>
      <c r="AJ57" s="207"/>
      <c r="AK57" s="211"/>
      <c r="AL57" s="207"/>
      <c r="AM57" s="499">
        <f t="shared" si="28"/>
        <v>15351</v>
      </c>
    </row>
    <row r="58" spans="1:39" ht="15.75" hidden="1" thickBot="1" x14ac:dyDescent="0.3">
      <c r="A58" s="136" t="s">
        <v>6</v>
      </c>
      <c r="B58" s="216"/>
      <c r="C58" s="244"/>
      <c r="D58" s="195"/>
      <c r="E58" s="195"/>
      <c r="F58" s="195"/>
      <c r="G58" s="245"/>
      <c r="H58" s="195"/>
      <c r="I58" s="204"/>
      <c r="J58" s="208"/>
      <c r="K58" s="195"/>
      <c r="L58" s="204"/>
      <c r="M58" s="208"/>
      <c r="N58" s="195"/>
      <c r="O58" s="195"/>
      <c r="P58" s="195"/>
      <c r="Q58" s="203"/>
      <c r="R58" s="195"/>
      <c r="S58" s="204"/>
      <c r="T58" s="217"/>
      <c r="U58" s="195"/>
      <c r="V58" s="195"/>
      <c r="W58" s="195"/>
      <c r="X58" s="195"/>
      <c r="Y58" s="203"/>
      <c r="Z58" s="203"/>
      <c r="AA58" s="208"/>
      <c r="AB58" s="170"/>
      <c r="AC58" s="195"/>
      <c r="AD58" s="195"/>
      <c r="AE58" s="204"/>
      <c r="AF58" s="217"/>
      <c r="AG58" s="195"/>
      <c r="AH58" s="195"/>
      <c r="AI58" s="195"/>
      <c r="AJ58" s="204"/>
      <c r="AK58" s="208"/>
      <c r="AL58" s="204"/>
      <c r="AM58" s="499">
        <f t="shared" si="28"/>
        <v>0</v>
      </c>
    </row>
    <row r="59" spans="1:39" ht="15.75" hidden="1" thickBot="1" x14ac:dyDescent="0.3">
      <c r="A59" s="136" t="s">
        <v>0</v>
      </c>
      <c r="B59" s="216"/>
      <c r="C59" s="343"/>
      <c r="D59" s="195"/>
      <c r="E59" s="195"/>
      <c r="F59" s="195"/>
      <c r="G59" s="195"/>
      <c r="H59" s="195"/>
      <c r="I59" s="204"/>
      <c r="J59" s="208"/>
      <c r="K59" s="195"/>
      <c r="L59" s="204"/>
      <c r="M59" s="208"/>
      <c r="N59" s="195"/>
      <c r="O59" s="195"/>
      <c r="P59" s="195"/>
      <c r="Q59" s="203"/>
      <c r="R59" s="195"/>
      <c r="S59" s="204"/>
      <c r="T59" s="217"/>
      <c r="U59" s="195"/>
      <c r="V59" s="195"/>
      <c r="W59" s="195"/>
      <c r="X59" s="195"/>
      <c r="Y59" s="203"/>
      <c r="Z59" s="203"/>
      <c r="AA59" s="208"/>
      <c r="AB59" s="170"/>
      <c r="AC59" s="195"/>
      <c r="AD59" s="195"/>
      <c r="AE59" s="204"/>
      <c r="AF59" s="217"/>
      <c r="AG59" s="195"/>
      <c r="AH59" s="195"/>
      <c r="AI59" s="195"/>
      <c r="AJ59" s="204"/>
      <c r="AK59" s="208"/>
      <c r="AL59" s="204"/>
      <c r="AM59" s="499">
        <f t="shared" si="28"/>
        <v>0</v>
      </c>
    </row>
    <row r="60" spans="1:39" ht="15.75" hidden="1" thickBot="1" x14ac:dyDescent="0.3">
      <c r="A60" s="136" t="s">
        <v>1</v>
      </c>
      <c r="B60" s="216"/>
      <c r="C60" s="208"/>
      <c r="D60" s="195"/>
      <c r="E60" s="195"/>
      <c r="F60" s="195"/>
      <c r="G60" s="195"/>
      <c r="H60" s="195"/>
      <c r="I60" s="204"/>
      <c r="J60" s="208"/>
      <c r="K60" s="195"/>
      <c r="L60" s="204"/>
      <c r="M60" s="208"/>
      <c r="N60" s="195"/>
      <c r="O60" s="195"/>
      <c r="P60" s="195"/>
      <c r="Q60" s="203"/>
      <c r="R60" s="195"/>
      <c r="S60" s="204"/>
      <c r="T60" s="217"/>
      <c r="U60" s="195"/>
      <c r="V60" s="195"/>
      <c r="W60" s="195"/>
      <c r="X60" s="195"/>
      <c r="Y60" s="203"/>
      <c r="Z60" s="203"/>
      <c r="AA60" s="208"/>
      <c r="AB60" s="170"/>
      <c r="AC60" s="195"/>
      <c r="AD60" s="195"/>
      <c r="AE60" s="204"/>
      <c r="AF60" s="217"/>
      <c r="AG60" s="195"/>
      <c r="AH60" s="195"/>
      <c r="AI60" s="195"/>
      <c r="AJ60" s="204"/>
      <c r="AK60" s="208"/>
      <c r="AL60" s="204"/>
      <c r="AM60" s="174"/>
    </row>
    <row r="61" spans="1:39" ht="15.75" hidden="1" thickBot="1" x14ac:dyDescent="0.3">
      <c r="A61" s="136" t="s">
        <v>2</v>
      </c>
      <c r="B61" s="216"/>
      <c r="C61" s="208"/>
      <c r="D61" s="195"/>
      <c r="E61" s="195"/>
      <c r="F61" s="195"/>
      <c r="G61" s="195"/>
      <c r="H61" s="195"/>
      <c r="I61" s="204"/>
      <c r="J61" s="208"/>
      <c r="K61" s="195"/>
      <c r="L61" s="204"/>
      <c r="M61" s="208"/>
      <c r="N61" s="195"/>
      <c r="O61" s="195"/>
      <c r="P61" s="195"/>
      <c r="Q61" s="203"/>
      <c r="R61" s="195"/>
      <c r="S61" s="204"/>
      <c r="T61" s="217"/>
      <c r="U61" s="195"/>
      <c r="V61" s="195"/>
      <c r="W61" s="195"/>
      <c r="X61" s="195"/>
      <c r="Y61" s="203"/>
      <c r="Z61" s="203"/>
      <c r="AA61" s="208"/>
      <c r="AB61" s="170"/>
      <c r="AC61" s="195"/>
      <c r="AD61" s="195"/>
      <c r="AE61" s="204"/>
      <c r="AF61" s="217"/>
      <c r="AG61" s="195"/>
      <c r="AH61" s="195"/>
      <c r="AI61" s="195"/>
      <c r="AJ61" s="204"/>
      <c r="AK61" s="208"/>
      <c r="AL61" s="204"/>
      <c r="AM61" s="174"/>
    </row>
    <row r="62" spans="1:39" ht="15.75" thickBot="1" x14ac:dyDescent="0.3">
      <c r="A62" s="144" t="s">
        <v>19</v>
      </c>
      <c r="B62" s="699" t="s">
        <v>26</v>
      </c>
      <c r="C62" s="209">
        <f>SUM(C55:C60)</f>
        <v>2553</v>
      </c>
      <c r="D62" s="209">
        <f>SUM(D55:D60)</f>
        <v>2405</v>
      </c>
      <c r="E62" s="209">
        <f>SUM(E55:E60)</f>
        <v>0</v>
      </c>
      <c r="F62" s="209">
        <f>SUM(F55:F60)</f>
        <v>3320</v>
      </c>
      <c r="G62" s="209">
        <f t="shared" ref="G62:AL62" si="30">SUM(G55:G60)</f>
        <v>0</v>
      </c>
      <c r="H62" s="209">
        <f t="shared" si="30"/>
        <v>1538</v>
      </c>
      <c r="I62" s="209">
        <f t="shared" si="30"/>
        <v>2909</v>
      </c>
      <c r="J62" s="209">
        <f t="shared" si="30"/>
        <v>4953</v>
      </c>
      <c r="K62" s="209">
        <f t="shared" si="30"/>
        <v>1029</v>
      </c>
      <c r="L62" s="209">
        <f t="shared" si="30"/>
        <v>5199</v>
      </c>
      <c r="M62" s="209">
        <f t="shared" si="30"/>
        <v>1431</v>
      </c>
      <c r="N62" s="209">
        <f t="shared" si="30"/>
        <v>636</v>
      </c>
      <c r="O62" s="209">
        <f t="shared" si="30"/>
        <v>906</v>
      </c>
      <c r="P62" s="209">
        <f t="shared" si="30"/>
        <v>410</v>
      </c>
      <c r="Q62" s="209">
        <f t="shared" si="30"/>
        <v>298</v>
      </c>
      <c r="R62" s="209">
        <f t="shared" si="30"/>
        <v>800</v>
      </c>
      <c r="S62" s="209">
        <f t="shared" si="30"/>
        <v>405</v>
      </c>
      <c r="T62" s="209">
        <f t="shared" si="30"/>
        <v>2102</v>
      </c>
      <c r="U62" s="209">
        <f t="shared" si="30"/>
        <v>948</v>
      </c>
      <c r="V62" s="209">
        <f t="shared" si="30"/>
        <v>1997</v>
      </c>
      <c r="W62" s="209">
        <f t="shared" si="30"/>
        <v>2026</v>
      </c>
      <c r="X62" s="209">
        <f t="shared" si="30"/>
        <v>1069</v>
      </c>
      <c r="Y62" s="209">
        <f t="shared" si="30"/>
        <v>1571</v>
      </c>
      <c r="Z62" s="209">
        <f t="shared" si="30"/>
        <v>1247</v>
      </c>
      <c r="AA62" s="209">
        <f t="shared" si="30"/>
        <v>1969</v>
      </c>
      <c r="AB62" s="209">
        <f t="shared" si="30"/>
        <v>1101</v>
      </c>
      <c r="AC62" s="209">
        <f t="shared" si="30"/>
        <v>1408</v>
      </c>
      <c r="AD62" s="209">
        <f t="shared" si="30"/>
        <v>2112</v>
      </c>
      <c r="AE62" s="209">
        <f>SUM(AE55:AE60)</f>
        <v>680</v>
      </c>
      <c r="AF62" s="209">
        <f t="shared" si="30"/>
        <v>0</v>
      </c>
      <c r="AG62" s="209">
        <f t="shared" si="30"/>
        <v>0</v>
      </c>
      <c r="AH62" s="209">
        <f t="shared" si="30"/>
        <v>0</v>
      </c>
      <c r="AI62" s="209">
        <f t="shared" si="30"/>
        <v>0</v>
      </c>
      <c r="AJ62" s="209">
        <f t="shared" si="30"/>
        <v>0</v>
      </c>
      <c r="AK62" s="209">
        <f t="shared" si="30"/>
        <v>0</v>
      </c>
      <c r="AL62" s="209">
        <f t="shared" si="30"/>
        <v>0</v>
      </c>
      <c r="AM62" s="209">
        <f>SUM(AM55:AM60)</f>
        <v>47022</v>
      </c>
    </row>
    <row r="63" spans="1:39" ht="15.75" thickBot="1" x14ac:dyDescent="0.3">
      <c r="A63" s="101" t="s">
        <v>21</v>
      </c>
      <c r="B63" s="699"/>
      <c r="C63" s="209">
        <f>AVERAGE(C55:C60)</f>
        <v>851</v>
      </c>
      <c r="D63" s="209">
        <f t="shared" ref="D63:E63" si="31">AVERAGE(D55:D60)</f>
        <v>801.66666666666663</v>
      </c>
      <c r="E63" s="209" t="e">
        <f t="shared" si="31"/>
        <v>#DIV/0!</v>
      </c>
      <c r="F63" s="209">
        <f>AVERAGE(F55:F60)</f>
        <v>1106.6666666666667</v>
      </c>
      <c r="G63" s="209" t="e">
        <f>AVERAGE(G55:G60)</f>
        <v>#DIV/0!</v>
      </c>
      <c r="H63" s="209">
        <f t="shared" ref="H63:AL63" si="32">AVERAGE(H55:H60)</f>
        <v>512.66666666666663</v>
      </c>
      <c r="I63" s="209">
        <f t="shared" si="32"/>
        <v>969.66666666666663</v>
      </c>
      <c r="J63" s="209">
        <f t="shared" si="32"/>
        <v>1651</v>
      </c>
      <c r="K63" s="209">
        <f t="shared" si="32"/>
        <v>343</v>
      </c>
      <c r="L63" s="209">
        <f t="shared" si="32"/>
        <v>1733</v>
      </c>
      <c r="M63" s="209">
        <f t="shared" si="32"/>
        <v>477</v>
      </c>
      <c r="N63" s="209">
        <f t="shared" si="32"/>
        <v>212</v>
      </c>
      <c r="O63" s="209">
        <f t="shared" si="32"/>
        <v>302</v>
      </c>
      <c r="P63" s="209">
        <f t="shared" si="32"/>
        <v>136.66666666666666</v>
      </c>
      <c r="Q63" s="209">
        <f t="shared" si="32"/>
        <v>99.333333333333329</v>
      </c>
      <c r="R63" s="209">
        <f t="shared" si="32"/>
        <v>266.66666666666669</v>
      </c>
      <c r="S63" s="209">
        <f t="shared" si="32"/>
        <v>135</v>
      </c>
      <c r="T63" s="209">
        <f t="shared" si="32"/>
        <v>700.66666666666663</v>
      </c>
      <c r="U63" s="209">
        <f t="shared" si="32"/>
        <v>316</v>
      </c>
      <c r="V63" s="209">
        <f t="shared" si="32"/>
        <v>665.66666666666663</v>
      </c>
      <c r="W63" s="209">
        <f t="shared" si="32"/>
        <v>675.33333333333337</v>
      </c>
      <c r="X63" s="209">
        <f t="shared" si="32"/>
        <v>356.33333333333331</v>
      </c>
      <c r="Y63" s="209">
        <f t="shared" si="32"/>
        <v>523.66666666666663</v>
      </c>
      <c r="Z63" s="209">
        <f t="shared" si="32"/>
        <v>415.66666666666669</v>
      </c>
      <c r="AA63" s="209">
        <f t="shared" si="32"/>
        <v>656.33333333333337</v>
      </c>
      <c r="AB63" s="209">
        <f t="shared" si="32"/>
        <v>367</v>
      </c>
      <c r="AC63" s="209">
        <f t="shared" si="32"/>
        <v>469.33333333333331</v>
      </c>
      <c r="AD63" s="209">
        <f t="shared" si="32"/>
        <v>704</v>
      </c>
      <c r="AE63" s="209">
        <f t="shared" si="32"/>
        <v>226.66666666666666</v>
      </c>
      <c r="AF63" s="209" t="e">
        <f t="shared" si="32"/>
        <v>#DIV/0!</v>
      </c>
      <c r="AG63" s="209" t="e">
        <f t="shared" si="32"/>
        <v>#DIV/0!</v>
      </c>
      <c r="AH63" s="209" t="e">
        <f t="shared" si="32"/>
        <v>#DIV/0!</v>
      </c>
      <c r="AI63" s="209" t="e">
        <f t="shared" si="32"/>
        <v>#DIV/0!</v>
      </c>
      <c r="AJ63" s="209" t="e">
        <f t="shared" si="32"/>
        <v>#DIV/0!</v>
      </c>
      <c r="AK63" s="209" t="e">
        <f t="shared" si="32"/>
        <v>#DIV/0!</v>
      </c>
      <c r="AL63" s="209" t="e">
        <f t="shared" si="32"/>
        <v>#DIV/0!</v>
      </c>
      <c r="AM63" s="209">
        <f>AVERAGE(AM55:AM60)</f>
        <v>9404.4</v>
      </c>
    </row>
    <row r="64" spans="1:39" ht="15.75" thickBot="1" x14ac:dyDescent="0.3">
      <c r="A64" s="26" t="s">
        <v>18</v>
      </c>
      <c r="B64" s="699"/>
      <c r="C64" s="209">
        <f t="shared" ref="C64:AF64" si="33">SUM(C55:C59)</f>
        <v>2553</v>
      </c>
      <c r="D64" s="209">
        <f t="shared" si="33"/>
        <v>2405</v>
      </c>
      <c r="E64" s="209">
        <f t="shared" si="33"/>
        <v>0</v>
      </c>
      <c r="F64" s="209">
        <f t="shared" si="33"/>
        <v>3320</v>
      </c>
      <c r="G64" s="209">
        <f t="shared" si="33"/>
        <v>0</v>
      </c>
      <c r="H64" s="209">
        <f t="shared" si="33"/>
        <v>1538</v>
      </c>
      <c r="I64" s="209">
        <f t="shared" si="33"/>
        <v>2909</v>
      </c>
      <c r="J64" s="209">
        <f t="shared" si="33"/>
        <v>4953</v>
      </c>
      <c r="K64" s="209">
        <f t="shared" si="33"/>
        <v>1029</v>
      </c>
      <c r="L64" s="209">
        <f t="shared" si="33"/>
        <v>5199</v>
      </c>
      <c r="M64" s="209">
        <f t="shared" si="33"/>
        <v>1431</v>
      </c>
      <c r="N64" s="209">
        <f t="shared" si="33"/>
        <v>636</v>
      </c>
      <c r="O64" s="209">
        <f t="shared" si="33"/>
        <v>906</v>
      </c>
      <c r="P64" s="209">
        <f t="shared" si="33"/>
        <v>410</v>
      </c>
      <c r="Q64" s="209">
        <f t="shared" si="33"/>
        <v>298</v>
      </c>
      <c r="R64" s="209">
        <f t="shared" si="33"/>
        <v>800</v>
      </c>
      <c r="S64" s="209">
        <f t="shared" si="33"/>
        <v>405</v>
      </c>
      <c r="T64" s="209">
        <f t="shared" si="33"/>
        <v>2102</v>
      </c>
      <c r="U64" s="209">
        <f t="shared" si="33"/>
        <v>948</v>
      </c>
      <c r="V64" s="209">
        <f t="shared" si="33"/>
        <v>1997</v>
      </c>
      <c r="W64" s="209">
        <f t="shared" si="33"/>
        <v>2026</v>
      </c>
      <c r="X64" s="209">
        <f t="shared" si="33"/>
        <v>1069</v>
      </c>
      <c r="Y64" s="209">
        <f t="shared" si="33"/>
        <v>1571</v>
      </c>
      <c r="Z64" s="209">
        <f t="shared" si="33"/>
        <v>1247</v>
      </c>
      <c r="AA64" s="209">
        <f t="shared" si="33"/>
        <v>1969</v>
      </c>
      <c r="AB64" s="209">
        <f t="shared" si="33"/>
        <v>1101</v>
      </c>
      <c r="AC64" s="209">
        <f t="shared" si="33"/>
        <v>1408</v>
      </c>
      <c r="AD64" s="209">
        <f t="shared" si="33"/>
        <v>2112</v>
      </c>
      <c r="AE64" s="209">
        <f t="shared" si="33"/>
        <v>680</v>
      </c>
      <c r="AF64" s="209">
        <f t="shared" si="33"/>
        <v>0</v>
      </c>
      <c r="AG64" s="209">
        <f t="shared" ref="AG64:AL64" si="34">SUM(AG55:AG59)</f>
        <v>0</v>
      </c>
      <c r="AH64" s="209">
        <f t="shared" si="34"/>
        <v>0</v>
      </c>
      <c r="AI64" s="209">
        <f t="shared" si="34"/>
        <v>0</v>
      </c>
      <c r="AJ64" s="209">
        <f t="shared" si="34"/>
        <v>0</v>
      </c>
      <c r="AK64" s="209">
        <f t="shared" si="34"/>
        <v>0</v>
      </c>
      <c r="AL64" s="209">
        <f t="shared" si="34"/>
        <v>0</v>
      </c>
      <c r="AM64" s="209">
        <f>SUM(AM55:AM59)</f>
        <v>47022</v>
      </c>
    </row>
    <row r="65" spans="1:39" ht="15.75" thickBot="1" x14ac:dyDescent="0.3">
      <c r="A65" s="26" t="s">
        <v>20</v>
      </c>
      <c r="B65" s="719"/>
      <c r="C65" s="37">
        <f>AVERAGE(C55:C59)</f>
        <v>851</v>
      </c>
      <c r="D65" s="37">
        <f t="shared" ref="D65:T65" si="35">AVERAGE(D55:D59)</f>
        <v>801.66666666666663</v>
      </c>
      <c r="E65" s="37" t="e">
        <f t="shared" si="35"/>
        <v>#DIV/0!</v>
      </c>
      <c r="F65" s="37">
        <f t="shared" si="35"/>
        <v>1106.6666666666667</v>
      </c>
      <c r="G65" s="37" t="e">
        <f t="shared" si="35"/>
        <v>#DIV/0!</v>
      </c>
      <c r="H65" s="37">
        <f t="shared" si="35"/>
        <v>512.66666666666663</v>
      </c>
      <c r="I65" s="37">
        <f t="shared" si="35"/>
        <v>969.66666666666663</v>
      </c>
      <c r="J65" s="37">
        <f t="shared" si="35"/>
        <v>1651</v>
      </c>
      <c r="K65" s="37">
        <f t="shared" si="35"/>
        <v>343</v>
      </c>
      <c r="L65" s="37">
        <f t="shared" si="35"/>
        <v>1733</v>
      </c>
      <c r="M65" s="37">
        <f t="shared" si="35"/>
        <v>477</v>
      </c>
      <c r="N65" s="37">
        <f t="shared" si="35"/>
        <v>212</v>
      </c>
      <c r="O65" s="37">
        <f t="shared" si="35"/>
        <v>302</v>
      </c>
      <c r="P65" s="37">
        <f t="shared" si="35"/>
        <v>136.66666666666666</v>
      </c>
      <c r="Q65" s="37">
        <f t="shared" si="35"/>
        <v>99.333333333333329</v>
      </c>
      <c r="R65" s="37">
        <f t="shared" si="35"/>
        <v>266.66666666666669</v>
      </c>
      <c r="S65" s="37">
        <f t="shared" si="35"/>
        <v>135</v>
      </c>
      <c r="T65" s="37">
        <f t="shared" si="35"/>
        <v>700.66666666666663</v>
      </c>
      <c r="U65" s="37">
        <f>AVERAGE(U55:U59)</f>
        <v>316</v>
      </c>
      <c r="V65" s="37">
        <f t="shared" ref="V65:AL65" si="36">AVERAGE(V55:V59)</f>
        <v>665.66666666666663</v>
      </c>
      <c r="W65" s="37">
        <f t="shared" si="36"/>
        <v>675.33333333333337</v>
      </c>
      <c r="X65" s="37">
        <f t="shared" si="36"/>
        <v>356.33333333333331</v>
      </c>
      <c r="Y65" s="37">
        <f t="shared" si="36"/>
        <v>523.66666666666663</v>
      </c>
      <c r="Z65" s="37">
        <f t="shared" si="36"/>
        <v>415.66666666666669</v>
      </c>
      <c r="AA65" s="37">
        <f t="shared" si="36"/>
        <v>656.33333333333337</v>
      </c>
      <c r="AB65" s="37">
        <f t="shared" si="36"/>
        <v>367</v>
      </c>
      <c r="AC65" s="37">
        <f t="shared" si="36"/>
        <v>469.33333333333331</v>
      </c>
      <c r="AD65" s="37">
        <f t="shared" si="36"/>
        <v>704</v>
      </c>
      <c r="AE65" s="37">
        <f t="shared" si="36"/>
        <v>226.66666666666666</v>
      </c>
      <c r="AF65" s="37" t="e">
        <f t="shared" si="36"/>
        <v>#DIV/0!</v>
      </c>
      <c r="AG65" s="37" t="e">
        <f t="shared" si="36"/>
        <v>#DIV/0!</v>
      </c>
      <c r="AH65" s="37" t="e">
        <f t="shared" si="36"/>
        <v>#DIV/0!</v>
      </c>
      <c r="AI65" s="37" t="e">
        <f t="shared" si="36"/>
        <v>#DIV/0!</v>
      </c>
      <c r="AJ65" s="37" t="e">
        <f t="shared" si="36"/>
        <v>#DIV/0!</v>
      </c>
      <c r="AK65" s="37" t="e">
        <f t="shared" si="36"/>
        <v>#DIV/0!</v>
      </c>
      <c r="AL65" s="37" t="e">
        <f t="shared" si="36"/>
        <v>#DIV/0!</v>
      </c>
      <c r="AM65" s="37">
        <f>AVERAGE(AM55:AM59)</f>
        <v>9404.4</v>
      </c>
    </row>
    <row r="66" spans="1:39" x14ac:dyDescent="0.25">
      <c r="A66" s="4"/>
      <c r="B66" s="119"/>
      <c r="C66" s="119"/>
      <c r="D66" s="5"/>
      <c r="E66" s="5"/>
      <c r="F66" s="5"/>
      <c r="G66" s="5"/>
      <c r="H66" s="5"/>
      <c r="I66" s="5"/>
      <c r="J66" s="5"/>
      <c r="K66" s="5"/>
      <c r="L66" s="5"/>
      <c r="M66" s="5"/>
      <c r="N66" s="200"/>
      <c r="O66" s="5"/>
      <c r="P66" s="5"/>
      <c r="Q66" s="5"/>
      <c r="R66" s="5"/>
      <c r="S66" s="5"/>
      <c r="T66" s="5"/>
      <c r="U66" s="200"/>
      <c r="V66" s="5"/>
      <c r="W66" s="5"/>
      <c r="X66" s="5"/>
      <c r="Y66" s="5"/>
      <c r="Z66" s="5"/>
      <c r="AA66" s="5"/>
      <c r="AF66" s="5"/>
    </row>
    <row r="67" spans="1:39" ht="38.25" x14ac:dyDescent="0.25">
      <c r="A67" s="4"/>
      <c r="B67" s="170"/>
      <c r="C67" s="36" t="s">
        <v>10</v>
      </c>
      <c r="D67" s="36" t="s">
        <v>13</v>
      </c>
      <c r="E67" s="36" t="s">
        <v>57</v>
      </c>
      <c r="F67" s="36" t="s">
        <v>59</v>
      </c>
      <c r="G67" s="36" t="s">
        <v>12</v>
      </c>
      <c r="H67" s="36" t="s">
        <v>93</v>
      </c>
      <c r="I67" s="36" t="s">
        <v>58</v>
      </c>
      <c r="J67" s="36" t="s">
        <v>11</v>
      </c>
      <c r="K67" s="36" t="s">
        <v>102</v>
      </c>
      <c r="L67" s="36" t="s">
        <v>65</v>
      </c>
      <c r="M67" s="198" t="s">
        <v>110</v>
      </c>
      <c r="N67" s="198" t="s">
        <v>71</v>
      </c>
      <c r="O67" s="198" t="s">
        <v>70</v>
      </c>
      <c r="P67" s="36" t="s">
        <v>100</v>
      </c>
      <c r="Q67" s="36" t="s">
        <v>73</v>
      </c>
      <c r="R67" s="36" t="s">
        <v>72</v>
      </c>
      <c r="S67" s="36" t="s">
        <v>79</v>
      </c>
      <c r="T67" s="36" t="s">
        <v>80</v>
      </c>
      <c r="U67" s="36" t="s">
        <v>78</v>
      </c>
      <c r="V67" s="36" t="s">
        <v>77</v>
      </c>
      <c r="W67" s="36" t="s">
        <v>29</v>
      </c>
      <c r="X67" s="142"/>
      <c r="Y67" s="142"/>
      <c r="Z67" s="142"/>
      <c r="AA67"/>
      <c r="AC67" s="250"/>
      <c r="AD67" s="215"/>
      <c r="AE67" s="142"/>
      <c r="AF67" s="142"/>
      <c r="AG67" s="1"/>
      <c r="AJ67" s="215"/>
      <c r="AL67"/>
    </row>
    <row r="68" spans="1:39" ht="25.5" x14ac:dyDescent="0.25">
      <c r="B68" s="38" t="s">
        <v>111</v>
      </c>
      <c r="C68" s="171">
        <f>SUM(C7,C18,J7,J18,M7,M18,T7,T18,AA7,AA18,AF7,AF18,AK7,AK18,C29,J29,M29,T29,AA29,AF29,AK29,C40,J40,M40,T40,AA40,AF40,AK40,C51,J51,M51,T51,AA51,AF51,AK51,,C62,J62,M62,T62,AA62,AF62,AK62,)</f>
        <v>134718</v>
      </c>
      <c r="D68" s="171">
        <f>SUM(I7,I18,V7,V18,AB7,AB18,AI7,AI18,I29,V29,AB29,AI29,,I40,V40,AB40,AI40,I51,V51,AB51,AI51,I62,V62,AB62,AI62)</f>
        <v>65629</v>
      </c>
      <c r="E68" s="171">
        <f>SUM(D7,D18,D29,D40,D51,N18,N29,N40,N51,N7,D62,N62)</f>
        <v>19156</v>
      </c>
      <c r="F68" s="171">
        <f>SUM(W7,W18,W29,W40,W51,AJ7,AJ18,AJ29,AJ40,AJ51,W62,AJ62)</f>
        <v>23327</v>
      </c>
      <c r="G68" s="171">
        <f>SUM(G7,G18,G29,G40,G51,G62)</f>
        <v>0</v>
      </c>
      <c r="H68" s="171">
        <f>SUM(H7,H18,H29,H40,H51,H62)</f>
        <v>21277</v>
      </c>
      <c r="I68" s="171">
        <f>SUM(E7,E18,E29,E40,E51,E62)</f>
        <v>0</v>
      </c>
      <c r="J68" s="171">
        <f>SUM(F7,F18,F29,F40,F51,F62)</f>
        <v>39494</v>
      </c>
      <c r="K68" s="171">
        <f>SUM(K7,K18,K29,K40,K51,Q7,Q18,Q29,Q40,Q51,K62,Q62)</f>
        <v>12947</v>
      </c>
      <c r="L68" s="171">
        <f>SUM(L7,L18,L29,L40,L51,L62)</f>
        <v>41355</v>
      </c>
      <c r="M68" s="199">
        <f>SUM(O7,O18,O29,O40,O51,O62)</f>
        <v>14312</v>
      </c>
      <c r="N68" s="199">
        <f>SUM(P7,P18,P29,P40,P51,P62)</f>
        <v>6227</v>
      </c>
      <c r="O68" s="171">
        <f>SUM(R7,R18,R29,R40,R51,R62)</f>
        <v>10846</v>
      </c>
      <c r="P68" s="171">
        <f>SUM(U7,U18,U29,U40,U51,U62)</f>
        <v>10179</v>
      </c>
      <c r="Q68" s="171">
        <f>SUM(X7,X18,X29,X40,X51,X62)</f>
        <v>14579</v>
      </c>
      <c r="R68" s="171">
        <f>SUM(Y7,Y18,Y29,Y40,Y51,Y62)</f>
        <v>20866</v>
      </c>
      <c r="S68" s="171">
        <f>SUM(AC7,AC18,AC29,AC40,AC51,AC62,Z7,Z18,Z29,Z40,Z51,Z62)</f>
        <v>33304</v>
      </c>
      <c r="T68" s="171">
        <f>SUM(AD7,AD18,AD29,AD40,AD51,AD62)</f>
        <v>19499</v>
      </c>
      <c r="U68" s="171">
        <f>SUM(AG7,AG18,AG29,AG40,AG51,AG62,S7,S18,S29,S40,S51,S62)</f>
        <v>5004</v>
      </c>
      <c r="V68" s="171">
        <f>SUM(AH7,AH18,AH29,AH40,AH51,AH62,AE7,AE18,AE29,AE40,AE51,AE62)</f>
        <v>7190</v>
      </c>
      <c r="W68" s="171">
        <f>SUM(AL7,AL18,AL29,AL40,AL51,AL62)</f>
        <v>4193</v>
      </c>
      <c r="X68" s="175"/>
      <c r="Y68" s="175"/>
      <c r="Z68" s="175"/>
      <c r="AA68"/>
      <c r="AC68" s="250"/>
      <c r="AD68" s="215"/>
      <c r="AE68" s="175"/>
      <c r="AF68" s="175"/>
      <c r="AG68" s="1"/>
      <c r="AJ68" s="215"/>
      <c r="AL68"/>
    </row>
    <row r="69" spans="1:39" ht="25.5" x14ac:dyDescent="0.25">
      <c r="B69" s="38" t="s">
        <v>28</v>
      </c>
      <c r="C69" s="171">
        <f>SUM(C20,J20,M20,T20,,AA20,AF20,AK20,C31,J31,M31,T31,AA31,AF31,AK31,C42,J42,M42,T42,AA42,AF42,AK42,C53,J53,M53,T53,AA53,AF53,AK53,C64,J64,M64,T64,AA64,AF64,AK64)</f>
        <v>71233</v>
      </c>
      <c r="D69" s="171">
        <f>SUM(I20,V20,AB20,AI20,I31,V31,,AB31,AI31,I42,V42,AB42,AI42,,I53,V53,AB53,AI53,I64,V64,AB64,AI64)</f>
        <v>44423</v>
      </c>
      <c r="E69" s="171">
        <f>SUM(D20,D31,D42,D53,N20,N31,N42,N53,D64,N64,)</f>
        <v>8639</v>
      </c>
      <c r="F69" s="171">
        <f>SUM(W20,W31,W42,W53,AJ20,AJ31,AJ42,AJ53,W64,AJ64)</f>
        <v>14314</v>
      </c>
      <c r="G69" s="171">
        <f>SUM(G20,G31,G42,G53,G64)</f>
        <v>0</v>
      </c>
      <c r="H69" s="171">
        <f>SUM(H20,H31,H42,H53,,H64)</f>
        <v>12229</v>
      </c>
      <c r="I69" s="171">
        <f>SUM(E20,E31,E42,E53,E64)</f>
        <v>0</v>
      </c>
      <c r="J69" s="171">
        <f>SUM(F20,F31,F42,F53,F64)</f>
        <v>23902</v>
      </c>
      <c r="K69" s="171">
        <f>SUM(K20,K31,K42,K53,K64,Q20,Q31,Q42,Q53,Q64)</f>
        <v>7531</v>
      </c>
      <c r="L69" s="171">
        <f>SUM(L20,L31,L42,L53,L64)</f>
        <v>20570</v>
      </c>
      <c r="M69" s="171">
        <f>SUM(O20,O31,O42,O53,O64)</f>
        <v>7876</v>
      </c>
      <c r="N69" s="171">
        <f>SUM(P20,P31,P42,P53,P64)</f>
        <v>3305</v>
      </c>
      <c r="O69" s="171">
        <f>SUM(R20,R31,R42,R53,R64)</f>
        <v>5489</v>
      </c>
      <c r="P69" s="171">
        <f>SUM(U20,U31,U42,U53,U64)</f>
        <v>7511</v>
      </c>
      <c r="Q69" s="171">
        <f>SUM(X20,X31,X42,X53,X64)</f>
        <v>8477</v>
      </c>
      <c r="R69" s="171">
        <f>SUM(Y20,Y31,Y42,Y53,Y64)</f>
        <v>12535</v>
      </c>
      <c r="S69" s="171">
        <f>SUM(AC20,AC31,AC42,AC53,AC64,Z20,Z31,Z42,Z53,Z64)</f>
        <v>19299</v>
      </c>
      <c r="T69" s="171">
        <f>SUM(AD20,AD31,AD42,AD53,AD64)</f>
        <v>13202</v>
      </c>
      <c r="U69" s="171">
        <f>SUM(AG20,AG31,AG42,AG53,AG64,S20,S31,S42,S53,S64)</f>
        <v>2527</v>
      </c>
      <c r="V69" s="171">
        <f>SUM(AH20,AH31,AH42,AH53,AH64,AE20,AE31,AE42,AE53,AE64)</f>
        <v>4520</v>
      </c>
      <c r="W69" s="171">
        <f>SUM(AL20,AL31,AL42,AL53,AL64)</f>
        <v>0</v>
      </c>
      <c r="X69" s="197"/>
      <c r="Y69" s="197"/>
      <c r="Z69" s="197"/>
      <c r="AA69"/>
      <c r="AC69" s="250"/>
      <c r="AD69" s="215"/>
      <c r="AE69" s="197"/>
      <c r="AF69" s="197"/>
      <c r="AG69" s="1"/>
      <c r="AJ69" s="215"/>
      <c r="AL69"/>
    </row>
    <row r="70" spans="1:39" x14ac:dyDescent="0.25">
      <c r="B70" s="1"/>
      <c r="C70" s="1"/>
      <c r="E70" s="120"/>
    </row>
    <row r="71" spans="1:39" ht="15.75" thickBot="1" x14ac:dyDescent="0.3">
      <c r="B71" s="1"/>
      <c r="C71" s="1"/>
      <c r="E71" s="120"/>
      <c r="U71" s="214"/>
    </row>
    <row r="72" spans="1:39" x14ac:dyDescent="0.25">
      <c r="B72" s="1"/>
      <c r="C72" s="720" t="s">
        <v>67</v>
      </c>
      <c r="D72" s="721"/>
      <c r="E72" s="722"/>
      <c r="AG72" s="1"/>
      <c r="AH72" s="1"/>
    </row>
    <row r="73" spans="1:39" x14ac:dyDescent="0.25">
      <c r="C73" s="704" t="s">
        <v>17</v>
      </c>
      <c r="D73" s="705"/>
      <c r="E73" s="371">
        <f>SUM(AM7,AM18,AM29,AM40,AM51,AM62)</f>
        <v>504102</v>
      </c>
      <c r="Q73" s="215"/>
      <c r="R73" s="215"/>
      <c r="S73" s="215"/>
      <c r="T73" s="215"/>
      <c r="U73" s="215"/>
      <c r="V73" s="215"/>
    </row>
    <row r="74" spans="1:39" x14ac:dyDescent="0.25">
      <c r="C74" s="704" t="s">
        <v>28</v>
      </c>
      <c r="D74" s="705"/>
      <c r="E74" s="390">
        <f>SUM(,AM20, AM31, AM42, AM53, AM64)</f>
        <v>287582</v>
      </c>
      <c r="N74" s="214"/>
    </row>
    <row r="75" spans="1:39" x14ac:dyDescent="0.25">
      <c r="C75" s="704" t="s">
        <v>117</v>
      </c>
      <c r="D75" s="705"/>
      <c r="E75" s="371">
        <f>AVERAGE(,AM63, AM52, AM41, AM30, AM19)</f>
        <v>12450.257142857141</v>
      </c>
    </row>
    <row r="76" spans="1:39" ht="15.75" thickBot="1" x14ac:dyDescent="0.3">
      <c r="A76"/>
      <c r="B76"/>
      <c r="C76" s="706" t="s">
        <v>20</v>
      </c>
      <c r="D76" s="707"/>
      <c r="E76" s="297">
        <f>AVERAGE(AM21, AM32, AM43, AM54, AM65)</f>
        <v>11503.28</v>
      </c>
      <c r="F76"/>
      <c r="G76"/>
      <c r="H76"/>
      <c r="I76"/>
      <c r="J76"/>
      <c r="K76"/>
      <c r="L76" s="215"/>
      <c r="M76" s="215"/>
      <c r="N76" s="215"/>
      <c r="O76"/>
      <c r="P76"/>
      <c r="W76" s="215"/>
      <c r="X76" s="215"/>
      <c r="Y76" s="215"/>
      <c r="Z76" s="215"/>
      <c r="AA76" s="215"/>
      <c r="AF76" s="215"/>
    </row>
  </sheetData>
  <mergeCells count="57">
    <mergeCell ref="AA1:AE2"/>
    <mergeCell ref="AF1:AJ2"/>
    <mergeCell ref="AA3:AA4"/>
    <mergeCell ref="AM1:AM4"/>
    <mergeCell ref="AD3:AD4"/>
    <mergeCell ref="AC3:AC4"/>
    <mergeCell ref="AB3:AB4"/>
    <mergeCell ref="AK1:AL2"/>
    <mergeCell ref="AK3:AK4"/>
    <mergeCell ref="AL3:AL4"/>
    <mergeCell ref="AJ3:AJ4"/>
    <mergeCell ref="AI3:AI4"/>
    <mergeCell ref="AH3:AH4"/>
    <mergeCell ref="AG3:AG4"/>
    <mergeCell ref="AF3:AF4"/>
    <mergeCell ref="AE3:AE4"/>
    <mergeCell ref="C73:D73"/>
    <mergeCell ref="C74:D74"/>
    <mergeCell ref="C75:D75"/>
    <mergeCell ref="C76:D76"/>
    <mergeCell ref="A1:A4"/>
    <mergeCell ref="B1:B4"/>
    <mergeCell ref="C3:C4"/>
    <mergeCell ref="D3:D4"/>
    <mergeCell ref="C1:I2"/>
    <mergeCell ref="B29:B32"/>
    <mergeCell ref="B40:B43"/>
    <mergeCell ref="B51:B54"/>
    <mergeCell ref="B62:B65"/>
    <mergeCell ref="C72:E72"/>
    <mergeCell ref="M3:M4"/>
    <mergeCell ref="B18:B21"/>
    <mergeCell ref="J3:J4"/>
    <mergeCell ref="B7:B10"/>
    <mergeCell ref="L3:L4"/>
    <mergeCell ref="K3:K4"/>
    <mergeCell ref="I3:I4"/>
    <mergeCell ref="E3:E4"/>
    <mergeCell ref="F3:F4"/>
    <mergeCell ref="G3:G4"/>
    <mergeCell ref="H3:H4"/>
    <mergeCell ref="J1:L2"/>
    <mergeCell ref="R3:R4"/>
    <mergeCell ref="Q3:Q4"/>
    <mergeCell ref="T1:Z2"/>
    <mergeCell ref="Z3:Z4"/>
    <mergeCell ref="P3:P4"/>
    <mergeCell ref="O3:O4"/>
    <mergeCell ref="Y3:Y4"/>
    <mergeCell ref="X3:X4"/>
    <mergeCell ref="W3:W4"/>
    <mergeCell ref="V3:V4"/>
    <mergeCell ref="T3:T4"/>
    <mergeCell ref="U3:U4"/>
    <mergeCell ref="S3:S4"/>
    <mergeCell ref="M1:S2"/>
    <mergeCell ref="N3:N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83"/>
  <sheetViews>
    <sheetView zoomScaleNormal="100" workbookViewId="0">
      <pane xSplit="2" ySplit="4" topLeftCell="I5" activePane="bottomRight" state="frozen"/>
      <selection pane="topRight" activeCell="C1" sqref="C1"/>
      <selection pane="bottomLeft" activeCell="A5" sqref="A5"/>
      <selection pane="bottomRight" activeCell="U21" sqref="U21"/>
    </sheetView>
  </sheetViews>
  <sheetFormatPr defaultColWidth="9.140625" defaultRowHeight="15" outlineLevelRow="1" x14ac:dyDescent="0.25"/>
  <cols>
    <col min="1" max="1" width="18.7109375" style="1" bestFit="1" customWidth="1"/>
    <col min="2" max="2" width="8.7109375" style="120" bestFit="1" customWidth="1"/>
    <col min="3" max="4" width="10.7109375" style="1" customWidth="1"/>
    <col min="5" max="5" width="10.5703125" style="1" bestFit="1" customWidth="1"/>
    <col min="6" max="6" width="12.28515625" style="1" bestFit="1" customWidth="1"/>
    <col min="7" max="7" width="10.7109375" style="1" customWidth="1"/>
    <col min="8" max="8" width="11.28515625" style="1" bestFit="1" customWidth="1"/>
    <col min="9" max="9" width="11.28515625" style="1" customWidth="1"/>
    <col min="10" max="10" width="14" style="1" customWidth="1"/>
    <col min="11" max="11" width="12.28515625" style="1" bestFit="1" customWidth="1"/>
    <col min="12" max="12" width="9.28515625" style="1" bestFit="1" customWidth="1"/>
    <col min="13" max="13" width="14.5703125" style="1" customWidth="1"/>
    <col min="14" max="14" width="12.28515625" style="1" bestFit="1" customWidth="1"/>
    <col min="15" max="22" width="15.7109375" style="11" customWidth="1"/>
    <col min="23" max="23" width="10.7109375" style="11" customWidth="1"/>
    <col min="24" max="16384" width="9.140625" style="1"/>
  </cols>
  <sheetData>
    <row r="1" spans="1:23" ht="14.45" customHeight="1" x14ac:dyDescent="0.25">
      <c r="A1" s="23"/>
      <c r="B1" s="152"/>
      <c r="C1" s="746" t="s">
        <v>10</v>
      </c>
      <c r="D1" s="747"/>
      <c r="E1" s="747"/>
      <c r="F1" s="747"/>
      <c r="G1" s="747"/>
      <c r="H1" s="748"/>
      <c r="I1" s="744" t="s">
        <v>119</v>
      </c>
      <c r="J1" s="744" t="s">
        <v>118</v>
      </c>
      <c r="K1" s="697" t="s">
        <v>74</v>
      </c>
      <c r="L1" s="683"/>
      <c r="M1" s="683"/>
      <c r="N1" s="692"/>
      <c r="O1" s="747" t="s">
        <v>8</v>
      </c>
      <c r="P1" s="747"/>
      <c r="Q1" s="747"/>
      <c r="R1" s="747"/>
      <c r="S1" s="747"/>
      <c r="T1" s="747"/>
      <c r="U1" s="747"/>
      <c r="V1" s="748"/>
      <c r="W1" s="757" t="s">
        <v>17</v>
      </c>
    </row>
    <row r="2" spans="1:23" ht="30" customHeight="1" thickBot="1" x14ac:dyDescent="0.3">
      <c r="A2" s="24"/>
      <c r="B2" s="153"/>
      <c r="C2" s="749"/>
      <c r="D2" s="750"/>
      <c r="E2" s="750"/>
      <c r="F2" s="750"/>
      <c r="G2" s="750"/>
      <c r="H2" s="751"/>
      <c r="I2" s="745"/>
      <c r="J2" s="745"/>
      <c r="K2" s="770"/>
      <c r="L2" s="691"/>
      <c r="M2" s="691"/>
      <c r="N2" s="693"/>
      <c r="O2" s="762"/>
      <c r="P2" s="762"/>
      <c r="Q2" s="762"/>
      <c r="R2" s="762"/>
      <c r="S2" s="762"/>
      <c r="T2" s="762"/>
      <c r="U2" s="762"/>
      <c r="V2" s="763"/>
      <c r="W2" s="758"/>
    </row>
    <row r="3" spans="1:23" x14ac:dyDescent="0.25">
      <c r="A3" s="677" t="s">
        <v>48</v>
      </c>
      <c r="B3" s="711" t="s">
        <v>49</v>
      </c>
      <c r="C3" s="723" t="s">
        <v>14</v>
      </c>
      <c r="D3" s="724" t="s">
        <v>16</v>
      </c>
      <c r="E3" s="724" t="s">
        <v>15</v>
      </c>
      <c r="F3" s="724" t="s">
        <v>37</v>
      </c>
      <c r="G3" s="724" t="s">
        <v>38</v>
      </c>
      <c r="H3" s="725" t="s">
        <v>132</v>
      </c>
      <c r="I3" s="679" t="s">
        <v>120</v>
      </c>
      <c r="J3" s="708" t="s">
        <v>29</v>
      </c>
      <c r="K3" s="723" t="s">
        <v>14</v>
      </c>
      <c r="L3" s="724" t="s">
        <v>15</v>
      </c>
      <c r="M3" s="724" t="s">
        <v>75</v>
      </c>
      <c r="N3" s="725" t="s">
        <v>36</v>
      </c>
      <c r="O3" s="677" t="s">
        <v>32</v>
      </c>
      <c r="P3" s="760" t="s">
        <v>33</v>
      </c>
      <c r="Q3" s="678" t="s">
        <v>34</v>
      </c>
      <c r="R3" s="760" t="s">
        <v>35</v>
      </c>
      <c r="S3" s="679" t="s">
        <v>84</v>
      </c>
      <c r="T3" s="764" t="s">
        <v>14</v>
      </c>
      <c r="U3" s="766" t="s">
        <v>15</v>
      </c>
      <c r="V3" s="768" t="s">
        <v>125</v>
      </c>
      <c r="W3" s="758"/>
    </row>
    <row r="4" spans="1:23" ht="27" customHeight="1" thickBot="1" x14ac:dyDescent="0.3">
      <c r="A4" s="694"/>
      <c r="B4" s="780"/>
      <c r="C4" s="775"/>
      <c r="D4" s="774"/>
      <c r="E4" s="774"/>
      <c r="F4" s="774"/>
      <c r="G4" s="774"/>
      <c r="H4" s="771"/>
      <c r="I4" s="696"/>
      <c r="J4" s="710"/>
      <c r="K4" s="773"/>
      <c r="L4" s="772"/>
      <c r="M4" s="772"/>
      <c r="N4" s="776"/>
      <c r="O4" s="694"/>
      <c r="P4" s="761"/>
      <c r="Q4" s="695"/>
      <c r="R4" s="761"/>
      <c r="S4" s="696"/>
      <c r="T4" s="765"/>
      <c r="U4" s="767"/>
      <c r="V4" s="769"/>
      <c r="W4" s="759"/>
    </row>
    <row r="5" spans="1:23" s="2" customFormat="1" ht="15.75" hidden="1" thickBot="1" x14ac:dyDescent="0.3">
      <c r="A5" s="25" t="s">
        <v>1</v>
      </c>
      <c r="B5" s="562"/>
      <c r="C5" s="208"/>
      <c r="D5" s="195"/>
      <c r="E5" s="195"/>
      <c r="F5" s="20"/>
      <c r="G5" s="20"/>
      <c r="H5" s="204"/>
      <c r="I5" s="577"/>
      <c r="J5" s="193"/>
      <c r="K5" s="208"/>
      <c r="L5" s="548"/>
      <c r="M5" s="195"/>
      <c r="N5" s="19"/>
      <c r="O5" s="128"/>
      <c r="P5" s="219"/>
      <c r="Q5" s="20"/>
      <c r="R5" s="20"/>
      <c r="S5" s="19"/>
      <c r="T5" s="208"/>
      <c r="U5" s="272"/>
      <c r="V5" s="203"/>
      <c r="W5" s="251"/>
    </row>
    <row r="6" spans="1:23" s="2" customFormat="1" ht="15.75" hidden="1" thickBot="1" x14ac:dyDescent="0.3">
      <c r="A6" s="25" t="s">
        <v>2</v>
      </c>
      <c r="B6" s="562"/>
      <c r="C6" s="208"/>
      <c r="D6" s="195"/>
      <c r="E6" s="195"/>
      <c r="F6" s="20"/>
      <c r="G6" s="20"/>
      <c r="H6" s="204"/>
      <c r="I6" s="578"/>
      <c r="J6" s="445"/>
      <c r="K6" s="443"/>
      <c r="L6" s="548"/>
      <c r="M6" s="444"/>
      <c r="N6" s="22"/>
      <c r="O6" s="458"/>
      <c r="P6" s="459"/>
      <c r="Q6" s="459"/>
      <c r="R6" s="459"/>
      <c r="S6" s="460"/>
      <c r="T6" s="443"/>
      <c r="U6" s="444"/>
      <c r="V6" s="448"/>
      <c r="W6" s="446"/>
    </row>
    <row r="7" spans="1:23" s="2" customFormat="1" ht="15.75" hidden="1" outlineLevel="1" thickBot="1" x14ac:dyDescent="0.3">
      <c r="A7" s="144" t="s">
        <v>19</v>
      </c>
      <c r="B7" s="777" t="s">
        <v>116</v>
      </c>
      <c r="C7" s="209" t="e">
        <f>SUM(#REF!)</f>
        <v>#REF!</v>
      </c>
      <c r="D7" s="201" t="e">
        <f>SUM(#REF!)</f>
        <v>#REF!</v>
      </c>
      <c r="E7" s="201" t="e">
        <f>SUM(#REF!)</f>
        <v>#REF!</v>
      </c>
      <c r="F7" s="201" t="e">
        <f>SUM(#REF!)</f>
        <v>#REF!</v>
      </c>
      <c r="G7" s="201" t="e">
        <f>SUM(#REF!)</f>
        <v>#REF!</v>
      </c>
      <c r="H7" s="396" t="e">
        <f t="shared" ref="H7" si="0">SUM(#REF!)</f>
        <v>#REF!</v>
      </c>
      <c r="I7" s="579" t="e">
        <f>SUM(#REF!)</f>
        <v>#REF!</v>
      </c>
      <c r="J7" s="419" t="e">
        <f t="shared" ref="J7" si="1">SUM(#REF!)</f>
        <v>#REF!</v>
      </c>
      <c r="K7" s="417" t="e">
        <f>SUM(#REF!)</f>
        <v>#REF!</v>
      </c>
      <c r="L7" s="547" t="e">
        <f>SUM(#REF!)</f>
        <v>#REF!</v>
      </c>
      <c r="M7" s="418" t="e">
        <f t="shared" ref="M7" si="2">SUM(#REF!)</f>
        <v>#REF!</v>
      </c>
      <c r="N7" s="419" t="e">
        <f>SUM(#REF!)</f>
        <v>#REF!</v>
      </c>
      <c r="O7" s="145" t="e">
        <f>SUM(#REF!)</f>
        <v>#REF!</v>
      </c>
      <c r="P7" s="417" t="e">
        <f>SUM(#REF!)</f>
        <v>#REF!</v>
      </c>
      <c r="Q7" s="417" t="e">
        <f t="shared" ref="Q7" si="3">SUM(#REF!)</f>
        <v>#REF!</v>
      </c>
      <c r="R7" s="417" t="e">
        <f>SUM(#REF!)</f>
        <v>#REF!</v>
      </c>
      <c r="S7" s="417" t="e">
        <f t="shared" ref="S7" si="4">SUM(#REF!)</f>
        <v>#REF!</v>
      </c>
      <c r="T7" s="417" t="e">
        <f t="shared" ref="T7" si="5">SUM(#REF!)</f>
        <v>#REF!</v>
      </c>
      <c r="U7" s="417" t="e">
        <f t="shared" ref="U7" si="6">SUM(#REF!)</f>
        <v>#REF!</v>
      </c>
      <c r="V7" s="441" t="e">
        <f t="shared" ref="V7" si="7">SUM(#REF!)</f>
        <v>#REF!</v>
      </c>
      <c r="W7" s="442" t="e">
        <f>SUM(#REF!)</f>
        <v>#REF!</v>
      </c>
    </row>
    <row r="8" spans="1:23" s="2" customFormat="1" ht="15.75" hidden="1" outlineLevel="1" thickBot="1" x14ac:dyDescent="0.3">
      <c r="A8" s="101" t="s">
        <v>21</v>
      </c>
      <c r="B8" s="778"/>
      <c r="C8" s="209" t="e">
        <f t="shared" ref="C8" si="8">AVERAGE(#REF!)</f>
        <v>#REF!</v>
      </c>
      <c r="D8" s="201" t="e">
        <f t="shared" ref="D8" si="9">AVERAGE(#REF!)</f>
        <v>#REF!</v>
      </c>
      <c r="E8" s="201" t="e">
        <f t="shared" ref="E8" si="10">AVERAGE(#REF!)</f>
        <v>#REF!</v>
      </c>
      <c r="F8" s="201" t="e">
        <f>AVERAGE(#REF!)</f>
        <v>#REF!</v>
      </c>
      <c r="G8" s="201" t="e">
        <f t="shared" ref="G8" si="11">AVERAGE(#REF!)</f>
        <v>#REF!</v>
      </c>
      <c r="H8" s="396" t="e">
        <f t="shared" ref="H8" si="12">AVERAGE(#REF!)</f>
        <v>#REF!</v>
      </c>
      <c r="I8" s="580" t="e">
        <f t="shared" ref="I8" si="13">AVERAGE(#REF!)</f>
        <v>#REF!</v>
      </c>
      <c r="J8" s="396" t="e">
        <f t="shared" ref="J8" si="14">AVERAGE(#REF!)</f>
        <v>#REF!</v>
      </c>
      <c r="K8" s="209" t="e">
        <f t="shared" ref="K8" si="15">AVERAGE(#REF!)</f>
        <v>#REF!</v>
      </c>
      <c r="L8" s="201" t="e">
        <f t="shared" ref="L8" si="16">AVERAGE(#REF!)</f>
        <v>#REF!</v>
      </c>
      <c r="M8" s="201" t="e">
        <f t="shared" ref="M8" si="17">AVERAGE(#REF!)</f>
        <v>#REF!</v>
      </c>
      <c r="N8" s="396" t="e">
        <f t="shared" ref="N8" si="18">AVERAGE(#REF!)</f>
        <v>#REF!</v>
      </c>
      <c r="O8" s="394" t="e">
        <f t="shared" ref="O8" si="19">AVERAGE(#REF!)</f>
        <v>#REF!</v>
      </c>
      <c r="P8" s="209" t="e">
        <f t="shared" ref="P8" si="20">AVERAGE(#REF!)</f>
        <v>#REF!</v>
      </c>
      <c r="Q8" s="209" t="e">
        <f t="shared" ref="Q8" si="21">AVERAGE(#REF!)</f>
        <v>#REF!</v>
      </c>
      <c r="R8" s="209" t="e">
        <f t="shared" ref="R8" si="22">AVERAGE(#REF!)</f>
        <v>#REF!</v>
      </c>
      <c r="S8" s="209" t="e">
        <f t="shared" ref="S8" si="23">AVERAGE(#REF!)</f>
        <v>#REF!</v>
      </c>
      <c r="T8" s="209" t="e">
        <f t="shared" ref="T8" si="24">AVERAGE(#REF!)</f>
        <v>#REF!</v>
      </c>
      <c r="U8" s="209" t="e">
        <f t="shared" ref="U8" si="25">AVERAGE(#REF!)</f>
        <v>#REF!</v>
      </c>
      <c r="V8" s="393" t="e">
        <f t="shared" ref="V8" si="26">AVERAGE(#REF!)</f>
        <v>#REF!</v>
      </c>
      <c r="W8" s="397" t="e">
        <f t="shared" ref="W8" si="27">AVERAGE(#REF!)</f>
        <v>#REF!</v>
      </c>
    </row>
    <row r="9" spans="1:23" s="2" customFormat="1" ht="15.75" hidden="1" outlineLevel="1" thickBot="1" x14ac:dyDescent="0.3">
      <c r="A9" s="26" t="s">
        <v>18</v>
      </c>
      <c r="B9" s="778"/>
      <c r="C9" s="210" t="e">
        <f t="shared" ref="C9" si="28">SUM(#REF!)</f>
        <v>#REF!</v>
      </c>
      <c r="D9" s="202" t="e">
        <f>SUM(#REF!)</f>
        <v>#REF!</v>
      </c>
      <c r="E9" s="202" t="e">
        <f t="shared" ref="E9" si="29">SUM(#REF!)</f>
        <v>#REF!</v>
      </c>
      <c r="F9" s="202" t="e">
        <f t="shared" ref="F9" si="30">SUM(#REF!)</f>
        <v>#REF!</v>
      </c>
      <c r="G9" s="202" t="e">
        <f t="shared" ref="G9" si="31">SUM(#REF!)</f>
        <v>#REF!</v>
      </c>
      <c r="H9" s="398" t="e">
        <f t="shared" ref="H9" si="32">SUM(#REF!)</f>
        <v>#REF!</v>
      </c>
      <c r="I9" s="581" t="e">
        <f t="shared" ref="I9" si="33">SUM(#REF!)</f>
        <v>#REF!</v>
      </c>
      <c r="J9" s="398" t="e">
        <f t="shared" ref="J9" si="34">SUM(#REF!)</f>
        <v>#REF!</v>
      </c>
      <c r="K9" s="210" t="e">
        <f t="shared" ref="K9" si="35">SUM(#REF!)</f>
        <v>#REF!</v>
      </c>
      <c r="L9" s="202" t="e">
        <f t="shared" ref="L9" si="36">SUM(#REF!)</f>
        <v>#REF!</v>
      </c>
      <c r="M9" s="202" t="e">
        <f t="shared" ref="M9" si="37">SUM(#REF!)</f>
        <v>#REF!</v>
      </c>
      <c r="N9" s="398" t="e">
        <f t="shared" ref="N9" si="38">SUM(#REF!)</f>
        <v>#REF!</v>
      </c>
      <c r="O9" s="395" t="e">
        <f t="shared" ref="O9" si="39">SUM(#REF!)</f>
        <v>#REF!</v>
      </c>
      <c r="P9" s="210" t="e">
        <f t="shared" ref="P9" si="40">SUM(#REF!)</f>
        <v>#REF!</v>
      </c>
      <c r="Q9" s="210" t="e">
        <f t="shared" ref="Q9" si="41">SUM(#REF!)</f>
        <v>#REF!</v>
      </c>
      <c r="R9" s="210" t="e">
        <f t="shared" ref="R9" si="42">SUM(#REF!)</f>
        <v>#REF!</v>
      </c>
      <c r="S9" s="210" t="e">
        <f t="shared" ref="S9" si="43">SUM(#REF!)</f>
        <v>#REF!</v>
      </c>
      <c r="T9" s="210" t="e">
        <f t="shared" ref="T9" si="44">SUM(#REF!)</f>
        <v>#REF!</v>
      </c>
      <c r="U9" s="210" t="e">
        <f t="shared" ref="U9" si="45">SUM(#REF!)</f>
        <v>#REF!</v>
      </c>
      <c r="V9" s="400" t="e">
        <f t="shared" ref="V9" si="46">SUM(#REF!)</f>
        <v>#REF!</v>
      </c>
      <c r="W9" s="402" t="e">
        <f>SUM(#REF!)</f>
        <v>#REF!</v>
      </c>
    </row>
    <row r="10" spans="1:23" s="2" customFormat="1" ht="15.75" hidden="1" outlineLevel="1" thickBot="1" x14ac:dyDescent="0.3">
      <c r="A10" s="26" t="s">
        <v>20</v>
      </c>
      <c r="B10" s="779"/>
      <c r="C10" s="210" t="e">
        <f>AVERAGE(#REF!)</f>
        <v>#REF!</v>
      </c>
      <c r="D10" s="202" t="e">
        <f t="shared" ref="D10" si="47">AVERAGE(#REF!)</f>
        <v>#REF!</v>
      </c>
      <c r="E10" s="202" t="e">
        <f t="shared" ref="E10" si="48">AVERAGE(#REF!)</f>
        <v>#REF!</v>
      </c>
      <c r="F10" s="202" t="e">
        <f t="shared" ref="F10" si="49">AVERAGE(#REF!)</f>
        <v>#REF!</v>
      </c>
      <c r="G10" s="202" t="e">
        <f t="shared" ref="G10" si="50">AVERAGE(#REF!)</f>
        <v>#REF!</v>
      </c>
      <c r="H10" s="398" t="e">
        <f t="shared" ref="H10" si="51">AVERAGE(#REF!)</f>
        <v>#REF!</v>
      </c>
      <c r="I10" s="582" t="e">
        <f t="shared" ref="I10" si="52">AVERAGE(#REF!)</f>
        <v>#REF!</v>
      </c>
      <c r="J10" s="399" t="e">
        <f t="shared" ref="J10" si="53">AVERAGE(#REF!)</f>
        <v>#REF!</v>
      </c>
      <c r="K10" s="37" t="e">
        <f t="shared" ref="K10" si="54">AVERAGE(#REF!)</f>
        <v>#REF!</v>
      </c>
      <c r="L10" s="196" t="e">
        <f t="shared" ref="L10" si="55">AVERAGE(#REF!)</f>
        <v>#REF!</v>
      </c>
      <c r="M10" s="196" t="e">
        <f t="shared" ref="M10" si="56">AVERAGE(#REF!)</f>
        <v>#REF!</v>
      </c>
      <c r="N10" s="399" t="e">
        <f t="shared" ref="N10" si="57">AVERAGE(#REF!)</f>
        <v>#REF!</v>
      </c>
      <c r="O10" s="146">
        <f>O2</f>
        <v>0</v>
      </c>
      <c r="P10" s="37" t="e">
        <f t="shared" ref="P10" si="58">AVERAGE(#REF!)</f>
        <v>#REF!</v>
      </c>
      <c r="Q10" s="37" t="e">
        <f t="shared" ref="Q10" si="59">AVERAGE(#REF!)</f>
        <v>#REF!</v>
      </c>
      <c r="R10" s="37" t="e">
        <f t="shared" ref="R10" si="60">AVERAGE(#REF!)</f>
        <v>#REF!</v>
      </c>
      <c r="S10" s="37" t="e">
        <f t="shared" ref="S10" si="61">AVERAGE(#REF!)</f>
        <v>#REF!</v>
      </c>
      <c r="T10" s="37" t="e">
        <f t="shared" ref="T10" si="62">AVERAGE(#REF!)</f>
        <v>#REF!</v>
      </c>
      <c r="U10" s="37" t="e">
        <f t="shared" ref="U10" si="63">AVERAGE(#REF!)</f>
        <v>#REF!</v>
      </c>
      <c r="V10" s="427" t="e">
        <f t="shared" ref="V10" si="64">AVERAGE(#REF!)</f>
        <v>#REF!</v>
      </c>
      <c r="W10" s="403" t="e">
        <f t="shared" ref="W10" si="65">AVERAGE(#REF!)</f>
        <v>#REF!</v>
      </c>
    </row>
    <row r="11" spans="1:23" ht="10.9" hidden="1" customHeight="1" collapsed="1" thickBot="1" x14ac:dyDescent="0.3">
      <c r="A11" s="25" t="s">
        <v>3</v>
      </c>
      <c r="B11" s="562"/>
      <c r="C11" s="208"/>
      <c r="D11" s="195"/>
      <c r="E11" s="195"/>
      <c r="F11" s="20"/>
      <c r="G11" s="20"/>
      <c r="H11" s="204"/>
      <c r="I11" s="583"/>
      <c r="J11" s="451"/>
      <c r="K11" s="212"/>
      <c r="L11" s="194"/>
      <c r="M11" s="194"/>
      <c r="N11" s="13"/>
      <c r="O11" s="127"/>
      <c r="P11" s="14"/>
      <c r="Q11" s="14"/>
      <c r="R11" s="14"/>
      <c r="S11" s="13"/>
      <c r="T11" s="212"/>
      <c r="U11" s="194"/>
      <c r="V11" s="242"/>
      <c r="W11" s="16">
        <f t="shared" ref="W11:W17" si="66">SUM(C11:V11)</f>
        <v>0</v>
      </c>
    </row>
    <row r="12" spans="1:23" s="3" customFormat="1" ht="15.75" outlineLevel="1" thickBot="1" x14ac:dyDescent="0.3">
      <c r="A12" s="25" t="s">
        <v>4</v>
      </c>
      <c r="B12" s="562">
        <v>44348</v>
      </c>
      <c r="C12" s="208">
        <v>180</v>
      </c>
      <c r="D12" s="195">
        <v>102</v>
      </c>
      <c r="E12" s="195">
        <v>105</v>
      </c>
      <c r="F12" s="20">
        <v>137</v>
      </c>
      <c r="G12" s="20">
        <v>409</v>
      </c>
      <c r="H12" s="204"/>
      <c r="I12" s="577">
        <v>2781</v>
      </c>
      <c r="J12" s="193">
        <v>0</v>
      </c>
      <c r="K12" s="208">
        <v>962</v>
      </c>
      <c r="L12" s="195">
        <v>712</v>
      </c>
      <c r="M12" s="195"/>
      <c r="N12" s="19">
        <v>205</v>
      </c>
      <c r="O12" s="128">
        <v>1800</v>
      </c>
      <c r="P12" s="20">
        <v>430</v>
      </c>
      <c r="Q12" s="20"/>
      <c r="R12" s="20">
        <v>606</v>
      </c>
      <c r="S12" s="19"/>
      <c r="T12" s="208"/>
      <c r="U12" s="195"/>
      <c r="V12" s="203">
        <v>0</v>
      </c>
      <c r="W12" s="251">
        <f t="shared" si="66"/>
        <v>8429</v>
      </c>
    </row>
    <row r="13" spans="1:23" s="3" customFormat="1" ht="15.75" outlineLevel="1" thickBot="1" x14ac:dyDescent="0.3">
      <c r="A13" s="25" t="s">
        <v>5</v>
      </c>
      <c r="B13" s="562">
        <v>44349</v>
      </c>
      <c r="C13" s="208">
        <v>194</v>
      </c>
      <c r="D13" s="195">
        <v>89</v>
      </c>
      <c r="E13" s="195">
        <v>136</v>
      </c>
      <c r="F13" s="238">
        <v>147</v>
      </c>
      <c r="G13" s="238">
        <v>412</v>
      </c>
      <c r="H13" s="204"/>
      <c r="I13" s="577">
        <v>3309</v>
      </c>
      <c r="J13" s="193">
        <v>0</v>
      </c>
      <c r="K13" s="208">
        <v>1137</v>
      </c>
      <c r="L13" s="195">
        <v>772</v>
      </c>
      <c r="M13" s="195"/>
      <c r="N13" s="239">
        <v>211</v>
      </c>
      <c r="O13" s="189">
        <v>1933</v>
      </c>
      <c r="P13" s="238">
        <v>533</v>
      </c>
      <c r="Q13" s="238"/>
      <c r="R13" s="238">
        <v>687</v>
      </c>
      <c r="S13" s="239"/>
      <c r="T13" s="208"/>
      <c r="U13" s="195"/>
      <c r="V13" s="203">
        <v>0</v>
      </c>
      <c r="W13" s="251">
        <f t="shared" si="66"/>
        <v>9560</v>
      </c>
    </row>
    <row r="14" spans="1:23" s="3" customFormat="1" ht="15.75" thickBot="1" x14ac:dyDescent="0.3">
      <c r="A14" s="25" t="s">
        <v>6</v>
      </c>
      <c r="B14" s="562">
        <v>44350</v>
      </c>
      <c r="C14" s="208">
        <v>155</v>
      </c>
      <c r="D14" s="195">
        <v>66</v>
      </c>
      <c r="E14" s="195">
        <v>38</v>
      </c>
      <c r="F14" s="20">
        <v>57</v>
      </c>
      <c r="G14" s="20">
        <v>324</v>
      </c>
      <c r="H14" s="204"/>
      <c r="I14" s="577">
        <v>1154</v>
      </c>
      <c r="J14" s="193">
        <v>0</v>
      </c>
      <c r="K14" s="208">
        <v>858</v>
      </c>
      <c r="L14" s="170">
        <v>546</v>
      </c>
      <c r="M14" s="195"/>
      <c r="N14" s="19">
        <v>111</v>
      </c>
      <c r="O14" s="128">
        <v>1603</v>
      </c>
      <c r="P14" s="20">
        <v>459</v>
      </c>
      <c r="Q14" s="20"/>
      <c r="R14" s="20">
        <v>499</v>
      </c>
      <c r="S14" s="19"/>
      <c r="T14" s="208"/>
      <c r="U14" s="195"/>
      <c r="V14" s="203">
        <v>0</v>
      </c>
      <c r="W14" s="251">
        <f t="shared" si="66"/>
        <v>5870</v>
      </c>
    </row>
    <row r="15" spans="1:23" s="3" customFormat="1" ht="15.75" thickBot="1" x14ac:dyDescent="0.3">
      <c r="A15" s="25" t="s">
        <v>0</v>
      </c>
      <c r="B15" s="562">
        <v>44351</v>
      </c>
      <c r="C15" s="208">
        <v>151</v>
      </c>
      <c r="D15" s="195">
        <v>64</v>
      </c>
      <c r="E15" s="195">
        <v>67</v>
      </c>
      <c r="F15" s="20">
        <v>106</v>
      </c>
      <c r="G15" s="20">
        <v>252</v>
      </c>
      <c r="H15" s="204"/>
      <c r="I15" s="577">
        <v>1404</v>
      </c>
      <c r="J15" s="193">
        <v>0</v>
      </c>
      <c r="K15" s="208">
        <v>846</v>
      </c>
      <c r="L15" s="195">
        <v>603</v>
      </c>
      <c r="M15" s="195"/>
      <c r="N15" s="19">
        <v>154</v>
      </c>
      <c r="O15" s="128">
        <v>1797</v>
      </c>
      <c r="P15" s="20">
        <v>527</v>
      </c>
      <c r="Q15" s="20"/>
      <c r="R15" s="20">
        <v>514</v>
      </c>
      <c r="S15" s="19"/>
      <c r="T15" s="208"/>
      <c r="U15" s="195"/>
      <c r="V15" s="203">
        <v>0</v>
      </c>
      <c r="W15" s="251">
        <f t="shared" si="66"/>
        <v>6485</v>
      </c>
    </row>
    <row r="16" spans="1:23" s="2" customFormat="1" ht="15.75" thickBot="1" x14ac:dyDescent="0.3">
      <c r="A16" s="25" t="s">
        <v>1</v>
      </c>
      <c r="B16" s="562">
        <v>44352</v>
      </c>
      <c r="C16" s="208"/>
      <c r="D16" s="195"/>
      <c r="E16" s="195"/>
      <c r="F16" s="20"/>
      <c r="G16" s="20"/>
      <c r="H16" s="204"/>
      <c r="I16" s="577">
        <v>9135</v>
      </c>
      <c r="J16" s="193">
        <v>2807</v>
      </c>
      <c r="K16" s="208">
        <v>1685</v>
      </c>
      <c r="L16" s="548">
        <v>825</v>
      </c>
      <c r="M16" s="195"/>
      <c r="N16" s="19"/>
      <c r="O16" s="2">
        <v>2729</v>
      </c>
      <c r="P16" s="219"/>
      <c r="Q16" s="20"/>
      <c r="R16" s="20">
        <v>1328</v>
      </c>
      <c r="S16" s="19"/>
      <c r="T16" s="208"/>
      <c r="U16" s="272"/>
      <c r="V16" s="203">
        <v>1753</v>
      </c>
      <c r="W16" s="251">
        <f>SUM(C16:V16)</f>
        <v>20262</v>
      </c>
    </row>
    <row r="17" spans="1:23" s="2" customFormat="1" ht="15.75" thickBot="1" x14ac:dyDescent="0.3">
      <c r="A17" s="25" t="s">
        <v>2</v>
      </c>
      <c r="B17" s="562">
        <v>44353</v>
      </c>
      <c r="C17" s="208">
        <v>0</v>
      </c>
      <c r="D17" s="195">
        <v>0</v>
      </c>
      <c r="E17" s="195">
        <v>0</v>
      </c>
      <c r="F17" s="20">
        <v>0</v>
      </c>
      <c r="G17" s="20">
        <v>0</v>
      </c>
      <c r="H17" s="204"/>
      <c r="I17" s="578">
        <v>6338</v>
      </c>
      <c r="J17" s="445">
        <v>2317</v>
      </c>
      <c r="K17" s="443">
        <v>1116</v>
      </c>
      <c r="L17" s="548">
        <v>819</v>
      </c>
      <c r="M17" s="444"/>
      <c r="N17" s="22">
        <v>0</v>
      </c>
      <c r="O17" s="128">
        <v>1670</v>
      </c>
      <c r="P17" s="459">
        <v>0</v>
      </c>
      <c r="Q17" s="459"/>
      <c r="R17" s="459">
        <v>808</v>
      </c>
      <c r="S17" s="460"/>
      <c r="T17" s="443"/>
      <c r="U17" s="444"/>
      <c r="V17" s="448">
        <v>1380</v>
      </c>
      <c r="W17" s="446">
        <f t="shared" si="66"/>
        <v>14448</v>
      </c>
    </row>
    <row r="18" spans="1:23" s="2" customFormat="1" ht="15.75" outlineLevel="1" thickBot="1" x14ac:dyDescent="0.3">
      <c r="A18" s="144" t="s">
        <v>19</v>
      </c>
      <c r="B18" s="777" t="s">
        <v>22</v>
      </c>
      <c r="C18" s="209">
        <f>SUM(C11:C17)</f>
        <v>680</v>
      </c>
      <c r="D18" s="201">
        <f>SUM(D11:D17)</f>
        <v>321</v>
      </c>
      <c r="E18" s="201">
        <f>SUM(E11:E17)</f>
        <v>346</v>
      </c>
      <c r="F18" s="201">
        <f>SUM(F11:F17)</f>
        <v>447</v>
      </c>
      <c r="G18" s="201">
        <f>SUM(G11:G17)</f>
        <v>1397</v>
      </c>
      <c r="H18" s="396">
        <f t="shared" ref="H18:V18" si="67">SUM(H11:H17)</f>
        <v>0</v>
      </c>
      <c r="I18" s="579">
        <f>SUM(I11:I17)</f>
        <v>24121</v>
      </c>
      <c r="J18" s="419">
        <f t="shared" ref="J18" si="68">SUM(J11:J17)</f>
        <v>5124</v>
      </c>
      <c r="K18" s="417">
        <f>SUM(K11:K17)</f>
        <v>6604</v>
      </c>
      <c r="L18" s="547">
        <f>SUM(L11:L17)</f>
        <v>4277</v>
      </c>
      <c r="M18" s="418">
        <f t="shared" si="67"/>
        <v>0</v>
      </c>
      <c r="N18" s="419">
        <f>SUM(N11:N17)</f>
        <v>681</v>
      </c>
      <c r="O18" s="145">
        <f>SUM(O11:O17)</f>
        <v>11532</v>
      </c>
      <c r="P18" s="417">
        <f>SUM(P11:P17)</f>
        <v>1949</v>
      </c>
      <c r="Q18" s="417">
        <f t="shared" si="67"/>
        <v>0</v>
      </c>
      <c r="R18" s="417">
        <f>SUM(R11:R17)</f>
        <v>4442</v>
      </c>
      <c r="S18" s="417">
        <f t="shared" si="67"/>
        <v>0</v>
      </c>
      <c r="T18" s="417">
        <f t="shared" si="67"/>
        <v>0</v>
      </c>
      <c r="U18" s="417">
        <f t="shared" si="67"/>
        <v>0</v>
      </c>
      <c r="V18" s="441">
        <f t="shared" si="67"/>
        <v>3133</v>
      </c>
      <c r="W18" s="442">
        <f>SUM(W11:W17)</f>
        <v>65054</v>
      </c>
    </row>
    <row r="19" spans="1:23" s="2" customFormat="1" ht="15.75" outlineLevel="1" thickBot="1" x14ac:dyDescent="0.3">
      <c r="A19" s="101" t="s">
        <v>21</v>
      </c>
      <c r="B19" s="778"/>
      <c r="C19" s="209">
        <f t="shared" ref="C19:W19" si="69">AVERAGE(C11:C17)</f>
        <v>136</v>
      </c>
      <c r="D19" s="201">
        <f t="shared" si="69"/>
        <v>64.2</v>
      </c>
      <c r="E19" s="201">
        <f t="shared" si="69"/>
        <v>69.2</v>
      </c>
      <c r="F19" s="201">
        <f>AVERAGE(F11:F17)</f>
        <v>89.4</v>
      </c>
      <c r="G19" s="201">
        <f t="shared" si="69"/>
        <v>279.39999999999998</v>
      </c>
      <c r="H19" s="396" t="e">
        <f t="shared" si="69"/>
        <v>#DIV/0!</v>
      </c>
      <c r="I19" s="580">
        <f t="shared" ref="I19:J19" si="70">AVERAGE(I11:I17)</f>
        <v>4020.1666666666665</v>
      </c>
      <c r="J19" s="396">
        <f t="shared" si="70"/>
        <v>854</v>
      </c>
      <c r="K19" s="209">
        <f t="shared" si="69"/>
        <v>1100.6666666666667</v>
      </c>
      <c r="L19" s="201">
        <f t="shared" si="69"/>
        <v>712.83333333333337</v>
      </c>
      <c r="M19" s="201" t="e">
        <f t="shared" si="69"/>
        <v>#DIV/0!</v>
      </c>
      <c r="N19" s="396">
        <f t="shared" si="69"/>
        <v>136.19999999999999</v>
      </c>
      <c r="O19" s="394">
        <f>AVERAGE(O11:O17)</f>
        <v>1922</v>
      </c>
      <c r="P19" s="209">
        <f t="shared" si="69"/>
        <v>389.8</v>
      </c>
      <c r="Q19" s="209" t="e">
        <f t="shared" si="69"/>
        <v>#DIV/0!</v>
      </c>
      <c r="R19" s="209">
        <f t="shared" si="69"/>
        <v>740.33333333333337</v>
      </c>
      <c r="S19" s="209" t="e">
        <f t="shared" si="69"/>
        <v>#DIV/0!</v>
      </c>
      <c r="T19" s="209" t="e">
        <f t="shared" si="69"/>
        <v>#DIV/0!</v>
      </c>
      <c r="U19" s="209" t="e">
        <f t="shared" si="69"/>
        <v>#DIV/0!</v>
      </c>
      <c r="V19" s="393">
        <f t="shared" si="69"/>
        <v>522.16666666666663</v>
      </c>
      <c r="W19" s="397">
        <f t="shared" si="69"/>
        <v>9293.4285714285706</v>
      </c>
    </row>
    <row r="20" spans="1:23" s="2" customFormat="1" ht="15.75" outlineLevel="1" thickBot="1" x14ac:dyDescent="0.3">
      <c r="A20" s="26" t="s">
        <v>18</v>
      </c>
      <c r="B20" s="778"/>
      <c r="C20" s="210">
        <f t="shared" ref="C20:V20" si="71">SUM(C11:C15)</f>
        <v>680</v>
      </c>
      <c r="D20" s="202">
        <f>SUM(D11:D15)</f>
        <v>321</v>
      </c>
      <c r="E20" s="202">
        <f t="shared" si="71"/>
        <v>346</v>
      </c>
      <c r="F20" s="202">
        <f t="shared" si="71"/>
        <v>447</v>
      </c>
      <c r="G20" s="202">
        <f t="shared" si="71"/>
        <v>1397</v>
      </c>
      <c r="H20" s="398">
        <f t="shared" si="71"/>
        <v>0</v>
      </c>
      <c r="I20" s="581">
        <f t="shared" ref="I20:J20" si="72">SUM(I11:I15)</f>
        <v>8648</v>
      </c>
      <c r="J20" s="398">
        <f t="shared" si="72"/>
        <v>0</v>
      </c>
      <c r="K20" s="210">
        <f t="shared" si="71"/>
        <v>3803</v>
      </c>
      <c r="L20" s="202">
        <f t="shared" si="71"/>
        <v>2633</v>
      </c>
      <c r="M20" s="202">
        <f t="shared" si="71"/>
        <v>0</v>
      </c>
      <c r="N20" s="398">
        <f t="shared" si="71"/>
        <v>681</v>
      </c>
      <c r="O20" s="395">
        <f t="shared" si="71"/>
        <v>7133</v>
      </c>
      <c r="P20" s="210">
        <f t="shared" si="71"/>
        <v>1949</v>
      </c>
      <c r="Q20" s="210">
        <f t="shared" si="71"/>
        <v>0</v>
      </c>
      <c r="R20" s="210">
        <f t="shared" si="71"/>
        <v>2306</v>
      </c>
      <c r="S20" s="210">
        <f t="shared" si="71"/>
        <v>0</v>
      </c>
      <c r="T20" s="210">
        <f t="shared" si="71"/>
        <v>0</v>
      </c>
      <c r="U20" s="210">
        <f t="shared" si="71"/>
        <v>0</v>
      </c>
      <c r="V20" s="400">
        <f t="shared" si="71"/>
        <v>0</v>
      </c>
      <c r="W20" s="402">
        <f>SUM(W11:W15)</f>
        <v>30344</v>
      </c>
    </row>
    <row r="21" spans="1:23" s="2" customFormat="1" ht="15.75" outlineLevel="1" thickBot="1" x14ac:dyDescent="0.3">
      <c r="A21" s="26" t="s">
        <v>20</v>
      </c>
      <c r="B21" s="779"/>
      <c r="C21" s="210">
        <f>AVERAGE(C11:C15)</f>
        <v>170</v>
      </c>
      <c r="D21" s="202">
        <f t="shared" ref="D21:W21" si="73">AVERAGE(D11:D15)</f>
        <v>80.25</v>
      </c>
      <c r="E21" s="202">
        <f t="shared" si="73"/>
        <v>86.5</v>
      </c>
      <c r="F21" s="202">
        <f t="shared" si="73"/>
        <v>111.75</v>
      </c>
      <c r="G21" s="202">
        <f t="shared" si="73"/>
        <v>349.25</v>
      </c>
      <c r="H21" s="398" t="e">
        <f t="shared" si="73"/>
        <v>#DIV/0!</v>
      </c>
      <c r="I21" s="582">
        <f t="shared" ref="I21:J21" si="74">AVERAGE(I11:I15)</f>
        <v>2162</v>
      </c>
      <c r="J21" s="399">
        <f t="shared" si="74"/>
        <v>0</v>
      </c>
      <c r="K21" s="37">
        <f t="shared" si="73"/>
        <v>950.75</v>
      </c>
      <c r="L21" s="196">
        <f t="shared" si="73"/>
        <v>658.25</v>
      </c>
      <c r="M21" s="196" t="e">
        <f t="shared" si="73"/>
        <v>#DIV/0!</v>
      </c>
      <c r="N21" s="399">
        <f t="shared" si="73"/>
        <v>170.25</v>
      </c>
      <c r="O21" s="146">
        <f>O15</f>
        <v>1797</v>
      </c>
      <c r="P21" s="37">
        <f t="shared" si="73"/>
        <v>487.25</v>
      </c>
      <c r="Q21" s="37" t="e">
        <f t="shared" si="73"/>
        <v>#DIV/0!</v>
      </c>
      <c r="R21" s="37">
        <f t="shared" si="73"/>
        <v>576.5</v>
      </c>
      <c r="S21" s="37" t="e">
        <f t="shared" si="73"/>
        <v>#DIV/0!</v>
      </c>
      <c r="T21" s="37" t="e">
        <f t="shared" si="73"/>
        <v>#DIV/0!</v>
      </c>
      <c r="U21" s="37" t="e">
        <f t="shared" si="73"/>
        <v>#DIV/0!</v>
      </c>
      <c r="V21" s="427">
        <f t="shared" si="73"/>
        <v>0</v>
      </c>
      <c r="W21" s="403">
        <f t="shared" si="73"/>
        <v>6068.8</v>
      </c>
    </row>
    <row r="22" spans="1:23" s="2" customFormat="1" outlineLevel="1" x14ac:dyDescent="0.25">
      <c r="A22" s="25" t="s">
        <v>3</v>
      </c>
      <c r="B22" s="221">
        <f>B17+1</f>
        <v>44354</v>
      </c>
      <c r="C22" s="208">
        <v>210</v>
      </c>
      <c r="D22" s="195">
        <v>92</v>
      </c>
      <c r="E22" s="195">
        <v>70</v>
      </c>
      <c r="F22" s="178">
        <v>128</v>
      </c>
      <c r="G22" s="179">
        <v>314</v>
      </c>
      <c r="H22" s="204"/>
      <c r="I22" s="583">
        <v>2532</v>
      </c>
      <c r="J22" s="451">
        <v>0</v>
      </c>
      <c r="K22" s="212">
        <v>952</v>
      </c>
      <c r="L22" s="194">
        <v>635</v>
      </c>
      <c r="M22" s="194"/>
      <c r="N22" s="450">
        <v>220</v>
      </c>
      <c r="O22" s="452">
        <v>2012</v>
      </c>
      <c r="P22" s="449">
        <v>332</v>
      </c>
      <c r="Q22" s="453"/>
      <c r="R22" s="453">
        <v>624</v>
      </c>
      <c r="S22" s="454"/>
      <c r="T22" s="212">
        <v>62</v>
      </c>
      <c r="U22" s="194">
        <v>13</v>
      </c>
      <c r="V22" s="242">
        <v>0</v>
      </c>
      <c r="W22" s="16">
        <f>SUM(C22:V22)</f>
        <v>8196</v>
      </c>
    </row>
    <row r="23" spans="1:23" s="3" customFormat="1" outlineLevel="1" x14ac:dyDescent="0.25">
      <c r="A23" s="25" t="s">
        <v>4</v>
      </c>
      <c r="B23" s="216">
        <f t="shared" ref="B23:B28" si="75">B22+1</f>
        <v>44355</v>
      </c>
      <c r="C23" s="208">
        <v>177</v>
      </c>
      <c r="D23" s="195">
        <v>84</v>
      </c>
      <c r="E23" s="195">
        <v>122</v>
      </c>
      <c r="F23" s="178">
        <v>144</v>
      </c>
      <c r="G23" s="179">
        <v>399</v>
      </c>
      <c r="H23" s="204"/>
      <c r="I23" s="577">
        <v>3605</v>
      </c>
      <c r="J23" s="451">
        <v>0</v>
      </c>
      <c r="K23" s="208">
        <v>901</v>
      </c>
      <c r="L23" s="195">
        <v>766</v>
      </c>
      <c r="M23" s="195"/>
      <c r="N23" s="351">
        <v>225</v>
      </c>
      <c r="O23" s="401">
        <v>1776</v>
      </c>
      <c r="P23" s="178">
        <v>397</v>
      </c>
      <c r="Q23" s="179"/>
      <c r="R23" s="179">
        <v>619</v>
      </c>
      <c r="S23" s="191"/>
      <c r="T23" s="273">
        <v>77</v>
      </c>
      <c r="U23" s="195">
        <v>22</v>
      </c>
      <c r="V23" s="203">
        <v>0</v>
      </c>
      <c r="W23" s="251">
        <f>SUM(C23:V23)</f>
        <v>9314</v>
      </c>
    </row>
    <row r="24" spans="1:23" s="3" customFormat="1" outlineLevel="1" x14ac:dyDescent="0.25">
      <c r="A24" s="25" t="s">
        <v>5</v>
      </c>
      <c r="B24" s="216">
        <f t="shared" si="75"/>
        <v>44356</v>
      </c>
      <c r="C24" s="208">
        <v>220</v>
      </c>
      <c r="D24" s="195">
        <v>106</v>
      </c>
      <c r="E24" s="195">
        <v>124</v>
      </c>
      <c r="F24" s="178">
        <v>166</v>
      </c>
      <c r="G24" s="179">
        <v>466</v>
      </c>
      <c r="H24" s="204"/>
      <c r="I24" s="577">
        <v>2516</v>
      </c>
      <c r="J24" s="451">
        <v>0</v>
      </c>
      <c r="K24" s="208">
        <v>1109</v>
      </c>
      <c r="L24" s="195">
        <v>728</v>
      </c>
      <c r="M24" s="195"/>
      <c r="N24" s="351">
        <v>267</v>
      </c>
      <c r="O24" s="401">
        <v>1875</v>
      </c>
      <c r="P24" s="178">
        <v>407</v>
      </c>
      <c r="Q24" s="179"/>
      <c r="R24" s="179">
        <v>745</v>
      </c>
      <c r="S24" s="191"/>
      <c r="T24" s="273">
        <v>80</v>
      </c>
      <c r="U24" s="195">
        <v>37</v>
      </c>
      <c r="V24" s="203">
        <v>0</v>
      </c>
      <c r="W24" s="251">
        <f>SUM(C24:V24)</f>
        <v>8846</v>
      </c>
    </row>
    <row r="25" spans="1:23" s="3" customFormat="1" x14ac:dyDescent="0.25">
      <c r="A25" s="25" t="s">
        <v>6</v>
      </c>
      <c r="B25" s="216">
        <f t="shared" si="75"/>
        <v>44357</v>
      </c>
      <c r="C25" s="208">
        <v>227</v>
      </c>
      <c r="D25" s="195">
        <v>138</v>
      </c>
      <c r="E25" s="195">
        <v>49</v>
      </c>
      <c r="F25" s="178">
        <v>64</v>
      </c>
      <c r="G25" s="179">
        <v>459</v>
      </c>
      <c r="H25" s="204"/>
      <c r="I25" s="577">
        <v>3526</v>
      </c>
      <c r="J25" s="451">
        <v>0</v>
      </c>
      <c r="K25" s="208">
        <v>1224</v>
      </c>
      <c r="L25" s="195">
        <v>726</v>
      </c>
      <c r="M25" s="194"/>
      <c r="N25" s="351">
        <v>140</v>
      </c>
      <c r="O25" s="401">
        <v>2286</v>
      </c>
      <c r="P25" s="178">
        <v>552</v>
      </c>
      <c r="Q25" s="179"/>
      <c r="R25" s="179">
        <v>928</v>
      </c>
      <c r="S25" s="191"/>
      <c r="T25" s="273">
        <v>74</v>
      </c>
      <c r="U25" s="195">
        <v>63</v>
      </c>
      <c r="V25" s="203">
        <v>0</v>
      </c>
      <c r="W25" s="251">
        <f t="shared" ref="W25" si="76">SUM(C25:V25)</f>
        <v>10456</v>
      </c>
    </row>
    <row r="26" spans="1:23" s="3" customFormat="1" x14ac:dyDescent="0.25">
      <c r="A26" s="25" t="s">
        <v>0</v>
      </c>
      <c r="B26" s="216">
        <f t="shared" si="75"/>
        <v>44358</v>
      </c>
      <c r="C26" s="208">
        <v>144</v>
      </c>
      <c r="D26" s="195">
        <v>44</v>
      </c>
      <c r="E26" s="195">
        <v>77</v>
      </c>
      <c r="F26" s="178">
        <v>113</v>
      </c>
      <c r="G26" s="179">
        <v>326</v>
      </c>
      <c r="H26" s="204"/>
      <c r="I26" s="584">
        <v>3135</v>
      </c>
      <c r="J26" s="451">
        <v>0</v>
      </c>
      <c r="K26" s="208">
        <v>791</v>
      </c>
      <c r="L26" s="195">
        <v>672</v>
      </c>
      <c r="M26" s="195"/>
      <c r="N26" s="351">
        <v>146</v>
      </c>
      <c r="O26" s="401">
        <v>2298</v>
      </c>
      <c r="P26" s="178">
        <v>620</v>
      </c>
      <c r="Q26" s="179"/>
      <c r="R26" s="178">
        <v>716</v>
      </c>
      <c r="S26" s="191"/>
      <c r="T26" s="273">
        <v>63</v>
      </c>
      <c r="U26" s="195">
        <v>41</v>
      </c>
      <c r="V26" s="203">
        <v>0</v>
      </c>
      <c r="W26" s="251">
        <f>SUM(C26:V26)</f>
        <v>9186</v>
      </c>
    </row>
    <row r="27" spans="1:23" s="555" customFormat="1" ht="13.5" x14ac:dyDescent="0.25">
      <c r="A27" s="136" t="s">
        <v>1</v>
      </c>
      <c r="B27" s="216">
        <f t="shared" si="75"/>
        <v>44359</v>
      </c>
      <c r="C27" s="208">
        <v>0</v>
      </c>
      <c r="D27" s="195">
        <v>0</v>
      </c>
      <c r="E27" s="195">
        <v>0</v>
      </c>
      <c r="F27" s="551">
        <v>0</v>
      </c>
      <c r="G27" s="551">
        <v>0</v>
      </c>
      <c r="H27" s="204"/>
      <c r="I27" s="585">
        <v>8870</v>
      </c>
      <c r="J27" s="195">
        <v>2724</v>
      </c>
      <c r="K27" s="195">
        <v>1381</v>
      </c>
      <c r="L27" s="195">
        <v>866</v>
      </c>
      <c r="M27" s="195"/>
      <c r="N27" s="553">
        <v>0</v>
      </c>
      <c r="O27" s="553">
        <v>2359</v>
      </c>
      <c r="P27" s="553">
        <v>0</v>
      </c>
      <c r="Q27" s="551"/>
      <c r="R27" s="553">
        <v>1277</v>
      </c>
      <c r="S27" s="552"/>
      <c r="T27" s="208">
        <v>0</v>
      </c>
      <c r="U27" s="195">
        <v>0</v>
      </c>
      <c r="V27" s="203">
        <v>1705</v>
      </c>
      <c r="W27" s="554">
        <f>SUM(C27:V27)</f>
        <v>19182</v>
      </c>
    </row>
    <row r="28" spans="1:23" s="3" customFormat="1" ht="15.75" thickBot="1" x14ac:dyDescent="0.3">
      <c r="A28" s="25" t="s">
        <v>2</v>
      </c>
      <c r="B28" s="216">
        <f t="shared" si="75"/>
        <v>44360</v>
      </c>
      <c r="C28" s="208">
        <v>0</v>
      </c>
      <c r="D28" s="195">
        <v>0</v>
      </c>
      <c r="E28" s="195">
        <v>0</v>
      </c>
      <c r="F28" s="179">
        <v>0</v>
      </c>
      <c r="G28" s="179">
        <v>0</v>
      </c>
      <c r="H28" s="204"/>
      <c r="I28" s="584">
        <v>8870</v>
      </c>
      <c r="J28" s="451">
        <v>2724</v>
      </c>
      <c r="K28" s="443">
        <v>1258</v>
      </c>
      <c r="L28" s="444">
        <v>730</v>
      </c>
      <c r="M28" s="194"/>
      <c r="N28" s="191">
        <v>0</v>
      </c>
      <c r="O28" s="401">
        <v>2359</v>
      </c>
      <c r="P28" s="179">
        <v>0</v>
      </c>
      <c r="Q28" s="455"/>
      <c r="R28" s="179">
        <v>1277</v>
      </c>
      <c r="S28" s="456"/>
      <c r="T28" s="443">
        <v>0</v>
      </c>
      <c r="U28" s="272">
        <v>0</v>
      </c>
      <c r="V28" s="448">
        <v>1705</v>
      </c>
      <c r="W28" s="446">
        <f>SUM(C28:V28)</f>
        <v>18923</v>
      </c>
    </row>
    <row r="29" spans="1:23" s="3" customFormat="1" ht="15.75" thickBot="1" x14ac:dyDescent="0.3">
      <c r="A29" s="144" t="s">
        <v>19</v>
      </c>
      <c r="B29" s="777" t="s">
        <v>23</v>
      </c>
      <c r="C29" s="209">
        <f t="shared" ref="C29:V29" si="77">SUM(C22:C28)</f>
        <v>978</v>
      </c>
      <c r="D29" s="201">
        <f t="shared" si="77"/>
        <v>464</v>
      </c>
      <c r="E29" s="201">
        <f t="shared" si="77"/>
        <v>442</v>
      </c>
      <c r="F29" s="201">
        <f t="shared" si="77"/>
        <v>615</v>
      </c>
      <c r="G29" s="201">
        <f>SUM(G22:G28)</f>
        <v>1964</v>
      </c>
      <c r="H29" s="396">
        <f t="shared" si="77"/>
        <v>0</v>
      </c>
      <c r="I29" s="579">
        <f>SUM(I22:I28)</f>
        <v>33054</v>
      </c>
      <c r="J29" s="419">
        <f t="shared" ref="J29" si="78">SUM(J22:J28)</f>
        <v>5448</v>
      </c>
      <c r="K29" s="417">
        <f t="shared" si="77"/>
        <v>7616</v>
      </c>
      <c r="L29" s="418">
        <f t="shared" si="77"/>
        <v>5123</v>
      </c>
      <c r="M29" s="418">
        <f t="shared" si="77"/>
        <v>0</v>
      </c>
      <c r="N29" s="419">
        <f>SUM(N22:N28)</f>
        <v>998</v>
      </c>
      <c r="O29" s="145">
        <f>SUM(O22:O28)</f>
        <v>14965</v>
      </c>
      <c r="P29" s="417">
        <f>SUM(P22:P28)</f>
        <v>2308</v>
      </c>
      <c r="Q29" s="417">
        <f t="shared" si="77"/>
        <v>0</v>
      </c>
      <c r="R29" s="417">
        <f>SUM(R22:R28)</f>
        <v>6186</v>
      </c>
      <c r="S29" s="417">
        <f t="shared" si="77"/>
        <v>0</v>
      </c>
      <c r="T29" s="417">
        <f t="shared" si="77"/>
        <v>356</v>
      </c>
      <c r="U29" s="417">
        <f t="shared" si="77"/>
        <v>176</v>
      </c>
      <c r="V29" s="441">
        <f t="shared" si="77"/>
        <v>3410</v>
      </c>
      <c r="W29" s="442">
        <f>SUM(W22:W28)</f>
        <v>84103</v>
      </c>
    </row>
    <row r="30" spans="1:23" s="3" customFormat="1" ht="15.75" thickBot="1" x14ac:dyDescent="0.3">
      <c r="A30" s="101" t="s">
        <v>21</v>
      </c>
      <c r="B30" s="778"/>
      <c r="C30" s="209">
        <f t="shared" ref="C30:V30" si="79">AVERAGE(C22:C28)</f>
        <v>139.71428571428572</v>
      </c>
      <c r="D30" s="201">
        <f t="shared" si="79"/>
        <v>66.285714285714292</v>
      </c>
      <c r="E30" s="201">
        <f t="shared" si="79"/>
        <v>63.142857142857146</v>
      </c>
      <c r="F30" s="201">
        <f t="shared" si="79"/>
        <v>87.857142857142861</v>
      </c>
      <c r="G30" s="201">
        <f>AVERAGE(G22:G28)</f>
        <v>280.57142857142856</v>
      </c>
      <c r="H30" s="396" t="e">
        <f t="shared" si="79"/>
        <v>#DIV/0!</v>
      </c>
      <c r="I30" s="580">
        <f>AVERAGE(I22:I28)</f>
        <v>4722</v>
      </c>
      <c r="J30" s="396">
        <f t="shared" ref="J30" si="80">AVERAGE(J22:J28)</f>
        <v>778.28571428571433</v>
      </c>
      <c r="K30" s="209">
        <f t="shared" si="79"/>
        <v>1088</v>
      </c>
      <c r="L30" s="201">
        <f t="shared" si="79"/>
        <v>731.85714285714289</v>
      </c>
      <c r="M30" s="201" t="e">
        <f t="shared" si="79"/>
        <v>#DIV/0!</v>
      </c>
      <c r="N30" s="396">
        <f>AVERAGE(N22:N28)</f>
        <v>142.57142857142858</v>
      </c>
      <c r="O30" s="394">
        <f>AVERAGE(O22:O28)</f>
        <v>2137.8571428571427</v>
      </c>
      <c r="P30" s="209">
        <f>AVERAGE(P22:P28)</f>
        <v>329.71428571428572</v>
      </c>
      <c r="Q30" s="209" t="e">
        <f t="shared" si="79"/>
        <v>#DIV/0!</v>
      </c>
      <c r="R30" s="209">
        <f>AVERAGE(R22:R28)</f>
        <v>883.71428571428567</v>
      </c>
      <c r="S30" s="209" t="e">
        <f t="shared" si="79"/>
        <v>#DIV/0!</v>
      </c>
      <c r="T30" s="209">
        <f t="shared" si="79"/>
        <v>50.857142857142854</v>
      </c>
      <c r="U30" s="209">
        <f t="shared" si="79"/>
        <v>25.142857142857142</v>
      </c>
      <c r="V30" s="393">
        <f t="shared" si="79"/>
        <v>487.14285714285717</v>
      </c>
      <c r="W30" s="397">
        <f>AVERAGE(W22:W28)</f>
        <v>12014.714285714286</v>
      </c>
    </row>
    <row r="31" spans="1:23" s="3" customFormat="1" ht="15.75" thickBot="1" x14ac:dyDescent="0.3">
      <c r="A31" s="26" t="s">
        <v>18</v>
      </c>
      <c r="B31" s="778"/>
      <c r="C31" s="210">
        <f t="shared" ref="C31:V31" si="81">SUM(C22:C26)</f>
        <v>978</v>
      </c>
      <c r="D31" s="202">
        <f>SUM(D22:D26)</f>
        <v>464</v>
      </c>
      <c r="E31" s="202">
        <f t="shared" si="81"/>
        <v>442</v>
      </c>
      <c r="F31" s="202">
        <f t="shared" si="81"/>
        <v>615</v>
      </c>
      <c r="G31" s="202">
        <f t="shared" si="81"/>
        <v>1964</v>
      </c>
      <c r="H31" s="398">
        <f t="shared" si="81"/>
        <v>0</v>
      </c>
      <c r="I31" s="581">
        <f>SUM(I22:I26)</f>
        <v>15314</v>
      </c>
      <c r="J31" s="398">
        <f t="shared" ref="J31" si="82">SUM(J22:J26)</f>
        <v>0</v>
      </c>
      <c r="K31" s="210">
        <f t="shared" si="81"/>
        <v>4977</v>
      </c>
      <c r="L31" s="202">
        <f t="shared" si="81"/>
        <v>3527</v>
      </c>
      <c r="M31" s="202">
        <f t="shared" si="81"/>
        <v>0</v>
      </c>
      <c r="N31" s="398">
        <f t="shared" si="81"/>
        <v>998</v>
      </c>
      <c r="O31" s="395">
        <f t="shared" si="81"/>
        <v>10247</v>
      </c>
      <c r="P31" s="210">
        <f t="shared" si="81"/>
        <v>2308</v>
      </c>
      <c r="Q31" s="210">
        <f t="shared" si="81"/>
        <v>0</v>
      </c>
      <c r="R31" s="210">
        <f t="shared" si="81"/>
        <v>3632</v>
      </c>
      <c r="S31" s="210">
        <f t="shared" si="81"/>
        <v>0</v>
      </c>
      <c r="T31" s="210">
        <f t="shared" si="81"/>
        <v>356</v>
      </c>
      <c r="U31" s="210">
        <f t="shared" si="81"/>
        <v>176</v>
      </c>
      <c r="V31" s="400">
        <f t="shared" si="81"/>
        <v>0</v>
      </c>
      <c r="W31" s="402">
        <f>SUM(W22:W26)</f>
        <v>45998</v>
      </c>
    </row>
    <row r="32" spans="1:23" s="3" customFormat="1" ht="15.75" outlineLevel="1" thickBot="1" x14ac:dyDescent="0.3">
      <c r="A32" s="26" t="s">
        <v>20</v>
      </c>
      <c r="B32" s="779"/>
      <c r="C32" s="210">
        <f t="shared" ref="C32:V32" si="83">AVERAGE(C22:C26)</f>
        <v>195.6</v>
      </c>
      <c r="D32" s="202">
        <f t="shared" si="83"/>
        <v>92.8</v>
      </c>
      <c r="E32" s="202">
        <f t="shared" si="83"/>
        <v>88.4</v>
      </c>
      <c r="F32" s="202">
        <f t="shared" si="83"/>
        <v>123</v>
      </c>
      <c r="G32" s="202">
        <f t="shared" si="83"/>
        <v>392.8</v>
      </c>
      <c r="H32" s="398" t="e">
        <f t="shared" si="83"/>
        <v>#DIV/0!</v>
      </c>
      <c r="I32" s="582">
        <f t="shared" ref="I32:J32" si="84">AVERAGE(I22:I26)</f>
        <v>3062.8</v>
      </c>
      <c r="J32" s="399">
        <f t="shared" si="84"/>
        <v>0</v>
      </c>
      <c r="K32" s="37">
        <f t="shared" si="83"/>
        <v>995.4</v>
      </c>
      <c r="L32" s="196">
        <f t="shared" si="83"/>
        <v>705.4</v>
      </c>
      <c r="M32" s="196" t="e">
        <f t="shared" si="83"/>
        <v>#DIV/0!</v>
      </c>
      <c r="N32" s="399">
        <f t="shared" si="83"/>
        <v>199.6</v>
      </c>
      <c r="O32" s="146">
        <f t="shared" si="83"/>
        <v>2049.4</v>
      </c>
      <c r="P32" s="37">
        <f t="shared" si="83"/>
        <v>461.6</v>
      </c>
      <c r="Q32" s="37" t="e">
        <f t="shared" si="83"/>
        <v>#DIV/0!</v>
      </c>
      <c r="R32" s="37">
        <f t="shared" si="83"/>
        <v>726.4</v>
      </c>
      <c r="S32" s="37" t="e">
        <f t="shared" si="83"/>
        <v>#DIV/0!</v>
      </c>
      <c r="T32" s="37">
        <f t="shared" si="83"/>
        <v>71.2</v>
      </c>
      <c r="U32" s="37">
        <f t="shared" si="83"/>
        <v>35.200000000000003</v>
      </c>
      <c r="V32" s="427">
        <f t="shared" si="83"/>
        <v>0</v>
      </c>
      <c r="W32" s="403">
        <f>AVERAGE(W22:W26)</f>
        <v>9199.6</v>
      </c>
    </row>
    <row r="33" spans="1:23" s="3" customFormat="1" outlineLevel="1" x14ac:dyDescent="0.25">
      <c r="A33" s="25" t="s">
        <v>3</v>
      </c>
      <c r="B33" s="222">
        <f>B28+1</f>
        <v>44361</v>
      </c>
      <c r="C33" s="208">
        <v>171</v>
      </c>
      <c r="D33" s="195">
        <v>75</v>
      </c>
      <c r="E33" s="195">
        <v>149</v>
      </c>
      <c r="F33" s="20">
        <v>119</v>
      </c>
      <c r="G33" s="20">
        <v>457</v>
      </c>
      <c r="H33" s="204"/>
      <c r="I33" s="583">
        <v>1619</v>
      </c>
      <c r="J33" s="451">
        <v>0</v>
      </c>
      <c r="K33" s="212">
        <v>1831</v>
      </c>
      <c r="L33" s="457">
        <v>1300</v>
      </c>
      <c r="M33" s="194"/>
      <c r="N33" s="13">
        <v>228</v>
      </c>
      <c r="O33" s="127">
        <v>1611</v>
      </c>
      <c r="P33" s="14">
        <v>281</v>
      </c>
      <c r="Q33" s="14"/>
      <c r="R33" s="14">
        <v>699</v>
      </c>
      <c r="S33" s="13"/>
      <c r="T33" s="212">
        <v>56</v>
      </c>
      <c r="U33" s="194">
        <v>23</v>
      </c>
      <c r="V33" s="242">
        <v>0</v>
      </c>
      <c r="W33" s="16">
        <f>SUM(C33:V33)</f>
        <v>8619</v>
      </c>
    </row>
    <row r="34" spans="1:23" s="3" customFormat="1" outlineLevel="1" x14ac:dyDescent="0.25">
      <c r="A34" s="25" t="s">
        <v>4</v>
      </c>
      <c r="B34" s="223">
        <f t="shared" ref="B34:B39" si="85">B33+1</f>
        <v>44362</v>
      </c>
      <c r="C34" s="208">
        <v>222</v>
      </c>
      <c r="D34" s="195">
        <v>146</v>
      </c>
      <c r="E34" s="195">
        <v>134</v>
      </c>
      <c r="F34" s="20">
        <v>186</v>
      </c>
      <c r="G34" s="20">
        <v>587</v>
      </c>
      <c r="H34" s="204"/>
      <c r="I34" s="577">
        <v>2242</v>
      </c>
      <c r="J34" s="451">
        <v>0</v>
      </c>
      <c r="K34" s="208">
        <v>2018</v>
      </c>
      <c r="L34" s="195">
        <v>1039</v>
      </c>
      <c r="M34" s="195"/>
      <c r="N34" s="19">
        <v>316</v>
      </c>
      <c r="O34" s="128">
        <v>2427</v>
      </c>
      <c r="P34" s="20">
        <v>461</v>
      </c>
      <c r="Q34" s="20"/>
      <c r="R34" s="20">
        <v>973</v>
      </c>
      <c r="S34" s="19"/>
      <c r="T34" s="208">
        <v>95</v>
      </c>
      <c r="U34" s="195">
        <v>37</v>
      </c>
      <c r="V34" s="203">
        <v>0</v>
      </c>
      <c r="W34" s="251">
        <f>SUM(C34:V34)</f>
        <v>10883</v>
      </c>
    </row>
    <row r="35" spans="1:23" s="3" customFormat="1" outlineLevel="1" x14ac:dyDescent="0.25">
      <c r="A35" s="25" t="s">
        <v>5</v>
      </c>
      <c r="B35" s="223">
        <f t="shared" si="85"/>
        <v>44363</v>
      </c>
      <c r="C35" s="208">
        <v>187</v>
      </c>
      <c r="D35" s="195">
        <v>91</v>
      </c>
      <c r="E35" s="195">
        <v>63</v>
      </c>
      <c r="F35" s="20">
        <v>245</v>
      </c>
      <c r="G35" s="20">
        <v>554</v>
      </c>
      <c r="H35" s="204"/>
      <c r="I35" s="577">
        <v>4282</v>
      </c>
      <c r="J35" s="451">
        <v>0</v>
      </c>
      <c r="K35" s="208">
        <v>2345</v>
      </c>
      <c r="L35" s="195">
        <v>1161</v>
      </c>
      <c r="M35" s="195"/>
      <c r="N35" s="19">
        <v>343</v>
      </c>
      <c r="O35" s="128">
        <v>2614</v>
      </c>
      <c r="P35" s="20">
        <v>456</v>
      </c>
      <c r="Q35" s="20"/>
      <c r="R35" s="20">
        <v>1150</v>
      </c>
      <c r="S35" s="19"/>
      <c r="T35" s="208">
        <v>110</v>
      </c>
      <c r="U35" s="195">
        <v>39</v>
      </c>
      <c r="V35" s="203">
        <v>0</v>
      </c>
      <c r="W35" s="251">
        <f>SUM(C35:V35)</f>
        <v>13640</v>
      </c>
    </row>
    <row r="36" spans="1:23" s="3" customFormat="1" x14ac:dyDescent="0.25">
      <c r="A36" s="25" t="s">
        <v>6</v>
      </c>
      <c r="B36" s="223">
        <f t="shared" si="85"/>
        <v>44364</v>
      </c>
      <c r="C36" s="208">
        <v>231</v>
      </c>
      <c r="D36" s="195">
        <v>146</v>
      </c>
      <c r="E36" s="195">
        <v>126</v>
      </c>
      <c r="F36" s="20">
        <v>171</v>
      </c>
      <c r="G36" s="20">
        <v>502</v>
      </c>
      <c r="H36" s="204"/>
      <c r="I36" s="577">
        <v>3796</v>
      </c>
      <c r="J36" s="451">
        <v>0</v>
      </c>
      <c r="K36" s="208">
        <v>2269</v>
      </c>
      <c r="L36" s="195">
        <v>1156</v>
      </c>
      <c r="M36" s="195"/>
      <c r="N36" s="19">
        <v>296</v>
      </c>
      <c r="O36" s="128">
        <v>2921</v>
      </c>
      <c r="P36" s="20">
        <v>467</v>
      </c>
      <c r="Q36" s="20"/>
      <c r="R36" s="20">
        <v>1156</v>
      </c>
      <c r="S36" s="19"/>
      <c r="T36" s="208">
        <v>109</v>
      </c>
      <c r="U36" s="195">
        <v>71</v>
      </c>
      <c r="V36" s="203">
        <v>0</v>
      </c>
      <c r="W36" s="251">
        <f t="shared" ref="W36:W38" si="86">SUM(C36:V36)</f>
        <v>13417</v>
      </c>
    </row>
    <row r="37" spans="1:23" s="3" customFormat="1" x14ac:dyDescent="0.25">
      <c r="A37" s="25" t="s">
        <v>0</v>
      </c>
      <c r="B37" s="223">
        <f t="shared" si="85"/>
        <v>44365</v>
      </c>
      <c r="C37" s="208">
        <v>156</v>
      </c>
      <c r="D37" s="195">
        <v>60</v>
      </c>
      <c r="E37" s="195">
        <v>93</v>
      </c>
      <c r="F37" s="20">
        <v>161</v>
      </c>
      <c r="G37" s="20">
        <v>346</v>
      </c>
      <c r="H37" s="204"/>
      <c r="I37" s="577">
        <v>5369</v>
      </c>
      <c r="J37" s="451">
        <v>0</v>
      </c>
      <c r="K37" s="208">
        <v>2141</v>
      </c>
      <c r="L37" s="195">
        <v>994</v>
      </c>
      <c r="M37" s="195"/>
      <c r="N37" s="19">
        <v>232</v>
      </c>
      <c r="O37" s="128">
        <v>3113</v>
      </c>
      <c r="P37" s="20">
        <v>563</v>
      </c>
      <c r="Q37" s="20"/>
      <c r="R37" s="20">
        <v>1160</v>
      </c>
      <c r="S37" s="19"/>
      <c r="T37" s="208">
        <v>131</v>
      </c>
      <c r="U37" s="195">
        <v>60</v>
      </c>
      <c r="V37" s="203">
        <v>0</v>
      </c>
      <c r="W37" s="251">
        <f>SUM(C37:V37)</f>
        <v>14579</v>
      </c>
    </row>
    <row r="38" spans="1:23" s="3" customFormat="1" x14ac:dyDescent="0.25">
      <c r="A38" s="25" t="s">
        <v>1</v>
      </c>
      <c r="B38" s="223">
        <f t="shared" si="85"/>
        <v>44366</v>
      </c>
      <c r="C38" s="208">
        <v>0</v>
      </c>
      <c r="D38" s="195">
        <v>0</v>
      </c>
      <c r="E38" s="195">
        <v>0</v>
      </c>
      <c r="F38" s="20">
        <v>0</v>
      </c>
      <c r="G38" s="20">
        <v>0</v>
      </c>
      <c r="H38" s="204"/>
      <c r="I38" s="577">
        <v>9067</v>
      </c>
      <c r="J38" s="451">
        <v>2385</v>
      </c>
      <c r="K38" s="208">
        <v>1287</v>
      </c>
      <c r="L38" s="195">
        <v>660</v>
      </c>
      <c r="M38" s="195"/>
      <c r="N38" s="19">
        <v>0</v>
      </c>
      <c r="O38" s="128">
        <v>2719</v>
      </c>
      <c r="P38" s="20">
        <v>0</v>
      </c>
      <c r="Q38" s="20"/>
      <c r="R38" s="20">
        <v>1056</v>
      </c>
      <c r="S38" s="19"/>
      <c r="T38" s="208">
        <v>0</v>
      </c>
      <c r="U38" s="195">
        <v>0</v>
      </c>
      <c r="V38" s="203">
        <v>1416</v>
      </c>
      <c r="W38" s="251">
        <f t="shared" si="86"/>
        <v>18590</v>
      </c>
    </row>
    <row r="39" spans="1:23" s="3" customFormat="1" ht="15.75" thickBot="1" x14ac:dyDescent="0.3">
      <c r="A39" s="25" t="s">
        <v>2</v>
      </c>
      <c r="B39" s="223">
        <f t="shared" si="85"/>
        <v>44367</v>
      </c>
      <c r="C39" s="208"/>
      <c r="D39" s="195"/>
      <c r="E39" s="195"/>
      <c r="F39" s="20"/>
      <c r="G39" s="20"/>
      <c r="H39" s="204"/>
      <c r="I39" s="586">
        <v>10218</v>
      </c>
      <c r="J39" s="451">
        <v>2834</v>
      </c>
      <c r="K39" s="443">
        <v>1379</v>
      </c>
      <c r="L39" s="444">
        <v>776</v>
      </c>
      <c r="M39" s="444"/>
      <c r="N39" s="22">
        <v>973</v>
      </c>
      <c r="O39" s="447">
        <v>2411</v>
      </c>
      <c r="P39" s="439"/>
      <c r="Q39" s="439"/>
      <c r="R39" s="439"/>
      <c r="S39" s="22"/>
      <c r="T39" s="443"/>
      <c r="U39" s="444">
        <v>973</v>
      </c>
      <c r="V39" s="448">
        <v>1751</v>
      </c>
      <c r="W39" s="446">
        <f>SUM(C39:V39)</f>
        <v>21315</v>
      </c>
    </row>
    <row r="40" spans="1:23" s="3" customFormat="1" ht="15.75" thickBot="1" x14ac:dyDescent="0.3">
      <c r="A40" s="144" t="s">
        <v>19</v>
      </c>
      <c r="B40" s="777" t="s">
        <v>24</v>
      </c>
      <c r="C40" s="209">
        <f t="shared" ref="C40:V40" si="87">SUM(C33:C39)</f>
        <v>967</v>
      </c>
      <c r="D40" s="201">
        <f t="shared" si="87"/>
        <v>518</v>
      </c>
      <c r="E40" s="201">
        <f t="shared" si="87"/>
        <v>565</v>
      </c>
      <c r="F40" s="201">
        <f t="shared" si="87"/>
        <v>882</v>
      </c>
      <c r="G40" s="201">
        <f t="shared" si="87"/>
        <v>2446</v>
      </c>
      <c r="H40" s="396">
        <f t="shared" si="87"/>
        <v>0</v>
      </c>
      <c r="I40" s="579">
        <f t="shared" si="87"/>
        <v>36593</v>
      </c>
      <c r="J40" s="419">
        <f t="shared" si="87"/>
        <v>5219</v>
      </c>
      <c r="K40" s="417">
        <f t="shared" si="87"/>
        <v>13270</v>
      </c>
      <c r="L40" s="418">
        <f t="shared" si="87"/>
        <v>7086</v>
      </c>
      <c r="M40" s="418">
        <f t="shared" si="87"/>
        <v>0</v>
      </c>
      <c r="N40" s="419">
        <f t="shared" si="87"/>
        <v>2388</v>
      </c>
      <c r="O40" s="145">
        <f t="shared" si="87"/>
        <v>17816</v>
      </c>
      <c r="P40" s="417">
        <f t="shared" si="87"/>
        <v>2228</v>
      </c>
      <c r="Q40" s="417">
        <f t="shared" si="87"/>
        <v>0</v>
      </c>
      <c r="R40" s="417">
        <f t="shared" si="87"/>
        <v>6194</v>
      </c>
      <c r="S40" s="417">
        <f t="shared" si="87"/>
        <v>0</v>
      </c>
      <c r="T40" s="417">
        <f t="shared" si="87"/>
        <v>501</v>
      </c>
      <c r="U40" s="417">
        <f t="shared" si="87"/>
        <v>1203</v>
      </c>
      <c r="V40" s="441">
        <f t="shared" si="87"/>
        <v>3167</v>
      </c>
      <c r="W40" s="442">
        <f>SUM(W33:W39)</f>
        <v>101043</v>
      </c>
    </row>
    <row r="41" spans="1:23" s="3" customFormat="1" ht="15.75" thickBot="1" x14ac:dyDescent="0.3">
      <c r="A41" s="101" t="s">
        <v>21</v>
      </c>
      <c r="B41" s="778"/>
      <c r="C41" s="209">
        <f t="shared" ref="C41:W41" si="88">AVERAGE(C33:C39)</f>
        <v>161.16666666666666</v>
      </c>
      <c r="D41" s="201">
        <f t="shared" si="88"/>
        <v>86.333333333333329</v>
      </c>
      <c r="E41" s="201">
        <f t="shared" si="88"/>
        <v>94.166666666666671</v>
      </c>
      <c r="F41" s="201">
        <f t="shared" si="88"/>
        <v>147</v>
      </c>
      <c r="G41" s="201">
        <f t="shared" si="88"/>
        <v>407.66666666666669</v>
      </c>
      <c r="H41" s="396" t="e">
        <f t="shared" si="88"/>
        <v>#DIV/0!</v>
      </c>
      <c r="I41" s="580">
        <f t="shared" si="88"/>
        <v>5227.5714285714284</v>
      </c>
      <c r="J41" s="396">
        <f t="shared" si="88"/>
        <v>745.57142857142856</v>
      </c>
      <c r="K41" s="209">
        <f t="shared" si="88"/>
        <v>1895.7142857142858</v>
      </c>
      <c r="L41" s="201">
        <f t="shared" si="88"/>
        <v>1012.2857142857143</v>
      </c>
      <c r="M41" s="201" t="e">
        <f t="shared" si="88"/>
        <v>#DIV/0!</v>
      </c>
      <c r="N41" s="396">
        <f t="shared" si="88"/>
        <v>341.14285714285717</v>
      </c>
      <c r="O41" s="394">
        <f t="shared" si="88"/>
        <v>2545.1428571428573</v>
      </c>
      <c r="P41" s="209">
        <f t="shared" si="88"/>
        <v>371.33333333333331</v>
      </c>
      <c r="Q41" s="209" t="e">
        <f t="shared" si="88"/>
        <v>#DIV/0!</v>
      </c>
      <c r="R41" s="209">
        <f t="shared" si="88"/>
        <v>1032.3333333333333</v>
      </c>
      <c r="S41" s="209" t="e">
        <f t="shared" si="88"/>
        <v>#DIV/0!</v>
      </c>
      <c r="T41" s="209">
        <f t="shared" si="88"/>
        <v>83.5</v>
      </c>
      <c r="U41" s="209">
        <f t="shared" si="88"/>
        <v>171.85714285714286</v>
      </c>
      <c r="V41" s="393">
        <f t="shared" si="88"/>
        <v>452.42857142857144</v>
      </c>
      <c r="W41" s="397">
        <f t="shared" si="88"/>
        <v>14434.714285714286</v>
      </c>
    </row>
    <row r="42" spans="1:23" s="3" customFormat="1" ht="15.75" thickBot="1" x14ac:dyDescent="0.3">
      <c r="A42" s="26" t="s">
        <v>18</v>
      </c>
      <c r="B42" s="778"/>
      <c r="C42" s="210">
        <f t="shared" ref="C42:V42" si="89">SUM(C33:C37)</f>
        <v>967</v>
      </c>
      <c r="D42" s="202">
        <f t="shared" si="89"/>
        <v>518</v>
      </c>
      <c r="E42" s="202">
        <f t="shared" si="89"/>
        <v>565</v>
      </c>
      <c r="F42" s="202">
        <f t="shared" si="89"/>
        <v>882</v>
      </c>
      <c r="G42" s="202">
        <f t="shared" si="89"/>
        <v>2446</v>
      </c>
      <c r="H42" s="398">
        <f t="shared" si="89"/>
        <v>0</v>
      </c>
      <c r="I42" s="581">
        <f>SUM(I33:I37)</f>
        <v>17308</v>
      </c>
      <c r="J42" s="398">
        <f>SUM(J33:J37)</f>
        <v>0</v>
      </c>
      <c r="K42" s="210">
        <f t="shared" si="89"/>
        <v>10604</v>
      </c>
      <c r="L42" s="202">
        <f t="shared" si="89"/>
        <v>5650</v>
      </c>
      <c r="M42" s="202">
        <f t="shared" si="89"/>
        <v>0</v>
      </c>
      <c r="N42" s="398">
        <f t="shared" si="89"/>
        <v>1415</v>
      </c>
      <c r="O42" s="395">
        <f t="shared" si="89"/>
        <v>12686</v>
      </c>
      <c r="P42" s="210">
        <f t="shared" si="89"/>
        <v>2228</v>
      </c>
      <c r="Q42" s="210">
        <f t="shared" si="89"/>
        <v>0</v>
      </c>
      <c r="R42" s="210">
        <f t="shared" si="89"/>
        <v>5138</v>
      </c>
      <c r="S42" s="210">
        <f t="shared" si="89"/>
        <v>0</v>
      </c>
      <c r="T42" s="210">
        <f t="shared" si="89"/>
        <v>501</v>
      </c>
      <c r="U42" s="210">
        <f t="shared" si="89"/>
        <v>230</v>
      </c>
      <c r="V42" s="400">
        <f t="shared" si="89"/>
        <v>0</v>
      </c>
      <c r="W42" s="402">
        <f>SUM(W33:W37)</f>
        <v>61138</v>
      </c>
    </row>
    <row r="43" spans="1:23" s="3" customFormat="1" ht="15.75" outlineLevel="1" thickBot="1" x14ac:dyDescent="0.3">
      <c r="A43" s="26" t="s">
        <v>20</v>
      </c>
      <c r="B43" s="779"/>
      <c r="C43" s="210">
        <f>AVERAGE(C33:C37)</f>
        <v>193.4</v>
      </c>
      <c r="D43" s="202">
        <f t="shared" ref="D43:V43" si="90">AVERAGE(D33:D37)</f>
        <v>103.6</v>
      </c>
      <c r="E43" s="202">
        <f t="shared" si="90"/>
        <v>113</v>
      </c>
      <c r="F43" s="202">
        <f t="shared" si="90"/>
        <v>176.4</v>
      </c>
      <c r="G43" s="202">
        <f t="shared" si="90"/>
        <v>489.2</v>
      </c>
      <c r="H43" s="398" t="e">
        <f t="shared" si="90"/>
        <v>#DIV/0!</v>
      </c>
      <c r="I43" s="582">
        <f t="shared" si="90"/>
        <v>3461.6</v>
      </c>
      <c r="J43" s="399">
        <f t="shared" si="90"/>
        <v>0</v>
      </c>
      <c r="K43" s="37">
        <f t="shared" si="90"/>
        <v>2120.8000000000002</v>
      </c>
      <c r="L43" s="196">
        <f t="shared" si="90"/>
        <v>1130</v>
      </c>
      <c r="M43" s="196" t="e">
        <f t="shared" si="90"/>
        <v>#DIV/0!</v>
      </c>
      <c r="N43" s="399">
        <f t="shared" si="90"/>
        <v>283</v>
      </c>
      <c r="O43" s="146">
        <f t="shared" si="90"/>
        <v>2537.1999999999998</v>
      </c>
      <c r="P43" s="37">
        <f t="shared" si="90"/>
        <v>445.6</v>
      </c>
      <c r="Q43" s="37" t="e">
        <f t="shared" si="90"/>
        <v>#DIV/0!</v>
      </c>
      <c r="R43" s="37">
        <f t="shared" si="90"/>
        <v>1027.5999999999999</v>
      </c>
      <c r="S43" s="37" t="e">
        <f t="shared" si="90"/>
        <v>#DIV/0!</v>
      </c>
      <c r="T43" s="37">
        <f t="shared" si="90"/>
        <v>100.2</v>
      </c>
      <c r="U43" s="37">
        <f t="shared" si="90"/>
        <v>46</v>
      </c>
      <c r="V43" s="427">
        <f t="shared" si="90"/>
        <v>0</v>
      </c>
      <c r="W43" s="403">
        <f>AVERAGE(W33:W37)</f>
        <v>12227.6</v>
      </c>
    </row>
    <row r="44" spans="1:23" s="3" customFormat="1" outlineLevel="1" x14ac:dyDescent="0.25">
      <c r="A44" s="25" t="s">
        <v>3</v>
      </c>
      <c r="B44" s="222">
        <f>B39+1</f>
        <v>44368</v>
      </c>
      <c r="C44" s="512">
        <v>165</v>
      </c>
      <c r="D44" s="513">
        <v>74</v>
      </c>
      <c r="E44" s="513">
        <v>112</v>
      </c>
      <c r="F44" s="520">
        <v>184</v>
      </c>
      <c r="G44" s="520">
        <v>507</v>
      </c>
      <c r="H44" s="516">
        <v>16</v>
      </c>
      <c r="I44" s="587">
        <v>3663</v>
      </c>
      <c r="J44" s="507"/>
      <c r="K44" s="348">
        <v>1801</v>
      </c>
      <c r="L44" s="503">
        <v>877</v>
      </c>
      <c r="M44" s="503"/>
      <c r="N44" s="505">
        <v>266</v>
      </c>
      <c r="O44" s="508">
        <v>2161</v>
      </c>
      <c r="P44" s="504">
        <v>394</v>
      </c>
      <c r="Q44" s="504">
        <v>116</v>
      </c>
      <c r="R44" s="509">
        <v>847</v>
      </c>
      <c r="S44" s="510"/>
      <c r="T44" s="348">
        <v>92</v>
      </c>
      <c r="U44" s="503">
        <v>36</v>
      </c>
      <c r="V44" s="511"/>
      <c r="W44" s="16">
        <f t="shared" ref="W44:W50" si="91">SUM(C44:V44)</f>
        <v>11311</v>
      </c>
    </row>
    <row r="45" spans="1:23" s="3" customFormat="1" outlineLevel="1" x14ac:dyDescent="0.25">
      <c r="A45" s="136" t="s">
        <v>4</v>
      </c>
      <c r="B45" s="223">
        <f t="shared" ref="B45:B50" si="92">B44+1</f>
        <v>44369</v>
      </c>
      <c r="C45" s="512">
        <v>206</v>
      </c>
      <c r="D45" s="513">
        <v>113</v>
      </c>
      <c r="E45" s="513">
        <v>132</v>
      </c>
      <c r="F45" s="514">
        <v>164</v>
      </c>
      <c r="G45" s="514">
        <v>547</v>
      </c>
      <c r="H45" s="516">
        <v>26</v>
      </c>
      <c r="I45" s="588">
        <v>1644</v>
      </c>
      <c r="J45" s="517"/>
      <c r="K45" s="512">
        <v>1739</v>
      </c>
      <c r="L45" s="518">
        <v>768</v>
      </c>
      <c r="M45" s="513"/>
      <c r="N45" s="515">
        <v>288</v>
      </c>
      <c r="O45" s="519">
        <v>1872</v>
      </c>
      <c r="P45" s="520">
        <v>381</v>
      </c>
      <c r="Q45" s="514">
        <v>100</v>
      </c>
      <c r="R45" s="514">
        <v>874</v>
      </c>
      <c r="S45" s="515"/>
      <c r="T45" s="512">
        <v>74</v>
      </c>
      <c r="U45" s="513">
        <v>35</v>
      </c>
      <c r="V45" s="521"/>
      <c r="W45" s="251">
        <f t="shared" si="91"/>
        <v>8963</v>
      </c>
    </row>
    <row r="46" spans="1:23" s="3" customFormat="1" outlineLevel="1" x14ac:dyDescent="0.25">
      <c r="A46" s="136" t="s">
        <v>5</v>
      </c>
      <c r="B46" s="223">
        <f t="shared" si="92"/>
        <v>44370</v>
      </c>
      <c r="C46" s="512">
        <v>229</v>
      </c>
      <c r="D46" s="513">
        <v>97</v>
      </c>
      <c r="E46" s="513">
        <v>166</v>
      </c>
      <c r="F46" s="514">
        <v>153</v>
      </c>
      <c r="G46" s="514">
        <v>560</v>
      </c>
      <c r="H46" s="516">
        <v>34</v>
      </c>
      <c r="I46" s="588">
        <v>3976</v>
      </c>
      <c r="J46" s="517"/>
      <c r="K46" s="512">
        <v>2380</v>
      </c>
      <c r="L46" s="513">
        <v>1091</v>
      </c>
      <c r="M46" s="513"/>
      <c r="N46" s="515">
        <v>361</v>
      </c>
      <c r="O46" s="519">
        <v>2918</v>
      </c>
      <c r="P46" s="514">
        <v>450</v>
      </c>
      <c r="Q46" s="514">
        <v>133</v>
      </c>
      <c r="R46" s="514">
        <v>1219</v>
      </c>
      <c r="S46" s="515"/>
      <c r="T46" s="512">
        <v>156</v>
      </c>
      <c r="U46" s="513">
        <v>50</v>
      </c>
      <c r="V46" s="521"/>
      <c r="W46" s="251">
        <f t="shared" si="91"/>
        <v>13973</v>
      </c>
    </row>
    <row r="47" spans="1:23" s="3" customFormat="1" x14ac:dyDescent="0.25">
      <c r="A47" s="136" t="s">
        <v>6</v>
      </c>
      <c r="B47" s="223">
        <f t="shared" si="92"/>
        <v>44371</v>
      </c>
      <c r="C47" s="512">
        <v>80</v>
      </c>
      <c r="D47" s="513">
        <v>75</v>
      </c>
      <c r="E47" s="513">
        <v>128</v>
      </c>
      <c r="F47" s="514">
        <v>177</v>
      </c>
      <c r="G47" s="514">
        <v>524</v>
      </c>
      <c r="H47" s="516">
        <v>20</v>
      </c>
      <c r="I47" s="588">
        <v>5668</v>
      </c>
      <c r="J47" s="517"/>
      <c r="K47" s="274">
        <v>2403</v>
      </c>
      <c r="L47" s="513">
        <v>922</v>
      </c>
      <c r="M47" s="513"/>
      <c r="N47" s="515">
        <v>419</v>
      </c>
      <c r="O47" s="519">
        <v>3192</v>
      </c>
      <c r="P47" s="514">
        <v>440</v>
      </c>
      <c r="Q47" s="514">
        <v>164</v>
      </c>
      <c r="R47" s="514">
        <v>1357</v>
      </c>
      <c r="S47" s="515"/>
      <c r="T47" s="512">
        <v>133</v>
      </c>
      <c r="U47" s="513">
        <v>48</v>
      </c>
      <c r="V47" s="521"/>
      <c r="W47" s="251">
        <f t="shared" si="91"/>
        <v>15750</v>
      </c>
    </row>
    <row r="48" spans="1:23" s="3" customFormat="1" x14ac:dyDescent="0.25">
      <c r="A48" s="25" t="s">
        <v>0</v>
      </c>
      <c r="B48" s="224">
        <f t="shared" si="92"/>
        <v>44372</v>
      </c>
      <c r="C48" s="512">
        <v>154</v>
      </c>
      <c r="D48" s="513">
        <v>74</v>
      </c>
      <c r="E48" s="513">
        <v>123</v>
      </c>
      <c r="F48" s="514">
        <v>106</v>
      </c>
      <c r="G48" s="514">
        <v>386</v>
      </c>
      <c r="H48" s="516">
        <v>49</v>
      </c>
      <c r="I48" s="588">
        <v>3883</v>
      </c>
      <c r="J48" s="517"/>
      <c r="K48" s="512">
        <v>2076</v>
      </c>
      <c r="L48" s="513">
        <v>875</v>
      </c>
      <c r="M48" s="513"/>
      <c r="N48" s="515">
        <v>234</v>
      </c>
      <c r="O48" s="519">
        <v>3035</v>
      </c>
      <c r="P48" s="514">
        <v>515</v>
      </c>
      <c r="Q48" s="514">
        <v>96</v>
      </c>
      <c r="R48" s="514">
        <v>1092</v>
      </c>
      <c r="S48" s="515"/>
      <c r="T48" s="512">
        <v>154</v>
      </c>
      <c r="U48" s="513">
        <v>53</v>
      </c>
      <c r="V48" s="521"/>
      <c r="W48" s="251">
        <f t="shared" si="91"/>
        <v>12905</v>
      </c>
    </row>
    <row r="49" spans="1:23" s="3" customFormat="1" x14ac:dyDescent="0.25">
      <c r="A49" s="25" t="s">
        <v>1</v>
      </c>
      <c r="B49" s="224">
        <f t="shared" si="92"/>
        <v>44373</v>
      </c>
      <c r="C49" s="512">
        <v>0</v>
      </c>
      <c r="D49" s="513">
        <v>0</v>
      </c>
      <c r="E49" s="513">
        <v>0</v>
      </c>
      <c r="F49" s="514">
        <v>0</v>
      </c>
      <c r="G49" s="514">
        <v>0</v>
      </c>
      <c r="H49" s="516"/>
      <c r="I49" s="588">
        <v>9695</v>
      </c>
      <c r="J49" s="517">
        <v>2892</v>
      </c>
      <c r="K49" s="512">
        <v>1303</v>
      </c>
      <c r="L49" s="513">
        <v>808</v>
      </c>
      <c r="M49" s="513"/>
      <c r="N49" s="515">
        <v>0</v>
      </c>
      <c r="O49" s="519">
        <v>2984</v>
      </c>
      <c r="P49" s="514">
        <v>0</v>
      </c>
      <c r="Q49" s="514">
        <v>0</v>
      </c>
      <c r="R49" s="514">
        <v>1422</v>
      </c>
      <c r="S49" s="515"/>
      <c r="T49" s="512">
        <v>0</v>
      </c>
      <c r="U49" s="513">
        <v>0</v>
      </c>
      <c r="V49" s="521">
        <v>2122</v>
      </c>
      <c r="W49" s="251">
        <f t="shared" si="91"/>
        <v>21226</v>
      </c>
    </row>
    <row r="50" spans="1:23" s="3" customFormat="1" ht="15.75" thickBot="1" x14ac:dyDescent="0.3">
      <c r="A50" s="136" t="s">
        <v>2</v>
      </c>
      <c r="B50" s="224">
        <f t="shared" si="92"/>
        <v>44374</v>
      </c>
      <c r="C50" s="512"/>
      <c r="D50" s="513"/>
      <c r="E50" s="513"/>
      <c r="F50" s="514"/>
      <c r="G50" s="514"/>
      <c r="H50" s="516"/>
      <c r="I50" s="589">
        <v>6017</v>
      </c>
      <c r="J50" s="526">
        <v>1690</v>
      </c>
      <c r="K50" s="522">
        <v>1037</v>
      </c>
      <c r="L50" s="523">
        <v>785</v>
      </c>
      <c r="M50" s="523"/>
      <c r="N50" s="525"/>
      <c r="O50" s="527">
        <v>2733</v>
      </c>
      <c r="P50" s="524"/>
      <c r="Q50" s="524"/>
      <c r="R50" s="524">
        <v>1066</v>
      </c>
      <c r="S50" s="525"/>
      <c r="T50" s="522"/>
      <c r="U50" s="523"/>
      <c r="V50" s="432">
        <v>870</v>
      </c>
      <c r="W50" s="446">
        <f t="shared" si="91"/>
        <v>14198</v>
      </c>
    </row>
    <row r="51" spans="1:23" s="3" customFormat="1" ht="15.75" thickBot="1" x14ac:dyDescent="0.3">
      <c r="A51" s="144" t="s">
        <v>19</v>
      </c>
      <c r="B51" s="777" t="s">
        <v>25</v>
      </c>
      <c r="C51" s="209">
        <f t="shared" ref="C51:V51" si="93">SUM(C44:C50)</f>
        <v>834</v>
      </c>
      <c r="D51" s="201">
        <f t="shared" si="93"/>
        <v>433</v>
      </c>
      <c r="E51" s="201">
        <f t="shared" si="93"/>
        <v>661</v>
      </c>
      <c r="F51" s="201">
        <f t="shared" si="93"/>
        <v>784</v>
      </c>
      <c r="G51" s="201">
        <f t="shared" si="93"/>
        <v>2524</v>
      </c>
      <c r="H51" s="396">
        <f t="shared" si="93"/>
        <v>145</v>
      </c>
      <c r="I51" s="579">
        <f>SUM(I44:I50)</f>
        <v>34546</v>
      </c>
      <c r="J51" s="419">
        <f>SUM(J44:J50)</f>
        <v>4582</v>
      </c>
      <c r="K51" s="417">
        <f t="shared" si="93"/>
        <v>12739</v>
      </c>
      <c r="L51" s="418">
        <f t="shared" si="93"/>
        <v>6126</v>
      </c>
      <c r="M51" s="418">
        <f t="shared" si="93"/>
        <v>0</v>
      </c>
      <c r="N51" s="419">
        <f t="shared" si="93"/>
        <v>1568</v>
      </c>
      <c r="O51" s="145">
        <f t="shared" si="93"/>
        <v>18895</v>
      </c>
      <c r="P51" s="417">
        <f t="shared" si="93"/>
        <v>2180</v>
      </c>
      <c r="Q51" s="417">
        <f t="shared" si="93"/>
        <v>609</v>
      </c>
      <c r="R51" s="417">
        <f t="shared" si="93"/>
        <v>7877</v>
      </c>
      <c r="S51" s="417">
        <f t="shared" si="93"/>
        <v>0</v>
      </c>
      <c r="T51" s="417">
        <f t="shared" si="93"/>
        <v>609</v>
      </c>
      <c r="U51" s="417">
        <f t="shared" si="93"/>
        <v>222</v>
      </c>
      <c r="V51" s="441">
        <f t="shared" si="93"/>
        <v>2992</v>
      </c>
      <c r="W51" s="442">
        <f>SUM(W44:W50)</f>
        <v>98326</v>
      </c>
    </row>
    <row r="52" spans="1:23" s="3" customFormat="1" ht="15.75" thickBot="1" x14ac:dyDescent="0.3">
      <c r="A52" s="101" t="s">
        <v>21</v>
      </c>
      <c r="B52" s="778"/>
      <c r="C52" s="209">
        <f t="shared" ref="C52:W52" si="94">AVERAGE(C44:C50)</f>
        <v>139</v>
      </c>
      <c r="D52" s="201">
        <f t="shared" si="94"/>
        <v>72.166666666666671</v>
      </c>
      <c r="E52" s="201">
        <f t="shared" si="94"/>
        <v>110.16666666666667</v>
      </c>
      <c r="F52" s="201">
        <f t="shared" si="94"/>
        <v>130.66666666666666</v>
      </c>
      <c r="G52" s="201">
        <f t="shared" si="94"/>
        <v>420.66666666666669</v>
      </c>
      <c r="H52" s="396">
        <f t="shared" si="94"/>
        <v>29</v>
      </c>
      <c r="I52" s="580">
        <f t="shared" si="94"/>
        <v>4935.1428571428569</v>
      </c>
      <c r="J52" s="396">
        <f t="shared" si="94"/>
        <v>2291</v>
      </c>
      <c r="K52" s="209">
        <f t="shared" si="94"/>
        <v>1819.8571428571429</v>
      </c>
      <c r="L52" s="201">
        <f t="shared" si="94"/>
        <v>875.14285714285711</v>
      </c>
      <c r="M52" s="201" t="e">
        <f t="shared" si="94"/>
        <v>#DIV/0!</v>
      </c>
      <c r="N52" s="396">
        <f t="shared" si="94"/>
        <v>261.33333333333331</v>
      </c>
      <c r="O52" s="394">
        <f t="shared" si="94"/>
        <v>2699.2857142857142</v>
      </c>
      <c r="P52" s="209">
        <f t="shared" si="94"/>
        <v>363.33333333333331</v>
      </c>
      <c r="Q52" s="209">
        <f t="shared" si="94"/>
        <v>101.5</v>
      </c>
      <c r="R52" s="209">
        <f t="shared" si="94"/>
        <v>1125.2857142857142</v>
      </c>
      <c r="S52" s="209" t="e">
        <f t="shared" si="94"/>
        <v>#DIV/0!</v>
      </c>
      <c r="T52" s="209">
        <f t="shared" si="94"/>
        <v>101.5</v>
      </c>
      <c r="U52" s="209">
        <f t="shared" si="94"/>
        <v>37</v>
      </c>
      <c r="V52" s="393">
        <f t="shared" si="94"/>
        <v>1496</v>
      </c>
      <c r="W52" s="397">
        <f t="shared" si="94"/>
        <v>14046.571428571429</v>
      </c>
    </row>
    <row r="53" spans="1:23" s="3" customFormat="1" ht="15.75" thickBot="1" x14ac:dyDescent="0.3">
      <c r="A53" s="26" t="s">
        <v>18</v>
      </c>
      <c r="B53" s="778"/>
      <c r="C53" s="210">
        <f t="shared" ref="C53:V53" si="95">SUM(C44:C48)</f>
        <v>834</v>
      </c>
      <c r="D53" s="202">
        <f t="shared" si="95"/>
        <v>433</v>
      </c>
      <c r="E53" s="202">
        <f t="shared" si="95"/>
        <v>661</v>
      </c>
      <c r="F53" s="202">
        <f t="shared" si="95"/>
        <v>784</v>
      </c>
      <c r="G53" s="202">
        <f t="shared" si="95"/>
        <v>2524</v>
      </c>
      <c r="H53" s="398">
        <f t="shared" si="95"/>
        <v>145</v>
      </c>
      <c r="I53" s="581">
        <f t="shared" si="95"/>
        <v>18834</v>
      </c>
      <c r="J53" s="398">
        <f t="shared" si="95"/>
        <v>0</v>
      </c>
      <c r="K53" s="210">
        <f t="shared" si="95"/>
        <v>10399</v>
      </c>
      <c r="L53" s="202">
        <f t="shared" si="95"/>
        <v>4533</v>
      </c>
      <c r="M53" s="202">
        <f t="shared" si="95"/>
        <v>0</v>
      </c>
      <c r="N53" s="398">
        <f t="shared" si="95"/>
        <v>1568</v>
      </c>
      <c r="O53" s="395">
        <f t="shared" si="95"/>
        <v>13178</v>
      </c>
      <c r="P53" s="210">
        <f t="shared" si="95"/>
        <v>2180</v>
      </c>
      <c r="Q53" s="210">
        <f t="shared" si="95"/>
        <v>609</v>
      </c>
      <c r="R53" s="210">
        <f t="shared" si="95"/>
        <v>5389</v>
      </c>
      <c r="S53" s="210">
        <f t="shared" si="95"/>
        <v>0</v>
      </c>
      <c r="T53" s="210">
        <f t="shared" si="95"/>
        <v>609</v>
      </c>
      <c r="U53" s="210">
        <f t="shared" si="95"/>
        <v>222</v>
      </c>
      <c r="V53" s="400">
        <f t="shared" si="95"/>
        <v>0</v>
      </c>
      <c r="W53" s="402">
        <f>SUM(W44:W48)</f>
        <v>62902</v>
      </c>
    </row>
    <row r="54" spans="1:23" s="3" customFormat="1" ht="15.75" outlineLevel="1" thickBot="1" x14ac:dyDescent="0.3">
      <c r="A54" s="26" t="s">
        <v>20</v>
      </c>
      <c r="B54" s="778"/>
      <c r="C54" s="210">
        <f t="shared" ref="C54:W54" si="96">AVERAGE(C44:C48)</f>
        <v>166.8</v>
      </c>
      <c r="D54" s="202">
        <f t="shared" si="96"/>
        <v>86.6</v>
      </c>
      <c r="E54" s="202">
        <f t="shared" si="96"/>
        <v>132.19999999999999</v>
      </c>
      <c r="F54" s="202">
        <f t="shared" si="96"/>
        <v>156.80000000000001</v>
      </c>
      <c r="G54" s="202">
        <f t="shared" si="96"/>
        <v>504.8</v>
      </c>
      <c r="H54" s="398">
        <f t="shared" si="96"/>
        <v>29</v>
      </c>
      <c r="I54" s="582">
        <f t="shared" si="96"/>
        <v>3766.8</v>
      </c>
      <c r="J54" s="399" t="e">
        <f t="shared" si="96"/>
        <v>#DIV/0!</v>
      </c>
      <c r="K54" s="37">
        <f t="shared" si="96"/>
        <v>2079.8000000000002</v>
      </c>
      <c r="L54" s="196">
        <f t="shared" si="96"/>
        <v>906.6</v>
      </c>
      <c r="M54" s="196" t="e">
        <f t="shared" si="96"/>
        <v>#DIV/0!</v>
      </c>
      <c r="N54" s="399">
        <f t="shared" si="96"/>
        <v>313.60000000000002</v>
      </c>
      <c r="O54" s="146">
        <f t="shared" si="96"/>
        <v>2635.6</v>
      </c>
      <c r="P54" s="37">
        <f t="shared" si="96"/>
        <v>436</v>
      </c>
      <c r="Q54" s="37">
        <f t="shared" si="96"/>
        <v>121.8</v>
      </c>
      <c r="R54" s="37">
        <f t="shared" si="96"/>
        <v>1077.8</v>
      </c>
      <c r="S54" s="37" t="e">
        <f t="shared" si="96"/>
        <v>#DIV/0!</v>
      </c>
      <c r="T54" s="37">
        <f t="shared" si="96"/>
        <v>121.8</v>
      </c>
      <c r="U54" s="37">
        <f t="shared" si="96"/>
        <v>44.4</v>
      </c>
      <c r="V54" s="427" t="e">
        <f t="shared" si="96"/>
        <v>#DIV/0!</v>
      </c>
      <c r="W54" s="501">
        <f t="shared" si="96"/>
        <v>12580.4</v>
      </c>
    </row>
    <row r="55" spans="1:23" s="3" customFormat="1" outlineLevel="1" x14ac:dyDescent="0.25">
      <c r="A55" s="136" t="s">
        <v>3</v>
      </c>
      <c r="B55" s="576">
        <f>B50+1</f>
        <v>44375</v>
      </c>
      <c r="C55" s="18">
        <v>192</v>
      </c>
      <c r="D55" s="20">
        <v>87</v>
      </c>
      <c r="E55" s="20">
        <v>153</v>
      </c>
      <c r="F55" s="20">
        <v>141</v>
      </c>
      <c r="G55" s="20">
        <v>497</v>
      </c>
      <c r="H55" s="19">
        <v>36</v>
      </c>
      <c r="I55" s="590">
        <v>3435</v>
      </c>
      <c r="J55" s="414"/>
      <c r="K55" s="416">
        <v>2192</v>
      </c>
      <c r="L55" s="407">
        <v>925</v>
      </c>
      <c r="M55" s="407"/>
      <c r="N55" s="13">
        <v>277</v>
      </c>
      <c r="O55" s="12">
        <v>2405</v>
      </c>
      <c r="P55" s="14">
        <v>366</v>
      </c>
      <c r="Q55" s="14">
        <v>113</v>
      </c>
      <c r="R55" s="14">
        <v>829</v>
      </c>
      <c r="S55" s="56"/>
      <c r="T55" s="14">
        <v>130</v>
      </c>
      <c r="U55" s="14">
        <v>60</v>
      </c>
      <c r="V55" s="56"/>
      <c r="W55" s="17">
        <f t="shared" ref="W55:W57" si="97">SUM(C55:V55)</f>
        <v>11838</v>
      </c>
    </row>
    <row r="56" spans="1:23" s="3" customFormat="1" outlineLevel="1" x14ac:dyDescent="0.25">
      <c r="A56" s="136" t="s">
        <v>4</v>
      </c>
      <c r="B56" s="223">
        <f>B55+1</f>
        <v>44376</v>
      </c>
      <c r="C56" s="18">
        <v>236</v>
      </c>
      <c r="D56" s="20">
        <v>143</v>
      </c>
      <c r="E56" s="20">
        <v>157</v>
      </c>
      <c r="F56" s="20">
        <v>172</v>
      </c>
      <c r="G56" s="20">
        <v>643</v>
      </c>
      <c r="H56" s="19">
        <v>79</v>
      </c>
      <c r="I56" s="591">
        <v>2082</v>
      </c>
      <c r="J56" s="414"/>
      <c r="K56" s="416">
        <v>1667</v>
      </c>
      <c r="L56" s="407">
        <v>960</v>
      </c>
      <c r="M56" s="407"/>
      <c r="N56" s="13">
        <v>331</v>
      </c>
      <c r="O56" s="18">
        <v>2588</v>
      </c>
      <c r="P56" s="20">
        <v>529</v>
      </c>
      <c r="Q56" s="20">
        <v>92</v>
      </c>
      <c r="R56" s="20">
        <v>907</v>
      </c>
      <c r="S56" s="57"/>
      <c r="T56" s="20">
        <v>139</v>
      </c>
      <c r="U56" s="20">
        <v>55</v>
      </c>
      <c r="V56" s="57"/>
      <c r="W56" s="251">
        <f t="shared" si="97"/>
        <v>10780</v>
      </c>
    </row>
    <row r="57" spans="1:23" s="3" customFormat="1" ht="15.75" outlineLevel="1" thickBot="1" x14ac:dyDescent="0.3">
      <c r="A57" s="136" t="s">
        <v>5</v>
      </c>
      <c r="B57" s="223">
        <f t="shared" ref="B57" si="98">B56+1</f>
        <v>44377</v>
      </c>
      <c r="C57" s="18">
        <v>215</v>
      </c>
      <c r="D57" s="20">
        <v>105</v>
      </c>
      <c r="E57" s="20">
        <v>166</v>
      </c>
      <c r="F57" s="20">
        <v>196</v>
      </c>
      <c r="G57" s="20">
        <v>568</v>
      </c>
      <c r="H57" s="19">
        <v>23</v>
      </c>
      <c r="I57" s="591">
        <v>1799</v>
      </c>
      <c r="J57" s="414"/>
      <c r="K57" s="416">
        <v>2226</v>
      </c>
      <c r="L57" s="407">
        <v>814</v>
      </c>
      <c r="M57" s="407"/>
      <c r="N57" s="13">
        <v>314</v>
      </c>
      <c r="O57" s="18">
        <v>2720</v>
      </c>
      <c r="P57" s="20">
        <v>465</v>
      </c>
      <c r="Q57" s="20">
        <v>113</v>
      </c>
      <c r="R57" s="20">
        <v>972</v>
      </c>
      <c r="S57" s="57"/>
      <c r="T57" s="20">
        <v>136</v>
      </c>
      <c r="U57" s="20">
        <v>47</v>
      </c>
      <c r="V57" s="57"/>
      <c r="W57" s="251">
        <f t="shared" si="97"/>
        <v>10879</v>
      </c>
    </row>
    <row r="58" spans="1:23" s="3" customFormat="1" ht="15.75" hidden="1" thickBot="1" x14ac:dyDescent="0.3">
      <c r="A58" s="136" t="s">
        <v>6</v>
      </c>
      <c r="B58" s="223"/>
      <c r="C58" s="18"/>
      <c r="D58" s="20"/>
      <c r="E58" s="20"/>
      <c r="F58" s="20"/>
      <c r="G58" s="20"/>
      <c r="H58" s="19"/>
      <c r="I58" s="591"/>
      <c r="J58" s="414"/>
      <c r="K58" s="12"/>
      <c r="L58" s="14"/>
      <c r="M58" s="14"/>
      <c r="N58" s="13"/>
      <c r="O58" s="18"/>
      <c r="P58" s="20"/>
      <c r="Q58" s="20"/>
      <c r="R58" s="20"/>
      <c r="S58" s="57"/>
      <c r="T58" s="20"/>
      <c r="U58" s="20"/>
      <c r="V58" s="57"/>
      <c r="W58" s="251"/>
    </row>
    <row r="59" spans="1:23" s="3" customFormat="1" ht="15.75" hidden="1" thickBot="1" x14ac:dyDescent="0.3">
      <c r="A59" s="25" t="s">
        <v>0</v>
      </c>
      <c r="B59" s="223"/>
      <c r="C59" s="18"/>
      <c r="D59" s="20"/>
      <c r="E59" s="20"/>
      <c r="F59" s="20"/>
      <c r="G59" s="20"/>
      <c r="H59" s="19"/>
      <c r="I59" s="591"/>
      <c r="J59" s="414"/>
      <c r="K59" s="12"/>
      <c r="L59" s="14"/>
      <c r="M59" s="14"/>
      <c r="N59" s="13"/>
      <c r="O59" s="18"/>
      <c r="P59" s="20"/>
      <c r="Q59" s="20"/>
      <c r="R59" s="20"/>
      <c r="S59" s="57"/>
      <c r="T59" s="20"/>
      <c r="U59" s="20"/>
      <c r="V59" s="57"/>
      <c r="W59" s="251"/>
    </row>
    <row r="60" spans="1:23" s="3" customFormat="1" ht="15.75" hidden="1" thickBot="1" x14ac:dyDescent="0.3">
      <c r="A60" s="25" t="s">
        <v>1</v>
      </c>
      <c r="B60" s="223"/>
      <c r="C60" s="18"/>
      <c r="D60" s="20"/>
      <c r="E60" s="20"/>
      <c r="F60" s="20"/>
      <c r="G60" s="20"/>
      <c r="H60" s="19"/>
      <c r="I60" s="591"/>
      <c r="J60" s="123"/>
      <c r="K60" s="18"/>
      <c r="L60" s="20"/>
      <c r="M60" s="20"/>
      <c r="N60" s="19"/>
      <c r="O60" s="18"/>
      <c r="P60" s="20"/>
      <c r="Q60" s="20"/>
      <c r="R60" s="20"/>
      <c r="S60" s="57"/>
      <c r="T60" s="20"/>
      <c r="U60" s="20"/>
      <c r="V60" s="57"/>
      <c r="W60" s="438"/>
    </row>
    <row r="61" spans="1:23" s="3" customFormat="1" ht="15.75" hidden="1" thickBot="1" x14ac:dyDescent="0.3">
      <c r="A61" s="136" t="s">
        <v>2</v>
      </c>
      <c r="B61" s="223"/>
      <c r="C61" s="18"/>
      <c r="D61" s="20"/>
      <c r="E61" s="20"/>
      <c r="F61" s="20"/>
      <c r="G61" s="20"/>
      <c r="H61" s="19"/>
      <c r="I61" s="592"/>
      <c r="J61" s="415"/>
      <c r="K61" s="18"/>
      <c r="L61" s="20"/>
      <c r="M61" s="439"/>
      <c r="N61" s="22"/>
      <c r="O61" s="21"/>
      <c r="P61" s="439"/>
      <c r="Q61" s="439"/>
      <c r="R61" s="439"/>
      <c r="S61" s="440"/>
      <c r="T61" s="439"/>
      <c r="U61" s="439"/>
      <c r="V61" s="440"/>
      <c r="W61" s="502"/>
    </row>
    <row r="62" spans="1:23" s="3" customFormat="1" ht="15.75" thickBot="1" x14ac:dyDescent="0.3">
      <c r="A62" s="144" t="s">
        <v>19</v>
      </c>
      <c r="B62" s="777" t="s">
        <v>26</v>
      </c>
      <c r="C62" s="209">
        <f>SUM(C55:C61)</f>
        <v>643</v>
      </c>
      <c r="D62" s="201">
        <f t="shared" ref="D62:N62" si="99">SUM(D55:D61)</f>
        <v>335</v>
      </c>
      <c r="E62" s="201">
        <f>SUM(E55:E61)</f>
        <v>476</v>
      </c>
      <c r="F62" s="201">
        <f t="shared" si="99"/>
        <v>509</v>
      </c>
      <c r="G62" s="201">
        <f t="shared" si="99"/>
        <v>1708</v>
      </c>
      <c r="H62" s="396">
        <f>SUM(H55:H61)</f>
        <v>138</v>
      </c>
      <c r="I62" s="579">
        <f>SUM(I55:I61)</f>
        <v>7316</v>
      </c>
      <c r="J62" s="419">
        <f>SUM(J55:J61)</f>
        <v>0</v>
      </c>
      <c r="K62" s="417">
        <f>SUM(K55:K61)</f>
        <v>6085</v>
      </c>
      <c r="L62" s="418">
        <f t="shared" si="99"/>
        <v>2699</v>
      </c>
      <c r="M62" s="418">
        <f t="shared" si="99"/>
        <v>0</v>
      </c>
      <c r="N62" s="419">
        <f t="shared" si="99"/>
        <v>922</v>
      </c>
      <c r="O62" s="417">
        <f>SUM(O55:O61)</f>
        <v>7713</v>
      </c>
      <c r="P62" s="417">
        <f t="shared" ref="P62:U62" si="100">SUM(P55:P61)</f>
        <v>1360</v>
      </c>
      <c r="Q62" s="417">
        <f t="shared" si="100"/>
        <v>318</v>
      </c>
      <c r="R62" s="417">
        <f t="shared" si="100"/>
        <v>2708</v>
      </c>
      <c r="S62" s="417">
        <f t="shared" si="100"/>
        <v>0</v>
      </c>
      <c r="T62" s="417">
        <f t="shared" si="100"/>
        <v>405</v>
      </c>
      <c r="U62" s="417">
        <f t="shared" si="100"/>
        <v>162</v>
      </c>
      <c r="V62" s="441">
        <f>SUM(V55:V61)</f>
        <v>0</v>
      </c>
      <c r="W62" s="442">
        <f>SUM(W55:W61)</f>
        <v>33497</v>
      </c>
    </row>
    <row r="63" spans="1:23" s="3" customFormat="1" ht="15.75" thickBot="1" x14ac:dyDescent="0.3">
      <c r="A63" s="101" t="s">
        <v>21</v>
      </c>
      <c r="B63" s="778"/>
      <c r="C63" s="209">
        <f t="shared" ref="C63:N63" si="101">AVERAGE(C55:C61)</f>
        <v>214.33333333333334</v>
      </c>
      <c r="D63" s="201">
        <f t="shared" si="101"/>
        <v>111.66666666666667</v>
      </c>
      <c r="E63" s="201">
        <f>AVERAGE(E55:E61)</f>
        <v>158.66666666666666</v>
      </c>
      <c r="F63" s="201">
        <f t="shared" si="101"/>
        <v>169.66666666666666</v>
      </c>
      <c r="G63" s="201">
        <f t="shared" si="101"/>
        <v>569.33333333333337</v>
      </c>
      <c r="H63" s="396">
        <f>AVERAGE(H55:H61)</f>
        <v>46</v>
      </c>
      <c r="I63" s="580">
        <f>AVERAGE(I55:I61)</f>
        <v>2438.6666666666665</v>
      </c>
      <c r="J63" s="396" t="e">
        <f>AVERAGE(J55:J61)</f>
        <v>#DIV/0!</v>
      </c>
      <c r="K63" s="420">
        <f>AVERAGE(K55:K61)</f>
        <v>2028.3333333333333</v>
      </c>
      <c r="L63" s="421">
        <f t="shared" si="101"/>
        <v>899.66666666666663</v>
      </c>
      <c r="M63" s="421" t="e">
        <f t="shared" si="101"/>
        <v>#DIV/0!</v>
      </c>
      <c r="N63" s="422">
        <f t="shared" si="101"/>
        <v>307.33333333333331</v>
      </c>
      <c r="O63" s="420">
        <f>AVERAGE(O55:O61)</f>
        <v>2571</v>
      </c>
      <c r="P63" s="420">
        <f t="shared" ref="P63:W63" si="102">AVERAGE(P55:P61)</f>
        <v>453.33333333333331</v>
      </c>
      <c r="Q63" s="420">
        <f t="shared" si="102"/>
        <v>106</v>
      </c>
      <c r="R63" s="420">
        <f t="shared" si="102"/>
        <v>902.66666666666663</v>
      </c>
      <c r="S63" s="420" t="e">
        <f t="shared" si="102"/>
        <v>#DIV/0!</v>
      </c>
      <c r="T63" s="420">
        <f t="shared" si="102"/>
        <v>135</v>
      </c>
      <c r="U63" s="420">
        <f t="shared" si="102"/>
        <v>54</v>
      </c>
      <c r="V63" s="428" t="e">
        <f t="shared" si="102"/>
        <v>#DIV/0!</v>
      </c>
      <c r="W63" s="430">
        <f t="shared" si="102"/>
        <v>11165.666666666666</v>
      </c>
    </row>
    <row r="64" spans="1:23" s="3" customFormat="1" ht="15.75" thickBot="1" x14ac:dyDescent="0.3">
      <c r="A64" s="26" t="s">
        <v>18</v>
      </c>
      <c r="B64" s="778"/>
      <c r="C64" s="210">
        <f>SUM(C55:C59)</f>
        <v>643</v>
      </c>
      <c r="D64" s="202">
        <f t="shared" ref="D64:N64" si="103">SUM(D55:D59)</f>
        <v>335</v>
      </c>
      <c r="E64" s="202">
        <f>SUM(E55:E59)</f>
        <v>476</v>
      </c>
      <c r="F64" s="202">
        <f t="shared" si="103"/>
        <v>509</v>
      </c>
      <c r="G64" s="202">
        <f t="shared" si="103"/>
        <v>1708</v>
      </c>
      <c r="H64" s="398">
        <f>SUM(H55:H59)</f>
        <v>138</v>
      </c>
      <c r="I64" s="581">
        <f>SUM(I55:I59)</f>
        <v>7316</v>
      </c>
      <c r="J64" s="398">
        <f>SUM(J55:J59)</f>
        <v>0</v>
      </c>
      <c r="K64" s="423">
        <f>SUM(K55:K59)</f>
        <v>6085</v>
      </c>
      <c r="L64" s="424">
        <f t="shared" si="103"/>
        <v>2699</v>
      </c>
      <c r="M64" s="424">
        <f t="shared" si="103"/>
        <v>0</v>
      </c>
      <c r="N64" s="425">
        <f t="shared" si="103"/>
        <v>922</v>
      </c>
      <c r="O64" s="423">
        <f>SUM(O55:O59)</f>
        <v>7713</v>
      </c>
      <c r="P64" s="423">
        <f t="shared" ref="P64:V64" si="104">SUM(P55:P59)</f>
        <v>1360</v>
      </c>
      <c r="Q64" s="423">
        <f t="shared" si="104"/>
        <v>318</v>
      </c>
      <c r="R64" s="423">
        <f t="shared" si="104"/>
        <v>2708</v>
      </c>
      <c r="S64" s="423">
        <f t="shared" si="104"/>
        <v>0</v>
      </c>
      <c r="T64" s="423">
        <f t="shared" si="104"/>
        <v>405</v>
      </c>
      <c r="U64" s="423">
        <f t="shared" si="104"/>
        <v>162</v>
      </c>
      <c r="V64" s="429">
        <f t="shared" si="104"/>
        <v>0</v>
      </c>
      <c r="W64" s="431">
        <f>SUM(W55:W59)</f>
        <v>33497</v>
      </c>
    </row>
    <row r="65" spans="1:23" s="3" customFormat="1" ht="15.75" outlineLevel="1" thickBot="1" x14ac:dyDescent="0.3">
      <c r="A65" s="26" t="s">
        <v>20</v>
      </c>
      <c r="B65" s="779"/>
      <c r="C65" s="37">
        <f t="shared" ref="C65:N65" si="105">AVERAGE(C55:C59)</f>
        <v>214.33333333333334</v>
      </c>
      <c r="D65" s="196">
        <f t="shared" si="105"/>
        <v>111.66666666666667</v>
      </c>
      <c r="E65" s="196">
        <f>AVERAGE(E55:E59)</f>
        <v>158.66666666666666</v>
      </c>
      <c r="F65" s="196">
        <f t="shared" si="105"/>
        <v>169.66666666666666</v>
      </c>
      <c r="G65" s="196">
        <f t="shared" si="105"/>
        <v>569.33333333333337</v>
      </c>
      <c r="H65" s="399">
        <f>AVERAGE(H55:H59)</f>
        <v>46</v>
      </c>
      <c r="I65" s="582">
        <f>AVERAGE(I55:I59)</f>
        <v>2438.6666666666665</v>
      </c>
      <c r="J65" s="399" t="e">
        <f>AVERAGE(J55:J59)</f>
        <v>#DIV/0!</v>
      </c>
      <c r="K65" s="37">
        <f t="shared" si="105"/>
        <v>2028.3333333333333</v>
      </c>
      <c r="L65" s="196">
        <f t="shared" si="105"/>
        <v>899.66666666666663</v>
      </c>
      <c r="M65" s="196" t="e">
        <f t="shared" si="105"/>
        <v>#DIV/0!</v>
      </c>
      <c r="N65" s="399">
        <f t="shared" si="105"/>
        <v>307.33333333333331</v>
      </c>
      <c r="O65" s="37">
        <f>AVERAGE(O55:O59)</f>
        <v>2571</v>
      </c>
      <c r="P65" s="37">
        <f t="shared" ref="P65:W65" si="106">AVERAGE(P55:P59)</f>
        <v>453.33333333333331</v>
      </c>
      <c r="Q65" s="37">
        <f t="shared" si="106"/>
        <v>106</v>
      </c>
      <c r="R65" s="37">
        <f t="shared" si="106"/>
        <v>902.66666666666663</v>
      </c>
      <c r="S65" s="37" t="e">
        <f t="shared" si="106"/>
        <v>#DIV/0!</v>
      </c>
      <c r="T65" s="37">
        <f t="shared" si="106"/>
        <v>135</v>
      </c>
      <c r="U65" s="37">
        <f t="shared" si="106"/>
        <v>54</v>
      </c>
      <c r="V65" s="427" t="e">
        <f t="shared" si="106"/>
        <v>#DIV/0!</v>
      </c>
      <c r="W65" s="403">
        <f t="shared" si="106"/>
        <v>11165.666666666666</v>
      </c>
    </row>
    <row r="66" spans="1:23" s="3" customFormat="1" ht="15.75" outlineLevel="1" thickBot="1" x14ac:dyDescent="0.3">
      <c r="A66" s="4"/>
      <c r="B66" s="119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46"/>
      <c r="P66" s="46"/>
      <c r="Q66" s="46"/>
      <c r="R66" s="46"/>
      <c r="S66" s="46"/>
      <c r="T66" s="46"/>
      <c r="U66" s="46"/>
      <c r="V66" s="46"/>
      <c r="W66" s="46"/>
    </row>
    <row r="67" spans="1:23" s="3" customFormat="1" ht="39" outlineLevel="1" thickBot="1" x14ac:dyDescent="0.3">
      <c r="A67" s="4"/>
      <c r="B67" s="119"/>
      <c r="C67" s="471"/>
      <c r="D67" s="463" t="s">
        <v>10</v>
      </c>
      <c r="E67" s="464" t="s">
        <v>81</v>
      </c>
      <c r="F67" s="464" t="s">
        <v>9</v>
      </c>
      <c r="G67" s="465" t="s">
        <v>8</v>
      </c>
      <c r="H67" s="464" t="s">
        <v>29</v>
      </c>
      <c r="I67" s="466" t="s">
        <v>118</v>
      </c>
      <c r="K67" s="54"/>
      <c r="L67" s="752" t="s">
        <v>53</v>
      </c>
      <c r="M67" s="753"/>
      <c r="N67" s="754"/>
      <c r="O67" s="54"/>
      <c r="P67" s="54"/>
      <c r="Q67" s="54"/>
    </row>
    <row r="68" spans="1:23" s="3" customFormat="1" ht="25.5" outlineLevel="1" x14ac:dyDescent="0.25">
      <c r="A68" s="1"/>
      <c r="B68" s="120"/>
      <c r="C68" s="472" t="s">
        <v>111</v>
      </c>
      <c r="D68" s="469">
        <f>SUM(C18:H18,C29:H29,C40:H40,C51:H51,C62:H62)</f>
        <v>22222</v>
      </c>
      <c r="E68" s="461">
        <f>SUM(H51, H40, H29, H18, ,H62)</f>
        <v>283</v>
      </c>
      <c r="F68" s="461">
        <f>SUM(,K51:N51, K40:N40, K29:N29, K18:N18, K62:N62 )</f>
        <v>78182</v>
      </c>
      <c r="G68" s="461">
        <f xml:space="preserve"> SUM(O51:V51, O40:V40, O29:V29, O18:V18, O62:V62 )</f>
        <v>125616</v>
      </c>
      <c r="H68" s="462">
        <f>SUM(I18,I29,I40,I51,I62)</f>
        <v>135630</v>
      </c>
      <c r="I68" s="467">
        <f>SUM(J18,J29,J40,J51,J62)</f>
        <v>20373</v>
      </c>
      <c r="J68" s="1"/>
      <c r="K68" s="55"/>
      <c r="L68" s="704" t="s">
        <v>28</v>
      </c>
      <c r="M68" s="705"/>
      <c r="N68" s="390">
        <f>SUM(W20,W31,W42,W53,W64)</f>
        <v>233879</v>
      </c>
      <c r="O68" s="55"/>
      <c r="P68" s="55"/>
      <c r="Q68" s="55"/>
      <c r="R68" s="1"/>
      <c r="S68" s="1"/>
      <c r="T68" s="1"/>
      <c r="U68" s="1"/>
      <c r="V68" s="1"/>
      <c r="W68" s="1"/>
    </row>
    <row r="69" spans="1:23" s="3" customFormat="1" ht="26.25" thickBot="1" x14ac:dyDescent="0.3">
      <c r="A69" s="1"/>
      <c r="B69" s="120"/>
      <c r="C69" s="473" t="s">
        <v>28</v>
      </c>
      <c r="D69" s="470">
        <f>SUM(C53:H53, C42:H42, C31:H31, C20:H20,C64:H64)</f>
        <v>22222</v>
      </c>
      <c r="E69" s="388">
        <f>SUM(H53, H42, H31, H20, ,H64)</f>
        <v>283</v>
      </c>
      <c r="F69" s="388">
        <f>SUM(K53:N53, K42:N42, K31:N31, K20:N20,, K64:N64)</f>
        <v>60494</v>
      </c>
      <c r="G69" s="388">
        <f>SUM(O53:V53, O42:V42, O31:V31, O20:V20, O64:V64 )</f>
        <v>83743</v>
      </c>
      <c r="H69" s="294">
        <f>SUM(,I20,I31,I42,I53,I64,)</f>
        <v>67420</v>
      </c>
      <c r="I69" s="468">
        <f>SUM(,J20,J31,J42,J53,J64,)</f>
        <v>0</v>
      </c>
      <c r="J69" s="1"/>
      <c r="K69" s="55"/>
      <c r="L69" s="704" t="s">
        <v>111</v>
      </c>
      <c r="M69" s="705"/>
      <c r="N69" s="371">
        <f>SUM(W18,W29,W40,W51,W62)</f>
        <v>382023</v>
      </c>
      <c r="O69" s="55"/>
      <c r="P69" s="55"/>
      <c r="Q69" s="55"/>
      <c r="R69" s="1"/>
      <c r="S69" s="1"/>
      <c r="T69" s="1"/>
      <c r="U69" s="1"/>
      <c r="V69" s="1"/>
      <c r="W69" s="1"/>
    </row>
    <row r="70" spans="1:23" s="3" customFormat="1" x14ac:dyDescent="0.25">
      <c r="A70" s="1"/>
      <c r="B70" s="120"/>
      <c r="C70" s="1"/>
      <c r="D70" s="1"/>
      <c r="E70" s="1"/>
      <c r="F70" s="1"/>
      <c r="G70" s="1"/>
      <c r="H70" s="1"/>
      <c r="I70" s="1"/>
      <c r="J70" s="1"/>
      <c r="K70" s="11"/>
      <c r="L70" s="704" t="s">
        <v>20</v>
      </c>
      <c r="M70" s="705"/>
      <c r="N70" s="371">
        <f>AVERAGE(W21,W32,W54,W43,W65)</f>
        <v>10248.413333333334</v>
      </c>
      <c r="O70" s="11"/>
      <c r="P70" s="11"/>
      <c r="Q70" s="11"/>
      <c r="R70" s="1"/>
      <c r="S70" s="1"/>
      <c r="T70" s="1"/>
      <c r="U70" s="1"/>
      <c r="V70" s="1"/>
      <c r="W70" s="1"/>
    </row>
    <row r="71" spans="1:23" s="3" customFormat="1" ht="24.6" customHeight="1" thickBot="1" x14ac:dyDescent="0.3">
      <c r="A71" s="1"/>
      <c r="B71" s="120"/>
      <c r="C71" s="1"/>
      <c r="D71" s="1"/>
      <c r="E71" s="1"/>
      <c r="F71" s="1"/>
      <c r="G71" s="1"/>
      <c r="H71" s="1"/>
      <c r="I71" s="1"/>
      <c r="J71" s="1"/>
      <c r="K71" s="11"/>
      <c r="L71" s="755" t="s">
        <v>117</v>
      </c>
      <c r="M71" s="756"/>
      <c r="N71" s="297">
        <f>AVERAGE(W19,W30,W41,W52,W63)</f>
        <v>12191.019047619047</v>
      </c>
      <c r="O71" s="11"/>
      <c r="P71" s="11"/>
      <c r="Q71" s="11"/>
      <c r="R71" s="1"/>
      <c r="S71" s="1"/>
      <c r="T71" s="1"/>
      <c r="U71" s="1"/>
      <c r="V71" s="1"/>
      <c r="W71" s="1"/>
    </row>
    <row r="72" spans="1:23" s="3" customFormat="1" x14ac:dyDescent="0.25">
      <c r="A72" s="1"/>
      <c r="B72" s="12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/>
      <c r="P72" s="11"/>
      <c r="Q72" s="11"/>
      <c r="R72" s="11"/>
      <c r="S72" s="11"/>
      <c r="T72" s="11"/>
      <c r="U72" s="11"/>
      <c r="V72" s="11"/>
      <c r="W72" s="11"/>
    </row>
    <row r="73" spans="1:23" s="3" customFormat="1" x14ac:dyDescent="0.25">
      <c r="A73" s="1"/>
      <c r="B73" s="12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1"/>
      <c r="P73" s="11"/>
      <c r="Q73" s="11"/>
      <c r="R73" s="11"/>
      <c r="S73" s="11"/>
      <c r="T73" s="11"/>
      <c r="U73" s="11"/>
      <c r="V73" s="11"/>
      <c r="W73" s="11"/>
    </row>
    <row r="74" spans="1:23" s="3" customFormat="1" x14ac:dyDescent="0.25">
      <c r="A74" s="1"/>
      <c r="B74" s="12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1"/>
      <c r="P74" s="11"/>
      <c r="Q74" s="11"/>
      <c r="R74" s="11"/>
      <c r="S74" s="11"/>
      <c r="T74" s="11"/>
      <c r="U74" s="11"/>
      <c r="V74" s="11"/>
      <c r="W74" s="11"/>
    </row>
    <row r="75" spans="1:23" s="3" customFormat="1" x14ac:dyDescent="0.25">
      <c r="A75" s="1"/>
      <c r="B75" s="12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1"/>
      <c r="P75" s="11"/>
      <c r="Q75" s="11"/>
      <c r="R75" s="11"/>
      <c r="S75" s="11"/>
      <c r="T75" s="11"/>
      <c r="U75" s="11"/>
      <c r="V75" s="11"/>
      <c r="W75" s="11"/>
    </row>
    <row r="76" spans="1:23" s="3" customFormat="1" outlineLevel="1" x14ac:dyDescent="0.25">
      <c r="A76" s="1"/>
      <c r="B76" s="12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1"/>
      <c r="P76" s="11"/>
      <c r="Q76" s="11"/>
      <c r="R76" s="11"/>
      <c r="S76" s="11"/>
      <c r="T76" s="11"/>
      <c r="U76" s="11"/>
      <c r="V76" s="11"/>
      <c r="W76" s="11"/>
    </row>
    <row r="77" spans="1:23" s="3" customFormat="1" outlineLevel="1" x14ac:dyDescent="0.25">
      <c r="A77" s="1"/>
      <c r="B77" s="12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1"/>
      <c r="P77" s="11"/>
      <c r="Q77" s="11"/>
      <c r="R77" s="11"/>
      <c r="S77" s="11"/>
      <c r="T77" s="11"/>
      <c r="U77" s="11"/>
      <c r="V77" s="11"/>
      <c r="W77" s="11"/>
    </row>
    <row r="78" spans="1:23" s="3" customFormat="1" outlineLevel="1" x14ac:dyDescent="0.25">
      <c r="A78" s="1"/>
      <c r="B78" s="12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1"/>
      <c r="P78" s="11"/>
      <c r="Q78" s="11"/>
      <c r="R78" s="11"/>
      <c r="S78" s="11"/>
      <c r="T78" s="11"/>
      <c r="U78" s="11"/>
      <c r="V78" s="11"/>
      <c r="W78" s="11"/>
    </row>
    <row r="79" spans="1:23" s="3" customFormat="1" outlineLevel="1" x14ac:dyDescent="0.25">
      <c r="A79" s="1"/>
      <c r="B79" s="12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1"/>
      <c r="P79" s="11"/>
      <c r="Q79" s="11"/>
      <c r="R79" s="11"/>
      <c r="S79" s="11"/>
      <c r="T79" s="11"/>
      <c r="U79" s="11"/>
      <c r="V79" s="11"/>
      <c r="W79" s="11"/>
    </row>
    <row r="80" spans="1:23" s="3" customFormat="1" x14ac:dyDescent="0.25">
      <c r="A80" s="1"/>
      <c r="B80" s="12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1"/>
      <c r="P80" s="11"/>
      <c r="Q80" s="11"/>
      <c r="R80" s="11"/>
      <c r="S80" s="11"/>
      <c r="T80" s="11"/>
      <c r="U80" s="11"/>
      <c r="V80" s="11"/>
      <c r="W80" s="11"/>
    </row>
    <row r="81" spans="1:23" s="3" customFormat="1" x14ac:dyDescent="0.25">
      <c r="A81" s="1"/>
      <c r="B81" s="12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1"/>
      <c r="P81" s="11"/>
      <c r="Q81" s="11"/>
      <c r="R81" s="11"/>
      <c r="S81" s="11"/>
      <c r="T81" s="11"/>
      <c r="U81" s="11"/>
      <c r="V81" s="11"/>
      <c r="W81" s="11"/>
    </row>
    <row r="82" spans="1:23" s="3" customFormat="1" x14ac:dyDescent="0.25">
      <c r="A82" s="1"/>
      <c r="B82" s="12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1"/>
      <c r="P82" s="11"/>
      <c r="Q82" s="11"/>
      <c r="R82" s="11"/>
      <c r="S82" s="11"/>
      <c r="T82" s="11"/>
      <c r="U82" s="11"/>
      <c r="V82" s="11"/>
      <c r="W82" s="11"/>
    </row>
    <row r="83" spans="1:23" s="3" customFormat="1" x14ac:dyDescent="0.25">
      <c r="A83" s="1"/>
      <c r="B83" s="12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1"/>
      <c r="P83" s="11"/>
      <c r="Q83" s="11"/>
      <c r="R83" s="11"/>
      <c r="S83" s="11"/>
      <c r="T83" s="11"/>
      <c r="U83" s="11"/>
      <c r="V83" s="11"/>
      <c r="W83" s="11"/>
    </row>
  </sheetData>
  <mergeCells count="39">
    <mergeCell ref="B62:B65"/>
    <mergeCell ref="B40:B43"/>
    <mergeCell ref="B18:B21"/>
    <mergeCell ref="A3:A4"/>
    <mergeCell ref="B3:B4"/>
    <mergeCell ref="B29:B32"/>
    <mergeCell ref="B51:B54"/>
    <mergeCell ref="B7:B10"/>
    <mergeCell ref="L70:M70"/>
    <mergeCell ref="L71:M71"/>
    <mergeCell ref="W1:W4"/>
    <mergeCell ref="O3:O4"/>
    <mergeCell ref="P3:P4"/>
    <mergeCell ref="Q3:Q4"/>
    <mergeCell ref="R3:R4"/>
    <mergeCell ref="S3:S4"/>
    <mergeCell ref="O1:V2"/>
    <mergeCell ref="T3:T4"/>
    <mergeCell ref="U3:U4"/>
    <mergeCell ref="V3:V4"/>
    <mergeCell ref="K1:N2"/>
    <mergeCell ref="L3:L4"/>
    <mergeCell ref="K3:K4"/>
    <mergeCell ref="M3:M4"/>
    <mergeCell ref="I1:I2"/>
    <mergeCell ref="C1:H2"/>
    <mergeCell ref="L67:N67"/>
    <mergeCell ref="L68:M68"/>
    <mergeCell ref="L69:M69"/>
    <mergeCell ref="H3:H4"/>
    <mergeCell ref="D3:D4"/>
    <mergeCell ref="E3:E4"/>
    <mergeCell ref="C3:C4"/>
    <mergeCell ref="I3:I4"/>
    <mergeCell ref="J1:J2"/>
    <mergeCell ref="N3:N4"/>
    <mergeCell ref="F3:F4"/>
    <mergeCell ref="G3:G4"/>
    <mergeCell ref="J3:J4"/>
  </mergeCells>
  <pageMargins left="0.7" right="0.7" top="0.75" bottom="0.75" header="0.3" footer="0.3"/>
  <pageSetup paperSize="5" scale="4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7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70" sqref="E70"/>
    </sheetView>
  </sheetViews>
  <sheetFormatPr defaultColWidth="9.140625" defaultRowHeight="15" outlineLevelRow="1" x14ac:dyDescent="0.25"/>
  <cols>
    <col min="1" max="1" width="18.7109375" style="1" bestFit="1" customWidth="1"/>
    <col min="2" max="2" width="9.7109375" style="120" customWidth="1"/>
    <col min="3" max="7" width="15.7109375" style="11" customWidth="1"/>
    <col min="8" max="8" width="18.5703125" style="11" customWidth="1"/>
    <col min="9" max="9" width="16" style="11" customWidth="1"/>
    <col min="10" max="10" width="18.5703125" style="11" bestFit="1" customWidth="1"/>
    <col min="11" max="16384" width="9.140625" style="11"/>
  </cols>
  <sheetData>
    <row r="1" spans="1:10" ht="14.25" customHeight="1" x14ac:dyDescent="0.25">
      <c r="A1" s="23"/>
      <c r="B1" s="570"/>
      <c r="C1" s="746" t="s">
        <v>123</v>
      </c>
      <c r="D1" s="747"/>
      <c r="E1" s="748"/>
      <c r="F1" s="746" t="s">
        <v>13</v>
      </c>
      <c r="G1" s="747"/>
      <c r="H1" s="748"/>
      <c r="I1" s="730" t="s">
        <v>17</v>
      </c>
    </row>
    <row r="2" spans="1:10" ht="14.25" customHeight="1" thickBot="1" x14ac:dyDescent="0.3">
      <c r="A2" s="24"/>
      <c r="B2" s="571"/>
      <c r="C2" s="749"/>
      <c r="D2" s="750"/>
      <c r="E2" s="751"/>
      <c r="F2" s="749"/>
      <c r="G2" s="750"/>
      <c r="H2" s="751"/>
      <c r="I2" s="731"/>
    </row>
    <row r="3" spans="1:10" ht="14.25" customHeight="1" x14ac:dyDescent="0.25">
      <c r="A3" s="677" t="s">
        <v>48</v>
      </c>
      <c r="B3" s="711" t="s">
        <v>49</v>
      </c>
      <c r="C3" s="723" t="s">
        <v>50</v>
      </c>
      <c r="D3" s="724" t="s">
        <v>39</v>
      </c>
      <c r="E3" s="725" t="s">
        <v>126</v>
      </c>
      <c r="F3" s="723" t="s">
        <v>50</v>
      </c>
      <c r="G3" s="724" t="s">
        <v>39</v>
      </c>
      <c r="H3" s="725" t="s">
        <v>126</v>
      </c>
      <c r="I3" s="731"/>
    </row>
    <row r="4" spans="1:10" ht="14.25" thickBot="1" x14ac:dyDescent="0.3">
      <c r="A4" s="694"/>
      <c r="B4" s="780"/>
      <c r="C4" s="775"/>
      <c r="D4" s="774"/>
      <c r="E4" s="771"/>
      <c r="F4" s="775"/>
      <c r="G4" s="774"/>
      <c r="H4" s="771"/>
      <c r="I4" s="732"/>
    </row>
    <row r="5" spans="1:10" ht="14.25" hidden="1" thickBot="1" x14ac:dyDescent="0.3">
      <c r="A5" s="25" t="s">
        <v>1</v>
      </c>
      <c r="B5" s="350"/>
      <c r="C5" s="485"/>
      <c r="D5" s="563"/>
      <c r="E5" s="486"/>
      <c r="F5" s="485"/>
      <c r="G5" s="563"/>
      <c r="H5" s="486"/>
      <c r="I5" s="409">
        <f>SUM(C5:H5)</f>
        <v>0</v>
      </c>
    </row>
    <row r="6" spans="1:10" ht="14.25" hidden="1" thickBot="1" x14ac:dyDescent="0.3">
      <c r="A6" s="136" t="s">
        <v>2</v>
      </c>
      <c r="B6" s="350"/>
      <c r="C6" s="485"/>
      <c r="D6" s="563"/>
      <c r="E6" s="486"/>
      <c r="F6" s="485"/>
      <c r="G6" s="563"/>
      <c r="H6" s="486"/>
      <c r="I6" s="409">
        <f>SUM(C6:H6)</f>
        <v>0</v>
      </c>
    </row>
    <row r="7" spans="1:10" s="43" customFormat="1" ht="14.25" hidden="1" outlineLevel="1" thickBot="1" x14ac:dyDescent="0.3">
      <c r="A7" s="144" t="s">
        <v>19</v>
      </c>
      <c r="B7" s="787" t="s">
        <v>116</v>
      </c>
      <c r="C7" s="247">
        <f>SUM(C5:C6)</f>
        <v>0</v>
      </c>
      <c r="D7" s="564">
        <f t="shared" ref="D7:H7" si="0">SUM(D5:D6)</f>
        <v>0</v>
      </c>
      <c r="E7" s="268">
        <f t="shared" si="0"/>
        <v>0</v>
      </c>
      <c r="F7" s="247">
        <f t="shared" si="0"/>
        <v>0</v>
      </c>
      <c r="G7" s="564">
        <f t="shared" si="0"/>
        <v>0</v>
      </c>
      <c r="H7" s="268">
        <f t="shared" si="0"/>
        <v>0</v>
      </c>
      <c r="I7" s="410">
        <f>SUM(I5:I6)</f>
        <v>0</v>
      </c>
    </row>
    <row r="8" spans="1:10" s="43" customFormat="1" ht="14.25" hidden="1" outlineLevel="1" thickBot="1" x14ac:dyDescent="0.3">
      <c r="A8" s="101" t="s">
        <v>21</v>
      </c>
      <c r="B8" s="778"/>
      <c r="C8" s="247" t="e">
        <f>AVERAGE(C5)</f>
        <v>#DIV/0!</v>
      </c>
      <c r="D8" s="564" t="e">
        <f>AVERAGE(D5)</f>
        <v>#DIV/0!</v>
      </c>
      <c r="E8" s="268" t="e">
        <f t="shared" ref="E8:F8" si="1">AVERAGE(E5)</f>
        <v>#DIV/0!</v>
      </c>
      <c r="F8" s="247" t="e">
        <f t="shared" si="1"/>
        <v>#DIV/0!</v>
      </c>
      <c r="G8" s="564" t="e">
        <f>AVERAGE(G5)</f>
        <v>#DIV/0!</v>
      </c>
      <c r="H8" s="268" t="e">
        <f>AVERAGE(H5)</f>
        <v>#DIV/0!</v>
      </c>
      <c r="I8" s="410">
        <f>AVERAGE(I5:I6)</f>
        <v>0</v>
      </c>
    </row>
    <row r="9" spans="1:10" s="43" customFormat="1" ht="14.25" hidden="1" thickBot="1" x14ac:dyDescent="0.3">
      <c r="A9" s="26" t="s">
        <v>18</v>
      </c>
      <c r="B9" s="778"/>
      <c r="C9" s="248" t="e">
        <f>SUM(#REF!)</f>
        <v>#REF!</v>
      </c>
      <c r="D9" s="565" t="e">
        <f>SUM(#REF!)</f>
        <v>#REF!</v>
      </c>
      <c r="E9" s="266" t="e">
        <f>SUM(#REF!)</f>
        <v>#REF!</v>
      </c>
      <c r="F9" s="248" t="e">
        <f>SUM(#REF!)</f>
        <v>#REF!</v>
      </c>
      <c r="G9" s="565" t="e">
        <f>SUM(#REF!)</f>
        <v>#REF!</v>
      </c>
      <c r="H9" s="266" t="e">
        <f>SUM(#REF!)</f>
        <v>#REF!</v>
      </c>
      <c r="I9" s="411" t="e">
        <f>SUM(#REF!)</f>
        <v>#REF!</v>
      </c>
    </row>
    <row r="10" spans="1:10" s="43" customFormat="1" ht="14.25" hidden="1" thickBot="1" x14ac:dyDescent="0.3">
      <c r="A10" s="26" t="s">
        <v>20</v>
      </c>
      <c r="B10" s="779"/>
      <c r="C10" s="248" t="e">
        <f>AVERAGE(#REF!)</f>
        <v>#REF!</v>
      </c>
      <c r="D10" s="565" t="e">
        <f>AVERAGE(#REF!)</f>
        <v>#REF!</v>
      </c>
      <c r="E10" s="266" t="e">
        <f>AVERAGE(#REF!)</f>
        <v>#REF!</v>
      </c>
      <c r="F10" s="248" t="e">
        <f>AVERAGE(#REF!)</f>
        <v>#REF!</v>
      </c>
      <c r="G10" s="565" t="e">
        <f>AVERAGE(#REF!)</f>
        <v>#REF!</v>
      </c>
      <c r="H10" s="266" t="e">
        <f>AVERAGE(#REF!)</f>
        <v>#REF!</v>
      </c>
      <c r="I10" s="411" t="e">
        <f>AVERAGE(#REF!)</f>
        <v>#REF!</v>
      </c>
    </row>
    <row r="11" spans="1:10" s="42" customFormat="1" ht="14.25" hidden="1" thickBot="1" x14ac:dyDescent="0.3">
      <c r="A11" s="25" t="s">
        <v>3</v>
      </c>
      <c r="B11" s="313"/>
      <c r="C11" s="18"/>
      <c r="D11" s="20"/>
      <c r="E11" s="19"/>
      <c r="F11" s="18"/>
      <c r="G11" s="20"/>
      <c r="H11" s="19"/>
      <c r="I11" s="412">
        <f t="shared" ref="I11:I17" si="2">SUM(C11:H11)</f>
        <v>0</v>
      </c>
    </row>
    <row r="12" spans="1:10" s="42" customFormat="1" ht="14.25" thickBot="1" x14ac:dyDescent="0.3">
      <c r="A12" s="25" t="s">
        <v>4</v>
      </c>
      <c r="B12" s="313">
        <v>44348</v>
      </c>
      <c r="C12" s="246">
        <v>0</v>
      </c>
      <c r="D12" s="566">
        <v>674</v>
      </c>
      <c r="E12" s="269">
        <v>0</v>
      </c>
      <c r="F12" s="246">
        <v>0</v>
      </c>
      <c r="G12" s="566">
        <v>4</v>
      </c>
      <c r="H12" s="269">
        <v>711</v>
      </c>
      <c r="I12" s="412">
        <f t="shared" si="2"/>
        <v>1389</v>
      </c>
    </row>
    <row r="13" spans="1:10" s="42" customFormat="1" ht="14.25" thickBot="1" x14ac:dyDescent="0.3">
      <c r="A13" s="25" t="s">
        <v>5</v>
      </c>
      <c r="B13" s="313">
        <v>44349</v>
      </c>
      <c r="C13" s="246">
        <v>0</v>
      </c>
      <c r="D13" s="566">
        <v>672</v>
      </c>
      <c r="E13" s="269">
        <v>0</v>
      </c>
      <c r="F13" s="246">
        <v>0</v>
      </c>
      <c r="G13" s="566">
        <v>4</v>
      </c>
      <c r="H13" s="269">
        <v>716</v>
      </c>
      <c r="I13" s="412">
        <f>SUM(C13:H13)</f>
        <v>1392</v>
      </c>
    </row>
    <row r="14" spans="1:10" s="42" customFormat="1" ht="14.25" thickBot="1" x14ac:dyDescent="0.3">
      <c r="A14" s="25" t="s">
        <v>6</v>
      </c>
      <c r="B14" s="313">
        <v>44350</v>
      </c>
      <c r="C14" s="246">
        <v>0</v>
      </c>
      <c r="D14" s="566">
        <v>633</v>
      </c>
      <c r="E14" s="269">
        <v>0</v>
      </c>
      <c r="F14" s="246">
        <v>0</v>
      </c>
      <c r="G14" s="566">
        <v>0</v>
      </c>
      <c r="H14" s="269">
        <v>691</v>
      </c>
      <c r="I14" s="412">
        <f t="shared" si="2"/>
        <v>1324</v>
      </c>
      <c r="J14" s="137"/>
    </row>
    <row r="15" spans="1:10" s="42" customFormat="1" ht="14.25" thickBot="1" x14ac:dyDescent="0.3">
      <c r="A15" s="25" t="s">
        <v>0</v>
      </c>
      <c r="B15" s="313">
        <v>44351</v>
      </c>
      <c r="C15" s="246">
        <v>0</v>
      </c>
      <c r="D15" s="566">
        <v>562</v>
      </c>
      <c r="E15" s="269">
        <v>0</v>
      </c>
      <c r="F15" s="246">
        <v>0</v>
      </c>
      <c r="G15" s="566">
        <v>2</v>
      </c>
      <c r="H15" s="269">
        <v>574</v>
      </c>
      <c r="I15" s="412">
        <f t="shared" si="2"/>
        <v>1138</v>
      </c>
      <c r="J15" s="137"/>
    </row>
    <row r="16" spans="1:10" s="42" customFormat="1" ht="14.25" outlineLevel="1" thickBot="1" x14ac:dyDescent="0.3">
      <c r="A16" s="25" t="s">
        <v>1</v>
      </c>
      <c r="B16" s="313">
        <v>44352</v>
      </c>
      <c r="C16" s="246">
        <v>0</v>
      </c>
      <c r="D16" s="566">
        <v>489</v>
      </c>
      <c r="E16" s="269">
        <v>211</v>
      </c>
      <c r="F16" s="246">
        <v>0</v>
      </c>
      <c r="G16" s="566">
        <v>348</v>
      </c>
      <c r="H16" s="269">
        <v>544</v>
      </c>
      <c r="I16" s="412">
        <f>SUM(C16:H16)</f>
        <v>1592</v>
      </c>
      <c r="J16" s="137"/>
    </row>
    <row r="17" spans="1:10" s="42" customFormat="1" ht="15" customHeight="1" outlineLevel="1" thickBot="1" x14ac:dyDescent="0.3">
      <c r="A17" s="136" t="s">
        <v>2</v>
      </c>
      <c r="B17" s="313">
        <v>44353</v>
      </c>
      <c r="C17" s="246">
        <v>0</v>
      </c>
      <c r="D17" s="566">
        <v>456</v>
      </c>
      <c r="E17" s="269">
        <v>382</v>
      </c>
      <c r="F17" s="246">
        <v>0</v>
      </c>
      <c r="G17" s="566">
        <v>446</v>
      </c>
      <c r="H17" s="269">
        <v>678</v>
      </c>
      <c r="I17" s="412">
        <f t="shared" si="2"/>
        <v>1962</v>
      </c>
      <c r="J17" s="137"/>
    </row>
    <row r="18" spans="1:10" s="43" customFormat="1" ht="15" customHeight="1" outlineLevel="1" thickBot="1" x14ac:dyDescent="0.3">
      <c r="A18" s="144" t="s">
        <v>19</v>
      </c>
      <c r="B18" s="699" t="s">
        <v>22</v>
      </c>
      <c r="C18" s="247">
        <f>SUM(C11:C17)</f>
        <v>0</v>
      </c>
      <c r="D18" s="564">
        <f>SUM(D11:D17)</f>
        <v>3486</v>
      </c>
      <c r="E18" s="268">
        <f t="shared" ref="E18:F18" si="3">SUM(E11:E17)</f>
        <v>593</v>
      </c>
      <c r="F18" s="247">
        <f t="shared" si="3"/>
        <v>0</v>
      </c>
      <c r="G18" s="564">
        <f>SUM(G11:G17)</f>
        <v>804</v>
      </c>
      <c r="H18" s="268">
        <f>SUM(H11:H17)</f>
        <v>3914</v>
      </c>
      <c r="I18" s="410">
        <f>SUM(I11:I17)</f>
        <v>8797</v>
      </c>
    </row>
    <row r="19" spans="1:10" s="43" customFormat="1" ht="15" customHeight="1" outlineLevel="1" thickBot="1" x14ac:dyDescent="0.3">
      <c r="A19" s="101" t="s">
        <v>21</v>
      </c>
      <c r="B19" s="699"/>
      <c r="C19" s="247">
        <f>AVERAGE(C11:C17)</f>
        <v>0</v>
      </c>
      <c r="D19" s="564">
        <f>AVERAGE(D11:D17)</f>
        <v>581</v>
      </c>
      <c r="E19" s="268">
        <f t="shared" ref="E19:F19" si="4">AVERAGE(E11:E17)</f>
        <v>98.833333333333329</v>
      </c>
      <c r="F19" s="247">
        <f t="shared" si="4"/>
        <v>0</v>
      </c>
      <c r="G19" s="564">
        <f>AVERAGE(G11:G17)</f>
        <v>134</v>
      </c>
      <c r="H19" s="268">
        <f>AVERAGE(H11:H17)</f>
        <v>652.33333333333337</v>
      </c>
      <c r="I19" s="410">
        <f>AVERAGE(I11:I17)</f>
        <v>1256.7142857142858</v>
      </c>
    </row>
    <row r="20" spans="1:10" s="43" customFormat="1" ht="15" customHeight="1" thickBot="1" x14ac:dyDescent="0.3">
      <c r="A20" s="26" t="s">
        <v>18</v>
      </c>
      <c r="B20" s="699"/>
      <c r="C20" s="248">
        <f>SUM(C11:C15)</f>
        <v>0</v>
      </c>
      <c r="D20" s="565">
        <f>SUM(D11:D15)</f>
        <v>2541</v>
      </c>
      <c r="E20" s="266">
        <f t="shared" ref="E20:F20" si="5">SUM(E11:E15)</f>
        <v>0</v>
      </c>
      <c r="F20" s="248">
        <f t="shared" si="5"/>
        <v>0</v>
      </c>
      <c r="G20" s="565">
        <f>SUM(G11:G15)</f>
        <v>10</v>
      </c>
      <c r="H20" s="266">
        <f>SUM(H11:H15)</f>
        <v>2692</v>
      </c>
      <c r="I20" s="411">
        <f>SUM(I11:I15)</f>
        <v>5243</v>
      </c>
    </row>
    <row r="21" spans="1:10" s="43" customFormat="1" ht="15" customHeight="1" thickBot="1" x14ac:dyDescent="0.3">
      <c r="A21" s="26" t="s">
        <v>20</v>
      </c>
      <c r="B21" s="699"/>
      <c r="C21" s="248">
        <f>AVERAGE(C11:C15)</f>
        <v>0</v>
      </c>
      <c r="D21" s="565">
        <f>AVERAGE(D11:D15)</f>
        <v>635.25</v>
      </c>
      <c r="E21" s="266">
        <f t="shared" ref="E21:F21" si="6">AVERAGE(E11:E15)</f>
        <v>0</v>
      </c>
      <c r="F21" s="248">
        <f t="shared" si="6"/>
        <v>0</v>
      </c>
      <c r="G21" s="565">
        <f>AVERAGE(G11:G15)</f>
        <v>2.5</v>
      </c>
      <c r="H21" s="266">
        <f>AVERAGE(H11:H15)</f>
        <v>673</v>
      </c>
      <c r="I21" s="411">
        <f>AVERAGE(I11:I15)</f>
        <v>1048.5999999999999</v>
      </c>
    </row>
    <row r="22" spans="1:10" s="43" customFormat="1" ht="15" customHeight="1" x14ac:dyDescent="0.25">
      <c r="A22" s="25" t="s">
        <v>3</v>
      </c>
      <c r="B22" s="220">
        <f>B17+1</f>
        <v>44354</v>
      </c>
      <c r="C22" s="237">
        <v>215</v>
      </c>
      <c r="D22" s="567">
        <v>404</v>
      </c>
      <c r="E22" s="267">
        <v>20</v>
      </c>
      <c r="F22" s="237">
        <v>229</v>
      </c>
      <c r="G22" s="567">
        <v>20</v>
      </c>
      <c r="H22" s="267">
        <v>462</v>
      </c>
      <c r="I22" s="412">
        <f>SUM(C22:H22)</f>
        <v>1350</v>
      </c>
    </row>
    <row r="23" spans="1:10" s="43" customFormat="1" ht="15" customHeight="1" x14ac:dyDescent="0.25">
      <c r="A23" s="25" t="s">
        <v>4</v>
      </c>
      <c r="B23" s="220">
        <f t="shared" ref="B23:B28" si="7">B22+1</f>
        <v>44355</v>
      </c>
      <c r="C23" s="237">
        <v>256</v>
      </c>
      <c r="D23" s="567">
        <v>476</v>
      </c>
      <c r="E23" s="267">
        <v>3</v>
      </c>
      <c r="F23" s="237">
        <v>230</v>
      </c>
      <c r="G23" s="567">
        <v>2</v>
      </c>
      <c r="H23" s="267">
        <v>494</v>
      </c>
      <c r="I23" s="412">
        <f t="shared" ref="I23:I28" si="8">SUM(C23:H23)</f>
        <v>1461</v>
      </c>
    </row>
    <row r="24" spans="1:10" s="43" customFormat="1" ht="15" customHeight="1" x14ac:dyDescent="0.25">
      <c r="A24" s="25" t="s">
        <v>5</v>
      </c>
      <c r="B24" s="220">
        <f t="shared" si="7"/>
        <v>44356</v>
      </c>
      <c r="C24" s="237">
        <v>224</v>
      </c>
      <c r="D24" s="567">
        <v>435</v>
      </c>
      <c r="E24" s="267">
        <v>6</v>
      </c>
      <c r="F24" s="237">
        <v>254</v>
      </c>
      <c r="G24" s="567">
        <v>0</v>
      </c>
      <c r="H24" s="267">
        <v>480</v>
      </c>
      <c r="I24" s="412">
        <f t="shared" si="8"/>
        <v>1399</v>
      </c>
    </row>
    <row r="25" spans="1:10" s="43" customFormat="1" ht="15" customHeight="1" x14ac:dyDescent="0.25">
      <c r="A25" s="25" t="s">
        <v>6</v>
      </c>
      <c r="B25" s="220">
        <f t="shared" si="7"/>
        <v>44357</v>
      </c>
      <c r="C25" s="237">
        <v>244</v>
      </c>
      <c r="D25" s="567">
        <v>490</v>
      </c>
      <c r="E25" s="267">
        <v>14</v>
      </c>
      <c r="F25" s="237">
        <v>270</v>
      </c>
      <c r="G25" s="567">
        <v>10</v>
      </c>
      <c r="H25" s="267">
        <v>522</v>
      </c>
      <c r="I25" s="412">
        <f>SUM(C25:H25)</f>
        <v>1550</v>
      </c>
    </row>
    <row r="26" spans="1:10" s="43" customFormat="1" ht="15" customHeight="1" x14ac:dyDescent="0.25">
      <c r="A26" s="25" t="s">
        <v>0</v>
      </c>
      <c r="B26" s="220">
        <f t="shared" si="7"/>
        <v>44358</v>
      </c>
      <c r="C26" s="237">
        <v>215</v>
      </c>
      <c r="D26" s="567">
        <v>482</v>
      </c>
      <c r="E26" s="267">
        <v>0</v>
      </c>
      <c r="F26" s="237">
        <v>211</v>
      </c>
      <c r="G26" s="567">
        <v>4</v>
      </c>
      <c r="H26" s="267">
        <v>447</v>
      </c>
      <c r="I26" s="412">
        <f t="shared" si="8"/>
        <v>1359</v>
      </c>
    </row>
    <row r="27" spans="1:10" s="43" customFormat="1" ht="15" customHeight="1" outlineLevel="1" x14ac:dyDescent="0.25">
      <c r="A27" s="25" t="s">
        <v>1</v>
      </c>
      <c r="B27" s="220">
        <f t="shared" si="7"/>
        <v>44359</v>
      </c>
      <c r="C27" s="237">
        <v>0</v>
      </c>
      <c r="D27" s="567">
        <v>397</v>
      </c>
      <c r="E27" s="267">
        <v>65</v>
      </c>
      <c r="F27" s="237">
        <v>0</v>
      </c>
      <c r="G27" s="567">
        <v>46</v>
      </c>
      <c r="H27" s="267">
        <v>499</v>
      </c>
      <c r="I27" s="412">
        <f t="shared" si="8"/>
        <v>1007</v>
      </c>
      <c r="J27" s="140"/>
    </row>
    <row r="28" spans="1:10" s="43" customFormat="1" ht="15" customHeight="1" outlineLevel="1" thickBot="1" x14ac:dyDescent="0.3">
      <c r="A28" s="25" t="s">
        <v>2</v>
      </c>
      <c r="B28" s="220">
        <f t="shared" si="7"/>
        <v>44360</v>
      </c>
      <c r="C28" s="237">
        <v>0</v>
      </c>
      <c r="D28" s="567">
        <v>509</v>
      </c>
      <c r="E28" s="267">
        <v>50</v>
      </c>
      <c r="F28" s="237">
        <v>0</v>
      </c>
      <c r="G28" s="567">
        <v>31</v>
      </c>
      <c r="H28" s="267">
        <v>579</v>
      </c>
      <c r="I28" s="412">
        <f t="shared" si="8"/>
        <v>1169</v>
      </c>
    </row>
    <row r="29" spans="1:10" s="43" customFormat="1" ht="15" customHeight="1" outlineLevel="1" thickBot="1" x14ac:dyDescent="0.3">
      <c r="A29" s="144" t="s">
        <v>19</v>
      </c>
      <c r="B29" s="699" t="s">
        <v>23</v>
      </c>
      <c r="C29" s="247">
        <f>SUM(C22:C28)</f>
        <v>1154</v>
      </c>
      <c r="D29" s="564">
        <f>SUM(D22:D28)</f>
        <v>3193</v>
      </c>
      <c r="E29" s="268">
        <f t="shared" ref="E29" si="9">SUM(E22:E28)</f>
        <v>158</v>
      </c>
      <c r="F29" s="247">
        <f>SUM(F22:F28)</f>
        <v>1194</v>
      </c>
      <c r="G29" s="564">
        <f>SUM(G22:G28)</f>
        <v>113</v>
      </c>
      <c r="H29" s="268">
        <f>SUM(H22:H28)</f>
        <v>3483</v>
      </c>
      <c r="I29" s="410">
        <f>SUM(I22:I28)</f>
        <v>9295</v>
      </c>
    </row>
    <row r="30" spans="1:10" s="43" customFormat="1" ht="15" customHeight="1" outlineLevel="1" thickBot="1" x14ac:dyDescent="0.3">
      <c r="A30" s="101" t="s">
        <v>21</v>
      </c>
      <c r="B30" s="699"/>
      <c r="C30" s="247">
        <f>AVERAGE(C22:C28)</f>
        <v>164.85714285714286</v>
      </c>
      <c r="D30" s="564">
        <f>AVERAGE(D22:D28)</f>
        <v>456.14285714285717</v>
      </c>
      <c r="E30" s="268">
        <f t="shared" ref="E30:F30" si="10">AVERAGE(E22:E28)</f>
        <v>22.571428571428573</v>
      </c>
      <c r="F30" s="247">
        <f t="shared" si="10"/>
        <v>170.57142857142858</v>
      </c>
      <c r="G30" s="564">
        <f>AVERAGE(G22:G28)</f>
        <v>16.142857142857142</v>
      </c>
      <c r="H30" s="268">
        <f>AVERAGE(H22:H28)</f>
        <v>497.57142857142856</v>
      </c>
      <c r="I30" s="410">
        <f>AVERAGE(I22:I28)</f>
        <v>1327.8571428571429</v>
      </c>
    </row>
    <row r="31" spans="1:10" s="43" customFormat="1" ht="15" customHeight="1" thickBot="1" x14ac:dyDescent="0.3">
      <c r="A31" s="26" t="s">
        <v>18</v>
      </c>
      <c r="B31" s="699"/>
      <c r="C31" s="248">
        <f>SUM(C22:C26)</f>
        <v>1154</v>
      </c>
      <c r="D31" s="565">
        <f>SUM(D22:D26)</f>
        <v>2287</v>
      </c>
      <c r="E31" s="266">
        <f t="shared" ref="E31" si="11">SUM(E22:E26)</f>
        <v>43</v>
      </c>
      <c r="F31" s="248">
        <f>SUM(F22:F26)</f>
        <v>1194</v>
      </c>
      <c r="G31" s="565">
        <f>SUM(G22:G26)</f>
        <v>36</v>
      </c>
      <c r="H31" s="266">
        <f>SUM(H22:H26)</f>
        <v>2405</v>
      </c>
      <c r="I31" s="411">
        <f>SUM(I22:I26)</f>
        <v>7119</v>
      </c>
    </row>
    <row r="32" spans="1:10" s="43" customFormat="1" ht="15" customHeight="1" thickBot="1" x14ac:dyDescent="0.3">
      <c r="A32" s="26" t="s">
        <v>20</v>
      </c>
      <c r="B32" s="699"/>
      <c r="C32" s="248">
        <f>AVERAGE(C22:C26)</f>
        <v>230.8</v>
      </c>
      <c r="D32" s="565">
        <f>AVERAGE(D22:D26)</f>
        <v>457.4</v>
      </c>
      <c r="E32" s="266">
        <f t="shared" ref="E32:F32" si="12">AVERAGE(E22:E26)</f>
        <v>8.6</v>
      </c>
      <c r="F32" s="248">
        <f t="shared" si="12"/>
        <v>238.8</v>
      </c>
      <c r="G32" s="565">
        <f>AVERAGE(G22:G26)</f>
        <v>7.2</v>
      </c>
      <c r="H32" s="266">
        <f>AVERAGE(H22:H26)</f>
        <v>481</v>
      </c>
      <c r="I32" s="411">
        <f>AVERAGE(I22:I26)</f>
        <v>1423.8</v>
      </c>
    </row>
    <row r="33" spans="1:10" s="43" customFormat="1" ht="15" customHeight="1" x14ac:dyDescent="0.25">
      <c r="A33" s="25" t="s">
        <v>3</v>
      </c>
      <c r="B33" s="216">
        <f>B28+1</f>
        <v>44361</v>
      </c>
      <c r="C33" s="237">
        <v>276</v>
      </c>
      <c r="D33" s="567">
        <v>376</v>
      </c>
      <c r="E33" s="267">
        <v>0</v>
      </c>
      <c r="F33" s="237">
        <v>260</v>
      </c>
      <c r="G33" s="567">
        <v>0</v>
      </c>
      <c r="H33" s="267">
        <v>437</v>
      </c>
      <c r="I33" s="412">
        <f t="shared" ref="I33:I39" si="13">SUM(C33:H33)</f>
        <v>1349</v>
      </c>
    </row>
    <row r="34" spans="1:10" s="43" customFormat="1" ht="15" customHeight="1" x14ac:dyDescent="0.25">
      <c r="A34" s="25" t="s">
        <v>4</v>
      </c>
      <c r="B34" s="216">
        <f t="shared" ref="B34:B39" si="14">B33+1</f>
        <v>44362</v>
      </c>
      <c r="C34" s="237">
        <v>219</v>
      </c>
      <c r="D34" s="567">
        <v>566</v>
      </c>
      <c r="E34" s="267">
        <v>13</v>
      </c>
      <c r="F34" s="237">
        <v>233</v>
      </c>
      <c r="G34" s="567">
        <v>9</v>
      </c>
      <c r="H34" s="267">
        <v>620</v>
      </c>
      <c r="I34" s="412">
        <f t="shared" si="13"/>
        <v>1660</v>
      </c>
    </row>
    <row r="35" spans="1:10" s="43" customFormat="1" ht="15" customHeight="1" x14ac:dyDescent="0.25">
      <c r="A35" s="25" t="s">
        <v>5</v>
      </c>
      <c r="B35" s="216">
        <f t="shared" si="14"/>
        <v>44363</v>
      </c>
      <c r="C35" s="237">
        <v>275</v>
      </c>
      <c r="D35" s="567">
        <v>543</v>
      </c>
      <c r="E35" s="267">
        <v>20</v>
      </c>
      <c r="F35" s="237">
        <v>277</v>
      </c>
      <c r="G35" s="567">
        <v>14</v>
      </c>
      <c r="H35" s="267">
        <v>609</v>
      </c>
      <c r="I35" s="412">
        <f t="shared" si="13"/>
        <v>1738</v>
      </c>
    </row>
    <row r="36" spans="1:10" s="43" customFormat="1" ht="15" customHeight="1" x14ac:dyDescent="0.25">
      <c r="A36" s="25" t="s">
        <v>6</v>
      </c>
      <c r="B36" s="216">
        <f t="shared" si="14"/>
        <v>44364</v>
      </c>
      <c r="C36" s="246">
        <v>235</v>
      </c>
      <c r="D36" s="567">
        <v>681</v>
      </c>
      <c r="E36" s="267">
        <v>7</v>
      </c>
      <c r="F36" s="237">
        <v>215</v>
      </c>
      <c r="G36" s="569">
        <v>31</v>
      </c>
      <c r="H36" s="267">
        <v>743</v>
      </c>
      <c r="I36" s="412">
        <f t="shared" si="13"/>
        <v>1912</v>
      </c>
    </row>
    <row r="37" spans="1:10" s="43" customFormat="1" ht="15" customHeight="1" x14ac:dyDescent="0.25">
      <c r="A37" s="25" t="s">
        <v>0</v>
      </c>
      <c r="B37" s="216">
        <f t="shared" si="14"/>
        <v>44365</v>
      </c>
      <c r="C37" s="246">
        <v>318</v>
      </c>
      <c r="D37" s="567">
        <v>542</v>
      </c>
      <c r="E37" s="267">
        <v>74</v>
      </c>
      <c r="F37" s="237">
        <v>281</v>
      </c>
      <c r="G37" s="566">
        <v>118</v>
      </c>
      <c r="H37" s="267">
        <v>576</v>
      </c>
      <c r="I37" s="412">
        <f t="shared" si="13"/>
        <v>1909</v>
      </c>
    </row>
    <row r="38" spans="1:10" s="43" customFormat="1" ht="15" customHeight="1" outlineLevel="1" x14ac:dyDescent="0.25">
      <c r="A38" s="25" t="s">
        <v>1</v>
      </c>
      <c r="B38" s="216">
        <f t="shared" si="14"/>
        <v>44366</v>
      </c>
      <c r="C38" s="246">
        <v>0</v>
      </c>
      <c r="D38" s="567">
        <v>506</v>
      </c>
      <c r="E38" s="267">
        <v>168</v>
      </c>
      <c r="F38" s="237">
        <v>0</v>
      </c>
      <c r="G38" s="566">
        <v>183</v>
      </c>
      <c r="H38" s="267">
        <v>473</v>
      </c>
      <c r="I38" s="412">
        <f t="shared" si="13"/>
        <v>1330</v>
      </c>
    </row>
    <row r="39" spans="1:10" s="43" customFormat="1" ht="15" customHeight="1" outlineLevel="1" thickBot="1" x14ac:dyDescent="0.3">
      <c r="A39" s="25" t="s">
        <v>2</v>
      </c>
      <c r="B39" s="216">
        <f t="shared" si="14"/>
        <v>44367</v>
      </c>
      <c r="C39" s="246">
        <v>0</v>
      </c>
      <c r="D39" s="567">
        <v>553</v>
      </c>
      <c r="E39" s="267">
        <v>327</v>
      </c>
      <c r="F39" s="237">
        <v>0</v>
      </c>
      <c r="G39" s="566">
        <v>388</v>
      </c>
      <c r="H39" s="267">
        <v>855</v>
      </c>
      <c r="I39" s="412">
        <f t="shared" si="13"/>
        <v>2123</v>
      </c>
      <c r="J39" s="140"/>
    </row>
    <row r="40" spans="1:10" s="43" customFormat="1" ht="15" customHeight="1" outlineLevel="1" thickBot="1" x14ac:dyDescent="0.3">
      <c r="A40" s="144" t="s">
        <v>19</v>
      </c>
      <c r="B40" s="699" t="s">
        <v>24</v>
      </c>
      <c r="C40" s="247">
        <f>SUM(C33:C39)</f>
        <v>1323</v>
      </c>
      <c r="D40" s="564">
        <f>SUM(D33:D39)</f>
        <v>3767</v>
      </c>
      <c r="E40" s="268">
        <f t="shared" ref="E40" si="15">SUM(E33:E39)</f>
        <v>609</v>
      </c>
      <c r="F40" s="247">
        <f>SUM(F33:F39)</f>
        <v>1266</v>
      </c>
      <c r="G40" s="564">
        <f>SUM(G33:G39)</f>
        <v>743</v>
      </c>
      <c r="H40" s="268">
        <f>SUM(H33:H39)</f>
        <v>4313</v>
      </c>
      <c r="I40" s="410">
        <f>SUM(I33:I39)</f>
        <v>12021</v>
      </c>
    </row>
    <row r="41" spans="1:10" s="43" customFormat="1" ht="15" customHeight="1" outlineLevel="1" thickBot="1" x14ac:dyDescent="0.3">
      <c r="A41" s="101" t="s">
        <v>21</v>
      </c>
      <c r="B41" s="699"/>
      <c r="C41" s="247">
        <f>AVERAGE(C33:C39)</f>
        <v>189</v>
      </c>
      <c r="D41" s="564">
        <f>AVERAGE(D33:D39)</f>
        <v>538.14285714285711</v>
      </c>
      <c r="E41" s="268">
        <f t="shared" ref="E41:F41" si="16">AVERAGE(E33:E39)</f>
        <v>87</v>
      </c>
      <c r="F41" s="247">
        <f t="shared" si="16"/>
        <v>180.85714285714286</v>
      </c>
      <c r="G41" s="564">
        <f>AVERAGE(G33:G39)</f>
        <v>106.14285714285714</v>
      </c>
      <c r="H41" s="268">
        <f>AVERAGE(H33:H39)</f>
        <v>616.14285714285711</v>
      </c>
      <c r="I41" s="410">
        <f>AVERAGE(I33:I39)</f>
        <v>1717.2857142857142</v>
      </c>
    </row>
    <row r="42" spans="1:10" s="43" customFormat="1" ht="15" customHeight="1" thickBot="1" x14ac:dyDescent="0.3">
      <c r="A42" s="26" t="s">
        <v>18</v>
      </c>
      <c r="B42" s="699"/>
      <c r="C42" s="248">
        <f>SUM(C33:C37)</f>
        <v>1323</v>
      </c>
      <c r="D42" s="565">
        <f>SUM(D33:D37)</f>
        <v>2708</v>
      </c>
      <c r="E42" s="266">
        <f t="shared" ref="E42" si="17">SUM(E33:E37)</f>
        <v>114</v>
      </c>
      <c r="F42" s="248">
        <f>SUM(F33:F37)</f>
        <v>1266</v>
      </c>
      <c r="G42" s="565">
        <f>SUM(G33:G37)</f>
        <v>172</v>
      </c>
      <c r="H42" s="266">
        <f>SUM(H33:H37)</f>
        <v>2985</v>
      </c>
      <c r="I42" s="411">
        <f>SUM(I33:I37)</f>
        <v>8568</v>
      </c>
    </row>
    <row r="43" spans="1:10" s="43" customFormat="1" ht="15" customHeight="1" thickBot="1" x14ac:dyDescent="0.3">
      <c r="A43" s="26" t="s">
        <v>20</v>
      </c>
      <c r="B43" s="699"/>
      <c r="C43" s="248">
        <f>AVERAGE(C33:C37)</f>
        <v>264.60000000000002</v>
      </c>
      <c r="D43" s="565">
        <f>AVERAGE(D33:D37)</f>
        <v>541.6</v>
      </c>
      <c r="E43" s="266">
        <f t="shared" ref="E43:F43" si="18">AVERAGE(E33:E37)</f>
        <v>22.8</v>
      </c>
      <c r="F43" s="248">
        <f t="shared" si="18"/>
        <v>253.2</v>
      </c>
      <c r="G43" s="565">
        <f>AVERAGE(G33:G37)</f>
        <v>34.4</v>
      </c>
      <c r="H43" s="266">
        <f>AVERAGE(H33:H37)</f>
        <v>597</v>
      </c>
      <c r="I43" s="411">
        <f>AVERAGE(I33:I37)</f>
        <v>1713.6</v>
      </c>
    </row>
    <row r="44" spans="1:10" s="43" customFormat="1" ht="15" customHeight="1" x14ac:dyDescent="0.25">
      <c r="A44" s="25" t="s">
        <v>3</v>
      </c>
      <c r="B44" s="223">
        <f>B39+1</f>
        <v>44368</v>
      </c>
      <c r="C44" s="246">
        <v>301</v>
      </c>
      <c r="D44" s="567">
        <v>508</v>
      </c>
      <c r="E44" s="267">
        <v>5</v>
      </c>
      <c r="F44" s="237">
        <v>289</v>
      </c>
      <c r="G44" s="566">
        <v>576</v>
      </c>
      <c r="H44" s="267">
        <v>29</v>
      </c>
      <c r="I44" s="412">
        <f t="shared" ref="I44:I50" si="19">SUM(C44:H44)</f>
        <v>1708</v>
      </c>
      <c r="J44" s="140"/>
    </row>
    <row r="45" spans="1:10" s="43" customFormat="1" ht="15" customHeight="1" x14ac:dyDescent="0.25">
      <c r="A45" s="25" t="s">
        <v>4</v>
      </c>
      <c r="B45" s="223">
        <f t="shared" ref="B45:B50" si="20">B44+1</f>
        <v>44369</v>
      </c>
      <c r="C45" s="246">
        <v>344</v>
      </c>
      <c r="D45" s="567">
        <v>540</v>
      </c>
      <c r="E45" s="267">
        <v>3</v>
      </c>
      <c r="F45" s="237">
        <v>325</v>
      </c>
      <c r="G45" s="566">
        <v>572</v>
      </c>
      <c r="H45" s="267">
        <v>0</v>
      </c>
      <c r="I45" s="412">
        <f t="shared" si="19"/>
        <v>1784</v>
      </c>
      <c r="J45" s="140"/>
    </row>
    <row r="46" spans="1:10" s="43" customFormat="1" ht="15" customHeight="1" x14ac:dyDescent="0.25">
      <c r="A46" s="25" t="s">
        <v>5</v>
      </c>
      <c r="B46" s="223">
        <f t="shared" si="20"/>
        <v>44370</v>
      </c>
      <c r="C46" s="246">
        <v>363</v>
      </c>
      <c r="D46" s="567">
        <v>649</v>
      </c>
      <c r="E46" s="267">
        <v>11</v>
      </c>
      <c r="F46" s="237">
        <v>323</v>
      </c>
      <c r="G46" s="566">
        <v>642</v>
      </c>
      <c r="H46" s="267">
        <v>21</v>
      </c>
      <c r="I46" s="412">
        <f>SUM(C46:H46)</f>
        <v>2009</v>
      </c>
      <c r="J46" s="140"/>
    </row>
    <row r="47" spans="1:10" s="43" customFormat="1" ht="15" customHeight="1" x14ac:dyDescent="0.25">
      <c r="A47" s="25" t="s">
        <v>6</v>
      </c>
      <c r="B47" s="223">
        <f t="shared" si="20"/>
        <v>44371</v>
      </c>
      <c r="C47" s="246">
        <v>355</v>
      </c>
      <c r="D47" s="567">
        <v>641</v>
      </c>
      <c r="E47" s="267">
        <v>33</v>
      </c>
      <c r="F47" s="237">
        <v>378</v>
      </c>
      <c r="G47" s="567">
        <v>729</v>
      </c>
      <c r="H47" s="267">
        <v>25</v>
      </c>
      <c r="I47" s="412">
        <f t="shared" si="19"/>
        <v>2161</v>
      </c>
      <c r="J47" s="140"/>
    </row>
    <row r="48" spans="1:10" s="43" customFormat="1" ht="15" customHeight="1" x14ac:dyDescent="0.25">
      <c r="A48" s="25" t="s">
        <v>0</v>
      </c>
      <c r="B48" s="223">
        <f t="shared" si="20"/>
        <v>44372</v>
      </c>
      <c r="C48" s="246">
        <v>275</v>
      </c>
      <c r="D48" s="567">
        <v>570</v>
      </c>
      <c r="E48" s="267">
        <v>13</v>
      </c>
      <c r="F48" s="237">
        <v>290</v>
      </c>
      <c r="G48" s="567">
        <v>581</v>
      </c>
      <c r="H48" s="267">
        <v>27</v>
      </c>
      <c r="I48" s="412">
        <f t="shared" si="19"/>
        <v>1756</v>
      </c>
      <c r="J48" s="140"/>
    </row>
    <row r="49" spans="1:10" s="43" customFormat="1" ht="15" customHeight="1" outlineLevel="1" x14ac:dyDescent="0.25">
      <c r="A49" s="25" t="s">
        <v>1</v>
      </c>
      <c r="B49" s="223">
        <f t="shared" si="20"/>
        <v>44373</v>
      </c>
      <c r="C49" s="246">
        <v>0</v>
      </c>
      <c r="D49" s="567">
        <v>493</v>
      </c>
      <c r="E49" s="267">
        <v>124</v>
      </c>
      <c r="F49" s="237">
        <v>0</v>
      </c>
      <c r="G49" s="566">
        <v>707</v>
      </c>
      <c r="H49" s="267">
        <v>123</v>
      </c>
      <c r="I49" s="412">
        <f t="shared" si="19"/>
        <v>1447</v>
      </c>
      <c r="J49" s="140"/>
    </row>
    <row r="50" spans="1:10" s="43" customFormat="1" ht="15" customHeight="1" outlineLevel="1" thickBot="1" x14ac:dyDescent="0.3">
      <c r="A50" s="25" t="s">
        <v>2</v>
      </c>
      <c r="B50" s="223">
        <f t="shared" si="20"/>
        <v>44374</v>
      </c>
      <c r="C50" s="246">
        <v>0</v>
      </c>
      <c r="D50" s="567">
        <v>600</v>
      </c>
      <c r="E50" s="267">
        <v>120</v>
      </c>
      <c r="F50" s="237">
        <v>0</v>
      </c>
      <c r="G50" s="566">
        <v>664</v>
      </c>
      <c r="H50" s="267">
        <v>228</v>
      </c>
      <c r="I50" s="412">
        <f t="shared" si="19"/>
        <v>1612</v>
      </c>
      <c r="J50" s="140"/>
    </row>
    <row r="51" spans="1:10" s="43" customFormat="1" ht="15" customHeight="1" outlineLevel="1" thickBot="1" x14ac:dyDescent="0.3">
      <c r="A51" s="144" t="s">
        <v>19</v>
      </c>
      <c r="B51" s="699" t="s">
        <v>25</v>
      </c>
      <c r="C51" s="247">
        <f>SUM(C44:C50)</f>
        <v>1638</v>
      </c>
      <c r="D51" s="564">
        <f>SUM(D44:D50)</f>
        <v>4001</v>
      </c>
      <c r="E51" s="268">
        <f t="shared" ref="E51:F51" si="21">SUM(E44:E50)</f>
        <v>309</v>
      </c>
      <c r="F51" s="247">
        <f t="shared" si="21"/>
        <v>1605</v>
      </c>
      <c r="G51" s="564">
        <f>SUM(G44:G50)</f>
        <v>4471</v>
      </c>
      <c r="H51" s="268">
        <f>SUM(H44:H50)</f>
        <v>453</v>
      </c>
      <c r="I51" s="410">
        <f>SUM(I44:I50)</f>
        <v>12477</v>
      </c>
    </row>
    <row r="52" spans="1:10" s="43" customFormat="1" ht="15" customHeight="1" outlineLevel="1" thickBot="1" x14ac:dyDescent="0.3">
      <c r="A52" s="101" t="s">
        <v>21</v>
      </c>
      <c r="B52" s="699"/>
      <c r="C52" s="247">
        <f>AVERAGE(C44:C50)</f>
        <v>234</v>
      </c>
      <c r="D52" s="564">
        <f>AVERAGE(D44:D50)</f>
        <v>571.57142857142856</v>
      </c>
      <c r="E52" s="268">
        <f t="shared" ref="E52" si="22">AVERAGE(E44:E50)</f>
        <v>44.142857142857146</v>
      </c>
      <c r="F52" s="247">
        <f>AVERAGE(F44:F50)</f>
        <v>229.28571428571428</v>
      </c>
      <c r="G52" s="564">
        <f>AVERAGE(G44:G50)</f>
        <v>638.71428571428567</v>
      </c>
      <c r="H52" s="268">
        <f>AVERAGE(H44:H50)</f>
        <v>64.714285714285708</v>
      </c>
      <c r="I52" s="410">
        <f>AVERAGE(I44:I50)</f>
        <v>1782.4285714285713</v>
      </c>
    </row>
    <row r="53" spans="1:10" s="43" customFormat="1" ht="15" customHeight="1" thickBot="1" x14ac:dyDescent="0.3">
      <c r="A53" s="26" t="s">
        <v>18</v>
      </c>
      <c r="B53" s="699"/>
      <c r="C53" s="248">
        <f>SUM(C44:C48)</f>
        <v>1638</v>
      </c>
      <c r="D53" s="565">
        <f>SUM(D44:D48)</f>
        <v>2908</v>
      </c>
      <c r="E53" s="266">
        <f t="shared" ref="E53" si="23">SUM(E44:E48)</f>
        <v>65</v>
      </c>
      <c r="F53" s="248">
        <f>SUM(F44:F48)</f>
        <v>1605</v>
      </c>
      <c r="G53" s="565">
        <f>SUM(G44:G48)</f>
        <v>3100</v>
      </c>
      <c r="H53" s="266">
        <f>SUM(H44:H48)</f>
        <v>102</v>
      </c>
      <c r="I53" s="411">
        <f>SUM(I44:I48)</f>
        <v>9418</v>
      </c>
    </row>
    <row r="54" spans="1:10" s="43" customFormat="1" ht="15" customHeight="1" thickBot="1" x14ac:dyDescent="0.3">
      <c r="A54" s="26" t="s">
        <v>20</v>
      </c>
      <c r="B54" s="699"/>
      <c r="C54" s="248">
        <f>AVERAGE(C44:C48)</f>
        <v>327.60000000000002</v>
      </c>
      <c r="D54" s="565">
        <f>AVERAGE(D44:D48)</f>
        <v>581.6</v>
      </c>
      <c r="E54" s="266">
        <f t="shared" ref="E54:F54" si="24">AVERAGE(E44:E48)</f>
        <v>13</v>
      </c>
      <c r="F54" s="248">
        <f t="shared" si="24"/>
        <v>321</v>
      </c>
      <c r="G54" s="565">
        <f>AVERAGE(G44:G48)</f>
        <v>620</v>
      </c>
      <c r="H54" s="266">
        <f>AVERAGE(H44:H48)</f>
        <v>20.399999999999999</v>
      </c>
      <c r="I54" s="411">
        <f>AVERAGE(I44:I48)</f>
        <v>1883.6</v>
      </c>
    </row>
    <row r="55" spans="1:10" s="43" customFormat="1" ht="15" customHeight="1" x14ac:dyDescent="0.25">
      <c r="A55" s="25" t="s">
        <v>3</v>
      </c>
      <c r="B55" s="223">
        <f>B50+1</f>
        <v>44375</v>
      </c>
      <c r="C55" s="237">
        <v>344</v>
      </c>
      <c r="D55" s="567">
        <v>531</v>
      </c>
      <c r="E55" s="267">
        <v>49</v>
      </c>
      <c r="F55" s="237">
        <v>297</v>
      </c>
      <c r="G55" s="567">
        <v>544</v>
      </c>
      <c r="H55" s="267">
        <v>59</v>
      </c>
      <c r="I55" s="412">
        <f>SUM(C55:H55)</f>
        <v>1824</v>
      </c>
      <c r="J55" s="140"/>
    </row>
    <row r="56" spans="1:10" s="43" customFormat="1" ht="13.5" x14ac:dyDescent="0.25">
      <c r="A56" s="136" t="s">
        <v>4</v>
      </c>
      <c r="B56" s="223">
        <f t="shared" ref="B56:B57" si="25">B55+1</f>
        <v>44376</v>
      </c>
      <c r="C56" s="237">
        <v>436</v>
      </c>
      <c r="D56" s="567">
        <v>668</v>
      </c>
      <c r="E56" s="267">
        <v>54</v>
      </c>
      <c r="F56" s="237">
        <v>393</v>
      </c>
      <c r="G56" s="567">
        <v>584</v>
      </c>
      <c r="H56" s="267">
        <v>59</v>
      </c>
      <c r="I56" s="412">
        <f t="shared" ref="I56:I59" si="26">SUM(C56:H56)</f>
        <v>2194</v>
      </c>
      <c r="J56" s="140"/>
    </row>
    <row r="57" spans="1:10" s="43" customFormat="1" ht="14.25" thickBot="1" x14ac:dyDescent="0.3">
      <c r="A57" s="136" t="s">
        <v>5</v>
      </c>
      <c r="B57" s="223">
        <f t="shared" si="25"/>
        <v>44377</v>
      </c>
      <c r="C57" s="237">
        <v>388</v>
      </c>
      <c r="D57" s="567">
        <v>621</v>
      </c>
      <c r="E57" s="267">
        <v>67</v>
      </c>
      <c r="F57" s="237">
        <v>339</v>
      </c>
      <c r="G57" s="567">
        <v>631</v>
      </c>
      <c r="H57" s="267">
        <v>94</v>
      </c>
      <c r="I57" s="412">
        <f t="shared" si="26"/>
        <v>2140</v>
      </c>
      <c r="J57" s="140"/>
    </row>
    <row r="58" spans="1:10" s="43" customFormat="1" ht="14.25" hidden="1" thickBot="1" x14ac:dyDescent="0.3">
      <c r="A58" s="25" t="s">
        <v>6</v>
      </c>
      <c r="B58" s="223"/>
      <c r="C58" s="246"/>
      <c r="D58" s="566"/>
      <c r="E58" s="269"/>
      <c r="F58" s="246"/>
      <c r="G58" s="566"/>
      <c r="H58" s="269"/>
      <c r="I58" s="412">
        <f t="shared" si="26"/>
        <v>0</v>
      </c>
      <c r="J58" s="140"/>
    </row>
    <row r="59" spans="1:10" s="43" customFormat="1" ht="14.25" hidden="1" thickBot="1" x14ac:dyDescent="0.3">
      <c r="A59" s="25" t="s">
        <v>0</v>
      </c>
      <c r="B59" s="223"/>
      <c r="C59" s="246"/>
      <c r="D59" s="566"/>
      <c r="E59" s="269"/>
      <c r="F59" s="246"/>
      <c r="G59" s="566"/>
      <c r="H59" s="269"/>
      <c r="I59" s="412">
        <f t="shared" si="26"/>
        <v>0</v>
      </c>
      <c r="J59" s="140"/>
    </row>
    <row r="60" spans="1:10" s="43" customFormat="1" ht="14.25" hidden="1" outlineLevel="1" thickBot="1" x14ac:dyDescent="0.3">
      <c r="A60" s="25" t="s">
        <v>1</v>
      </c>
      <c r="B60" s="223"/>
      <c r="C60" s="246"/>
      <c r="D60" s="566"/>
      <c r="E60" s="269"/>
      <c r="F60" s="246"/>
      <c r="G60" s="566"/>
      <c r="H60" s="269"/>
      <c r="I60" s="412"/>
      <c r="J60" s="140"/>
    </row>
    <row r="61" spans="1:10" s="43" customFormat="1" ht="14.25" hidden="1" outlineLevel="1" thickBot="1" x14ac:dyDescent="0.3">
      <c r="A61" s="25" t="s">
        <v>2</v>
      </c>
      <c r="B61" s="223"/>
      <c r="C61" s="246"/>
      <c r="D61" s="566"/>
      <c r="E61" s="269"/>
      <c r="F61" s="246"/>
      <c r="G61" s="566"/>
      <c r="H61" s="269"/>
      <c r="I61" s="412"/>
    </row>
    <row r="62" spans="1:10" s="43" customFormat="1" ht="15" customHeight="1" outlineLevel="1" thickBot="1" x14ac:dyDescent="0.3">
      <c r="A62" s="144" t="s">
        <v>19</v>
      </c>
      <c r="B62" s="778" t="s">
        <v>26</v>
      </c>
      <c r="C62" s="247">
        <f>SUM(C55:C61)</f>
        <v>1168</v>
      </c>
      <c r="D62" s="564">
        <f>SUM(D55:D61)</f>
        <v>1820</v>
      </c>
      <c r="E62" s="268">
        <f t="shared" ref="E62:F62" si="27">SUM(E55:E61)</f>
        <v>170</v>
      </c>
      <c r="F62" s="247">
        <f t="shared" si="27"/>
        <v>1029</v>
      </c>
      <c r="G62" s="564">
        <f>SUM(G55:G61)</f>
        <v>1759</v>
      </c>
      <c r="H62" s="268">
        <f>SUM(H55:H61)</f>
        <v>212</v>
      </c>
      <c r="I62" s="410">
        <f>SUM(I55:I61)</f>
        <v>6158</v>
      </c>
    </row>
    <row r="63" spans="1:10" s="43" customFormat="1" ht="15" customHeight="1" outlineLevel="1" thickBot="1" x14ac:dyDescent="0.3">
      <c r="A63" s="101" t="s">
        <v>21</v>
      </c>
      <c r="B63" s="778"/>
      <c r="C63" s="247">
        <f>AVERAGE(C55:C61)</f>
        <v>389.33333333333331</v>
      </c>
      <c r="D63" s="564">
        <f>AVERAGE(D55:D61)</f>
        <v>606.66666666666663</v>
      </c>
      <c r="E63" s="268">
        <f t="shared" ref="E63:F63" si="28">AVERAGE(E55:E61)</f>
        <v>56.666666666666664</v>
      </c>
      <c r="F63" s="247">
        <f t="shared" si="28"/>
        <v>343</v>
      </c>
      <c r="G63" s="564">
        <f>AVERAGE(G55:G61)</f>
        <v>586.33333333333337</v>
      </c>
      <c r="H63" s="268">
        <f>AVERAGE(H55:H61)</f>
        <v>70.666666666666671</v>
      </c>
      <c r="I63" s="410">
        <f>AVERAGE(I55:I61)</f>
        <v>1231.5999999999999</v>
      </c>
    </row>
    <row r="64" spans="1:10" s="43" customFormat="1" ht="15" customHeight="1" thickBot="1" x14ac:dyDescent="0.3">
      <c r="A64" s="26" t="s">
        <v>18</v>
      </c>
      <c r="B64" s="778"/>
      <c r="C64" s="248">
        <f>SUM(C55:C59)</f>
        <v>1168</v>
      </c>
      <c r="D64" s="565">
        <f>SUM(D55:D59)</f>
        <v>1820</v>
      </c>
      <c r="E64" s="266">
        <f t="shared" ref="E64:F64" si="29">SUM(E55:E59)</f>
        <v>170</v>
      </c>
      <c r="F64" s="248">
        <f t="shared" si="29"/>
        <v>1029</v>
      </c>
      <c r="G64" s="565">
        <f>SUM(G55:G59)</f>
        <v>1759</v>
      </c>
      <c r="H64" s="266">
        <f>SUM(H55:H59)</f>
        <v>212</v>
      </c>
      <c r="I64" s="411">
        <f>SUM(I55:I59)</f>
        <v>6158</v>
      </c>
    </row>
    <row r="65" spans="1:9" s="43" customFormat="1" ht="14.25" thickBot="1" x14ac:dyDescent="0.3">
      <c r="A65" s="26" t="s">
        <v>20</v>
      </c>
      <c r="B65" s="779"/>
      <c r="C65" s="236">
        <f>AVERAGE(C55:C59)</f>
        <v>389.33333333333331</v>
      </c>
      <c r="D65" s="568">
        <f>AVERAGE(D55:D59)</f>
        <v>606.66666666666663</v>
      </c>
      <c r="E65" s="270">
        <f t="shared" ref="E65:F65" si="30">AVERAGE(E55:E59)</f>
        <v>56.666666666666664</v>
      </c>
      <c r="F65" s="236">
        <f t="shared" si="30"/>
        <v>343</v>
      </c>
      <c r="G65" s="568">
        <f>AVERAGE(G55:G59)</f>
        <v>586.33333333333337</v>
      </c>
      <c r="H65" s="270">
        <f>AVERAGE(H55:H59)</f>
        <v>70.666666666666671</v>
      </c>
      <c r="I65" s="413">
        <f>AVERAGE(I55:I59)</f>
        <v>1231.5999999999999</v>
      </c>
    </row>
    <row r="66" spans="1:9" s="43" customFormat="1" ht="15" customHeight="1" thickBot="1" x14ac:dyDescent="0.3">
      <c r="A66" s="4"/>
      <c r="B66" s="119"/>
      <c r="C66" s="46"/>
      <c r="D66" s="46"/>
      <c r="E66" s="46"/>
      <c r="F66" s="46"/>
      <c r="G66" s="46"/>
      <c r="H66" s="46"/>
      <c r="I66" s="46"/>
    </row>
    <row r="67" spans="1:9" s="43" customFormat="1" ht="30" customHeight="1" thickBot="1" x14ac:dyDescent="0.3">
      <c r="A67" s="487"/>
      <c r="B67" s="289" t="s">
        <v>123</v>
      </c>
      <c r="C67" s="408" t="s">
        <v>13</v>
      </c>
      <c r="E67" s="46"/>
      <c r="F67" s="46"/>
      <c r="G67" s="788" t="s">
        <v>54</v>
      </c>
      <c r="H67" s="789"/>
      <c r="I67" s="790"/>
    </row>
    <row r="68" spans="1:9" ht="30" customHeight="1" x14ac:dyDescent="0.25">
      <c r="A68" s="488" t="s">
        <v>111</v>
      </c>
      <c r="B68" s="171">
        <f>SUM(E7:F7,C18:E18,C29:E29,C40:E40,C51:E51,C62:E62,)</f>
        <v>23389</v>
      </c>
      <c r="C68" s="387">
        <f>SUM(,G7:H7,, F62:H62, F51:H51, F40:H40, F29:H29, F18:H18)</f>
        <v>25359</v>
      </c>
      <c r="E68" s="106"/>
      <c r="F68" s="106"/>
      <c r="G68" s="785" t="s">
        <v>28</v>
      </c>
      <c r="H68" s="786"/>
      <c r="I68" s="370">
        <f xml:space="preserve"> SUM(I20, I31, I42, I53, I64,)</f>
        <v>36506</v>
      </c>
    </row>
    <row r="69" spans="1:9" ht="30" customHeight="1" thickBot="1" x14ac:dyDescent="0.3">
      <c r="A69" s="489" t="s">
        <v>28</v>
      </c>
      <c r="B69" s="294">
        <f>SUM(C20:E20,C31:E31,C42:E42,C53:E53,C64:E64)</f>
        <v>17939</v>
      </c>
      <c r="C69" s="389">
        <f>SUM( F64:H64, F53:H53, F42:H42, F31:H31, F20:H20)</f>
        <v>18567</v>
      </c>
      <c r="E69" s="106"/>
      <c r="F69" s="106"/>
      <c r="G69" s="781" t="s">
        <v>111</v>
      </c>
      <c r="H69" s="782"/>
      <c r="I69" s="371">
        <f xml:space="preserve"> SUM(,I7,I62, I51, I40, I29, I18,)</f>
        <v>48748</v>
      </c>
    </row>
    <row r="70" spans="1:9" ht="30" customHeight="1" x14ac:dyDescent="0.25">
      <c r="G70" s="781" t="s">
        <v>20</v>
      </c>
      <c r="H70" s="782"/>
      <c r="I70" s="371">
        <f>AVERAGE(I21,I32,I43,I54,I65)</f>
        <v>1460.2400000000002</v>
      </c>
    </row>
    <row r="71" spans="1:9" ht="26.25" customHeight="1" thickBot="1" x14ac:dyDescent="0.3">
      <c r="G71" s="783" t="s">
        <v>117</v>
      </c>
      <c r="H71" s="784"/>
      <c r="I71" s="297">
        <f>AVERAGE(I19,I30,I41,I52,I63)</f>
        <v>1463.1771428571428</v>
      </c>
    </row>
    <row r="72" spans="1:9" x14ac:dyDescent="0.25">
      <c r="C72" s="138"/>
    </row>
  </sheetData>
  <mergeCells count="22">
    <mergeCell ref="B7:B10"/>
    <mergeCell ref="I1:I4"/>
    <mergeCell ref="G67:I67"/>
    <mergeCell ref="E3:E4"/>
    <mergeCell ref="F3:F4"/>
    <mergeCell ref="C1:E2"/>
    <mergeCell ref="F1:H2"/>
    <mergeCell ref="A3:A4"/>
    <mergeCell ref="B3:B4"/>
    <mergeCell ref="G3:G4"/>
    <mergeCell ref="H3:H4"/>
    <mergeCell ref="C3:C4"/>
    <mergeCell ref="D3:D4"/>
    <mergeCell ref="G70:H70"/>
    <mergeCell ref="G71:H71"/>
    <mergeCell ref="B18:B21"/>
    <mergeCell ref="B29:B32"/>
    <mergeCell ref="B40:B43"/>
    <mergeCell ref="B51:B54"/>
    <mergeCell ref="B62:B65"/>
    <mergeCell ref="G69:H69"/>
    <mergeCell ref="G68:H68"/>
  </mergeCells>
  <pageMargins left="0.7" right="0.7" top="0.75" bottom="0.75" header="0.3" footer="0.3"/>
  <pageSetup scale="73" orientation="portrait" r:id="rId1"/>
  <ignoredErrors>
    <ignoredError sqref="C30" emptyCellReference="1"/>
    <ignoredError sqref="C19 G19:H19" evalError="1" emptyCellReference="1"/>
    <ignoredError sqref="G40 I30 I32 C40:D40" formulaRange="1" emptyCellReference="1"/>
    <ignoredError sqref="I65 H32" formulaRange="1"/>
    <ignoredError sqref="G65:H65 G41:I41 G63:H63 D21 I19 G52:I52 C65 I21 G43:I43 G54:I54 C54:D54 C43:D43 C63:D63 C52:D52 C41:D41" evalError="1" formulaRange="1" emptyCellReference="1"/>
    <ignoredError sqref="I63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2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81" sqref="M81"/>
    </sheetView>
  </sheetViews>
  <sheetFormatPr defaultColWidth="9.140625" defaultRowHeight="15" outlineLevelRow="1" x14ac:dyDescent="0.25"/>
  <cols>
    <col min="1" max="1" width="18.7109375" style="1" bestFit="1" customWidth="1"/>
    <col min="2" max="2" width="8.5703125" style="120" bestFit="1" customWidth="1"/>
    <col min="3" max="3" width="16.28515625" style="281" hidden="1" customWidth="1"/>
    <col min="4" max="7" width="15.7109375" style="11" hidden="1" customWidth="1"/>
    <col min="8" max="9" width="15.7109375" style="11" customWidth="1"/>
    <col min="10" max="11" width="15.7109375" style="11" hidden="1" customWidth="1"/>
    <col min="12" max="12" width="35.2851562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52"/>
      <c r="C1" s="746" t="s">
        <v>91</v>
      </c>
      <c r="D1" s="747"/>
      <c r="E1" s="747"/>
      <c r="F1" s="747"/>
      <c r="G1" s="747"/>
      <c r="H1" s="746" t="s">
        <v>88</v>
      </c>
      <c r="I1" s="748"/>
      <c r="J1" s="747" t="s">
        <v>89</v>
      </c>
      <c r="K1" s="748"/>
      <c r="L1" s="757" t="s">
        <v>17</v>
      </c>
    </row>
    <row r="2" spans="1:13" ht="15" customHeight="1" thickBot="1" x14ac:dyDescent="0.3">
      <c r="A2" s="24"/>
      <c r="B2" s="153"/>
      <c r="C2" s="749"/>
      <c r="D2" s="750"/>
      <c r="E2" s="750"/>
      <c r="F2" s="750"/>
      <c r="G2" s="750"/>
      <c r="H2" s="749"/>
      <c r="I2" s="751"/>
      <c r="J2" s="750"/>
      <c r="K2" s="751"/>
      <c r="L2" s="758"/>
    </row>
    <row r="3" spans="1:13" ht="13.5" customHeight="1" x14ac:dyDescent="0.25">
      <c r="A3" s="677" t="s">
        <v>48</v>
      </c>
      <c r="B3" s="796" t="s">
        <v>49</v>
      </c>
      <c r="C3" s="802" t="s">
        <v>98</v>
      </c>
      <c r="D3" s="724" t="s">
        <v>7</v>
      </c>
      <c r="E3" s="724" t="s">
        <v>85</v>
      </c>
      <c r="F3" s="724" t="s">
        <v>86</v>
      </c>
      <c r="G3" s="800" t="s">
        <v>87</v>
      </c>
      <c r="H3" s="677" t="s">
        <v>82</v>
      </c>
      <c r="I3" s="383" t="s">
        <v>101</v>
      </c>
      <c r="J3" s="798" t="s">
        <v>10</v>
      </c>
      <c r="K3" s="725" t="s">
        <v>96</v>
      </c>
      <c r="L3" s="731"/>
    </row>
    <row r="4" spans="1:13" ht="15" customHeight="1" thickBot="1" x14ac:dyDescent="0.3">
      <c r="A4" s="694"/>
      <c r="B4" s="797"/>
      <c r="C4" s="803"/>
      <c r="D4" s="727"/>
      <c r="E4" s="727"/>
      <c r="F4" s="727"/>
      <c r="G4" s="801"/>
      <c r="H4" s="680"/>
      <c r="I4" s="433" t="s">
        <v>95</v>
      </c>
      <c r="J4" s="799"/>
      <c r="K4" s="728"/>
      <c r="L4" s="732"/>
    </row>
    <row r="5" spans="1:13" s="347" customFormat="1" ht="13.5" hidden="1" x14ac:dyDescent="0.25">
      <c r="A5" s="25" t="s">
        <v>1</v>
      </c>
      <c r="B5" s="545"/>
      <c r="C5" s="528"/>
      <c r="D5" s="490"/>
      <c r="E5" s="490"/>
      <c r="F5" s="490"/>
      <c r="G5" s="494"/>
      <c r="H5" s="496"/>
      <c r="I5" s="494"/>
      <c r="J5" s="496"/>
      <c r="K5" s="491"/>
      <c r="L5" s="357"/>
    </row>
    <row r="6" spans="1:13" s="347" customFormat="1" ht="14.25" hidden="1" thickBot="1" x14ac:dyDescent="0.3">
      <c r="A6" s="25" t="s">
        <v>2</v>
      </c>
      <c r="B6" s="545"/>
      <c r="C6" s="529"/>
      <c r="D6" s="492"/>
      <c r="E6" s="492"/>
      <c r="F6" s="492"/>
      <c r="G6" s="495"/>
      <c r="H6" s="497"/>
      <c r="I6" s="495"/>
      <c r="J6" s="497"/>
      <c r="K6" s="493"/>
      <c r="L6" s="432"/>
    </row>
    <row r="7" spans="1:13" s="43" customFormat="1" ht="14.25" hidden="1" outlineLevel="1" thickBot="1" x14ac:dyDescent="0.3">
      <c r="A7" s="144" t="s">
        <v>19</v>
      </c>
      <c r="B7" s="791" t="s">
        <v>116</v>
      </c>
      <c r="C7" s="530" t="e">
        <f>SUM(#REF!)</f>
        <v>#REF!</v>
      </c>
      <c r="D7" s="317">
        <f>SUM(D5)</f>
        <v>0</v>
      </c>
      <c r="E7" s="317">
        <f t="shared" ref="E7:K7" si="0">SUM(E5)</f>
        <v>0</v>
      </c>
      <c r="F7" s="317">
        <f t="shared" si="0"/>
        <v>0</v>
      </c>
      <c r="G7" s="318">
        <f t="shared" si="0"/>
        <v>0</v>
      </c>
      <c r="H7" s="249">
        <f t="shared" si="0"/>
        <v>0</v>
      </c>
      <c r="I7" s="263">
        <f t="shared" si="0"/>
        <v>0</v>
      </c>
      <c r="J7" s="385">
        <f t="shared" si="0"/>
        <v>0</v>
      </c>
      <c r="K7" s="263">
        <f t="shared" si="0"/>
        <v>0</v>
      </c>
      <c r="L7" s="385">
        <f>SUM(L5)</f>
        <v>0</v>
      </c>
    </row>
    <row r="8" spans="1:13" s="43" customFormat="1" ht="14.25" hidden="1" outlineLevel="1" thickBot="1" x14ac:dyDescent="0.3">
      <c r="A8" s="101" t="s">
        <v>21</v>
      </c>
      <c r="B8" s="792"/>
      <c r="C8" s="531" t="e">
        <f>AVERAGE(#REF!)</f>
        <v>#REF!</v>
      </c>
      <c r="D8" s="228" t="e">
        <f>AVERAGE(D5)</f>
        <v>#DIV/0!</v>
      </c>
      <c r="E8" s="228" t="e">
        <f t="shared" ref="E8:L8" si="1">AVERAGE(E5)</f>
        <v>#DIV/0!</v>
      </c>
      <c r="F8" s="228" t="e">
        <f t="shared" si="1"/>
        <v>#DIV/0!</v>
      </c>
      <c r="G8" s="309" t="e">
        <f t="shared" si="1"/>
        <v>#DIV/0!</v>
      </c>
      <c r="H8" s="231" t="e">
        <f t="shared" si="1"/>
        <v>#DIV/0!</v>
      </c>
      <c r="I8" s="232" t="e">
        <f t="shared" si="1"/>
        <v>#DIV/0!</v>
      </c>
      <c r="J8" s="386" t="e">
        <f t="shared" si="1"/>
        <v>#DIV/0!</v>
      </c>
      <c r="K8" s="232" t="e">
        <f t="shared" si="1"/>
        <v>#DIV/0!</v>
      </c>
      <c r="L8" s="386" t="e">
        <f t="shared" si="1"/>
        <v>#DIV/0!</v>
      </c>
    </row>
    <row r="9" spans="1:13" s="43" customFormat="1" ht="14.25" hidden="1" thickBot="1" x14ac:dyDescent="0.3">
      <c r="A9" s="26" t="s">
        <v>18</v>
      </c>
      <c r="B9" s="792"/>
      <c r="C9" s="532" t="e">
        <f>SUM(#REF!)</f>
        <v>#REF!</v>
      </c>
      <c r="D9" s="229" t="e">
        <f>SUM(#REF!)</f>
        <v>#REF!</v>
      </c>
      <c r="E9" s="229" t="e">
        <f>SUM(#REF!)</f>
        <v>#REF!</v>
      </c>
      <c r="F9" s="229" t="e">
        <f>SUM(#REF!)</f>
        <v>#REF!</v>
      </c>
      <c r="G9" s="310" t="e">
        <f>SUM(#REF!)</f>
        <v>#REF!</v>
      </c>
      <c r="H9" s="233" t="e">
        <f>SUM(#REF!)</f>
        <v>#REF!</v>
      </c>
      <c r="I9" s="234" t="e">
        <f>SUM(#REF!)</f>
        <v>#REF!</v>
      </c>
      <c r="J9" s="260" t="e">
        <f>SUM(#REF!)</f>
        <v>#REF!</v>
      </c>
      <c r="K9" s="406" t="e">
        <f>SUM(#REF!)</f>
        <v>#REF!</v>
      </c>
      <c r="L9" s="404" t="e">
        <f>SUM(#REF!)</f>
        <v>#REF!</v>
      </c>
    </row>
    <row r="10" spans="1:13" s="43" customFormat="1" ht="14.25" hidden="1" thickBot="1" x14ac:dyDescent="0.3">
      <c r="A10" s="26" t="s">
        <v>20</v>
      </c>
      <c r="B10" s="793"/>
      <c r="C10" s="533" t="e">
        <f>AVERAGE(#REF!)</f>
        <v>#REF!</v>
      </c>
      <c r="D10" s="31" t="e">
        <f>AVERAGE(#REF!)</f>
        <v>#REF!</v>
      </c>
      <c r="E10" s="31" t="e">
        <f>AVERAGE(#REF!)</f>
        <v>#REF!</v>
      </c>
      <c r="F10" s="31" t="e">
        <f>AVERAGE(#REF!)</f>
        <v>#REF!</v>
      </c>
      <c r="G10" s="311" t="e">
        <f>AVERAGE(#REF!)</f>
        <v>#REF!</v>
      </c>
      <c r="H10" s="29" t="e">
        <f>AVERAGE(#REF!)</f>
        <v>#REF!</v>
      </c>
      <c r="I10" s="30" t="e">
        <f>AVERAGE(I3)</f>
        <v>#DIV/0!</v>
      </c>
      <c r="J10" s="254" t="e">
        <f>AVERAGE(#REF!)</f>
        <v>#REF!</v>
      </c>
      <c r="K10" s="33" t="e">
        <f>AVERAGE(#REF!)</f>
        <v>#REF!</v>
      </c>
      <c r="L10" s="405" t="e">
        <f>AVERAGE(#REF!)</f>
        <v>#REF!</v>
      </c>
    </row>
    <row r="11" spans="1:13" s="42" customFormat="1" ht="14.25" hidden="1" thickBot="1" x14ac:dyDescent="0.3">
      <c r="A11" s="25" t="s">
        <v>3</v>
      </c>
      <c r="B11" s="546"/>
      <c r="C11" s="506"/>
      <c r="D11" s="349"/>
      <c r="E11" s="349"/>
      <c r="F11" s="14"/>
      <c r="G11" s="56"/>
      <c r="H11" s="353"/>
      <c r="I11" s="354"/>
      <c r="J11" s="127"/>
      <c r="K11" s="13"/>
      <c r="L11" s="49">
        <f t="shared" ref="L11:L17" si="2">SUM(C11:K11)</f>
        <v>0</v>
      </c>
    </row>
    <row r="12" spans="1:13" s="42" customFormat="1" ht="14.25" thickBot="1" x14ac:dyDescent="0.3">
      <c r="A12" s="25" t="s">
        <v>4</v>
      </c>
      <c r="B12" s="546">
        <v>44348</v>
      </c>
      <c r="C12" s="519"/>
      <c r="D12" s="227"/>
      <c r="E12" s="227"/>
      <c r="F12" s="195"/>
      <c r="G12" s="203"/>
      <c r="H12" s="316">
        <v>152</v>
      </c>
      <c r="I12" s="235">
        <v>149</v>
      </c>
      <c r="J12" s="128"/>
      <c r="K12" s="19"/>
      <c r="L12" s="49">
        <f t="shared" si="2"/>
        <v>301</v>
      </c>
    </row>
    <row r="13" spans="1:13" s="42" customFormat="1" ht="14.25" thickBot="1" x14ac:dyDescent="0.3">
      <c r="A13" s="25" t="s">
        <v>5</v>
      </c>
      <c r="B13" s="546">
        <v>44349</v>
      </c>
      <c r="C13" s="519"/>
      <c r="D13" s="379"/>
      <c r="E13" s="227"/>
      <c r="F13" s="195"/>
      <c r="G13" s="203"/>
      <c r="H13" s="316">
        <v>153</v>
      </c>
      <c r="I13" s="235">
        <v>157</v>
      </c>
      <c r="J13" s="128"/>
      <c r="K13" s="19"/>
      <c r="L13" s="49">
        <f>SUM(C13:K13)</f>
        <v>310</v>
      </c>
    </row>
    <row r="14" spans="1:13" s="42" customFormat="1" ht="14.25" thickBot="1" x14ac:dyDescent="0.3">
      <c r="A14" s="25" t="s">
        <v>6</v>
      </c>
      <c r="B14" s="546">
        <v>44350</v>
      </c>
      <c r="C14" s="519"/>
      <c r="D14" s="227"/>
      <c r="E14" s="226"/>
      <c r="F14" s="20"/>
      <c r="G14" s="57"/>
      <c r="H14" s="316">
        <v>144</v>
      </c>
      <c r="I14" s="235">
        <v>158</v>
      </c>
      <c r="J14" s="128"/>
      <c r="K14" s="19"/>
      <c r="L14" s="49">
        <f t="shared" si="2"/>
        <v>302</v>
      </c>
      <c r="M14" s="137"/>
    </row>
    <row r="15" spans="1:13" s="42" customFormat="1" ht="14.25" thickBot="1" x14ac:dyDescent="0.3">
      <c r="A15" s="25" t="s">
        <v>0</v>
      </c>
      <c r="B15" s="546">
        <v>44351</v>
      </c>
      <c r="C15" s="519"/>
      <c r="D15" s="225"/>
      <c r="E15" s="226"/>
      <c r="F15" s="20"/>
      <c r="G15" s="57"/>
      <c r="H15" s="316">
        <v>139</v>
      </c>
      <c r="I15" s="235">
        <v>141</v>
      </c>
      <c r="J15" s="128"/>
      <c r="K15" s="19"/>
      <c r="L15" s="49">
        <f t="shared" si="2"/>
        <v>280</v>
      </c>
      <c r="M15" s="137"/>
    </row>
    <row r="16" spans="1:13" s="42" customFormat="1" ht="14.25" outlineLevel="1" thickBot="1" x14ac:dyDescent="0.3">
      <c r="A16" s="25" t="s">
        <v>1</v>
      </c>
      <c r="B16" s="546">
        <v>44352</v>
      </c>
      <c r="C16" s="519"/>
      <c r="D16" s="225"/>
      <c r="E16" s="226"/>
      <c r="F16" s="20"/>
      <c r="G16" s="57"/>
      <c r="H16" s="380"/>
      <c r="I16" s="377"/>
      <c r="J16" s="128"/>
      <c r="K16" s="19"/>
      <c r="L16" s="49">
        <f t="shared" si="2"/>
        <v>0</v>
      </c>
      <c r="M16" s="137"/>
    </row>
    <row r="17" spans="1:13" s="42" customFormat="1" ht="15" customHeight="1" outlineLevel="1" thickBot="1" x14ac:dyDescent="0.3">
      <c r="A17" s="25" t="s">
        <v>2</v>
      </c>
      <c r="B17" s="546">
        <v>44353</v>
      </c>
      <c r="C17" s="534"/>
      <c r="D17" s="319"/>
      <c r="E17" s="320"/>
      <c r="F17" s="52"/>
      <c r="G17" s="253"/>
      <c r="H17" s="381"/>
      <c r="I17" s="378"/>
      <c r="J17" s="147"/>
      <c r="K17" s="51"/>
      <c r="L17" s="49">
        <f t="shared" si="2"/>
        <v>0</v>
      </c>
      <c r="M17" s="137"/>
    </row>
    <row r="18" spans="1:13" s="43" customFormat="1" ht="15" customHeight="1" outlineLevel="1" thickBot="1" x14ac:dyDescent="0.3">
      <c r="A18" s="144" t="s">
        <v>19</v>
      </c>
      <c r="B18" s="791" t="s">
        <v>22</v>
      </c>
      <c r="C18" s="530">
        <f t="shared" ref="C18:K18" si="3">SUM(C11:C17)</f>
        <v>0</v>
      </c>
      <c r="D18" s="317">
        <f t="shared" si="3"/>
        <v>0</v>
      </c>
      <c r="E18" s="317">
        <f t="shared" si="3"/>
        <v>0</v>
      </c>
      <c r="F18" s="317">
        <f t="shared" si="3"/>
        <v>0</v>
      </c>
      <c r="G18" s="318">
        <f t="shared" si="3"/>
        <v>0</v>
      </c>
      <c r="H18" s="249">
        <f t="shared" si="3"/>
        <v>588</v>
      </c>
      <c r="I18" s="263">
        <f t="shared" si="3"/>
        <v>605</v>
      </c>
      <c r="J18" s="265">
        <f t="shared" si="3"/>
        <v>0</v>
      </c>
      <c r="K18" s="255">
        <f t="shared" si="3"/>
        <v>0</v>
      </c>
      <c r="L18" s="105">
        <f>SUM(L11:L17)</f>
        <v>1193</v>
      </c>
    </row>
    <row r="19" spans="1:13" s="43" customFormat="1" ht="15" customHeight="1" outlineLevel="1" thickBot="1" x14ac:dyDescent="0.3">
      <c r="A19" s="101" t="s">
        <v>21</v>
      </c>
      <c r="B19" s="792"/>
      <c r="C19" s="531" t="e">
        <f>AVERAGE(C11:C17)</f>
        <v>#DIV/0!</v>
      </c>
      <c r="D19" s="228" t="e">
        <f t="shared" ref="D19:K19" si="4">AVERAGE(D11:D17)</f>
        <v>#DIV/0!</v>
      </c>
      <c r="E19" s="228" t="e">
        <f t="shared" si="4"/>
        <v>#DIV/0!</v>
      </c>
      <c r="F19" s="228" t="e">
        <f t="shared" si="4"/>
        <v>#DIV/0!</v>
      </c>
      <c r="G19" s="309" t="e">
        <f t="shared" si="4"/>
        <v>#DIV/0!</v>
      </c>
      <c r="H19" s="231">
        <f t="shared" si="4"/>
        <v>147</v>
      </c>
      <c r="I19" s="232">
        <f>AVERAGE(I15:I17)</f>
        <v>141</v>
      </c>
      <c r="J19" s="259" t="e">
        <f t="shared" si="4"/>
        <v>#DIV/0!</v>
      </c>
      <c r="K19" s="240" t="e">
        <f t="shared" si="4"/>
        <v>#DIV/0!</v>
      </c>
      <c r="L19" s="103">
        <f>AVERAGE(L11:L17)</f>
        <v>170.42857142857142</v>
      </c>
    </row>
    <row r="20" spans="1:13" s="43" customFormat="1" ht="15" customHeight="1" thickBot="1" x14ac:dyDescent="0.3">
      <c r="A20" s="26" t="s">
        <v>18</v>
      </c>
      <c r="B20" s="792"/>
      <c r="C20" s="532">
        <f t="shared" ref="C20:K20" si="5">SUM(C11:C15)</f>
        <v>0</v>
      </c>
      <c r="D20" s="229">
        <f t="shared" si="5"/>
        <v>0</v>
      </c>
      <c r="E20" s="229">
        <f t="shared" si="5"/>
        <v>0</v>
      </c>
      <c r="F20" s="229">
        <f t="shared" si="5"/>
        <v>0</v>
      </c>
      <c r="G20" s="310">
        <f t="shared" si="5"/>
        <v>0</v>
      </c>
      <c r="H20" s="233">
        <f>SUM(H11:H15)</f>
        <v>588</v>
      </c>
      <c r="I20" s="234">
        <f>SUM(I11:I15)</f>
        <v>605</v>
      </c>
      <c r="J20" s="260">
        <f t="shared" si="5"/>
        <v>0</v>
      </c>
      <c r="K20" s="241">
        <f t="shared" si="5"/>
        <v>0</v>
      </c>
      <c r="L20" s="28">
        <f>SUM(L11:L15)</f>
        <v>1193</v>
      </c>
    </row>
    <row r="21" spans="1:13" s="43" customFormat="1" ht="15" customHeight="1" thickBot="1" x14ac:dyDescent="0.3">
      <c r="A21" s="26" t="s">
        <v>20</v>
      </c>
      <c r="B21" s="792"/>
      <c r="C21" s="535" t="e">
        <f>AVERAGE(C11:C15)</f>
        <v>#DIV/0!</v>
      </c>
      <c r="D21" s="323" t="e">
        <f t="shared" ref="D21:K21" si="6">AVERAGE(D11:D15)</f>
        <v>#DIV/0!</v>
      </c>
      <c r="E21" s="323" t="e">
        <f t="shared" si="6"/>
        <v>#DIV/0!</v>
      </c>
      <c r="F21" s="323" t="e">
        <f t="shared" si="6"/>
        <v>#DIV/0!</v>
      </c>
      <c r="G21" s="324" t="e">
        <f t="shared" si="6"/>
        <v>#DIV/0!</v>
      </c>
      <c r="H21" s="325">
        <f>AVERAGE(H11:H15)</f>
        <v>147</v>
      </c>
      <c r="I21" s="326">
        <f>AVERAGE(I15)</f>
        <v>141</v>
      </c>
      <c r="J21" s="327" t="e">
        <f t="shared" si="6"/>
        <v>#DIV/0!</v>
      </c>
      <c r="K21" s="328" t="e">
        <f t="shared" si="6"/>
        <v>#DIV/0!</v>
      </c>
      <c r="L21" s="33">
        <f>AVERAGE(L11:L15)</f>
        <v>238.6</v>
      </c>
    </row>
    <row r="22" spans="1:13" s="43" customFormat="1" ht="15" customHeight="1" thickBot="1" x14ac:dyDescent="0.3">
      <c r="A22" s="25" t="s">
        <v>3</v>
      </c>
      <c r="B22" s="154">
        <f>B17+1</f>
        <v>44354</v>
      </c>
      <c r="C22" s="536"/>
      <c r="D22" s="230"/>
      <c r="E22" s="230"/>
      <c r="F22" s="329"/>
      <c r="G22" s="330"/>
      <c r="H22" s="314">
        <v>152</v>
      </c>
      <c r="I22" s="315">
        <v>174</v>
      </c>
      <c r="J22" s="331"/>
      <c r="K22" s="332"/>
      <c r="L22" s="16">
        <f t="shared" ref="L22:L28" si="7">SUM(C22:K22)</f>
        <v>326</v>
      </c>
    </row>
    <row r="23" spans="1:13" s="43" customFormat="1" ht="15" customHeight="1" thickBot="1" x14ac:dyDescent="0.3">
      <c r="A23" s="25" t="s">
        <v>4</v>
      </c>
      <c r="B23" s="155">
        <f t="shared" ref="B23:B28" si="8">B22+1</f>
        <v>44355</v>
      </c>
      <c r="C23" s="519"/>
      <c r="D23" s="227"/>
      <c r="E23" s="227"/>
      <c r="F23" s="170"/>
      <c r="G23" s="172"/>
      <c r="H23" s="316">
        <v>168</v>
      </c>
      <c r="I23" s="235">
        <v>173</v>
      </c>
      <c r="J23" s="261"/>
      <c r="K23" s="271"/>
      <c r="L23" s="17">
        <f t="shared" si="7"/>
        <v>341</v>
      </c>
    </row>
    <row r="24" spans="1:13" s="43" customFormat="1" ht="15" customHeight="1" thickBot="1" x14ac:dyDescent="0.3">
      <c r="A24" s="25" t="s">
        <v>5</v>
      </c>
      <c r="B24" s="155">
        <f t="shared" si="8"/>
        <v>44356</v>
      </c>
      <c r="C24" s="519"/>
      <c r="D24" s="227"/>
      <c r="E24" s="227"/>
      <c r="F24" s="170"/>
      <c r="G24" s="172"/>
      <c r="H24" s="352">
        <v>164</v>
      </c>
      <c r="I24" s="271">
        <v>182</v>
      </c>
      <c r="J24" s="261"/>
      <c r="K24" s="271"/>
      <c r="L24" s="17">
        <f>SUM(C24:K24)</f>
        <v>346</v>
      </c>
    </row>
    <row r="25" spans="1:13" s="43" customFormat="1" ht="15" customHeight="1" thickBot="1" x14ac:dyDescent="0.3">
      <c r="A25" s="25" t="s">
        <v>6</v>
      </c>
      <c r="B25" s="156">
        <f t="shared" si="8"/>
        <v>44357</v>
      </c>
      <c r="C25" s="519"/>
      <c r="D25" s="225"/>
      <c r="E25" s="225"/>
      <c r="F25" s="219"/>
      <c r="G25" s="57"/>
      <c r="H25" s="352">
        <v>144</v>
      </c>
      <c r="I25" s="271">
        <v>157</v>
      </c>
      <c r="J25" s="123"/>
      <c r="K25" s="19"/>
      <c r="L25" s="17">
        <f t="shared" si="7"/>
        <v>301</v>
      </c>
    </row>
    <row r="26" spans="1:13" s="43" customFormat="1" ht="15" customHeight="1" thickBot="1" x14ac:dyDescent="0.3">
      <c r="A26" s="25" t="s">
        <v>0</v>
      </c>
      <c r="B26" s="156">
        <f t="shared" si="8"/>
        <v>44358</v>
      </c>
      <c r="C26" s="519"/>
      <c r="D26" s="225"/>
      <c r="E26" s="225"/>
      <c r="F26" s="219"/>
      <c r="G26" s="57"/>
      <c r="H26" s="352">
        <v>139</v>
      </c>
      <c r="I26" s="271">
        <v>145</v>
      </c>
      <c r="J26" s="123"/>
      <c r="K26" s="19"/>
      <c r="L26" s="17">
        <f t="shared" si="7"/>
        <v>284</v>
      </c>
    </row>
    <row r="27" spans="1:13" s="43" customFormat="1" ht="15" customHeight="1" outlineLevel="1" thickBot="1" x14ac:dyDescent="0.3">
      <c r="A27" s="25" t="s">
        <v>1</v>
      </c>
      <c r="B27" s="168">
        <f t="shared" si="8"/>
        <v>44359</v>
      </c>
      <c r="C27" s="519"/>
      <c r="D27" s="227"/>
      <c r="E27" s="225"/>
      <c r="F27" s="219"/>
      <c r="G27" s="57"/>
      <c r="H27" s="211"/>
      <c r="I27" s="207"/>
      <c r="J27" s="123"/>
      <c r="K27" s="19"/>
      <c r="L27" s="17">
        <f t="shared" si="7"/>
        <v>0</v>
      </c>
    </row>
    <row r="28" spans="1:13" s="43" customFormat="1" ht="15" customHeight="1" outlineLevel="1" thickBot="1" x14ac:dyDescent="0.3">
      <c r="A28" s="25" t="s">
        <v>2</v>
      </c>
      <c r="B28" s="155">
        <f t="shared" si="8"/>
        <v>44360</v>
      </c>
      <c r="C28" s="534"/>
      <c r="D28" s="319"/>
      <c r="E28" s="319"/>
      <c r="F28" s="333"/>
      <c r="G28" s="253"/>
      <c r="H28" s="381"/>
      <c r="I28" s="378"/>
      <c r="J28" s="218"/>
      <c r="K28" s="51"/>
      <c r="L28" s="17">
        <f t="shared" si="7"/>
        <v>0</v>
      </c>
    </row>
    <row r="29" spans="1:13" s="43" customFormat="1" ht="15" customHeight="1" outlineLevel="1" thickBot="1" x14ac:dyDescent="0.3">
      <c r="A29" s="144" t="s">
        <v>19</v>
      </c>
      <c r="B29" s="791" t="s">
        <v>23</v>
      </c>
      <c r="C29" s="530">
        <f t="shared" ref="C29:L29" si="9">SUM(C22:C28)</f>
        <v>0</v>
      </c>
      <c r="D29" s="317">
        <f t="shared" si="9"/>
        <v>0</v>
      </c>
      <c r="E29" s="317">
        <f t="shared" si="9"/>
        <v>0</v>
      </c>
      <c r="F29" s="317">
        <f t="shared" si="9"/>
        <v>0</v>
      </c>
      <c r="G29" s="318">
        <f t="shared" si="9"/>
        <v>0</v>
      </c>
      <c r="H29" s="249">
        <f>SUM(H22:H28)</f>
        <v>767</v>
      </c>
      <c r="I29" s="263">
        <f>SUM(I22:I28)</f>
        <v>831</v>
      </c>
      <c r="J29" s="265">
        <f t="shared" si="9"/>
        <v>0</v>
      </c>
      <c r="K29" s="255">
        <f t="shared" si="9"/>
        <v>0</v>
      </c>
      <c r="L29" s="105">
        <f t="shared" si="9"/>
        <v>1598</v>
      </c>
    </row>
    <row r="30" spans="1:13" s="43" customFormat="1" ht="15" customHeight="1" outlineLevel="1" thickBot="1" x14ac:dyDescent="0.3">
      <c r="A30" s="101" t="s">
        <v>21</v>
      </c>
      <c r="B30" s="792"/>
      <c r="C30" s="531" t="e">
        <f>AVERAGE(C22:C28)</f>
        <v>#DIV/0!</v>
      </c>
      <c r="D30" s="228" t="e">
        <f>AVERAGE(D22:D28)</f>
        <v>#DIV/0!</v>
      </c>
      <c r="E30" s="228" t="e">
        <f t="shared" ref="E30:J30" si="10">AVERAGE(E22:E28)</f>
        <v>#DIV/0!</v>
      </c>
      <c r="F30" s="228" t="e">
        <f>AVERAGE(F22:F28)</f>
        <v>#DIV/0!</v>
      </c>
      <c r="G30" s="309" t="e">
        <f>AVERAGE(G22:G28)</f>
        <v>#DIV/0!</v>
      </c>
      <c r="H30" s="231">
        <f>AVERAGE(H22:H28)</f>
        <v>153.4</v>
      </c>
      <c r="I30" s="232">
        <f>AVERAGE(I22:I28)</f>
        <v>166.2</v>
      </c>
      <c r="J30" s="259" t="e">
        <f t="shared" si="10"/>
        <v>#DIV/0!</v>
      </c>
      <c r="K30" s="240" t="e">
        <f>AVERAGE(K22:K28)</f>
        <v>#DIV/0!</v>
      </c>
      <c r="L30" s="103">
        <f>AVERAGE(L22:L28)</f>
        <v>228.28571428571428</v>
      </c>
    </row>
    <row r="31" spans="1:13" s="43" customFormat="1" ht="15" customHeight="1" thickBot="1" x14ac:dyDescent="0.3">
      <c r="A31" s="26" t="s">
        <v>18</v>
      </c>
      <c r="B31" s="792"/>
      <c r="C31" s="532">
        <f>SUM(C22:C26)</f>
        <v>0</v>
      </c>
      <c r="D31" s="229">
        <f t="shared" ref="D31:J31" si="11">SUM(D22:D26)</f>
        <v>0</v>
      </c>
      <c r="E31" s="229">
        <f t="shared" si="11"/>
        <v>0</v>
      </c>
      <c r="F31" s="229">
        <f t="shared" si="11"/>
        <v>0</v>
      </c>
      <c r="G31" s="310">
        <f t="shared" si="11"/>
        <v>0</v>
      </c>
      <c r="H31" s="233">
        <f>SUM(H22:H26)</f>
        <v>767</v>
      </c>
      <c r="I31" s="234">
        <f>SUM(I22:I26)</f>
        <v>831</v>
      </c>
      <c r="J31" s="260">
        <f t="shared" si="11"/>
        <v>0</v>
      </c>
      <c r="K31" s="241">
        <f>SUM(K22:K26)</f>
        <v>0</v>
      </c>
      <c r="L31" s="28">
        <f>SUM(L22:L26)</f>
        <v>1598</v>
      </c>
    </row>
    <row r="32" spans="1:13" s="43" customFormat="1" ht="15" customHeight="1" thickBot="1" x14ac:dyDescent="0.3">
      <c r="A32" s="26" t="s">
        <v>20</v>
      </c>
      <c r="B32" s="793"/>
      <c r="C32" s="535" t="e">
        <f>AVERAGE(C22:C26)</f>
        <v>#DIV/0!</v>
      </c>
      <c r="D32" s="323" t="e">
        <f t="shared" ref="D32:J32" si="12">AVERAGE(D22:D26)</f>
        <v>#DIV/0!</v>
      </c>
      <c r="E32" s="323" t="e">
        <f t="shared" si="12"/>
        <v>#DIV/0!</v>
      </c>
      <c r="F32" s="323" t="e">
        <f t="shared" si="12"/>
        <v>#DIV/0!</v>
      </c>
      <c r="G32" s="324" t="e">
        <f t="shared" si="12"/>
        <v>#DIV/0!</v>
      </c>
      <c r="H32" s="325">
        <f>AVERAGE(H22:H26)</f>
        <v>153.4</v>
      </c>
      <c r="I32" s="326">
        <f>AVERAGE(I22:I26)</f>
        <v>166.2</v>
      </c>
      <c r="J32" s="327" t="e">
        <f t="shared" si="12"/>
        <v>#DIV/0!</v>
      </c>
      <c r="K32" s="328" t="e">
        <f>AVERAGE(K22:K26)</f>
        <v>#DIV/0!</v>
      </c>
      <c r="L32" s="258">
        <f>AVERAGE(L22:L26)</f>
        <v>319.60000000000002</v>
      </c>
    </row>
    <row r="33" spans="1:12" s="43" customFormat="1" ht="15" customHeight="1" thickBot="1" x14ac:dyDescent="0.3">
      <c r="A33" s="25" t="s">
        <v>3</v>
      </c>
      <c r="B33" s="157">
        <f>B28+1</f>
        <v>44361</v>
      </c>
      <c r="C33" s="537"/>
      <c r="D33" s="230"/>
      <c r="E33" s="230"/>
      <c r="F33" s="329"/>
      <c r="G33" s="332"/>
      <c r="H33" s="314">
        <v>172</v>
      </c>
      <c r="I33" s="315">
        <v>182</v>
      </c>
      <c r="J33" s="331"/>
      <c r="K33" s="332"/>
      <c r="L33" s="16">
        <f>SUM(C33:K33)</f>
        <v>354</v>
      </c>
    </row>
    <row r="34" spans="1:12" s="43" customFormat="1" ht="15" customHeight="1" thickBot="1" x14ac:dyDescent="0.3">
      <c r="A34" s="25" t="s">
        <v>4</v>
      </c>
      <c r="B34" s="158">
        <f t="shared" ref="B34:B39" si="13">B33+1</f>
        <v>44362</v>
      </c>
      <c r="C34" s="538"/>
      <c r="D34" s="227"/>
      <c r="E34" s="227"/>
      <c r="F34" s="227"/>
      <c r="G34" s="377"/>
      <c r="H34" s="316">
        <v>159</v>
      </c>
      <c r="I34" s="235">
        <v>177</v>
      </c>
      <c r="J34" s="372"/>
      <c r="K34" s="207"/>
      <c r="L34" s="17">
        <f>SUM(C34:K34)</f>
        <v>336</v>
      </c>
    </row>
    <row r="35" spans="1:12" s="43" customFormat="1" ht="15" customHeight="1" thickBot="1" x14ac:dyDescent="0.3">
      <c r="A35" s="25" t="s">
        <v>5</v>
      </c>
      <c r="B35" s="158">
        <f t="shared" si="13"/>
        <v>44363</v>
      </c>
      <c r="C35" s="538"/>
      <c r="D35" s="227"/>
      <c r="E35" s="227"/>
      <c r="F35" s="227"/>
      <c r="G35" s="377"/>
      <c r="H35" s="316">
        <v>168</v>
      </c>
      <c r="I35" s="235">
        <v>183</v>
      </c>
      <c r="J35" s="372"/>
      <c r="K35" s="207"/>
      <c r="L35" s="17">
        <f t="shared" ref="L35" si="14">SUM(C35:K35)</f>
        <v>351</v>
      </c>
    </row>
    <row r="36" spans="1:12" s="43" customFormat="1" ht="15" customHeight="1" thickBot="1" x14ac:dyDescent="0.3">
      <c r="A36" s="25" t="s">
        <v>6</v>
      </c>
      <c r="B36" s="158">
        <f t="shared" si="13"/>
        <v>44364</v>
      </c>
      <c r="C36" s="538"/>
      <c r="D36" s="227"/>
      <c r="E36" s="227"/>
      <c r="F36" s="227"/>
      <c r="G36" s="377"/>
      <c r="H36" s="352">
        <v>158</v>
      </c>
      <c r="I36" s="271">
        <v>174</v>
      </c>
      <c r="J36" s="193"/>
      <c r="K36" s="204"/>
      <c r="L36" s="17">
        <f>SUM(C36:K36)</f>
        <v>332</v>
      </c>
    </row>
    <row r="37" spans="1:12" s="43" customFormat="1" ht="15" customHeight="1" thickBot="1" x14ac:dyDescent="0.3">
      <c r="A37" s="25" t="s">
        <v>0</v>
      </c>
      <c r="B37" s="158">
        <f t="shared" si="13"/>
        <v>44365</v>
      </c>
      <c r="C37" s="538"/>
      <c r="D37" s="227"/>
      <c r="E37" s="227"/>
      <c r="F37" s="227"/>
      <c r="G37" s="377"/>
      <c r="H37" s="352">
        <v>108</v>
      </c>
      <c r="I37" s="271">
        <v>121</v>
      </c>
      <c r="J37" s="193"/>
      <c r="K37" s="204"/>
      <c r="L37" s="17">
        <f>SUM(C37:K37)</f>
        <v>229</v>
      </c>
    </row>
    <row r="38" spans="1:12" s="43" customFormat="1" ht="15" customHeight="1" outlineLevel="1" thickBot="1" x14ac:dyDescent="0.3">
      <c r="A38" s="25" t="s">
        <v>1</v>
      </c>
      <c r="B38" s="158">
        <f t="shared" si="13"/>
        <v>44366</v>
      </c>
      <c r="C38" s="538"/>
      <c r="D38" s="227"/>
      <c r="E38" s="227"/>
      <c r="F38" s="227"/>
      <c r="G38" s="377"/>
      <c r="H38" s="352"/>
      <c r="I38" s="271"/>
      <c r="J38" s="193"/>
      <c r="K38" s="204"/>
      <c r="L38" s="17">
        <f>SUM(C38:K38)</f>
        <v>0</v>
      </c>
    </row>
    <row r="39" spans="1:12" s="43" customFormat="1" ht="15" customHeight="1" outlineLevel="1" thickBot="1" x14ac:dyDescent="0.3">
      <c r="A39" s="25" t="s">
        <v>2</v>
      </c>
      <c r="B39" s="158">
        <f t="shared" si="13"/>
        <v>44367</v>
      </c>
      <c r="C39" s="539"/>
      <c r="D39" s="426"/>
      <c r="E39" s="426"/>
      <c r="F39" s="426"/>
      <c r="G39" s="378"/>
      <c r="H39" s="321"/>
      <c r="I39" s="322"/>
      <c r="J39" s="339"/>
      <c r="K39" s="205"/>
      <c r="L39" s="58">
        <f>SUM(C39:K39)</f>
        <v>0</v>
      </c>
    </row>
    <row r="40" spans="1:12" s="43" customFormat="1" ht="15" customHeight="1" outlineLevel="1" thickBot="1" x14ac:dyDescent="0.3">
      <c r="A40" s="144" t="s">
        <v>19</v>
      </c>
      <c r="B40" s="791" t="s">
        <v>24</v>
      </c>
      <c r="C40" s="530">
        <f t="shared" ref="C40:L40" si="15">SUM(C33:C39)</f>
        <v>0</v>
      </c>
      <c r="D40" s="317">
        <f>SUM(D33:D39)</f>
        <v>0</v>
      </c>
      <c r="E40" s="317">
        <f>SUM(E33:E39)</f>
        <v>0</v>
      </c>
      <c r="F40" s="317">
        <f>SUM(F33:F39)</f>
        <v>0</v>
      </c>
      <c r="G40" s="318">
        <f>SUM(G33:G39)</f>
        <v>0</v>
      </c>
      <c r="H40" s="249">
        <f t="shared" si="15"/>
        <v>765</v>
      </c>
      <c r="I40" s="263">
        <f t="shared" si="15"/>
        <v>837</v>
      </c>
      <c r="J40" s="265">
        <f t="shared" si="15"/>
        <v>0</v>
      </c>
      <c r="K40" s="255">
        <f t="shared" si="15"/>
        <v>0</v>
      </c>
      <c r="L40" s="105">
        <f t="shared" si="15"/>
        <v>1602</v>
      </c>
    </row>
    <row r="41" spans="1:12" s="43" customFormat="1" ht="15" customHeight="1" outlineLevel="1" thickBot="1" x14ac:dyDescent="0.3">
      <c r="A41" s="101" t="s">
        <v>21</v>
      </c>
      <c r="B41" s="792"/>
      <c r="C41" s="531" t="e">
        <f t="shared" ref="C41:L41" si="16">AVERAGE(C33:C39)</f>
        <v>#DIV/0!</v>
      </c>
      <c r="D41" s="228" t="e">
        <f t="shared" si="16"/>
        <v>#DIV/0!</v>
      </c>
      <c r="E41" s="228" t="e">
        <f t="shared" si="16"/>
        <v>#DIV/0!</v>
      </c>
      <c r="F41" s="228" t="e">
        <f>AVERAGE(F33:F39)</f>
        <v>#DIV/0!</v>
      </c>
      <c r="G41" s="309" t="e">
        <f t="shared" si="16"/>
        <v>#DIV/0!</v>
      </c>
      <c r="H41" s="231">
        <f t="shared" si="16"/>
        <v>153</v>
      </c>
      <c r="I41" s="232">
        <f t="shared" si="16"/>
        <v>167.4</v>
      </c>
      <c r="J41" s="259" t="e">
        <f t="shared" si="16"/>
        <v>#DIV/0!</v>
      </c>
      <c r="K41" s="240" t="e">
        <f t="shared" si="16"/>
        <v>#DIV/0!</v>
      </c>
      <c r="L41" s="103">
        <f t="shared" si="16"/>
        <v>228.85714285714286</v>
      </c>
    </row>
    <row r="42" spans="1:12" s="43" customFormat="1" ht="15" customHeight="1" thickBot="1" x14ac:dyDescent="0.3">
      <c r="A42" s="26" t="s">
        <v>18</v>
      </c>
      <c r="B42" s="792"/>
      <c r="C42" s="532">
        <f t="shared" ref="C42:K42" si="17">SUM(C33:C37)</f>
        <v>0</v>
      </c>
      <c r="D42" s="229">
        <f t="shared" si="17"/>
        <v>0</v>
      </c>
      <c r="E42" s="229">
        <f>SUM(E33:E37)</f>
        <v>0</v>
      </c>
      <c r="F42" s="229">
        <f>SUM(F33:F37)</f>
        <v>0</v>
      </c>
      <c r="G42" s="310">
        <f>SUM(G33:G37)</f>
        <v>0</v>
      </c>
      <c r="H42" s="233">
        <f>SUM(H33:H37)</f>
        <v>765</v>
      </c>
      <c r="I42" s="234">
        <f>SUM(I33:I37)</f>
        <v>837</v>
      </c>
      <c r="J42" s="260">
        <f t="shared" si="17"/>
        <v>0</v>
      </c>
      <c r="K42" s="241">
        <f t="shared" si="17"/>
        <v>0</v>
      </c>
      <c r="L42" s="28">
        <f>SUM(L33:L37)</f>
        <v>1602</v>
      </c>
    </row>
    <row r="43" spans="1:12" s="43" customFormat="1" ht="15" customHeight="1" thickBot="1" x14ac:dyDescent="0.3">
      <c r="A43" s="26" t="s">
        <v>20</v>
      </c>
      <c r="B43" s="793"/>
      <c r="C43" s="535" t="e">
        <f t="shared" ref="C43:L43" si="18">AVERAGE(C33:C37)</f>
        <v>#DIV/0!</v>
      </c>
      <c r="D43" s="323" t="e">
        <f t="shared" si="18"/>
        <v>#DIV/0!</v>
      </c>
      <c r="E43" s="323" t="e">
        <f t="shared" si="18"/>
        <v>#DIV/0!</v>
      </c>
      <c r="F43" s="323" t="e">
        <f t="shared" si="18"/>
        <v>#DIV/0!</v>
      </c>
      <c r="G43" s="324" t="e">
        <f t="shared" si="18"/>
        <v>#DIV/0!</v>
      </c>
      <c r="H43" s="325">
        <f t="shared" si="18"/>
        <v>153</v>
      </c>
      <c r="I43" s="326">
        <f t="shared" si="18"/>
        <v>167.4</v>
      </c>
      <c r="J43" s="327" t="e">
        <f t="shared" si="18"/>
        <v>#DIV/0!</v>
      </c>
      <c r="K43" s="328" t="e">
        <f t="shared" si="18"/>
        <v>#DIV/0!</v>
      </c>
      <c r="L43" s="33">
        <f t="shared" si="18"/>
        <v>320.39999999999998</v>
      </c>
    </row>
    <row r="44" spans="1:12" s="43" customFormat="1" ht="15" customHeight="1" thickBot="1" x14ac:dyDescent="0.3">
      <c r="A44" s="25" t="s">
        <v>3</v>
      </c>
      <c r="B44" s="159">
        <f>B39+1</f>
        <v>44368</v>
      </c>
      <c r="C44" s="540"/>
      <c r="D44" s="230"/>
      <c r="E44" s="230"/>
      <c r="F44" s="230"/>
      <c r="G44" s="384"/>
      <c r="H44" s="314">
        <v>154</v>
      </c>
      <c r="I44" s="315">
        <v>167</v>
      </c>
      <c r="J44" s="373"/>
      <c r="K44" s="376"/>
      <c r="L44" s="16">
        <f>SUM(C44:K44)</f>
        <v>321</v>
      </c>
    </row>
    <row r="45" spans="1:12" s="43" customFormat="1" ht="15" customHeight="1" thickBot="1" x14ac:dyDescent="0.3">
      <c r="A45" s="25" t="s">
        <v>4</v>
      </c>
      <c r="B45" s="160">
        <f t="shared" ref="B45:B50" si="19">B44+1</f>
        <v>44369</v>
      </c>
      <c r="C45" s="541"/>
      <c r="D45" s="225"/>
      <c r="E45" s="225"/>
      <c r="F45" s="225"/>
      <c r="G45" s="252"/>
      <c r="H45" s="316">
        <v>170</v>
      </c>
      <c r="I45" s="235">
        <v>164</v>
      </c>
      <c r="J45" s="374"/>
      <c r="K45" s="377"/>
      <c r="L45" s="17">
        <f t="shared" ref="L45:L49" si="20">SUM(C45:K45)</f>
        <v>334</v>
      </c>
    </row>
    <row r="46" spans="1:12" s="43" customFormat="1" ht="15" customHeight="1" thickBot="1" x14ac:dyDescent="0.3">
      <c r="A46" s="25" t="s">
        <v>5</v>
      </c>
      <c r="B46" s="160">
        <f t="shared" si="19"/>
        <v>44370</v>
      </c>
      <c r="C46" s="541"/>
      <c r="D46" s="225"/>
      <c r="E46" s="225"/>
      <c r="F46" s="225"/>
      <c r="G46" s="252"/>
      <c r="H46" s="316">
        <v>160</v>
      </c>
      <c r="I46" s="235">
        <v>173</v>
      </c>
      <c r="J46" s="374"/>
      <c r="K46" s="377"/>
      <c r="L46" s="17">
        <f t="shared" si="20"/>
        <v>333</v>
      </c>
    </row>
    <row r="47" spans="1:12" s="43" customFormat="1" ht="15" customHeight="1" thickBot="1" x14ac:dyDescent="0.3">
      <c r="A47" s="25" t="s">
        <v>6</v>
      </c>
      <c r="B47" s="160">
        <f t="shared" si="19"/>
        <v>44371</v>
      </c>
      <c r="C47" s="541"/>
      <c r="D47" s="225"/>
      <c r="E47" s="225"/>
      <c r="F47" s="227"/>
      <c r="G47" s="252"/>
      <c r="H47" s="352">
        <v>150</v>
      </c>
      <c r="I47" s="271">
        <v>154</v>
      </c>
      <c r="J47" s="372"/>
      <c r="K47" s="377"/>
      <c r="L47" s="17">
        <f t="shared" si="20"/>
        <v>304</v>
      </c>
    </row>
    <row r="48" spans="1:12" s="43" customFormat="1" ht="15" customHeight="1" thickBot="1" x14ac:dyDescent="0.3">
      <c r="A48" s="25" t="s">
        <v>0</v>
      </c>
      <c r="B48" s="160">
        <f t="shared" si="19"/>
        <v>44372</v>
      </c>
      <c r="C48" s="541"/>
      <c r="D48" s="225"/>
      <c r="E48" s="225"/>
      <c r="F48" s="225"/>
      <c r="G48" s="252"/>
      <c r="H48" s="352">
        <v>118</v>
      </c>
      <c r="I48" s="271">
        <v>110</v>
      </c>
      <c r="J48" s="372"/>
      <c r="K48" s="377"/>
      <c r="L48" s="17">
        <f t="shared" si="20"/>
        <v>228</v>
      </c>
    </row>
    <row r="49" spans="1:13" s="43" customFormat="1" ht="15" customHeight="1" outlineLevel="1" thickBot="1" x14ac:dyDescent="0.3">
      <c r="A49" s="25" t="s">
        <v>1</v>
      </c>
      <c r="B49" s="160">
        <f t="shared" si="19"/>
        <v>44373</v>
      </c>
      <c r="C49" s="541"/>
      <c r="D49" s="227"/>
      <c r="E49" s="225"/>
      <c r="F49" s="225"/>
      <c r="G49" s="252"/>
      <c r="H49" s="316"/>
      <c r="I49" s="235"/>
      <c r="J49" s="374"/>
      <c r="K49" s="377"/>
      <c r="L49" s="17">
        <f t="shared" si="20"/>
        <v>0</v>
      </c>
      <c r="M49" s="110"/>
    </row>
    <row r="50" spans="1:13" s="43" customFormat="1" ht="15" customHeight="1" outlineLevel="1" thickBot="1" x14ac:dyDescent="0.3">
      <c r="A50" s="25" t="s">
        <v>2</v>
      </c>
      <c r="B50" s="382">
        <f t="shared" si="19"/>
        <v>44374</v>
      </c>
      <c r="C50" s="542"/>
      <c r="D50" s="319"/>
      <c r="E50" s="319"/>
      <c r="F50" s="319"/>
      <c r="G50" s="264"/>
      <c r="H50" s="321"/>
      <c r="I50" s="322"/>
      <c r="J50" s="375"/>
      <c r="K50" s="378"/>
      <c r="L50" s="58">
        <f>SUM(C50:K50)</f>
        <v>0</v>
      </c>
      <c r="M50" s="110"/>
    </row>
    <row r="51" spans="1:13" s="43" customFormat="1" ht="15" customHeight="1" outlineLevel="1" thickBot="1" x14ac:dyDescent="0.3">
      <c r="A51" s="144" t="s">
        <v>19</v>
      </c>
      <c r="B51" s="791" t="s">
        <v>25</v>
      </c>
      <c r="C51" s="530">
        <f>SUM(C44:C50)</f>
        <v>0</v>
      </c>
      <c r="D51" s="317">
        <f t="shared" ref="D51" si="21">SUM(D44:D50)</f>
        <v>0</v>
      </c>
      <c r="E51" s="317">
        <f t="shared" ref="E51:K51" si="22">SUM(E44:E50)</f>
        <v>0</v>
      </c>
      <c r="F51" s="317">
        <f t="shared" si="22"/>
        <v>0</v>
      </c>
      <c r="G51" s="318">
        <f t="shared" si="22"/>
        <v>0</v>
      </c>
      <c r="H51" s="249">
        <f>SUM(H44:H50)</f>
        <v>752</v>
      </c>
      <c r="I51" s="263">
        <f>SUM(I44:I50)</f>
        <v>768</v>
      </c>
      <c r="J51" s="265">
        <f t="shared" si="22"/>
        <v>0</v>
      </c>
      <c r="K51" s="255">
        <f t="shared" si="22"/>
        <v>0</v>
      </c>
      <c r="L51" s="105">
        <f>SUM(L44:L50)</f>
        <v>1520</v>
      </c>
    </row>
    <row r="52" spans="1:13" s="43" customFormat="1" ht="15" customHeight="1" outlineLevel="1" thickBot="1" x14ac:dyDescent="0.3">
      <c r="A52" s="101" t="s">
        <v>21</v>
      </c>
      <c r="B52" s="792"/>
      <c r="C52" s="531" t="e">
        <f>AVERAGE(C44:C50)</f>
        <v>#DIV/0!</v>
      </c>
      <c r="D52" s="228" t="e">
        <f t="shared" ref="D52:L52" si="23">AVERAGE(D44:D50)</f>
        <v>#DIV/0!</v>
      </c>
      <c r="E52" s="228" t="e">
        <f t="shared" si="23"/>
        <v>#DIV/0!</v>
      </c>
      <c r="F52" s="228" t="e">
        <f t="shared" si="23"/>
        <v>#DIV/0!</v>
      </c>
      <c r="G52" s="309" t="e">
        <f t="shared" si="23"/>
        <v>#DIV/0!</v>
      </c>
      <c r="H52" s="231">
        <f>AVERAGE(H44:H50)</f>
        <v>150.4</v>
      </c>
      <c r="I52" s="232">
        <f>AVERAGE(I44:I50)</f>
        <v>153.6</v>
      </c>
      <c r="J52" s="259" t="e">
        <f t="shared" si="23"/>
        <v>#DIV/0!</v>
      </c>
      <c r="K52" s="240" t="e">
        <f t="shared" si="23"/>
        <v>#DIV/0!</v>
      </c>
      <c r="L52" s="103">
        <f t="shared" si="23"/>
        <v>217.14285714285714</v>
      </c>
    </row>
    <row r="53" spans="1:13" s="43" customFormat="1" ht="15" customHeight="1" thickBot="1" x14ac:dyDescent="0.3">
      <c r="A53" s="26" t="s">
        <v>18</v>
      </c>
      <c r="B53" s="792"/>
      <c r="C53" s="532">
        <f t="shared" ref="C53:K53" si="24">SUM(C44:C48)</f>
        <v>0</v>
      </c>
      <c r="D53" s="229">
        <f t="shared" si="24"/>
        <v>0</v>
      </c>
      <c r="E53" s="229">
        <f t="shared" si="24"/>
        <v>0</v>
      </c>
      <c r="F53" s="229">
        <f t="shared" si="24"/>
        <v>0</v>
      </c>
      <c r="G53" s="310">
        <f t="shared" si="24"/>
        <v>0</v>
      </c>
      <c r="H53" s="233">
        <f>SUM(H44:H48)</f>
        <v>752</v>
      </c>
      <c r="I53" s="234">
        <f>SUM(I44:I48)</f>
        <v>768</v>
      </c>
      <c r="J53" s="260">
        <f t="shared" si="24"/>
        <v>0</v>
      </c>
      <c r="K53" s="241">
        <f t="shared" si="24"/>
        <v>0</v>
      </c>
      <c r="L53" s="28">
        <f>SUM(L44:L48)</f>
        <v>1520</v>
      </c>
    </row>
    <row r="54" spans="1:13" s="43" customFormat="1" ht="15" customHeight="1" thickBot="1" x14ac:dyDescent="0.3">
      <c r="A54" s="26" t="s">
        <v>20</v>
      </c>
      <c r="B54" s="793"/>
      <c r="C54" s="535" t="e">
        <f t="shared" ref="C54:L54" si="25">AVERAGE(C44:C48)</f>
        <v>#DIV/0!</v>
      </c>
      <c r="D54" s="323" t="e">
        <f t="shared" si="25"/>
        <v>#DIV/0!</v>
      </c>
      <c r="E54" s="323" t="e">
        <f t="shared" si="25"/>
        <v>#DIV/0!</v>
      </c>
      <c r="F54" s="323" t="e">
        <f t="shared" si="25"/>
        <v>#DIV/0!</v>
      </c>
      <c r="G54" s="324" t="e">
        <f t="shared" si="25"/>
        <v>#DIV/0!</v>
      </c>
      <c r="H54" s="325">
        <f>AVERAGE(H44:H48)</f>
        <v>150.4</v>
      </c>
      <c r="I54" s="326">
        <f>AVERAGE(I44:I48)</f>
        <v>153.6</v>
      </c>
      <c r="J54" s="327" t="e">
        <f t="shared" si="25"/>
        <v>#DIV/0!</v>
      </c>
      <c r="K54" s="328" t="e">
        <f t="shared" si="25"/>
        <v>#DIV/0!</v>
      </c>
      <c r="L54" s="33">
        <f t="shared" si="25"/>
        <v>304</v>
      </c>
    </row>
    <row r="55" spans="1:13" s="43" customFormat="1" ht="14.25" thickBot="1" x14ac:dyDescent="0.3">
      <c r="A55" s="25" t="s">
        <v>3</v>
      </c>
      <c r="B55" s="159">
        <f>B50+1</f>
        <v>44375</v>
      </c>
      <c r="C55" s="540"/>
      <c r="D55" s="230"/>
      <c r="E55" s="230"/>
      <c r="F55" s="336"/>
      <c r="G55" s="337"/>
      <c r="H55" s="556">
        <v>150</v>
      </c>
      <c r="I55" s="332">
        <v>161</v>
      </c>
      <c r="J55" s="334"/>
      <c r="K55" s="315"/>
      <c r="L55" s="53">
        <f t="shared" ref="L55:L57" si="26">SUM(C55:K55)</f>
        <v>311</v>
      </c>
      <c r="M55" s="140"/>
    </row>
    <row r="56" spans="1:13" s="43" customFormat="1" ht="14.25" thickBot="1" x14ac:dyDescent="0.3">
      <c r="A56" s="136" t="s">
        <v>4</v>
      </c>
      <c r="B56" s="160">
        <f t="shared" ref="B56:B57" si="27">B55+1</f>
        <v>44376</v>
      </c>
      <c r="C56" s="541"/>
      <c r="D56" s="225"/>
      <c r="E56" s="225"/>
      <c r="F56" s="225"/>
      <c r="G56" s="252"/>
      <c r="H56" s="352">
        <v>155</v>
      </c>
      <c r="I56" s="271">
        <v>161</v>
      </c>
      <c r="J56" s="262"/>
      <c r="K56" s="235"/>
      <c r="L56" s="53">
        <f t="shared" si="26"/>
        <v>316</v>
      </c>
      <c r="M56" s="140"/>
    </row>
    <row r="57" spans="1:13" s="43" customFormat="1" ht="14.25" thickBot="1" x14ac:dyDescent="0.3">
      <c r="A57" s="136" t="s">
        <v>5</v>
      </c>
      <c r="B57" s="160">
        <f t="shared" si="27"/>
        <v>44377</v>
      </c>
      <c r="C57" s="541"/>
      <c r="D57" s="225"/>
      <c r="E57" s="225"/>
      <c r="F57" s="225"/>
      <c r="G57" s="252"/>
      <c r="H57" s="352">
        <v>147</v>
      </c>
      <c r="I57" s="271">
        <v>163</v>
      </c>
      <c r="J57" s="262"/>
      <c r="K57" s="235"/>
      <c r="L57" s="53">
        <f t="shared" si="26"/>
        <v>310</v>
      </c>
      <c r="M57" s="140"/>
    </row>
    <row r="58" spans="1:13" s="43" customFormat="1" ht="14.25" hidden="1" thickBot="1" x14ac:dyDescent="0.3">
      <c r="A58" s="25" t="s">
        <v>6</v>
      </c>
      <c r="B58" s="160"/>
      <c r="C58" s="541"/>
      <c r="D58" s="225"/>
      <c r="E58" s="225"/>
      <c r="F58" s="225"/>
      <c r="G58" s="252"/>
      <c r="H58" s="316"/>
      <c r="I58" s="235"/>
      <c r="J58" s="262"/>
      <c r="K58" s="235"/>
      <c r="L58" s="53"/>
      <c r="M58" s="140"/>
    </row>
    <row r="59" spans="1:13" s="43" customFormat="1" ht="14.25" hidden="1" thickBot="1" x14ac:dyDescent="0.3">
      <c r="A59" s="25" t="s">
        <v>0</v>
      </c>
      <c r="B59" s="160"/>
      <c r="C59" s="543"/>
      <c r="D59" s="34"/>
      <c r="E59" s="225"/>
      <c r="F59" s="225"/>
      <c r="G59" s="252"/>
      <c r="H59" s="352"/>
      <c r="I59" s="271"/>
      <c r="J59" s="262"/>
      <c r="K59" s="235"/>
      <c r="L59" s="53"/>
      <c r="M59" s="140"/>
    </row>
    <row r="60" spans="1:13" s="43" customFormat="1" ht="14.25" hidden="1" outlineLevel="1" thickBot="1" x14ac:dyDescent="0.3">
      <c r="A60" s="25" t="s">
        <v>1</v>
      </c>
      <c r="B60" s="160"/>
      <c r="C60" s="543"/>
      <c r="D60" s="34"/>
      <c r="E60" s="225"/>
      <c r="F60" s="225"/>
      <c r="G60" s="252"/>
      <c r="H60" s="316"/>
      <c r="I60" s="235"/>
      <c r="J60" s="262"/>
      <c r="K60" s="235"/>
      <c r="L60" s="53"/>
      <c r="M60" s="140"/>
    </row>
    <row r="61" spans="1:13" s="43" customFormat="1" ht="14.25" hidden="1" outlineLevel="1" thickBot="1" x14ac:dyDescent="0.3">
      <c r="A61" s="25" t="s">
        <v>2</v>
      </c>
      <c r="B61" s="160"/>
      <c r="C61" s="544"/>
      <c r="D61" s="338"/>
      <c r="E61" s="319"/>
      <c r="F61" s="319"/>
      <c r="G61" s="264"/>
      <c r="H61" s="321"/>
      <c r="I61" s="322"/>
      <c r="J61" s="335"/>
      <c r="K61" s="322"/>
      <c r="L61" s="53"/>
    </row>
    <row r="62" spans="1:13" s="43" customFormat="1" ht="14.25" outlineLevel="1" thickBot="1" x14ac:dyDescent="0.3">
      <c r="A62" s="144" t="s">
        <v>19</v>
      </c>
      <c r="B62" s="791" t="s">
        <v>26</v>
      </c>
      <c r="C62" s="530">
        <f>SUM(C55:C61)</f>
        <v>0</v>
      </c>
      <c r="D62" s="317">
        <f t="shared" ref="D62:J62" si="28">SUM(D55:D61)</f>
        <v>0</v>
      </c>
      <c r="E62" s="317">
        <f t="shared" si="28"/>
        <v>0</v>
      </c>
      <c r="F62" s="317">
        <f t="shared" si="28"/>
        <v>0</v>
      </c>
      <c r="G62" s="318">
        <f t="shared" si="28"/>
        <v>0</v>
      </c>
      <c r="H62" s="249">
        <f>SUM(H55:H61)</f>
        <v>452</v>
      </c>
      <c r="I62" s="263">
        <f>SUM(I55:I61)</f>
        <v>485</v>
      </c>
      <c r="J62" s="265">
        <f t="shared" si="28"/>
        <v>0</v>
      </c>
      <c r="K62" s="255">
        <f>SUM(K55:K61)</f>
        <v>0</v>
      </c>
      <c r="L62" s="105">
        <f>SUM(L55:L61)</f>
        <v>937</v>
      </c>
    </row>
    <row r="63" spans="1:13" s="43" customFormat="1" ht="14.25" outlineLevel="1" thickBot="1" x14ac:dyDescent="0.3">
      <c r="A63" s="101" t="s">
        <v>21</v>
      </c>
      <c r="B63" s="792"/>
      <c r="C63" s="531" t="e">
        <f>AVERAGE(C55:C61)</f>
        <v>#DIV/0!</v>
      </c>
      <c r="D63" s="228" t="e">
        <f t="shared" ref="D63:K63" si="29">AVERAGE(D55:D61)</f>
        <v>#DIV/0!</v>
      </c>
      <c r="E63" s="228" t="e">
        <f t="shared" si="29"/>
        <v>#DIV/0!</v>
      </c>
      <c r="F63" s="228" t="e">
        <f t="shared" si="29"/>
        <v>#DIV/0!</v>
      </c>
      <c r="G63" s="309" t="e">
        <f t="shared" si="29"/>
        <v>#DIV/0!</v>
      </c>
      <c r="H63" s="231">
        <f t="shared" si="29"/>
        <v>150.66666666666666</v>
      </c>
      <c r="I63" s="232">
        <f t="shared" si="29"/>
        <v>161.66666666666666</v>
      </c>
      <c r="J63" s="259" t="e">
        <f t="shared" si="29"/>
        <v>#DIV/0!</v>
      </c>
      <c r="K63" s="240" t="e">
        <f t="shared" si="29"/>
        <v>#DIV/0!</v>
      </c>
      <c r="L63" s="103">
        <f>AVERAGE(L55:L61)</f>
        <v>312.33333333333331</v>
      </c>
    </row>
    <row r="64" spans="1:13" s="43" customFormat="1" ht="14.25" thickBot="1" x14ac:dyDescent="0.3">
      <c r="A64" s="26" t="s">
        <v>18</v>
      </c>
      <c r="B64" s="792"/>
      <c r="C64" s="532">
        <f>SUM(C55:C59)</f>
        <v>0</v>
      </c>
      <c r="D64" s="229">
        <f t="shared" ref="D64:K64" si="30">SUM(D55:D59)</f>
        <v>0</v>
      </c>
      <c r="E64" s="229">
        <f t="shared" si="30"/>
        <v>0</v>
      </c>
      <c r="F64" s="229">
        <f t="shared" si="30"/>
        <v>0</v>
      </c>
      <c r="G64" s="310">
        <f t="shared" si="30"/>
        <v>0</v>
      </c>
      <c r="H64" s="233">
        <f>SUM(H55:H59)</f>
        <v>452</v>
      </c>
      <c r="I64" s="234">
        <f>SUM(I55:I59)</f>
        <v>485</v>
      </c>
      <c r="J64" s="260">
        <f t="shared" si="30"/>
        <v>0</v>
      </c>
      <c r="K64" s="241">
        <f t="shared" si="30"/>
        <v>0</v>
      </c>
      <c r="L64" s="28">
        <f>SUM(L55:L59)</f>
        <v>937</v>
      </c>
    </row>
    <row r="65" spans="1:14" s="43" customFormat="1" ht="14.25" thickBot="1" x14ac:dyDescent="0.3">
      <c r="A65" s="26" t="s">
        <v>20</v>
      </c>
      <c r="B65" s="793"/>
      <c r="C65" s="533" t="e">
        <f>AVERAGE(C55:C59)</f>
        <v>#DIV/0!</v>
      </c>
      <c r="D65" s="31" t="e">
        <f t="shared" ref="D65:L65" si="31">AVERAGE(D55:D59)</f>
        <v>#DIV/0!</v>
      </c>
      <c r="E65" s="31" t="e">
        <f t="shared" si="31"/>
        <v>#DIV/0!</v>
      </c>
      <c r="F65" s="31" t="e">
        <f t="shared" si="31"/>
        <v>#DIV/0!</v>
      </c>
      <c r="G65" s="311" t="e">
        <f t="shared" si="31"/>
        <v>#DIV/0!</v>
      </c>
      <c r="H65" s="29">
        <f t="shared" si="31"/>
        <v>150.66666666666666</v>
      </c>
      <c r="I65" s="30">
        <f t="shared" si="31"/>
        <v>161.66666666666666</v>
      </c>
      <c r="J65" s="254" t="e">
        <f t="shared" si="31"/>
        <v>#DIV/0!</v>
      </c>
      <c r="K65" s="32" t="e">
        <f t="shared" si="31"/>
        <v>#DIV/0!</v>
      </c>
      <c r="L65" s="33">
        <f t="shared" si="31"/>
        <v>312.33333333333331</v>
      </c>
    </row>
    <row r="66" spans="1:14" s="43" customFormat="1" ht="14.25" hidden="1" thickBot="1" x14ac:dyDescent="0.3">
      <c r="A66" s="136"/>
      <c r="B66" s="222"/>
      <c r="C66" s="275"/>
      <c r="D66" s="12"/>
      <c r="E66" s="14"/>
      <c r="F66" s="14"/>
      <c r="G66" s="14"/>
      <c r="H66" s="14"/>
      <c r="I66" s="56"/>
      <c r="J66" s="109"/>
      <c r="K66" s="20"/>
      <c r="L66" s="169"/>
    </row>
    <row r="67" spans="1:14" s="43" customFormat="1" ht="14.25" hidden="1" thickBot="1" x14ac:dyDescent="0.3">
      <c r="A67" s="136"/>
      <c r="B67" s="223"/>
      <c r="C67" s="276"/>
      <c r="D67" s="18"/>
      <c r="E67" s="20"/>
      <c r="F67" s="20"/>
      <c r="G67" s="20"/>
      <c r="H67" s="20"/>
      <c r="I67" s="57"/>
      <c r="J67" s="57"/>
      <c r="K67" s="20"/>
      <c r="L67" s="169"/>
    </row>
    <row r="68" spans="1:14" s="43" customFormat="1" ht="14.25" hidden="1" thickBot="1" x14ac:dyDescent="0.3">
      <c r="A68" s="136"/>
      <c r="B68" s="223"/>
      <c r="C68" s="276"/>
      <c r="D68" s="18"/>
      <c r="E68" s="20"/>
      <c r="F68" s="20"/>
      <c r="G68" s="20"/>
      <c r="H68" s="20"/>
      <c r="I68" s="57"/>
      <c r="J68" s="57"/>
      <c r="K68" s="20"/>
      <c r="L68" s="49"/>
    </row>
    <row r="69" spans="1:14" s="43" customFormat="1" ht="14.25" hidden="1" thickBot="1" x14ac:dyDescent="0.3">
      <c r="A69" s="136"/>
      <c r="B69" s="223"/>
      <c r="C69" s="276"/>
      <c r="D69" s="18"/>
      <c r="E69" s="20"/>
      <c r="F69" s="20"/>
      <c r="G69" s="20"/>
      <c r="H69" s="20"/>
      <c r="I69" s="57"/>
      <c r="J69" s="57"/>
      <c r="K69" s="20"/>
      <c r="L69" s="49"/>
    </row>
    <row r="70" spans="1:14" s="43" customFormat="1" ht="14.25" hidden="1" thickBot="1" x14ac:dyDescent="0.3">
      <c r="A70" s="25"/>
      <c r="B70" s="223"/>
      <c r="C70" s="276"/>
      <c r="D70" s="18"/>
      <c r="E70" s="20"/>
      <c r="F70" s="20"/>
      <c r="G70" s="20"/>
      <c r="H70" s="20"/>
      <c r="I70" s="57"/>
      <c r="J70" s="57"/>
      <c r="K70" s="20"/>
      <c r="L70" s="49"/>
    </row>
    <row r="71" spans="1:14" s="43" customFormat="1" ht="14.25" hidden="1" outlineLevel="1" thickBot="1" x14ac:dyDescent="0.3">
      <c r="A71" s="25"/>
      <c r="B71" s="223"/>
      <c r="C71" s="276"/>
      <c r="D71" s="18"/>
      <c r="E71" s="20"/>
      <c r="F71" s="20"/>
      <c r="G71" s="20"/>
      <c r="H71" s="20"/>
      <c r="I71" s="57"/>
      <c r="J71" s="57"/>
      <c r="K71" s="20"/>
      <c r="L71" s="49"/>
    </row>
    <row r="72" spans="1:14" s="43" customFormat="1" ht="14.25" hidden="1" outlineLevel="1" thickBot="1" x14ac:dyDescent="0.3">
      <c r="A72" s="25"/>
      <c r="B72" s="223"/>
      <c r="C72" s="277"/>
      <c r="D72" s="50"/>
      <c r="E72" s="52"/>
      <c r="F72" s="52"/>
      <c r="G72" s="52"/>
      <c r="H72" s="52"/>
      <c r="I72" s="253"/>
      <c r="J72" s="253"/>
      <c r="K72" s="20"/>
      <c r="L72" s="124"/>
    </row>
    <row r="73" spans="1:14" s="43" customFormat="1" ht="14.25" hidden="1" outlineLevel="1" thickBot="1" x14ac:dyDescent="0.3">
      <c r="A73" s="144" t="s">
        <v>19</v>
      </c>
      <c r="B73" s="791" t="s">
        <v>30</v>
      </c>
      <c r="C73" s="278"/>
      <c r="D73" s="249">
        <f>SUM(D66:D72)</f>
        <v>0</v>
      </c>
      <c r="E73" s="249">
        <f t="shared" ref="E73:L73" si="32">SUM(E66:E72)</f>
        <v>0</v>
      </c>
      <c r="F73" s="249">
        <f t="shared" si="32"/>
        <v>0</v>
      </c>
      <c r="G73" s="249"/>
      <c r="H73" s="249">
        <f t="shared" si="32"/>
        <v>0</v>
      </c>
      <c r="I73" s="249">
        <f>SUM(I66:I72)</f>
        <v>0</v>
      </c>
      <c r="J73" s="255">
        <f t="shared" si="32"/>
        <v>0</v>
      </c>
      <c r="K73" s="255">
        <f>SUM(K66:K72)</f>
        <v>0</v>
      </c>
      <c r="L73" s="148">
        <f t="shared" si="32"/>
        <v>0</v>
      </c>
    </row>
    <row r="74" spans="1:14" s="43" customFormat="1" ht="14.25" hidden="1" outlineLevel="1" thickBot="1" x14ac:dyDescent="0.3">
      <c r="A74" s="101" t="s">
        <v>21</v>
      </c>
      <c r="B74" s="792"/>
      <c r="C74" s="278"/>
      <c r="D74" s="102" t="e">
        <f>AVERAGE(D66:D72)</f>
        <v>#DIV/0!</v>
      </c>
      <c r="E74" s="102" t="e">
        <f t="shared" ref="E74:L74" si="33">AVERAGE(E66:E72)</f>
        <v>#DIV/0!</v>
      </c>
      <c r="F74" s="102" t="e">
        <f t="shared" si="33"/>
        <v>#DIV/0!</v>
      </c>
      <c r="G74" s="102"/>
      <c r="H74" s="102" t="e">
        <f t="shared" si="33"/>
        <v>#DIV/0!</v>
      </c>
      <c r="I74" s="102" t="e">
        <f>AVERAGE(I66:I72)</f>
        <v>#DIV/0!</v>
      </c>
      <c r="J74" s="256" t="e">
        <f t="shared" si="33"/>
        <v>#DIV/0!</v>
      </c>
      <c r="K74" s="256" t="e">
        <f>AVERAGE(K66:K72)</f>
        <v>#DIV/0!</v>
      </c>
      <c r="L74" s="149" t="e">
        <f t="shared" si="33"/>
        <v>#DIV/0!</v>
      </c>
    </row>
    <row r="75" spans="1:14" s="43" customFormat="1" ht="14.25" hidden="1" thickBot="1" x14ac:dyDescent="0.3">
      <c r="A75" s="26" t="s">
        <v>18</v>
      </c>
      <c r="B75" s="792"/>
      <c r="C75" s="278"/>
      <c r="D75" s="27">
        <f>SUM(D66:D70)</f>
        <v>0</v>
      </c>
      <c r="E75" s="27">
        <f t="shared" ref="E75:L75" si="34">SUM(E66:E70)</f>
        <v>0</v>
      </c>
      <c r="F75" s="27">
        <f t="shared" si="34"/>
        <v>0</v>
      </c>
      <c r="G75" s="27"/>
      <c r="H75" s="27">
        <f t="shared" si="34"/>
        <v>0</v>
      </c>
      <c r="I75" s="27">
        <f>SUM(I66:I70)</f>
        <v>0</v>
      </c>
      <c r="J75" s="257">
        <f t="shared" si="34"/>
        <v>0</v>
      </c>
      <c r="K75" s="257">
        <f>SUM(K66:K70)</f>
        <v>0</v>
      </c>
      <c r="L75" s="150">
        <f t="shared" si="34"/>
        <v>0</v>
      </c>
    </row>
    <row r="76" spans="1:14" s="43" customFormat="1" ht="14.25" hidden="1" thickBot="1" x14ac:dyDescent="0.3">
      <c r="A76" s="26" t="s">
        <v>20</v>
      </c>
      <c r="B76" s="793"/>
      <c r="C76" s="279"/>
      <c r="D76" s="29" t="e">
        <f>AVERAGE(D66:D70)</f>
        <v>#DIV/0!</v>
      </c>
      <c r="E76" s="29" t="e">
        <f t="shared" ref="E76:L76" si="35">AVERAGE(E66:E70)</f>
        <v>#DIV/0!</v>
      </c>
      <c r="F76" s="29" t="e">
        <f t="shared" si="35"/>
        <v>#DIV/0!</v>
      </c>
      <c r="G76" s="29"/>
      <c r="H76" s="29" t="e">
        <f t="shared" si="35"/>
        <v>#DIV/0!</v>
      </c>
      <c r="I76" s="29" t="e">
        <f>AVERAGE(I66:I70)</f>
        <v>#DIV/0!</v>
      </c>
      <c r="J76" s="32" t="e">
        <f t="shared" si="35"/>
        <v>#DIV/0!</v>
      </c>
      <c r="K76" s="32" t="e">
        <f>AVERAGE(K66:K70)</f>
        <v>#DIV/0!</v>
      </c>
      <c r="L76" s="151" t="e">
        <f t="shared" si="35"/>
        <v>#DIV/0!</v>
      </c>
    </row>
    <row r="77" spans="1:14" s="43" customFormat="1" ht="15.75" thickBot="1" x14ac:dyDescent="0.3">
      <c r="A77" s="4"/>
      <c r="B77" s="119"/>
      <c r="C77" s="280"/>
      <c r="D77" s="46"/>
      <c r="E77" s="46"/>
      <c r="F77" s="46"/>
      <c r="G77" s="46"/>
      <c r="H77" s="46"/>
      <c r="I77" s="46"/>
      <c r="J77" s="46"/>
      <c r="K77" s="46"/>
      <c r="L77" s="46"/>
    </row>
    <row r="78" spans="1:14" s="43" customFormat="1" ht="39" thickBot="1" x14ac:dyDescent="0.3">
      <c r="A78" s="287"/>
      <c r="B78" s="282"/>
      <c r="C78" s="288" t="s">
        <v>98</v>
      </c>
      <c r="D78" s="289" t="s">
        <v>7</v>
      </c>
      <c r="E78" s="289" t="s">
        <v>85</v>
      </c>
      <c r="F78" s="289" t="s">
        <v>86</v>
      </c>
      <c r="G78" s="289" t="s">
        <v>87</v>
      </c>
      <c r="H78" s="289" t="s">
        <v>92</v>
      </c>
      <c r="I78" s="289" t="s">
        <v>107</v>
      </c>
      <c r="J78" s="289" t="s">
        <v>10</v>
      </c>
      <c r="K78" s="290" t="s">
        <v>97</v>
      </c>
      <c r="L78" s="794" t="s">
        <v>52</v>
      </c>
      <c r="M78" s="795"/>
    </row>
    <row r="79" spans="1:14" ht="14.25" thickBot="1" x14ac:dyDescent="0.3">
      <c r="A79" s="292" t="s">
        <v>111</v>
      </c>
      <c r="B79" s="300">
        <f>SUM(L7+L62+L51+L40+L29+L18)</f>
        <v>6850</v>
      </c>
      <c r="C79" s="293">
        <f>C18+C29+C40+C51+C62</f>
        <v>0</v>
      </c>
      <c r="D79" s="294">
        <f>SUM(D7,D18+D29+D40+D51+D62)</f>
        <v>0</v>
      </c>
      <c r="E79" s="294">
        <f>SUM(E7,E18+E29+E40+E51+E62)</f>
        <v>0</v>
      </c>
      <c r="F79" s="294">
        <f>SUM(F7, F18+F29+F40+F51+F62)</f>
        <v>0</v>
      </c>
      <c r="G79" s="294">
        <f>SUM(G7,G18+G29+G40+G51+G62)</f>
        <v>0</v>
      </c>
      <c r="H79" s="294">
        <f>SUM(H7,H18+H29+H40+H51+H62)</f>
        <v>3324</v>
      </c>
      <c r="I79" s="294">
        <f>SUM(I62,I51,I29,I40,I18,I7)</f>
        <v>3526</v>
      </c>
      <c r="J79" s="294">
        <f>SUM(J7,J18+J29+J40+J51+J62)</f>
        <v>0</v>
      </c>
      <c r="K79" s="295">
        <f>SUM(K62,K51,K40,K29,K18,K7)</f>
        <v>0</v>
      </c>
      <c r="L79" s="284" t="s">
        <v>28</v>
      </c>
      <c r="M79" s="298">
        <f>SUM(C80:K80)</f>
        <v>6850</v>
      </c>
    </row>
    <row r="80" spans="1:14" ht="14.25" thickBot="1" x14ac:dyDescent="0.3">
      <c r="A80" s="291" t="s">
        <v>28</v>
      </c>
      <c r="B80" s="36">
        <f>L64+L53+L42+L31+L20</f>
        <v>6850</v>
      </c>
      <c r="C80" s="283">
        <f>C64+C53+C42+C31+C20</f>
        <v>0</v>
      </c>
      <c r="D80" s="171">
        <f>SUM(D20+D31+D42+D53+D64)</f>
        <v>0</v>
      </c>
      <c r="E80" s="171">
        <f>SUM(E20+E31+E42+E53+E64)</f>
        <v>0</v>
      </c>
      <c r="F80" s="171">
        <f>SUM(F20+F31+F42+F53+F64)</f>
        <v>0</v>
      </c>
      <c r="G80" s="171">
        <f>SUM(G20+G31+G42+G53+G64)</f>
        <v>0</v>
      </c>
      <c r="H80" s="171">
        <f>SUM(H20+H31+H42+H53+H64)</f>
        <v>3324</v>
      </c>
      <c r="I80" s="171">
        <f>SUM(I64,I53,I42,I31,I20)</f>
        <v>3526</v>
      </c>
      <c r="J80" s="171">
        <f>SUM(J20+J31+J42+J53+J64)</f>
        <v>0</v>
      </c>
      <c r="K80" s="199">
        <f>SUM(K64,K53,K42,K31,K20)</f>
        <v>0</v>
      </c>
      <c r="L80" s="285" t="s">
        <v>111</v>
      </c>
      <c r="M80" s="299">
        <f>SUM(C79:K79)</f>
        <v>6850</v>
      </c>
      <c r="N80" s="106"/>
    </row>
    <row r="81" spans="11:13" x14ac:dyDescent="0.25">
      <c r="K81" s="286"/>
      <c r="L81" s="391" t="s">
        <v>20</v>
      </c>
      <c r="M81" s="296">
        <f>AVERAGE(L21,L32,L43,L54,L65)</f>
        <v>298.98666666666662</v>
      </c>
    </row>
    <row r="82" spans="11:13" ht="15.75" thickBot="1" x14ac:dyDescent="0.3">
      <c r="L82" s="392" t="s">
        <v>117</v>
      </c>
      <c r="M82" s="297">
        <f>AVERAGE(L19,L30,L41,L52,L63)</f>
        <v>231.40952380952382</v>
      </c>
    </row>
  </sheetData>
  <mergeCells count="22">
    <mergeCell ref="B7:B10"/>
    <mergeCell ref="L78:M78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  <mergeCell ref="B73:B76"/>
    <mergeCell ref="B18:B21"/>
    <mergeCell ref="B29:B32"/>
    <mergeCell ref="B40:B43"/>
    <mergeCell ref="B51:B54"/>
    <mergeCell ref="B62:B65"/>
  </mergeCells>
  <pageMargins left="0.7" right="0.7" top="0.75" bottom="0.75" header="0.3" footer="0.3"/>
  <pageSetup scale="5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K76"/>
  <sheetViews>
    <sheetView zoomScale="90" zoomScaleNormal="90" workbookViewId="0">
      <selection activeCell="S28" sqref="S28"/>
    </sheetView>
  </sheetViews>
  <sheetFormatPr defaultColWidth="9.140625" defaultRowHeight="15" outlineLevelRow="1" x14ac:dyDescent="0.25"/>
  <cols>
    <col min="1" max="1" width="18.7109375" style="1" bestFit="1" customWidth="1"/>
    <col min="2" max="2" width="9.5703125" style="120" bestFit="1" customWidth="1"/>
    <col min="3" max="3" width="15.7109375" style="11" customWidth="1"/>
    <col min="4" max="4" width="10.7109375" style="11" customWidth="1"/>
    <col min="5" max="5" width="26" style="11" customWidth="1"/>
    <col min="6" max="6" width="15.42578125" style="11" bestFit="1" customWidth="1"/>
    <col min="7" max="16384" width="9.140625" style="11"/>
  </cols>
  <sheetData>
    <row r="1" spans="1:37" ht="15" customHeight="1" x14ac:dyDescent="0.25">
      <c r="A1" s="23"/>
      <c r="B1" s="306"/>
      <c r="C1" s="744" t="s">
        <v>9</v>
      </c>
    </row>
    <row r="2" spans="1:37" ht="15" customHeight="1" thickBot="1" x14ac:dyDescent="0.3">
      <c r="A2" s="24"/>
      <c r="B2" s="305"/>
      <c r="C2" s="804"/>
    </row>
    <row r="3" spans="1:37" ht="15" customHeight="1" x14ac:dyDescent="0.25">
      <c r="A3" s="805" t="s">
        <v>48</v>
      </c>
      <c r="B3" s="711" t="s">
        <v>49</v>
      </c>
      <c r="C3" s="806" t="s">
        <v>31</v>
      </c>
    </row>
    <row r="4" spans="1:37" ht="14.25" thickBot="1" x14ac:dyDescent="0.3">
      <c r="A4" s="694"/>
      <c r="B4" s="712"/>
      <c r="C4" s="709"/>
    </row>
    <row r="5" spans="1:37" s="42" customFormat="1" ht="14.25" hidden="1" thickBot="1" x14ac:dyDescent="0.3">
      <c r="A5" s="25" t="s">
        <v>3</v>
      </c>
      <c r="B5" s="313"/>
      <c r="C5" s="251"/>
    </row>
    <row r="6" spans="1:37" s="42" customFormat="1" ht="14.25" thickBot="1" x14ac:dyDescent="0.3">
      <c r="A6" s="25" t="s">
        <v>4</v>
      </c>
      <c r="B6" s="313">
        <v>44348</v>
      </c>
      <c r="C6" s="251">
        <v>334</v>
      </c>
    </row>
    <row r="7" spans="1:37" s="42" customFormat="1" ht="14.25" thickBot="1" x14ac:dyDescent="0.3">
      <c r="A7" s="25" t="s">
        <v>5</v>
      </c>
      <c r="B7" s="313">
        <v>44349</v>
      </c>
      <c r="C7" s="251">
        <v>367</v>
      </c>
    </row>
    <row r="8" spans="1:37" s="42" customFormat="1" ht="14.25" thickBot="1" x14ac:dyDescent="0.3">
      <c r="A8" s="25" t="s">
        <v>6</v>
      </c>
      <c r="B8" s="313">
        <v>44350</v>
      </c>
      <c r="C8" s="251">
        <v>215</v>
      </c>
    </row>
    <row r="9" spans="1:37" s="42" customFormat="1" ht="14.25" thickBot="1" x14ac:dyDescent="0.3">
      <c r="A9" s="25" t="s">
        <v>0</v>
      </c>
      <c r="B9" s="313">
        <v>44351</v>
      </c>
      <c r="C9" s="251">
        <v>276</v>
      </c>
    </row>
    <row r="10" spans="1:37" s="42" customFormat="1" ht="14.25" outlineLevel="1" thickBot="1" x14ac:dyDescent="0.3">
      <c r="A10" s="25" t="s">
        <v>1</v>
      </c>
      <c r="B10" s="313">
        <v>44352</v>
      </c>
      <c r="C10" s="188">
        <v>0</v>
      </c>
    </row>
    <row r="11" spans="1:37" s="42" customFormat="1" ht="15" customHeight="1" outlineLevel="1" thickBot="1" x14ac:dyDescent="0.3">
      <c r="A11" s="25" t="s">
        <v>2</v>
      </c>
      <c r="B11" s="313">
        <v>44353</v>
      </c>
      <c r="C11" s="188">
        <v>0</v>
      </c>
      <c r="E11" s="559"/>
      <c r="F11" s="559"/>
      <c r="G11" s="559"/>
      <c r="H11" s="559"/>
      <c r="I11" s="559"/>
      <c r="J11" s="559"/>
      <c r="K11" s="559"/>
      <c r="L11" s="559"/>
      <c r="M11" s="559"/>
      <c r="N11" s="559"/>
      <c r="O11" s="559"/>
      <c r="P11" s="559"/>
      <c r="Q11" s="559"/>
      <c r="R11" s="559"/>
      <c r="S11" s="559"/>
      <c r="T11" s="559"/>
    </row>
    <row r="12" spans="1:37" s="43" customFormat="1" ht="15" customHeight="1" outlineLevel="1" thickBot="1" x14ac:dyDescent="0.3">
      <c r="A12" s="144" t="s">
        <v>19</v>
      </c>
      <c r="B12" s="699" t="s">
        <v>22</v>
      </c>
      <c r="C12" s="355">
        <f>SUM(C5:C11)</f>
        <v>1192</v>
      </c>
      <c r="E12" s="560"/>
      <c r="F12" s="558"/>
      <c r="G12" s="561"/>
      <c r="H12" s="560"/>
      <c r="I12" s="560"/>
      <c r="J12" s="560"/>
      <c r="K12" s="560"/>
      <c r="L12" s="560"/>
      <c r="M12" s="560"/>
      <c r="N12" s="560"/>
      <c r="O12" s="560"/>
      <c r="P12" s="560"/>
      <c r="Q12" s="560"/>
      <c r="R12" s="560"/>
      <c r="S12" s="560"/>
      <c r="T12" s="560"/>
      <c r="U12" s="557"/>
      <c r="V12" s="557"/>
      <c r="W12" s="557"/>
      <c r="X12" s="557"/>
      <c r="Y12" s="557"/>
      <c r="Z12" s="557"/>
      <c r="AA12" s="557"/>
      <c r="AB12" s="557"/>
      <c r="AC12" s="557"/>
      <c r="AD12" s="557"/>
      <c r="AE12" s="557"/>
      <c r="AF12" s="557"/>
      <c r="AG12" s="557"/>
      <c r="AH12" s="557"/>
      <c r="AI12" s="557"/>
      <c r="AJ12" s="557"/>
      <c r="AK12" s="557"/>
    </row>
    <row r="13" spans="1:37" s="43" customFormat="1" ht="15" customHeight="1" outlineLevel="1" thickBot="1" x14ac:dyDescent="0.3">
      <c r="A13" s="101" t="s">
        <v>21</v>
      </c>
      <c r="B13" s="699"/>
      <c r="C13" s="303">
        <f>AVERAGE(C5:C11)</f>
        <v>198.66666666666666</v>
      </c>
      <c r="E13" s="560"/>
      <c r="F13" s="558"/>
      <c r="G13" s="561"/>
      <c r="H13" s="558"/>
      <c r="I13" s="558"/>
      <c r="J13" s="558"/>
      <c r="K13" s="558"/>
      <c r="L13" s="558"/>
      <c r="M13" s="558"/>
      <c r="N13" s="558"/>
      <c r="O13" s="558"/>
      <c r="P13" s="558"/>
      <c r="Q13" s="558"/>
      <c r="R13" s="558"/>
      <c r="S13" s="558"/>
      <c r="T13" s="558"/>
      <c r="U13" s="558"/>
      <c r="V13" s="558"/>
      <c r="W13" s="558"/>
      <c r="X13" s="558"/>
      <c r="Y13" s="558"/>
      <c r="Z13" s="558"/>
      <c r="AA13" s="558"/>
      <c r="AB13" s="558"/>
      <c r="AC13" s="558"/>
      <c r="AD13" s="558"/>
      <c r="AE13" s="558"/>
      <c r="AF13" s="558"/>
      <c r="AG13" s="558"/>
      <c r="AH13" s="558"/>
      <c r="AI13" s="558"/>
      <c r="AJ13" s="558"/>
      <c r="AK13" s="558"/>
    </row>
    <row r="14" spans="1:37" s="43" customFormat="1" ht="15" customHeight="1" thickBot="1" x14ac:dyDescent="0.3">
      <c r="A14" s="26" t="s">
        <v>18</v>
      </c>
      <c r="B14" s="699"/>
      <c r="C14" s="186">
        <f>SUM(C5:C9)</f>
        <v>1192</v>
      </c>
      <c r="E14" s="560"/>
      <c r="F14" s="558"/>
      <c r="G14" s="561"/>
      <c r="H14" s="559"/>
      <c r="I14" s="559"/>
      <c r="J14" s="559"/>
      <c r="K14" s="559"/>
      <c r="L14" s="559"/>
      <c r="M14" s="559"/>
      <c r="N14" s="559"/>
      <c r="O14" s="559"/>
      <c r="P14" s="559"/>
      <c r="Q14" s="559"/>
      <c r="R14" s="559"/>
      <c r="S14" s="559"/>
      <c r="T14" s="559"/>
    </row>
    <row r="15" spans="1:37" s="43" customFormat="1" ht="15" customHeight="1" thickBot="1" x14ac:dyDescent="0.3">
      <c r="A15" s="26" t="s">
        <v>20</v>
      </c>
      <c r="B15" s="699"/>
      <c r="C15" s="187">
        <f>AVERAGE(C5:C9)</f>
        <v>298</v>
      </c>
      <c r="E15" s="560"/>
      <c r="F15" s="558"/>
      <c r="G15" s="561"/>
      <c r="H15" s="559"/>
      <c r="I15" s="559"/>
      <c r="J15" s="559"/>
      <c r="K15" s="559"/>
      <c r="L15" s="559"/>
      <c r="M15" s="559"/>
      <c r="N15" s="559"/>
      <c r="O15" s="559"/>
      <c r="P15" s="559"/>
      <c r="Q15" s="559"/>
      <c r="R15" s="559"/>
      <c r="S15" s="559"/>
      <c r="T15" s="559"/>
    </row>
    <row r="16" spans="1:37" s="43" customFormat="1" ht="15" customHeight="1" x14ac:dyDescent="0.25">
      <c r="A16" s="25" t="s">
        <v>3</v>
      </c>
      <c r="B16" s="220">
        <f>B11+1</f>
        <v>44354</v>
      </c>
      <c r="C16" s="304">
        <v>308</v>
      </c>
      <c r="E16" s="560"/>
      <c r="F16" s="558"/>
      <c r="G16" s="561"/>
      <c r="H16" s="559"/>
      <c r="I16" s="559"/>
      <c r="J16" s="559"/>
      <c r="K16" s="559"/>
      <c r="L16" s="559"/>
      <c r="M16" s="559"/>
      <c r="N16" s="559"/>
      <c r="O16" s="559"/>
      <c r="P16" s="559"/>
      <c r="Q16" s="559"/>
      <c r="R16" s="559"/>
      <c r="S16" s="559"/>
      <c r="T16" s="559"/>
    </row>
    <row r="17" spans="1:20" s="43" customFormat="1" ht="15" customHeight="1" x14ac:dyDescent="0.25">
      <c r="A17" s="25" t="s">
        <v>4</v>
      </c>
      <c r="B17" s="220">
        <f t="shared" ref="B17:B22" si="0">B16+1</f>
        <v>44355</v>
      </c>
      <c r="C17" s="304">
        <v>318</v>
      </c>
      <c r="E17" s="560"/>
      <c r="F17" s="558"/>
      <c r="G17" s="561"/>
      <c r="H17" s="559"/>
      <c r="I17" s="559"/>
      <c r="J17" s="559"/>
      <c r="K17" s="559"/>
      <c r="L17" s="559"/>
      <c r="M17" s="559"/>
      <c r="N17" s="559"/>
      <c r="O17" s="559"/>
      <c r="P17" s="559"/>
      <c r="Q17" s="559"/>
      <c r="R17" s="559"/>
      <c r="S17" s="559"/>
      <c r="T17" s="559"/>
    </row>
    <row r="18" spans="1:20" s="43" customFormat="1" ht="15" customHeight="1" x14ac:dyDescent="0.25">
      <c r="A18" s="25" t="s">
        <v>5</v>
      </c>
      <c r="B18" s="220">
        <f t="shared" si="0"/>
        <v>44356</v>
      </c>
      <c r="C18" s="304">
        <v>400</v>
      </c>
      <c r="E18" s="560"/>
      <c r="F18" s="558"/>
      <c r="G18" s="561"/>
      <c r="H18" s="559"/>
      <c r="I18" s="559"/>
      <c r="J18" s="559"/>
      <c r="K18" s="559"/>
      <c r="L18" s="559"/>
      <c r="M18" s="559"/>
      <c r="N18" s="559"/>
      <c r="O18" s="559"/>
      <c r="P18" s="559"/>
      <c r="Q18" s="559"/>
      <c r="R18" s="559"/>
      <c r="S18" s="559"/>
      <c r="T18" s="559"/>
    </row>
    <row r="19" spans="1:20" s="43" customFormat="1" ht="15" customHeight="1" x14ac:dyDescent="0.25">
      <c r="A19" s="25" t="s">
        <v>6</v>
      </c>
      <c r="B19" s="220">
        <f t="shared" si="0"/>
        <v>44357</v>
      </c>
      <c r="C19" s="304">
        <v>425</v>
      </c>
      <c r="E19" s="560"/>
      <c r="F19" s="558"/>
      <c r="G19" s="561"/>
      <c r="H19" s="559"/>
      <c r="I19" s="559"/>
      <c r="J19" s="559"/>
      <c r="K19" s="559"/>
      <c r="L19" s="559"/>
      <c r="M19" s="559"/>
      <c r="N19" s="559"/>
      <c r="O19" s="559"/>
      <c r="P19" s="559"/>
      <c r="Q19" s="559"/>
      <c r="R19" s="559"/>
      <c r="S19" s="559"/>
      <c r="T19" s="559"/>
    </row>
    <row r="20" spans="1:20" s="43" customFormat="1" ht="15" customHeight="1" x14ac:dyDescent="0.25">
      <c r="A20" s="25" t="s">
        <v>0</v>
      </c>
      <c r="B20" s="220">
        <f t="shared" si="0"/>
        <v>44358</v>
      </c>
      <c r="C20" s="304">
        <v>496</v>
      </c>
      <c r="E20" s="560"/>
      <c r="F20" s="558"/>
      <c r="G20" s="561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</row>
    <row r="21" spans="1:20" s="43" customFormat="1" ht="15" customHeight="1" outlineLevel="1" x14ac:dyDescent="0.25">
      <c r="A21" s="25" t="s">
        <v>1</v>
      </c>
      <c r="B21" s="220">
        <f t="shared" si="0"/>
        <v>44359</v>
      </c>
      <c r="C21" s="188">
        <v>0</v>
      </c>
      <c r="D21" s="140"/>
      <c r="E21" s="560"/>
      <c r="F21" s="558"/>
      <c r="G21" s="561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</row>
    <row r="22" spans="1:20" s="43" customFormat="1" ht="15" customHeight="1" outlineLevel="1" thickBot="1" x14ac:dyDescent="0.3">
      <c r="A22" s="25" t="s">
        <v>2</v>
      </c>
      <c r="B22" s="220">
        <f t="shared" si="0"/>
        <v>44360</v>
      </c>
      <c r="C22" s="301">
        <v>0</v>
      </c>
      <c r="E22" s="560"/>
      <c r="F22" s="558"/>
      <c r="G22" s="561"/>
      <c r="H22" s="559"/>
      <c r="I22" s="559"/>
      <c r="J22" s="559"/>
      <c r="K22" s="559"/>
      <c r="L22" s="559"/>
      <c r="M22" s="559"/>
      <c r="N22" s="559"/>
      <c r="O22" s="559"/>
      <c r="P22" s="559"/>
      <c r="Q22" s="559"/>
      <c r="R22" s="559"/>
      <c r="S22" s="559"/>
      <c r="T22" s="559"/>
    </row>
    <row r="23" spans="1:20" s="43" customFormat="1" ht="15" customHeight="1" outlineLevel="1" thickBot="1" x14ac:dyDescent="0.3">
      <c r="A23" s="144" t="s">
        <v>19</v>
      </c>
      <c r="B23" s="699" t="s">
        <v>23</v>
      </c>
      <c r="C23" s="302">
        <f>SUM(C16:C22)</f>
        <v>1947</v>
      </c>
      <c r="E23" s="560"/>
      <c r="F23" s="558"/>
      <c r="G23" s="561"/>
      <c r="H23" s="559"/>
      <c r="I23" s="559"/>
      <c r="J23" s="559"/>
      <c r="K23" s="559"/>
      <c r="L23" s="559"/>
      <c r="M23" s="559"/>
      <c r="N23" s="559"/>
      <c r="O23" s="559"/>
      <c r="P23" s="559"/>
      <c r="Q23" s="559"/>
      <c r="R23" s="559"/>
      <c r="S23" s="559"/>
      <c r="T23" s="559"/>
    </row>
    <row r="24" spans="1:20" s="43" customFormat="1" ht="15" customHeight="1" outlineLevel="1" thickBot="1" x14ac:dyDescent="0.3">
      <c r="A24" s="101" t="s">
        <v>21</v>
      </c>
      <c r="B24" s="699"/>
      <c r="C24" s="303">
        <f>AVERAGE(C16:C22)</f>
        <v>278.14285714285717</v>
      </c>
      <c r="E24" s="560"/>
      <c r="F24" s="558"/>
      <c r="G24" s="561"/>
      <c r="H24" s="559"/>
      <c r="I24" s="559"/>
      <c r="J24" s="559"/>
      <c r="K24" s="559"/>
      <c r="L24" s="559"/>
      <c r="M24" s="559"/>
      <c r="N24" s="559"/>
      <c r="O24" s="559"/>
      <c r="P24" s="559"/>
      <c r="Q24" s="559"/>
      <c r="R24" s="559"/>
      <c r="S24" s="559"/>
      <c r="T24" s="559"/>
    </row>
    <row r="25" spans="1:20" s="43" customFormat="1" ht="15" customHeight="1" thickBot="1" x14ac:dyDescent="0.3">
      <c r="A25" s="26" t="s">
        <v>18</v>
      </c>
      <c r="B25" s="699"/>
      <c r="C25" s="186">
        <f>SUM(C16:C20)</f>
        <v>1947</v>
      </c>
      <c r="E25" s="557"/>
      <c r="F25" s="558"/>
      <c r="G25"/>
    </row>
    <row r="26" spans="1:20" s="43" customFormat="1" ht="15" customHeight="1" thickBot="1" x14ac:dyDescent="0.3">
      <c r="A26" s="26" t="s">
        <v>20</v>
      </c>
      <c r="B26" s="699"/>
      <c r="C26" s="187">
        <f>AVERAGE(C16:C20)</f>
        <v>389.4</v>
      </c>
      <c r="E26" s="557"/>
      <c r="F26" s="558"/>
      <c r="G26"/>
      <c r="P26" s="42"/>
    </row>
    <row r="27" spans="1:20" s="43" customFormat="1" ht="15" customHeight="1" x14ac:dyDescent="0.25">
      <c r="A27" s="25" t="s">
        <v>3</v>
      </c>
      <c r="B27" s="216">
        <f>B22+1</f>
        <v>44361</v>
      </c>
      <c r="C27" s="304">
        <v>295</v>
      </c>
      <c r="E27" s="557"/>
      <c r="F27" s="558"/>
      <c r="G27"/>
    </row>
    <row r="28" spans="1:20" s="43" customFormat="1" ht="15" customHeight="1" x14ac:dyDescent="0.25">
      <c r="A28" s="25" t="s">
        <v>4</v>
      </c>
      <c r="B28" s="216">
        <f t="shared" ref="B28:B33" si="1">B27+1</f>
        <v>44362</v>
      </c>
      <c r="C28" s="304">
        <v>406</v>
      </c>
      <c r="E28" s="557"/>
      <c r="F28" s="558"/>
      <c r="G28"/>
    </row>
    <row r="29" spans="1:20" s="43" customFormat="1" ht="15" customHeight="1" x14ac:dyDescent="0.25">
      <c r="A29" s="25" t="s">
        <v>5</v>
      </c>
      <c r="B29" s="216">
        <f t="shared" si="1"/>
        <v>44363</v>
      </c>
      <c r="C29" s="304">
        <v>487</v>
      </c>
      <c r="E29" s="557"/>
      <c r="F29" s="558"/>
      <c r="G29"/>
    </row>
    <row r="30" spans="1:20" s="43" customFormat="1" ht="15" customHeight="1" x14ac:dyDescent="0.25">
      <c r="A30" s="25" t="s">
        <v>6</v>
      </c>
      <c r="B30" s="216">
        <f t="shared" si="1"/>
        <v>44364</v>
      </c>
      <c r="C30" s="304">
        <v>487</v>
      </c>
      <c r="E30" s="557"/>
      <c r="F30" s="558"/>
      <c r="G30"/>
    </row>
    <row r="31" spans="1:20" s="43" customFormat="1" ht="15" customHeight="1" x14ac:dyDescent="0.25">
      <c r="A31" s="25" t="s">
        <v>0</v>
      </c>
      <c r="B31" s="216">
        <f t="shared" si="1"/>
        <v>44365</v>
      </c>
      <c r="C31" s="304">
        <v>493</v>
      </c>
      <c r="E31" s="557"/>
      <c r="F31" s="558"/>
      <c r="G31"/>
    </row>
    <row r="32" spans="1:20" s="43" customFormat="1" ht="15" customHeight="1" outlineLevel="1" x14ac:dyDescent="0.25">
      <c r="A32" s="25" t="s">
        <v>1</v>
      </c>
      <c r="B32" s="216">
        <f t="shared" si="1"/>
        <v>44366</v>
      </c>
      <c r="C32" s="188">
        <v>660</v>
      </c>
      <c r="E32" s="557"/>
      <c r="F32" s="558"/>
      <c r="G32"/>
    </row>
    <row r="33" spans="1:7" s="43" customFormat="1" ht="15" customHeight="1" outlineLevel="1" thickBot="1" x14ac:dyDescent="0.3">
      <c r="A33" s="25" t="s">
        <v>2</v>
      </c>
      <c r="B33" s="216">
        <f t="shared" si="1"/>
        <v>44367</v>
      </c>
      <c r="C33" s="301">
        <v>539</v>
      </c>
      <c r="E33" s="557"/>
      <c r="F33" s="558"/>
      <c r="G33"/>
    </row>
    <row r="34" spans="1:7" s="43" customFormat="1" ht="15" customHeight="1" outlineLevel="1" thickBot="1" x14ac:dyDescent="0.3">
      <c r="A34" s="144" t="s">
        <v>19</v>
      </c>
      <c r="B34" s="699" t="s">
        <v>24</v>
      </c>
      <c r="C34" s="302">
        <f>SUM(C27:C33)</f>
        <v>3367</v>
      </c>
      <c r="E34" s="557"/>
      <c r="F34" s="558"/>
      <c r="G34"/>
    </row>
    <row r="35" spans="1:7" s="43" customFormat="1" ht="15" customHeight="1" outlineLevel="1" thickBot="1" x14ac:dyDescent="0.3">
      <c r="A35" s="101" t="s">
        <v>21</v>
      </c>
      <c r="B35" s="699"/>
      <c r="C35" s="303">
        <f>AVERAGE(C27:C33)</f>
        <v>481</v>
      </c>
      <c r="E35" s="557"/>
      <c r="F35" s="558"/>
      <c r="G35"/>
    </row>
    <row r="36" spans="1:7" s="43" customFormat="1" ht="15" customHeight="1" thickBot="1" x14ac:dyDescent="0.3">
      <c r="A36" s="26" t="s">
        <v>18</v>
      </c>
      <c r="B36" s="699"/>
      <c r="C36" s="186">
        <f>SUM(C27:C31)</f>
        <v>2168</v>
      </c>
      <c r="E36" s="557"/>
      <c r="F36" s="558"/>
      <c r="G36"/>
    </row>
    <row r="37" spans="1:7" s="43" customFormat="1" ht="15" customHeight="1" thickBot="1" x14ac:dyDescent="0.3">
      <c r="A37" s="26" t="s">
        <v>20</v>
      </c>
      <c r="B37" s="699"/>
      <c r="C37" s="550">
        <f>AVERAGE(C27:C31)</f>
        <v>433.6</v>
      </c>
      <c r="E37" s="557"/>
      <c r="F37" s="558"/>
      <c r="G37"/>
    </row>
    <row r="38" spans="1:7" s="43" customFormat="1" ht="15" customHeight="1" x14ac:dyDescent="0.25">
      <c r="A38" s="25" t="s">
        <v>3</v>
      </c>
      <c r="B38" s="223">
        <f>B33+1</f>
        <v>44368</v>
      </c>
      <c r="C38" s="572">
        <v>376</v>
      </c>
      <c r="E38" s="557"/>
      <c r="F38" s="558"/>
      <c r="G38"/>
    </row>
    <row r="39" spans="1:7" s="43" customFormat="1" ht="15" customHeight="1" x14ac:dyDescent="0.25">
      <c r="A39" s="25" t="s">
        <v>4</v>
      </c>
      <c r="B39" s="223">
        <f t="shared" ref="B39:B44" si="2">B38+1</f>
        <v>44369</v>
      </c>
      <c r="C39" s="573">
        <v>271</v>
      </c>
      <c r="E39" s="557"/>
      <c r="F39" s="558"/>
      <c r="G39"/>
    </row>
    <row r="40" spans="1:7" s="43" customFormat="1" ht="15" customHeight="1" x14ac:dyDescent="0.25">
      <c r="A40" s="25" t="s">
        <v>5</v>
      </c>
      <c r="B40" s="223">
        <f t="shared" si="2"/>
        <v>44370</v>
      </c>
      <c r="C40" s="573">
        <v>480</v>
      </c>
      <c r="E40" s="557"/>
      <c r="F40" s="558"/>
      <c r="G40"/>
    </row>
    <row r="41" spans="1:7" s="43" customFormat="1" ht="15" customHeight="1" x14ac:dyDescent="0.25">
      <c r="A41" s="25" t="s">
        <v>6</v>
      </c>
      <c r="B41" s="223">
        <f t="shared" si="2"/>
        <v>44371</v>
      </c>
      <c r="C41" s="573">
        <v>570</v>
      </c>
      <c r="E41" s="557"/>
      <c r="F41" s="558"/>
      <c r="G41"/>
    </row>
    <row r="42" spans="1:7" s="43" customFormat="1" ht="15" customHeight="1" x14ac:dyDescent="0.25">
      <c r="A42" s="25" t="s">
        <v>0</v>
      </c>
      <c r="B42" s="223">
        <f t="shared" si="2"/>
        <v>44372</v>
      </c>
      <c r="C42" s="573">
        <v>642</v>
      </c>
    </row>
    <row r="43" spans="1:7" s="43" customFormat="1" ht="15" customHeight="1" outlineLevel="1" x14ac:dyDescent="0.25">
      <c r="A43" s="25" t="s">
        <v>1</v>
      </c>
      <c r="B43" s="223">
        <f t="shared" si="2"/>
        <v>44373</v>
      </c>
      <c r="C43" s="573">
        <v>638</v>
      </c>
      <c r="D43" s="140"/>
    </row>
    <row r="44" spans="1:7" s="43" customFormat="1" ht="15" customHeight="1" outlineLevel="1" thickBot="1" x14ac:dyDescent="0.3">
      <c r="A44" s="25" t="s">
        <v>2</v>
      </c>
      <c r="B44" s="223">
        <f t="shared" si="2"/>
        <v>44374</v>
      </c>
      <c r="C44" s="574">
        <v>544</v>
      </c>
      <c r="D44" s="140"/>
    </row>
    <row r="45" spans="1:7" s="43" customFormat="1" ht="15" customHeight="1" outlineLevel="1" thickBot="1" x14ac:dyDescent="0.3">
      <c r="A45" s="144" t="s">
        <v>19</v>
      </c>
      <c r="B45" s="699" t="s">
        <v>25</v>
      </c>
      <c r="C45" s="355">
        <f>SUM(C38:C44)</f>
        <v>3521</v>
      </c>
      <c r="D45" s="140"/>
    </row>
    <row r="46" spans="1:7" s="43" customFormat="1" ht="15" customHeight="1" outlineLevel="1" thickBot="1" x14ac:dyDescent="0.3">
      <c r="A46" s="101" t="s">
        <v>21</v>
      </c>
      <c r="B46" s="699"/>
      <c r="C46" s="303">
        <f>AVERAGE(C38:C44)</f>
        <v>503</v>
      </c>
      <c r="D46" s="140"/>
    </row>
    <row r="47" spans="1:7" s="43" customFormat="1" ht="15" customHeight="1" thickBot="1" x14ac:dyDescent="0.3">
      <c r="A47" s="26" t="s">
        <v>18</v>
      </c>
      <c r="B47" s="699"/>
      <c r="C47" s="186">
        <f>SUM(C38:C42)</f>
        <v>2339</v>
      </c>
      <c r="D47" s="140"/>
    </row>
    <row r="48" spans="1:7" s="43" customFormat="1" ht="15" customHeight="1" thickBot="1" x14ac:dyDescent="0.3">
      <c r="A48" s="26" t="s">
        <v>20</v>
      </c>
      <c r="B48" s="699"/>
      <c r="C48" s="550">
        <f>AVERAGE(C38:C42)</f>
        <v>467.8</v>
      </c>
      <c r="D48" s="140"/>
    </row>
    <row r="49" spans="1:4" s="43" customFormat="1" x14ac:dyDescent="0.25">
      <c r="A49" s="25" t="s">
        <v>3</v>
      </c>
      <c r="B49" s="223">
        <f>B44+1</f>
        <v>44375</v>
      </c>
      <c r="C49" s="575">
        <v>414</v>
      </c>
      <c r="D49" s="140"/>
    </row>
    <row r="50" spans="1:4" s="43" customFormat="1" x14ac:dyDescent="0.25">
      <c r="A50" s="136" t="s">
        <v>4</v>
      </c>
      <c r="B50" s="223">
        <f t="shared" ref="B50:B51" si="3">B49+1</f>
        <v>44376</v>
      </c>
      <c r="C50" s="575">
        <v>472</v>
      </c>
      <c r="D50" s="140"/>
    </row>
    <row r="51" spans="1:4" s="43" customFormat="1" ht="15.75" thickBot="1" x14ac:dyDescent="0.3">
      <c r="A51" s="136" t="s">
        <v>5</v>
      </c>
      <c r="B51" s="223">
        <f t="shared" si="3"/>
        <v>44377</v>
      </c>
      <c r="C51" s="549">
        <v>365</v>
      </c>
      <c r="D51" s="140"/>
    </row>
    <row r="52" spans="1:4" s="43" customFormat="1" hidden="1" x14ac:dyDescent="0.25">
      <c r="A52" s="25" t="s">
        <v>6</v>
      </c>
      <c r="B52" s="223"/>
      <c r="C52" s="549"/>
      <c r="D52" s="140"/>
    </row>
    <row r="53" spans="1:4" s="43" customFormat="1" hidden="1" x14ac:dyDescent="0.25">
      <c r="A53" s="25" t="s">
        <v>0</v>
      </c>
      <c r="B53" s="223"/>
      <c r="C53" s="549"/>
      <c r="D53" s="140"/>
    </row>
    <row r="54" spans="1:4" s="43" customFormat="1" ht="13.5" hidden="1" outlineLevel="1" x14ac:dyDescent="0.25">
      <c r="A54" s="25" t="s">
        <v>1</v>
      </c>
      <c r="B54" s="223"/>
      <c r="C54" s="238"/>
      <c r="D54" s="140"/>
    </row>
    <row r="55" spans="1:4" s="43" customFormat="1" ht="14.25" hidden="1" outlineLevel="1" thickBot="1" x14ac:dyDescent="0.3">
      <c r="A55" s="25" t="s">
        <v>2</v>
      </c>
      <c r="B55" s="223"/>
      <c r="C55" s="238"/>
    </row>
    <row r="56" spans="1:4" s="43" customFormat="1" ht="15" customHeight="1" outlineLevel="1" thickBot="1" x14ac:dyDescent="0.3">
      <c r="A56" s="144" t="s">
        <v>19</v>
      </c>
      <c r="B56" s="699" t="s">
        <v>26</v>
      </c>
      <c r="C56" s="355">
        <f>SUM(C49:C55)</f>
        <v>1251</v>
      </c>
    </row>
    <row r="57" spans="1:4" s="43" customFormat="1" ht="15" customHeight="1" outlineLevel="1" thickBot="1" x14ac:dyDescent="0.3">
      <c r="A57" s="101" t="s">
        <v>21</v>
      </c>
      <c r="B57" s="699"/>
      <c r="C57" s="303">
        <f>AVERAGE(C49:C55)</f>
        <v>417</v>
      </c>
    </row>
    <row r="58" spans="1:4" s="43" customFormat="1" ht="15" customHeight="1" thickBot="1" x14ac:dyDescent="0.3">
      <c r="A58" s="26" t="s">
        <v>18</v>
      </c>
      <c r="B58" s="699"/>
      <c r="C58" s="186">
        <f>SUM(C49:C53)</f>
        <v>1251</v>
      </c>
    </row>
    <row r="59" spans="1:4" s="43" customFormat="1" ht="14.25" thickBot="1" x14ac:dyDescent="0.3">
      <c r="A59" s="26" t="s">
        <v>20</v>
      </c>
      <c r="B59" s="719"/>
      <c r="C59" s="187">
        <f>AVERAGE(C49:C53)</f>
        <v>417</v>
      </c>
    </row>
    <row r="60" spans="1:4" s="43" customFormat="1" ht="14.25" hidden="1" thickBot="1" x14ac:dyDescent="0.3">
      <c r="A60" s="136"/>
      <c r="B60" s="312"/>
      <c r="C60" s="180"/>
      <c r="D60" s="17"/>
    </row>
    <row r="61" spans="1:4" s="43" customFormat="1" ht="14.25" hidden="1" thickBot="1" x14ac:dyDescent="0.3">
      <c r="A61" s="136"/>
      <c r="B61" s="160"/>
      <c r="C61" s="180"/>
      <c r="D61" s="17"/>
    </row>
    <row r="62" spans="1:4" s="43" customFormat="1" ht="14.25" hidden="1" thickBot="1" x14ac:dyDescent="0.3">
      <c r="A62" s="136"/>
      <c r="B62" s="160"/>
      <c r="C62" s="181"/>
      <c r="D62" s="17"/>
    </row>
    <row r="63" spans="1:4" s="43" customFormat="1" ht="14.25" hidden="1" thickBot="1" x14ac:dyDescent="0.3">
      <c r="A63" s="136"/>
      <c r="B63" s="160"/>
      <c r="C63" s="181"/>
      <c r="D63" s="17"/>
    </row>
    <row r="64" spans="1:4" s="43" customFormat="1" ht="14.25" hidden="1" thickBot="1" x14ac:dyDescent="0.3">
      <c r="A64" s="136"/>
      <c r="B64" s="160"/>
      <c r="C64" s="181"/>
      <c r="D64" s="17"/>
    </row>
    <row r="65" spans="1:6" s="43" customFormat="1" ht="14.25" hidden="1" outlineLevel="1" thickBot="1" x14ac:dyDescent="0.3">
      <c r="A65" s="136"/>
      <c r="B65" s="160"/>
      <c r="C65" s="189"/>
      <c r="D65" s="17"/>
    </row>
    <row r="66" spans="1:6" s="43" customFormat="1" ht="14.25" hidden="1" outlineLevel="1" thickBot="1" x14ac:dyDescent="0.3">
      <c r="A66" s="136"/>
      <c r="B66" s="160"/>
      <c r="C66" s="190"/>
      <c r="D66" s="17"/>
    </row>
    <row r="67" spans="1:6" s="43" customFormat="1" ht="14.25" hidden="1" outlineLevel="1" thickBot="1" x14ac:dyDescent="0.3">
      <c r="A67" s="144" t="s">
        <v>19</v>
      </c>
      <c r="B67" s="792" t="s">
        <v>30</v>
      </c>
      <c r="C67" s="182">
        <f>SUM(C60:C66)</f>
        <v>0</v>
      </c>
      <c r="D67" s="104">
        <f>SUM(C67)</f>
        <v>0</v>
      </c>
    </row>
    <row r="68" spans="1:6" s="43" customFormat="1" ht="14.25" hidden="1" outlineLevel="1" thickBot="1" x14ac:dyDescent="0.3">
      <c r="A68" s="101" t="s">
        <v>21</v>
      </c>
      <c r="B68" s="792"/>
      <c r="C68" s="183" t="e">
        <f>AVERAGE(C60:C66)</f>
        <v>#DIV/0!</v>
      </c>
      <c r="D68" s="102" t="e">
        <f>SUM(C68)</f>
        <v>#DIV/0!</v>
      </c>
    </row>
    <row r="69" spans="1:6" s="43" customFormat="1" ht="14.25" hidden="1" thickBot="1" x14ac:dyDescent="0.3">
      <c r="A69" s="26" t="s">
        <v>18</v>
      </c>
      <c r="B69" s="792"/>
      <c r="C69" s="184">
        <f>SUM(C60:C64)</f>
        <v>0</v>
      </c>
      <c r="D69" s="27">
        <f>SUM(C69)</f>
        <v>0</v>
      </c>
    </row>
    <row r="70" spans="1:6" s="43" customFormat="1" ht="14.25" hidden="1" thickBot="1" x14ac:dyDescent="0.3">
      <c r="A70" s="26" t="s">
        <v>20</v>
      </c>
      <c r="B70" s="793"/>
      <c r="C70" s="185" t="e">
        <f>AVERAGE(C60:C64)</f>
        <v>#DIV/0!</v>
      </c>
      <c r="D70" s="29" t="e">
        <f>SUM(C70)</f>
        <v>#DIV/0!</v>
      </c>
    </row>
    <row r="71" spans="1:6" s="43" customFormat="1" ht="15" customHeight="1" x14ac:dyDescent="0.25">
      <c r="A71" s="4"/>
      <c r="B71" s="119"/>
      <c r="C71" s="46"/>
      <c r="D71" s="46"/>
    </row>
    <row r="72" spans="1:6" s="43" customFormat="1" ht="42" customHeight="1" thickBot="1" x14ac:dyDescent="0.3">
      <c r="A72" s="170"/>
      <c r="B72" s="367" t="s">
        <v>9</v>
      </c>
      <c r="D72" s="788" t="s">
        <v>51</v>
      </c>
      <c r="E72" s="789"/>
      <c r="F72" s="790"/>
    </row>
    <row r="73" spans="1:6" ht="30" customHeight="1" x14ac:dyDescent="0.25">
      <c r="A73" s="366" t="s">
        <v>111</v>
      </c>
      <c r="B73" s="368">
        <f xml:space="preserve"> SUM(C56:C56, C45:C45, C34:C34, C23:C23, C12:C12, C67:C67 )</f>
        <v>11278</v>
      </c>
      <c r="D73" s="785" t="s">
        <v>28</v>
      </c>
      <c r="E73" s="786"/>
      <c r="F73" s="370">
        <f>SUM(C14, C25, C36, C47, C58, C69)</f>
        <v>8897</v>
      </c>
    </row>
    <row r="74" spans="1:6" ht="30" customHeight="1" thickBot="1" x14ac:dyDescent="0.3">
      <c r="A74" s="366" t="s">
        <v>28</v>
      </c>
      <c r="B74" s="369">
        <f>SUM(C58:C58, C47:C47, C36:C36, C25:C25, C14:C14, C69:C69)</f>
        <v>8897</v>
      </c>
      <c r="D74" s="781" t="s">
        <v>111</v>
      </c>
      <c r="E74" s="782"/>
      <c r="F74" s="371">
        <f xml:space="preserve"> SUM(C56, C45, C34, C23, C12, C67)</f>
        <v>11278</v>
      </c>
    </row>
    <row r="75" spans="1:6" ht="30" customHeight="1" x14ac:dyDescent="0.25">
      <c r="D75" s="781" t="s">
        <v>20</v>
      </c>
      <c r="E75" s="782"/>
      <c r="F75" s="371">
        <f>AVERAGE(C15,C26,C37,C48,C59)</f>
        <v>401.15999999999997</v>
      </c>
    </row>
    <row r="76" spans="1:6" ht="30" customHeight="1" thickBot="1" x14ac:dyDescent="0.3">
      <c r="D76" s="783" t="s">
        <v>117</v>
      </c>
      <c r="E76" s="784"/>
      <c r="F76" s="297">
        <f>AVERAGE(C13,C24,C35,C46,C57)</f>
        <v>375.56190476190477</v>
      </c>
    </row>
  </sheetData>
  <mergeCells count="15">
    <mergeCell ref="C1:C2"/>
    <mergeCell ref="A3:A4"/>
    <mergeCell ref="B3:B4"/>
    <mergeCell ref="B67:B70"/>
    <mergeCell ref="D72:F72"/>
    <mergeCell ref="B23:B26"/>
    <mergeCell ref="B12:B15"/>
    <mergeCell ref="C3:C4"/>
    <mergeCell ref="D76:E76"/>
    <mergeCell ref="D75:E75"/>
    <mergeCell ref="B56:B59"/>
    <mergeCell ref="B45:B48"/>
    <mergeCell ref="B34:B37"/>
    <mergeCell ref="D74:E74"/>
    <mergeCell ref="D73:E73"/>
  </mergeCells>
  <pageMargins left="0.7" right="0.7" top="0.75" bottom="0.75" header="0.3" footer="0.3"/>
  <pageSetup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ColWidth="9.140625" defaultRowHeight="15" outlineLevelRow="1" x14ac:dyDescent="0.25"/>
  <cols>
    <col min="1" max="1" width="18.7109375" style="1" bestFit="1" customWidth="1"/>
    <col min="2" max="2" width="10.7109375" style="120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52"/>
      <c r="C1" s="746" t="s">
        <v>63</v>
      </c>
      <c r="D1" s="746" t="s">
        <v>8</v>
      </c>
      <c r="E1" s="757" t="s">
        <v>17</v>
      </c>
    </row>
    <row r="2" spans="1:6" ht="14.25" customHeight="1" thickBot="1" x14ac:dyDescent="0.3">
      <c r="A2" s="24"/>
      <c r="B2" s="153"/>
      <c r="C2" s="807"/>
      <c r="D2" s="807"/>
      <c r="E2" s="758"/>
    </row>
    <row r="3" spans="1:6" ht="14.25" customHeight="1" x14ac:dyDescent="0.25">
      <c r="A3" s="677" t="s">
        <v>48</v>
      </c>
      <c r="B3" s="796" t="s">
        <v>49</v>
      </c>
      <c r="C3" s="726" t="s">
        <v>60</v>
      </c>
      <c r="D3" s="726" t="s">
        <v>8</v>
      </c>
      <c r="E3" s="758"/>
    </row>
    <row r="4" spans="1:6" ht="15" customHeight="1" thickBot="1" x14ac:dyDescent="0.3">
      <c r="A4" s="694"/>
      <c r="B4" s="797"/>
      <c r="C4" s="765"/>
      <c r="D4" s="765"/>
      <c r="E4" s="758"/>
    </row>
    <row r="5" spans="1:6" s="42" customFormat="1" ht="14.25" thickBot="1" x14ac:dyDescent="0.3">
      <c r="A5" s="25" t="s">
        <v>3</v>
      </c>
      <c r="B5" s="154">
        <v>42856</v>
      </c>
      <c r="C5" s="12"/>
      <c r="D5" s="18"/>
      <c r="E5" s="17">
        <f t="shared" ref="E5:E11" si="0">SUM(C5:D5)</f>
        <v>0</v>
      </c>
    </row>
    <row r="6" spans="1:6" s="42" customFormat="1" ht="14.25" thickBot="1" x14ac:dyDescent="0.3">
      <c r="A6" s="25" t="s">
        <v>4</v>
      </c>
      <c r="B6" s="168">
        <v>42948</v>
      </c>
      <c r="C6" s="12"/>
      <c r="D6" s="18"/>
      <c r="E6" s="17">
        <f t="shared" si="0"/>
        <v>0</v>
      </c>
    </row>
    <row r="7" spans="1:6" s="42" customFormat="1" ht="14.25" thickBot="1" x14ac:dyDescent="0.3">
      <c r="A7" s="25" t="s">
        <v>5</v>
      </c>
      <c r="B7" s="168">
        <f>B6+1</f>
        <v>42949</v>
      </c>
      <c r="C7" s="12"/>
      <c r="D7" s="18"/>
      <c r="E7" s="17">
        <f t="shared" si="0"/>
        <v>0</v>
      </c>
    </row>
    <row r="8" spans="1:6" s="42" customFormat="1" ht="14.25" thickBot="1" x14ac:dyDescent="0.3">
      <c r="A8" s="25" t="s">
        <v>6</v>
      </c>
      <c r="B8" s="168">
        <f>B7+1</f>
        <v>42950</v>
      </c>
      <c r="C8" s="12"/>
      <c r="D8" s="18"/>
      <c r="E8" s="17">
        <f t="shared" si="0"/>
        <v>0</v>
      </c>
      <c r="F8" s="137"/>
    </row>
    <row r="9" spans="1:6" s="42" customFormat="1" ht="14.25" thickBot="1" x14ac:dyDescent="0.3">
      <c r="A9" s="25" t="s">
        <v>0</v>
      </c>
      <c r="B9" s="168">
        <f>B8+1</f>
        <v>42951</v>
      </c>
      <c r="C9" s="12"/>
      <c r="D9" s="18"/>
      <c r="E9" s="17">
        <f t="shared" si="0"/>
        <v>0</v>
      </c>
      <c r="F9" s="137"/>
    </row>
    <row r="10" spans="1:6" s="42" customFormat="1" ht="14.25" customHeight="1" outlineLevel="1" thickBot="1" x14ac:dyDescent="0.3">
      <c r="A10" s="25" t="s">
        <v>1</v>
      </c>
      <c r="B10" s="168">
        <f>B9+1</f>
        <v>42952</v>
      </c>
      <c r="C10" s="18"/>
      <c r="D10" s="18"/>
      <c r="E10" s="17">
        <f t="shared" si="0"/>
        <v>0</v>
      </c>
      <c r="F10" s="137"/>
    </row>
    <row r="11" spans="1:6" s="42" customFormat="1" ht="15" customHeight="1" outlineLevel="1" thickBot="1" x14ac:dyDescent="0.3">
      <c r="A11" s="25" t="s">
        <v>2</v>
      </c>
      <c r="B11" s="168">
        <f>B10+1</f>
        <v>42953</v>
      </c>
      <c r="C11" s="21"/>
      <c r="D11" s="21"/>
      <c r="E11" s="17">
        <f t="shared" si="0"/>
        <v>0</v>
      </c>
      <c r="F11" s="137"/>
    </row>
    <row r="12" spans="1:6" s="43" customFormat="1" ht="15" customHeight="1" outlineLevel="1" thickBot="1" x14ac:dyDescent="0.3">
      <c r="A12" s="144" t="s">
        <v>19</v>
      </c>
      <c r="B12" s="791" t="s">
        <v>22</v>
      </c>
      <c r="C12" s="104">
        <f>SUM(C5:C11)</f>
        <v>0</v>
      </c>
      <c r="D12" s="104">
        <f>SUM(D5:D11)</f>
        <v>0</v>
      </c>
      <c r="E12" s="105">
        <f>SUM(E5:E11)</f>
        <v>0</v>
      </c>
    </row>
    <row r="13" spans="1:6" s="43" customFormat="1" ht="15" customHeight="1" outlineLevel="1" thickBot="1" x14ac:dyDescent="0.3">
      <c r="A13" s="101" t="s">
        <v>21</v>
      </c>
      <c r="B13" s="792"/>
      <c r="C13" s="102" t="e">
        <f>AVERAGE(C5:C11)</f>
        <v>#DIV/0!</v>
      </c>
      <c r="D13" s="102" t="e">
        <f>AVERAGE(D5:D11)</f>
        <v>#DIV/0!</v>
      </c>
      <c r="E13" s="103">
        <f>AVERAGE(E5:E11)</f>
        <v>0</v>
      </c>
    </row>
    <row r="14" spans="1:6" s="43" customFormat="1" ht="15" customHeight="1" thickBot="1" x14ac:dyDescent="0.3">
      <c r="A14" s="26" t="s">
        <v>18</v>
      </c>
      <c r="B14" s="792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3" customFormat="1" ht="15" customHeight="1" thickBot="1" x14ac:dyDescent="0.3">
      <c r="A15" s="26" t="s">
        <v>20</v>
      </c>
      <c r="B15" s="792"/>
      <c r="C15" s="29" t="e">
        <f>AVERAGE(C5:C9)</f>
        <v>#DIV/0!</v>
      </c>
      <c r="D15" s="29" t="e">
        <f>AVERAGE(D5:D9)</f>
        <v>#DIV/0!</v>
      </c>
      <c r="E15" s="29">
        <f>AVERAGE(E5:E9)</f>
        <v>0</v>
      </c>
    </row>
    <row r="16" spans="1:6" s="43" customFormat="1" ht="15" customHeight="1" thickBot="1" x14ac:dyDescent="0.3">
      <c r="A16" s="25" t="s">
        <v>3</v>
      </c>
      <c r="B16" s="154">
        <f>B11+1</f>
        <v>42954</v>
      </c>
      <c r="C16" s="12"/>
      <c r="D16" s="13"/>
      <c r="E16" s="16">
        <f t="shared" ref="E16:E22" si="1">SUM(C16:D16)</f>
        <v>0</v>
      </c>
    </row>
    <row r="17" spans="1:6" s="43" customFormat="1" ht="15" customHeight="1" thickBot="1" x14ac:dyDescent="0.3">
      <c r="A17" s="25" t="s">
        <v>4</v>
      </c>
      <c r="B17" s="155">
        <f t="shared" ref="B17:B22" si="2">B16+1</f>
        <v>42955</v>
      </c>
      <c r="C17" s="12"/>
      <c r="D17" s="19"/>
      <c r="E17" s="17">
        <f t="shared" si="1"/>
        <v>0</v>
      </c>
    </row>
    <row r="18" spans="1:6" s="43" customFormat="1" ht="15" customHeight="1" thickBot="1" x14ac:dyDescent="0.3">
      <c r="A18" s="25" t="s">
        <v>5</v>
      </c>
      <c r="B18" s="155">
        <f t="shared" si="2"/>
        <v>42956</v>
      </c>
      <c r="C18" s="12"/>
      <c r="D18" s="19"/>
      <c r="E18" s="17">
        <f t="shared" si="1"/>
        <v>0</v>
      </c>
    </row>
    <row r="19" spans="1:6" s="43" customFormat="1" ht="15" customHeight="1" thickBot="1" x14ac:dyDescent="0.3">
      <c r="A19" s="25" t="s">
        <v>6</v>
      </c>
      <c r="B19" s="156">
        <f t="shared" si="2"/>
        <v>42957</v>
      </c>
      <c r="C19" s="12"/>
      <c r="D19" s="19"/>
      <c r="E19" s="17">
        <f t="shared" si="1"/>
        <v>0</v>
      </c>
    </row>
    <row r="20" spans="1:6" s="43" customFormat="1" ht="15" customHeight="1" thickBot="1" x14ac:dyDescent="0.3">
      <c r="A20" s="25" t="s">
        <v>0</v>
      </c>
      <c r="B20" s="156">
        <f t="shared" si="2"/>
        <v>42958</v>
      </c>
      <c r="C20" s="12"/>
      <c r="D20" s="19"/>
      <c r="E20" s="17">
        <f t="shared" si="1"/>
        <v>0</v>
      </c>
    </row>
    <row r="21" spans="1:6" s="43" customFormat="1" ht="15" customHeight="1" outlineLevel="1" thickBot="1" x14ac:dyDescent="0.3">
      <c r="A21" s="25" t="s">
        <v>1</v>
      </c>
      <c r="B21" s="168">
        <f t="shared" si="2"/>
        <v>42959</v>
      </c>
      <c r="C21" s="18"/>
      <c r="D21" s="19"/>
      <c r="E21" s="17">
        <f t="shared" si="1"/>
        <v>0</v>
      </c>
      <c r="F21" s="140"/>
    </row>
    <row r="22" spans="1:6" s="43" customFormat="1" ht="15" customHeight="1" outlineLevel="1" thickBot="1" x14ac:dyDescent="0.3">
      <c r="A22" s="25" t="s">
        <v>2</v>
      </c>
      <c r="B22" s="155">
        <f t="shared" si="2"/>
        <v>42960</v>
      </c>
      <c r="C22" s="21"/>
      <c r="D22" s="22"/>
      <c r="E22" s="58">
        <f t="shared" si="1"/>
        <v>0</v>
      </c>
    </row>
    <row r="23" spans="1:6" s="43" customFormat="1" ht="15" customHeight="1" outlineLevel="1" thickBot="1" x14ac:dyDescent="0.3">
      <c r="A23" s="144" t="s">
        <v>19</v>
      </c>
      <c r="B23" s="791" t="s">
        <v>23</v>
      </c>
      <c r="C23" s="104">
        <f>SUM(C16:C22)</f>
        <v>0</v>
      </c>
      <c r="D23" s="104">
        <f>SUM(D16:D22)</f>
        <v>0</v>
      </c>
      <c r="E23" s="104">
        <f>SUM(E16:E22)</f>
        <v>0</v>
      </c>
    </row>
    <row r="24" spans="1:6" s="43" customFormat="1" ht="15" customHeight="1" outlineLevel="1" thickBot="1" x14ac:dyDescent="0.3">
      <c r="A24" s="101" t="s">
        <v>21</v>
      </c>
      <c r="B24" s="792"/>
      <c r="C24" s="102" t="e">
        <f>AVERAGE(C16:C22)</f>
        <v>#DIV/0!</v>
      </c>
      <c r="D24" s="102" t="e">
        <f>AVERAGE(D16:D22)</f>
        <v>#DIV/0!</v>
      </c>
      <c r="E24" s="102">
        <f>AVERAGE(E16:E22)</f>
        <v>0</v>
      </c>
    </row>
    <row r="25" spans="1:6" s="43" customFormat="1" ht="15" customHeight="1" thickBot="1" x14ac:dyDescent="0.3">
      <c r="A25" s="26" t="s">
        <v>18</v>
      </c>
      <c r="B25" s="792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3" customFormat="1" ht="15" customHeight="1" thickBot="1" x14ac:dyDescent="0.3">
      <c r="A26" s="26" t="s">
        <v>20</v>
      </c>
      <c r="B26" s="793"/>
      <c r="C26" s="29" t="e">
        <f>AVERAGE(C16:C20)</f>
        <v>#DIV/0!</v>
      </c>
      <c r="D26" s="29" t="e">
        <f>AVERAGE(D16:D20)</f>
        <v>#DIV/0!</v>
      </c>
      <c r="E26" s="29">
        <f>AVERAGE(E16:E20)</f>
        <v>0</v>
      </c>
    </row>
    <row r="27" spans="1:6" s="43" customFormat="1" ht="15" customHeight="1" thickBot="1" x14ac:dyDescent="0.3">
      <c r="A27" s="25" t="s">
        <v>3</v>
      </c>
      <c r="B27" s="157">
        <f>B22+1</f>
        <v>42961</v>
      </c>
      <c r="C27" s="12"/>
      <c r="D27" s="12"/>
      <c r="E27" s="16">
        <f t="shared" ref="E27:E33" si="3">SUM(C27:D27)</f>
        <v>0</v>
      </c>
    </row>
    <row r="28" spans="1:6" s="43" customFormat="1" ht="15" customHeight="1" thickBot="1" x14ac:dyDescent="0.3">
      <c r="A28" s="25" t="s">
        <v>4</v>
      </c>
      <c r="B28" s="158">
        <f t="shared" ref="B28:B33" si="4">B27+1</f>
        <v>42962</v>
      </c>
      <c r="C28" s="12"/>
      <c r="D28" s="18"/>
      <c r="E28" s="17">
        <f t="shared" si="3"/>
        <v>0</v>
      </c>
    </row>
    <row r="29" spans="1:6" s="43" customFormat="1" ht="15" customHeight="1" thickBot="1" x14ac:dyDescent="0.3">
      <c r="A29" s="25" t="s">
        <v>5</v>
      </c>
      <c r="B29" s="158">
        <f t="shared" si="4"/>
        <v>42963</v>
      </c>
      <c r="C29" s="12"/>
      <c r="D29" s="18"/>
      <c r="E29" s="17">
        <f t="shared" si="3"/>
        <v>0</v>
      </c>
    </row>
    <row r="30" spans="1:6" s="43" customFormat="1" ht="15" customHeight="1" thickBot="1" x14ac:dyDescent="0.3">
      <c r="A30" s="25" t="s">
        <v>6</v>
      </c>
      <c r="B30" s="158">
        <f t="shared" si="4"/>
        <v>42964</v>
      </c>
      <c r="C30" s="12"/>
      <c r="D30" s="18"/>
      <c r="E30" s="17">
        <f t="shared" si="3"/>
        <v>0</v>
      </c>
    </row>
    <row r="31" spans="1:6" s="43" customFormat="1" ht="15" customHeight="1" thickBot="1" x14ac:dyDescent="0.3">
      <c r="A31" s="25" t="s">
        <v>0</v>
      </c>
      <c r="B31" s="158">
        <f t="shared" si="4"/>
        <v>42965</v>
      </c>
      <c r="C31" s="12"/>
      <c r="D31" s="18"/>
      <c r="E31" s="17">
        <f t="shared" si="3"/>
        <v>0</v>
      </c>
    </row>
    <row r="32" spans="1:6" s="43" customFormat="1" ht="15" customHeight="1" outlineLevel="1" thickBot="1" x14ac:dyDescent="0.3">
      <c r="A32" s="25" t="s">
        <v>1</v>
      </c>
      <c r="B32" s="158">
        <f t="shared" si="4"/>
        <v>42966</v>
      </c>
      <c r="C32" s="18"/>
      <c r="D32" s="18"/>
      <c r="E32" s="17">
        <f t="shared" si="3"/>
        <v>0</v>
      </c>
    </row>
    <row r="33" spans="1:6" s="43" customFormat="1" ht="15" customHeight="1" outlineLevel="1" thickBot="1" x14ac:dyDescent="0.3">
      <c r="A33" s="25" t="s">
        <v>2</v>
      </c>
      <c r="B33" s="158">
        <f t="shared" si="4"/>
        <v>42967</v>
      </c>
      <c r="C33" s="21"/>
      <c r="D33" s="21"/>
      <c r="E33" s="58">
        <f t="shared" si="3"/>
        <v>0</v>
      </c>
      <c r="F33" s="140"/>
    </row>
    <row r="34" spans="1:6" s="43" customFormat="1" ht="15" customHeight="1" outlineLevel="1" thickBot="1" x14ac:dyDescent="0.3">
      <c r="A34" s="144" t="s">
        <v>19</v>
      </c>
      <c r="B34" s="791" t="s">
        <v>24</v>
      </c>
      <c r="C34" s="104">
        <f>SUM(C27:C33)</f>
        <v>0</v>
      </c>
      <c r="D34" s="104">
        <f>SUM(D27:D33)</f>
        <v>0</v>
      </c>
      <c r="E34" s="104">
        <f>SUM(E27:E33)</f>
        <v>0</v>
      </c>
    </row>
    <row r="35" spans="1:6" s="43" customFormat="1" ht="15" customHeight="1" outlineLevel="1" thickBot="1" x14ac:dyDescent="0.3">
      <c r="A35" s="101" t="s">
        <v>21</v>
      </c>
      <c r="B35" s="792"/>
      <c r="C35" s="102" t="e">
        <f>AVERAGE(C27:C33)</f>
        <v>#DIV/0!</v>
      </c>
      <c r="D35" s="102" t="e">
        <f>AVERAGE(D27:D33)</f>
        <v>#DIV/0!</v>
      </c>
      <c r="E35" s="102">
        <f>AVERAGE(E27:E33)</f>
        <v>0</v>
      </c>
    </row>
    <row r="36" spans="1:6" s="43" customFormat="1" ht="15" customHeight="1" thickBot="1" x14ac:dyDescent="0.3">
      <c r="A36" s="26" t="s">
        <v>18</v>
      </c>
      <c r="B36" s="792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3" customFormat="1" ht="15" customHeight="1" thickBot="1" x14ac:dyDescent="0.3">
      <c r="A37" s="26" t="s">
        <v>20</v>
      </c>
      <c r="B37" s="793"/>
      <c r="C37" s="29" t="e">
        <f>AVERAGE(C27:C31)</f>
        <v>#DIV/0!</v>
      </c>
      <c r="D37" s="29" t="e">
        <f>AVERAGE(D27:D31)</f>
        <v>#DIV/0!</v>
      </c>
      <c r="E37" s="29">
        <f>AVERAGE(E27:E31)</f>
        <v>0</v>
      </c>
    </row>
    <row r="38" spans="1:6" s="43" customFormat="1" ht="15" customHeight="1" thickBot="1" x14ac:dyDescent="0.3">
      <c r="A38" s="25" t="s">
        <v>3</v>
      </c>
      <c r="B38" s="159">
        <f>B33+1</f>
        <v>42968</v>
      </c>
      <c r="C38" s="12"/>
      <c r="D38" s="12"/>
      <c r="E38" s="16">
        <f t="shared" ref="E38:E44" si="5">SUM(C38:D38)</f>
        <v>0</v>
      </c>
      <c r="F38" s="140"/>
    </row>
    <row r="39" spans="1:6" s="43" customFormat="1" ht="15" customHeight="1" thickBot="1" x14ac:dyDescent="0.3">
      <c r="A39" s="25" t="s">
        <v>4</v>
      </c>
      <c r="B39" s="160">
        <f t="shared" ref="B39:B44" si="6">B38+1</f>
        <v>42969</v>
      </c>
      <c r="C39" s="12"/>
      <c r="D39" s="18"/>
      <c r="E39" s="17">
        <f t="shared" si="5"/>
        <v>0</v>
      </c>
      <c r="F39" s="140"/>
    </row>
    <row r="40" spans="1:6" s="43" customFormat="1" ht="15" customHeight="1" thickBot="1" x14ac:dyDescent="0.3">
      <c r="A40" s="25" t="s">
        <v>5</v>
      </c>
      <c r="B40" s="160">
        <f t="shared" si="6"/>
        <v>42970</v>
      </c>
      <c r="C40" s="12"/>
      <c r="D40" s="18"/>
      <c r="E40" s="17">
        <f t="shared" si="5"/>
        <v>0</v>
      </c>
      <c r="F40" s="140"/>
    </row>
    <row r="41" spans="1:6" s="43" customFormat="1" ht="15" customHeight="1" thickBot="1" x14ac:dyDescent="0.3">
      <c r="A41" s="25" t="s">
        <v>6</v>
      </c>
      <c r="B41" s="160">
        <f t="shared" si="6"/>
        <v>42971</v>
      </c>
      <c r="C41" s="12"/>
      <c r="D41" s="18"/>
      <c r="E41" s="17">
        <f t="shared" si="5"/>
        <v>0</v>
      </c>
      <c r="F41" s="140"/>
    </row>
    <row r="42" spans="1:6" s="43" customFormat="1" ht="15" customHeight="1" thickBot="1" x14ac:dyDescent="0.3">
      <c r="A42" s="25" t="s">
        <v>0</v>
      </c>
      <c r="B42" s="160">
        <f t="shared" si="6"/>
        <v>42972</v>
      </c>
      <c r="C42" s="12"/>
      <c r="D42" s="18"/>
      <c r="E42" s="17">
        <f t="shared" si="5"/>
        <v>0</v>
      </c>
      <c r="F42" s="140"/>
    </row>
    <row r="43" spans="1:6" s="43" customFormat="1" ht="15" customHeight="1" outlineLevel="1" thickBot="1" x14ac:dyDescent="0.3">
      <c r="A43" s="25" t="s">
        <v>1</v>
      </c>
      <c r="B43" s="160">
        <f t="shared" si="6"/>
        <v>42973</v>
      </c>
      <c r="C43" s="18"/>
      <c r="D43" s="18"/>
      <c r="E43" s="17">
        <f t="shared" si="5"/>
        <v>0</v>
      </c>
      <c r="F43" s="140"/>
    </row>
    <row r="44" spans="1:6" s="43" customFormat="1" ht="15" customHeight="1" outlineLevel="1" thickBot="1" x14ac:dyDescent="0.3">
      <c r="A44" s="25" t="s">
        <v>2</v>
      </c>
      <c r="B44" s="160">
        <f t="shared" si="6"/>
        <v>42974</v>
      </c>
      <c r="C44" s="21"/>
      <c r="D44" s="21"/>
      <c r="E44" s="58">
        <f t="shared" si="5"/>
        <v>0</v>
      </c>
      <c r="F44" s="140"/>
    </row>
    <row r="45" spans="1:6" s="43" customFormat="1" ht="15" customHeight="1" outlineLevel="1" thickBot="1" x14ac:dyDescent="0.3">
      <c r="A45" s="144" t="s">
        <v>19</v>
      </c>
      <c r="B45" s="791" t="s">
        <v>25</v>
      </c>
      <c r="C45" s="104">
        <f>SUM(C38:C44)</f>
        <v>0</v>
      </c>
      <c r="D45" s="104">
        <f>SUM(D38:D44)</f>
        <v>0</v>
      </c>
      <c r="E45" s="104">
        <f>SUM(E38:E44)</f>
        <v>0</v>
      </c>
    </row>
    <row r="46" spans="1:6" s="43" customFormat="1" ht="15" customHeight="1" outlineLevel="1" thickBot="1" x14ac:dyDescent="0.3">
      <c r="A46" s="101" t="s">
        <v>21</v>
      </c>
      <c r="B46" s="792"/>
      <c r="C46" s="102" t="e">
        <f>AVERAGE(C38:C44)</f>
        <v>#DIV/0!</v>
      </c>
      <c r="D46" s="102" t="e">
        <f>AVERAGE(D38:D44)</f>
        <v>#DIV/0!</v>
      </c>
      <c r="E46" s="102">
        <f>AVERAGE(E38:E44)</f>
        <v>0</v>
      </c>
    </row>
    <row r="47" spans="1:6" s="43" customFormat="1" ht="15" customHeight="1" thickBot="1" x14ac:dyDescent="0.3">
      <c r="A47" s="26" t="s">
        <v>18</v>
      </c>
      <c r="B47" s="792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3" customFormat="1" ht="15" customHeight="1" thickBot="1" x14ac:dyDescent="0.3">
      <c r="A48" s="26" t="s">
        <v>20</v>
      </c>
      <c r="B48" s="793"/>
      <c r="C48" s="29" t="e">
        <f>AVERAGE(C38:C42)</f>
        <v>#DIV/0!</v>
      </c>
      <c r="D48" s="29" t="e">
        <f>AVERAGE(D38:D42)</f>
        <v>#DIV/0!</v>
      </c>
      <c r="E48" s="29">
        <f>AVERAGE(E38:E42)</f>
        <v>0</v>
      </c>
    </row>
    <row r="49" spans="1:6" s="43" customFormat="1" ht="15" customHeight="1" thickBot="1" x14ac:dyDescent="0.3">
      <c r="A49" s="25" t="s">
        <v>3</v>
      </c>
      <c r="B49" s="159">
        <f>B44+1</f>
        <v>42975</v>
      </c>
      <c r="C49" s="47"/>
      <c r="D49" s="48"/>
      <c r="E49" s="17">
        <f t="shared" ref="E49:E55" si="7">SUM(C49:D49)</f>
        <v>0</v>
      </c>
      <c r="F49" s="140"/>
    </row>
    <row r="50" spans="1:6" s="43" customFormat="1" ht="15" customHeight="1" thickBot="1" x14ac:dyDescent="0.3">
      <c r="A50" s="136" t="s">
        <v>4</v>
      </c>
      <c r="B50" s="160">
        <f t="shared" ref="B50:B55" si="8">B49+1</f>
        <v>42976</v>
      </c>
      <c r="C50" s="12"/>
      <c r="D50" s="15"/>
      <c r="E50" s="17">
        <f t="shared" si="7"/>
        <v>0</v>
      </c>
      <c r="F50" s="140"/>
    </row>
    <row r="51" spans="1:6" s="43" customFormat="1" ht="13.5" customHeight="1" thickBot="1" x14ac:dyDescent="0.3">
      <c r="A51" s="136" t="s">
        <v>5</v>
      </c>
      <c r="B51" s="160">
        <f t="shared" si="8"/>
        <v>42977</v>
      </c>
      <c r="C51" s="12"/>
      <c r="D51" s="15"/>
      <c r="E51" s="17">
        <f t="shared" si="7"/>
        <v>0</v>
      </c>
      <c r="F51" s="140"/>
    </row>
    <row r="52" spans="1:6" s="43" customFormat="1" ht="15" customHeight="1" thickBot="1" x14ac:dyDescent="0.3">
      <c r="A52" s="136" t="s">
        <v>6</v>
      </c>
      <c r="B52" s="160">
        <f t="shared" si="8"/>
        <v>42978</v>
      </c>
      <c r="C52" s="12"/>
      <c r="D52" s="15"/>
      <c r="E52" s="17">
        <f t="shared" si="7"/>
        <v>0</v>
      </c>
      <c r="F52" s="140"/>
    </row>
    <row r="53" spans="1:6" s="43" customFormat="1" ht="14.25" thickBot="1" x14ac:dyDescent="0.3">
      <c r="A53" s="25" t="s">
        <v>0</v>
      </c>
      <c r="B53" s="162">
        <f t="shared" si="8"/>
        <v>42979</v>
      </c>
      <c r="C53" s="12"/>
      <c r="D53" s="15"/>
      <c r="E53" s="17">
        <f t="shared" si="7"/>
        <v>0</v>
      </c>
      <c r="F53" s="140"/>
    </row>
    <row r="54" spans="1:6" s="43" customFormat="1" ht="14.25" outlineLevel="1" thickBot="1" x14ac:dyDescent="0.3">
      <c r="A54" s="25" t="s">
        <v>1</v>
      </c>
      <c r="B54" s="162">
        <f t="shared" si="8"/>
        <v>42980</v>
      </c>
      <c r="C54" s="18"/>
      <c r="D54" s="18"/>
      <c r="E54" s="17">
        <f t="shared" si="7"/>
        <v>0</v>
      </c>
      <c r="F54" s="140"/>
    </row>
    <row r="55" spans="1:6" s="43" customFormat="1" ht="14.25" outlineLevel="1" thickBot="1" x14ac:dyDescent="0.3">
      <c r="A55" s="136" t="s">
        <v>2</v>
      </c>
      <c r="B55" s="162">
        <f t="shared" si="8"/>
        <v>42981</v>
      </c>
      <c r="C55" s="21"/>
      <c r="D55" s="21"/>
      <c r="E55" s="17">
        <f t="shared" si="7"/>
        <v>0</v>
      </c>
    </row>
    <row r="56" spans="1:6" s="43" customFormat="1" ht="15" customHeight="1" outlineLevel="1" thickBot="1" x14ac:dyDescent="0.3">
      <c r="A56" s="144" t="s">
        <v>19</v>
      </c>
      <c r="B56" s="791" t="s">
        <v>26</v>
      </c>
      <c r="C56" s="104">
        <f>SUM(C49:C55)</f>
        <v>0</v>
      </c>
      <c r="D56" s="104">
        <f>SUM(D49:D55)</f>
        <v>0</v>
      </c>
      <c r="E56" s="105">
        <f>SUM(E49:E55)</f>
        <v>0</v>
      </c>
    </row>
    <row r="57" spans="1:6" s="43" customFormat="1" ht="15" customHeight="1" outlineLevel="1" thickBot="1" x14ac:dyDescent="0.3">
      <c r="A57" s="101" t="s">
        <v>21</v>
      </c>
      <c r="B57" s="792"/>
      <c r="C57" s="102" t="e">
        <f>AVERAGE(C49:C55)</f>
        <v>#DIV/0!</v>
      </c>
      <c r="D57" s="102" t="e">
        <f>AVERAGE(D49:D55)</f>
        <v>#DIV/0!</v>
      </c>
      <c r="E57" s="103">
        <f>AVERAGE(E49:E55)</f>
        <v>0</v>
      </c>
    </row>
    <row r="58" spans="1:6" s="43" customFormat="1" ht="15" customHeight="1" thickBot="1" x14ac:dyDescent="0.3">
      <c r="A58" s="26" t="s">
        <v>18</v>
      </c>
      <c r="B58" s="792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3" customFormat="1" ht="14.25" thickBot="1" x14ac:dyDescent="0.3">
      <c r="A59" s="26" t="s">
        <v>20</v>
      </c>
      <c r="B59" s="793"/>
      <c r="C59" s="29" t="e">
        <f>AVERAGE(C49:C53)</f>
        <v>#DIV/0!</v>
      </c>
      <c r="D59" s="29" t="e">
        <f>AVERAGE(D49:D53)</f>
        <v>#DIV/0!</v>
      </c>
      <c r="E59" s="29">
        <f>AVERAGE(E49:E53)</f>
        <v>0</v>
      </c>
    </row>
    <row r="60" spans="1:6" s="43" customFormat="1" ht="14.25" thickBot="1" x14ac:dyDescent="0.3">
      <c r="A60" s="136" t="s">
        <v>3</v>
      </c>
      <c r="B60" s="159">
        <f>B55+1</f>
        <v>42982</v>
      </c>
      <c r="C60" s="12"/>
      <c r="D60" s="12"/>
      <c r="E60" s="17">
        <f>SUM(C60:D60)</f>
        <v>0</v>
      </c>
    </row>
    <row r="61" spans="1:6" s="43" customFormat="1" ht="14.25" thickBot="1" x14ac:dyDescent="0.3">
      <c r="A61" s="136" t="s">
        <v>4</v>
      </c>
      <c r="B61" s="160">
        <f>B60+1</f>
        <v>42983</v>
      </c>
      <c r="C61" s="12"/>
      <c r="D61" s="18"/>
      <c r="E61" s="17"/>
    </row>
    <row r="62" spans="1:6" s="43" customFormat="1" ht="14.25" thickBot="1" x14ac:dyDescent="0.3">
      <c r="A62" s="136"/>
      <c r="B62" s="161"/>
      <c r="C62" s="12"/>
      <c r="D62" s="18"/>
      <c r="E62" s="17"/>
    </row>
    <row r="63" spans="1:6" s="43" customFormat="1" ht="14.25" thickBot="1" x14ac:dyDescent="0.3">
      <c r="A63" s="136"/>
      <c r="B63" s="161"/>
      <c r="C63" s="12"/>
      <c r="D63" s="18"/>
      <c r="E63" s="17"/>
    </row>
    <row r="64" spans="1:6" s="43" customFormat="1" ht="14.25" thickBot="1" x14ac:dyDescent="0.3">
      <c r="A64" s="25"/>
      <c r="B64" s="161"/>
      <c r="C64" s="12"/>
      <c r="D64" s="18"/>
      <c r="E64" s="17"/>
    </row>
    <row r="65" spans="1:6" s="43" customFormat="1" ht="14.25" thickBot="1" x14ac:dyDescent="0.3">
      <c r="A65" s="25"/>
      <c r="B65" s="161"/>
      <c r="C65" s="18"/>
      <c r="D65" s="18"/>
      <c r="E65" s="17"/>
    </row>
    <row r="66" spans="1:6" s="43" customFormat="1" ht="14.25" thickBot="1" x14ac:dyDescent="0.3">
      <c r="A66" s="25"/>
      <c r="B66" s="163"/>
      <c r="C66" s="21"/>
      <c r="D66" s="21"/>
      <c r="E66" s="58"/>
    </row>
    <row r="67" spans="1:6" s="43" customFormat="1" ht="14.25" thickBot="1" x14ac:dyDescent="0.3">
      <c r="A67" s="144" t="s">
        <v>19</v>
      </c>
      <c r="B67" s="791" t="s">
        <v>30</v>
      </c>
      <c r="C67" s="104">
        <f>SUM(C60:C66)</f>
        <v>0</v>
      </c>
      <c r="D67" s="104">
        <f>SUM(D60:D66)</f>
        <v>0</v>
      </c>
      <c r="E67" s="104">
        <f>SUM(E60:E66)</f>
        <v>0</v>
      </c>
    </row>
    <row r="68" spans="1:6" s="43" customFormat="1" ht="14.25" thickBot="1" x14ac:dyDescent="0.3">
      <c r="A68" s="101" t="s">
        <v>21</v>
      </c>
      <c r="B68" s="792"/>
      <c r="C68" s="102" t="e">
        <f>AVERAGE(C60:C66)</f>
        <v>#DIV/0!</v>
      </c>
      <c r="D68" s="102" t="e">
        <f>AVERAGE(D60:D66)</f>
        <v>#DIV/0!</v>
      </c>
      <c r="E68" s="102">
        <f>AVERAGE(E60:E66)</f>
        <v>0</v>
      </c>
    </row>
    <row r="69" spans="1:6" s="43" customFormat="1" ht="14.25" thickBot="1" x14ac:dyDescent="0.3">
      <c r="A69" s="26" t="s">
        <v>18</v>
      </c>
      <c r="B69" s="792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3" customFormat="1" ht="14.25" thickBot="1" x14ac:dyDescent="0.3">
      <c r="A70" s="26" t="s">
        <v>20</v>
      </c>
      <c r="B70" s="793"/>
      <c r="C70" s="29" t="e">
        <f>AVERAGE(C60:C64)</f>
        <v>#DIV/0!</v>
      </c>
      <c r="D70" s="29" t="e">
        <f>AVERAGE(D60:D64)</f>
        <v>#DIV/0!</v>
      </c>
      <c r="E70" s="29">
        <f>AVERAGE(E60:E64)</f>
        <v>0</v>
      </c>
    </row>
    <row r="71" spans="1:6" s="43" customFormat="1" x14ac:dyDescent="0.25">
      <c r="A71" s="4"/>
      <c r="B71" s="119"/>
      <c r="C71" s="46"/>
      <c r="D71" s="46"/>
      <c r="E71" s="46"/>
    </row>
    <row r="72" spans="1:6" s="43" customFormat="1" x14ac:dyDescent="0.25">
      <c r="B72" s="170"/>
      <c r="C72" s="36" t="s">
        <v>62</v>
      </c>
      <c r="D72" s="36" t="s">
        <v>8</v>
      </c>
      <c r="E72" s="808" t="s">
        <v>68</v>
      </c>
      <c r="F72" s="809"/>
    </row>
    <row r="73" spans="1:6" ht="25.5" x14ac:dyDescent="0.25">
      <c r="A73" s="11"/>
      <c r="B73" s="38" t="s">
        <v>28</v>
      </c>
      <c r="C73" s="171">
        <f>SUM(C58:C58, C47:C47, C36:C36, C25:C25, C14:C14, C69:C69)</f>
        <v>0</v>
      </c>
      <c r="D73" s="35">
        <f>SUM(D69:D69, D58:D58, D47:D47, D36:D36, D25:D25, D14:D14)</f>
        <v>0</v>
      </c>
      <c r="E73" s="192" t="s">
        <v>28</v>
      </c>
      <c r="F73" s="98">
        <f>SUM(E14, E25, E36, E47, E58, E69)</f>
        <v>0</v>
      </c>
    </row>
    <row r="74" spans="1:6" ht="25.5" x14ac:dyDescent="0.25">
      <c r="A74" s="11"/>
      <c r="B74" s="38" t="s">
        <v>27</v>
      </c>
      <c r="C74" s="171">
        <f>SUM(C56:C56, C45:C45, C34:C34, C23:C23, C12:C12, C67:C67)</f>
        <v>0</v>
      </c>
      <c r="D74" s="35">
        <f>SUM(D67:D67, D56:D56, D45:D45, D34:D34, D23:D23, D12:D12)</f>
        <v>0</v>
      </c>
      <c r="E74" s="192" t="s">
        <v>27</v>
      </c>
      <c r="F74" s="99">
        <f>SUM(E56, E45, E34, E23, E12, E67)</f>
        <v>0</v>
      </c>
    </row>
    <row r="75" spans="1:6" x14ac:dyDescent="0.25">
      <c r="C75" s="120"/>
      <c r="E75" s="192" t="s">
        <v>20</v>
      </c>
      <c r="F75" s="99">
        <f>AVERAGE(E14, E25, E36, E47, E58, E69)</f>
        <v>0</v>
      </c>
    </row>
    <row r="76" spans="1:6" x14ac:dyDescent="0.25">
      <c r="C76" s="120"/>
      <c r="E76" s="192" t="s">
        <v>56</v>
      </c>
      <c r="F76" s="98">
        <f>AVERAGE(E56, E45, E34, E23, E12, E67)</f>
        <v>0</v>
      </c>
    </row>
    <row r="78" spans="1:6" x14ac:dyDescent="0.25">
      <c r="C78" s="138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15E664-5A29-43A8-87B1-B49867B23CF3}"/>
</file>

<file path=customXml/itemProps2.xml><?xml version="1.0" encoding="utf-8"?>
<ds:datastoreItem xmlns:ds="http://schemas.openxmlformats.org/officeDocument/2006/customXml" ds:itemID="{109DA505-C84C-4900-8B5A-65DECA932C2D}"/>
</file>

<file path=customXml/itemProps3.xml><?xml version="1.0" encoding="utf-8"?>
<ds:datastoreItem xmlns:ds="http://schemas.openxmlformats.org/officeDocument/2006/customXml" ds:itemID="{A7A674E8-340F-4F3E-BA8D-9F3ADE4900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Weekday Totals</vt:lpstr>
      <vt:lpstr>Sheet2</vt:lpstr>
      <vt:lpstr>Monthly Totals</vt:lpstr>
      <vt:lpstr>NYC Ferry</vt:lpstr>
      <vt:lpstr>NY Waterway-(Port Imperial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Waterway-(Port Imperial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Yuan, Hong</cp:lastModifiedBy>
  <cp:lastPrinted>2017-04-19T14:04:01Z</cp:lastPrinted>
  <dcterms:created xsi:type="dcterms:W3CDTF">2011-07-28T13:02:07Z</dcterms:created>
  <dcterms:modified xsi:type="dcterms:W3CDTF">2021-07-08T13:14:34Z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