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1. Data Sample\Private Ferry Ridership Counts\2021 PF Ridership\"/>
    </mc:Choice>
  </mc:AlternateContent>
  <bookViews>
    <workbookView xWindow="0" yWindow="0" windowWidth="2160" windowHeight="0" tabRatio="774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Totals'!$B$2:$C$78</definedName>
    <definedName name="_xlnm.Print_Area" localSheetId="4">'NY Waterway-(Port Imperial FC)'!$A$1:$Q$65</definedName>
    <definedName name="_xlnm.Print_Area" localSheetId="0">'Weekday Totals'!$B$2:$R$78</definedName>
  </definedNames>
  <calcPr calcId="152511"/>
</workbook>
</file>

<file path=xl/calcChain.xml><?xml version="1.0" encoding="utf-8"?>
<calcChain xmlns="http://schemas.openxmlformats.org/spreadsheetml/2006/main">
  <c r="O47" i="6" l="1"/>
  <c r="L47" i="6"/>
  <c r="I47" i="6"/>
  <c r="F47" i="6"/>
  <c r="C47" i="6"/>
  <c r="O19" i="6"/>
  <c r="L19" i="6"/>
  <c r="I19" i="6"/>
  <c r="F19" i="6"/>
  <c r="C19" i="6"/>
  <c r="C29" i="14"/>
  <c r="C21" i="14"/>
  <c r="C17" i="14"/>
  <c r="J62" i="3"/>
  <c r="N57" i="3"/>
  <c r="M56" i="3"/>
  <c r="L56" i="3"/>
  <c r="K56" i="3"/>
  <c r="K45" i="3"/>
  <c r="N46" i="3"/>
  <c r="M45" i="3"/>
  <c r="L45" i="3"/>
  <c r="L35" i="3"/>
  <c r="K34" i="3"/>
  <c r="E62" i="3"/>
  <c r="D62" i="3"/>
  <c r="U68" i="10"/>
  <c r="Z56" i="3"/>
  <c r="G62" i="3"/>
  <c r="K59" i="3"/>
  <c r="L59" i="3"/>
  <c r="M59" i="3"/>
  <c r="N59" i="3"/>
  <c r="K58" i="3"/>
  <c r="L58" i="3"/>
  <c r="M58" i="3"/>
  <c r="N58" i="3"/>
  <c r="K57" i="3"/>
  <c r="L57" i="3"/>
  <c r="M57" i="3"/>
  <c r="K48" i="3"/>
  <c r="L48" i="3"/>
  <c r="M48" i="3"/>
  <c r="N48" i="3"/>
  <c r="K47" i="3"/>
  <c r="L47" i="3"/>
  <c r="M47" i="3"/>
  <c r="N47" i="3"/>
  <c r="L46" i="3"/>
  <c r="M46" i="3"/>
  <c r="K37" i="3"/>
  <c r="L37" i="3"/>
  <c r="M37" i="3"/>
  <c r="N37" i="3"/>
  <c r="K36" i="3"/>
  <c r="L36" i="3"/>
  <c r="M36" i="3"/>
  <c r="N36" i="3"/>
  <c r="K35" i="3"/>
  <c r="M35" i="3"/>
  <c r="N35" i="3"/>
  <c r="L34" i="3"/>
  <c r="M34" i="3"/>
  <c r="N34" i="3"/>
  <c r="K26" i="3"/>
  <c r="L26" i="3"/>
  <c r="M26" i="3"/>
  <c r="N26" i="3"/>
  <c r="K25" i="3"/>
  <c r="L25" i="3"/>
  <c r="M25" i="3"/>
  <c r="N25" i="3"/>
  <c r="K24" i="3"/>
  <c r="L24" i="3"/>
  <c r="M24" i="3"/>
  <c r="N24" i="3"/>
  <c r="K23" i="3"/>
  <c r="L23" i="3"/>
  <c r="M23" i="3"/>
  <c r="N23" i="3"/>
  <c r="N12" i="3"/>
  <c r="M13" i="3"/>
  <c r="K74" i="2"/>
  <c r="B74" i="2"/>
  <c r="B73" i="2"/>
  <c r="K15" i="3"/>
  <c r="L15" i="3"/>
  <c r="M15" i="3"/>
  <c r="N15" i="3"/>
  <c r="K14" i="3"/>
  <c r="L14" i="3"/>
  <c r="M14" i="3"/>
  <c r="N14" i="3"/>
  <c r="K13" i="3"/>
  <c r="L13" i="3"/>
  <c r="L12" i="3"/>
  <c r="K12" i="3"/>
  <c r="J12" i="3"/>
  <c r="N56" i="3" l="1"/>
  <c r="K46" i="3"/>
  <c r="N45" i="3"/>
  <c r="C51" i="14"/>
  <c r="M12" i="3"/>
  <c r="N13" i="3"/>
  <c r="E19" i="10"/>
  <c r="E18" i="10"/>
  <c r="Y15" i="3"/>
  <c r="W59" i="3"/>
  <c r="W58" i="3"/>
  <c r="W48" i="3"/>
  <c r="W47" i="3"/>
  <c r="W37" i="3"/>
  <c r="W36" i="3"/>
  <c r="V58" i="3"/>
  <c r="C62" i="4" l="1"/>
  <c r="B62" i="4"/>
  <c r="C62" i="10" l="1"/>
  <c r="D62" i="10"/>
  <c r="AM59" i="10"/>
  <c r="B52" i="5" l="1"/>
  <c r="B53" i="5"/>
  <c r="B54" i="5" s="1"/>
  <c r="B58" i="10"/>
  <c r="B59" i="10" s="1"/>
  <c r="B60" i="10" s="1"/>
  <c r="X12" i="3" l="1"/>
  <c r="C23" i="3"/>
  <c r="E45" i="4" l="1"/>
  <c r="F45" i="4"/>
  <c r="AM6" i="10" l="1"/>
  <c r="AM5" i="10"/>
  <c r="AM56" i="10" l="1"/>
  <c r="AM57" i="10"/>
  <c r="AM58" i="10"/>
  <c r="AM55" i="10"/>
  <c r="AM45" i="10"/>
  <c r="AM46" i="10"/>
  <c r="AM47" i="10"/>
  <c r="AM48" i="10"/>
  <c r="AM49" i="10"/>
  <c r="AM50" i="10"/>
  <c r="AM44" i="10"/>
  <c r="AM34" i="10"/>
  <c r="AM35" i="10"/>
  <c r="AM36" i="10"/>
  <c r="AM37" i="10"/>
  <c r="AM38" i="10"/>
  <c r="AM39" i="10"/>
  <c r="AM33" i="10"/>
  <c r="AM27" i="10"/>
  <c r="AM28" i="10"/>
  <c r="AM26" i="10"/>
  <c r="AM25" i="10"/>
  <c r="AM24" i="10"/>
  <c r="AM23" i="10"/>
  <c r="AM22" i="10"/>
  <c r="AM15" i="10"/>
  <c r="AM16" i="10"/>
  <c r="AM17" i="10"/>
  <c r="AM14" i="10"/>
  <c r="I52" i="4" l="1"/>
  <c r="I53" i="4"/>
  <c r="R15" i="3" l="1"/>
  <c r="F13" i="3"/>
  <c r="C45" i="5"/>
  <c r="C37" i="5"/>
  <c r="C36" i="5"/>
  <c r="E31" i="10" l="1"/>
  <c r="D31" i="10"/>
  <c r="E32" i="10"/>
  <c r="D32" i="10"/>
  <c r="H29" i="10"/>
  <c r="G29" i="10"/>
  <c r="F29" i="10"/>
  <c r="E29" i="10"/>
  <c r="D29" i="10"/>
  <c r="C29" i="10"/>
  <c r="AF64" i="10" l="1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E62" i="10"/>
  <c r="U12" i="3" l="1"/>
  <c r="S12" i="3"/>
  <c r="R12" i="3"/>
  <c r="Q12" i="3"/>
  <c r="P12" i="3"/>
  <c r="O12" i="3"/>
  <c r="I12" i="3"/>
  <c r="G12" i="3"/>
  <c r="F12" i="3"/>
  <c r="E12" i="3"/>
  <c r="D12" i="3"/>
  <c r="C12" i="3"/>
  <c r="AM13" i="10"/>
  <c r="AM12" i="10"/>
  <c r="AM11" i="10"/>
  <c r="D19" i="10"/>
  <c r="C19" i="10"/>
  <c r="D18" i="10"/>
  <c r="C18" i="10"/>
  <c r="O65" i="6" l="1"/>
  <c r="O41" i="6"/>
  <c r="F62" i="10"/>
  <c r="O57" i="3"/>
  <c r="O58" i="3"/>
  <c r="O56" i="3"/>
  <c r="I56" i="3"/>
  <c r="I58" i="3"/>
  <c r="C58" i="3"/>
  <c r="C56" i="3"/>
  <c r="AE62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AG64" i="10"/>
  <c r="AH64" i="10"/>
  <c r="AI64" i="10"/>
  <c r="AJ64" i="10"/>
  <c r="AK64" i="10"/>
  <c r="AL64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G63" i="10"/>
  <c r="F63" i="10"/>
  <c r="D63" i="10"/>
  <c r="E63" i="10"/>
  <c r="C63" i="10"/>
  <c r="C65" i="10"/>
  <c r="C51" i="10"/>
  <c r="O75" i="6" l="1"/>
  <c r="O69" i="6"/>
  <c r="Z27" i="3" l="1"/>
  <c r="Z28" i="3"/>
  <c r="Z29" i="3"/>
  <c r="Z30" i="3"/>
  <c r="Z31" i="3"/>
  <c r="Z32" i="3"/>
  <c r="Z33" i="3"/>
  <c r="Z34" i="3" l="1"/>
  <c r="I14" i="2"/>
  <c r="I25" i="2"/>
  <c r="J7" i="2"/>
  <c r="J18" i="2"/>
  <c r="I10" i="4"/>
  <c r="I7" i="4"/>
  <c r="Z20" i="3"/>
  <c r="Z17" i="3"/>
  <c r="Z10" i="3"/>
  <c r="D14" i="3"/>
  <c r="D25" i="3"/>
  <c r="C32" i="10"/>
  <c r="W7" i="10" l="1"/>
  <c r="Y7" i="10"/>
  <c r="AA7" i="10"/>
  <c r="AB7" i="10"/>
  <c r="AC7" i="10"/>
  <c r="AE53" i="10"/>
  <c r="AD53" i="10"/>
  <c r="L55" i="6" s="1"/>
  <c r="AC53" i="10"/>
  <c r="AB53" i="10"/>
  <c r="AA53" i="10"/>
  <c r="Z53" i="10"/>
  <c r="Y53" i="10"/>
  <c r="X53" i="10"/>
  <c r="W53" i="10"/>
  <c r="V53" i="10"/>
  <c r="U53" i="10"/>
  <c r="T53" i="10"/>
  <c r="S53" i="10"/>
  <c r="I25" i="3"/>
  <c r="I36" i="3"/>
  <c r="I47" i="3"/>
  <c r="L63" i="6" s="1"/>
  <c r="J36" i="3"/>
  <c r="J45" i="3"/>
  <c r="J47" i="3"/>
  <c r="H47" i="3"/>
  <c r="I45" i="3"/>
  <c r="Z43" i="3"/>
  <c r="C58" i="5"/>
  <c r="C47" i="5"/>
  <c r="C46" i="5"/>
  <c r="C25" i="5"/>
  <c r="C14" i="5"/>
  <c r="I58" i="2"/>
  <c r="H58" i="2"/>
  <c r="I56" i="2"/>
  <c r="H56" i="2"/>
  <c r="I47" i="2"/>
  <c r="H47" i="2"/>
  <c r="J28" i="2"/>
  <c r="J27" i="2"/>
  <c r="J31" i="2"/>
  <c r="I36" i="2"/>
  <c r="H36" i="2"/>
  <c r="H25" i="2"/>
  <c r="H14" i="2"/>
  <c r="H47" i="4"/>
  <c r="F47" i="4"/>
  <c r="F46" i="4"/>
  <c r="H34" i="4"/>
  <c r="H36" i="4"/>
  <c r="F36" i="4"/>
  <c r="F34" i="4"/>
  <c r="H25" i="4"/>
  <c r="F25" i="4"/>
  <c r="D25" i="4"/>
  <c r="D24" i="4"/>
  <c r="D23" i="4"/>
  <c r="F23" i="4"/>
  <c r="H23" i="4"/>
  <c r="H14" i="4"/>
  <c r="D14" i="4"/>
  <c r="D12" i="4"/>
  <c r="H12" i="4"/>
  <c r="I33" i="4"/>
  <c r="I32" i="4"/>
  <c r="I31" i="4"/>
  <c r="I30" i="4"/>
  <c r="I29" i="4"/>
  <c r="I28" i="4"/>
  <c r="I27" i="4"/>
  <c r="Z44" i="3"/>
  <c r="Z38" i="3"/>
  <c r="Z42" i="3"/>
  <c r="Z41" i="3"/>
  <c r="Z40" i="3"/>
  <c r="Z39" i="3"/>
  <c r="Y47" i="3"/>
  <c r="X47" i="3"/>
  <c r="V47" i="3"/>
  <c r="U47" i="3"/>
  <c r="T47" i="3"/>
  <c r="S47" i="3"/>
  <c r="R47" i="3"/>
  <c r="Q47" i="3"/>
  <c r="P47" i="3"/>
  <c r="O47" i="3"/>
  <c r="G47" i="3"/>
  <c r="F47" i="3"/>
  <c r="E47" i="3"/>
  <c r="D47" i="3"/>
  <c r="C47" i="3"/>
  <c r="AK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C7" i="10"/>
  <c r="D7" i="10"/>
  <c r="F7" i="10"/>
  <c r="H7" i="10"/>
  <c r="AL7" i="10"/>
  <c r="AK7" i="10"/>
  <c r="AE7" i="10"/>
  <c r="U7" i="10"/>
  <c r="T7" i="10"/>
  <c r="AK51" i="10"/>
  <c r="AL51" i="10"/>
  <c r="AE51" i="10"/>
  <c r="Z51" i="10"/>
  <c r="AE42" i="10"/>
  <c r="AE40" i="10"/>
  <c r="Z42" i="10"/>
  <c r="Z40" i="10"/>
  <c r="N51" i="10"/>
  <c r="C34" i="5"/>
  <c r="C12" i="5"/>
  <c r="C23" i="5"/>
  <c r="J38" i="2"/>
  <c r="J30" i="2"/>
  <c r="I19" i="4"/>
  <c r="I16" i="4"/>
  <c r="I40" i="4"/>
  <c r="I49" i="4"/>
  <c r="O55" i="6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AD42" i="10"/>
  <c r="I55" i="6" s="1"/>
  <c r="AF42" i="10"/>
  <c r="AG42" i="10"/>
  <c r="AH42" i="10"/>
  <c r="AI42" i="10"/>
  <c r="AJ42" i="10"/>
  <c r="AK42" i="10"/>
  <c r="AL42" i="10"/>
  <c r="D43" i="10"/>
  <c r="E43" i="10"/>
  <c r="F43" i="10"/>
  <c r="G43" i="10"/>
  <c r="H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F55" i="6" s="1"/>
  <c r="AE31" i="10"/>
  <c r="AF31" i="10"/>
  <c r="AG31" i="10"/>
  <c r="AH31" i="10"/>
  <c r="AI31" i="10"/>
  <c r="AJ31" i="10"/>
  <c r="AK31" i="10"/>
  <c r="AL31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20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L59" i="6" l="1"/>
  <c r="I59" i="6"/>
  <c r="AM54" i="10"/>
  <c r="L69" i="10"/>
  <c r="E69" i="10"/>
  <c r="C69" i="10"/>
  <c r="Z47" i="3"/>
  <c r="Z45" i="3"/>
  <c r="L51" i="6"/>
  <c r="G69" i="10"/>
  <c r="P69" i="10"/>
  <c r="I69" i="10"/>
  <c r="R69" i="10"/>
  <c r="Q69" i="10"/>
  <c r="N69" i="10"/>
  <c r="H69" i="10"/>
  <c r="W69" i="10"/>
  <c r="T69" i="10"/>
  <c r="J69" i="10"/>
  <c r="K69" i="10"/>
  <c r="O69" i="10"/>
  <c r="D68" i="10"/>
  <c r="U69" i="10"/>
  <c r="D69" i="10"/>
  <c r="F69" i="10"/>
  <c r="M69" i="10"/>
  <c r="S69" i="10"/>
  <c r="AM7" i="10"/>
  <c r="I51" i="6"/>
  <c r="F53" i="6"/>
  <c r="C57" i="6"/>
  <c r="I53" i="6"/>
  <c r="I57" i="6"/>
  <c r="F57" i="6"/>
  <c r="C51" i="6"/>
  <c r="O51" i="6"/>
  <c r="L57" i="6"/>
  <c r="I36" i="4"/>
  <c r="F51" i="6"/>
  <c r="O53" i="6"/>
  <c r="W68" i="10"/>
  <c r="S68" i="10"/>
  <c r="T68" i="10"/>
  <c r="O57" i="6"/>
  <c r="V69" i="10"/>
  <c r="V68" i="10"/>
  <c r="L53" i="6"/>
  <c r="H74" i="2"/>
  <c r="I74" i="2"/>
  <c r="I34" i="4"/>
  <c r="AM52" i="10"/>
  <c r="AM51" i="10"/>
  <c r="AM53" i="10"/>
  <c r="L13" i="6" s="1"/>
  <c r="C53" i="6"/>
  <c r="E56" i="4"/>
  <c r="F56" i="4"/>
  <c r="E57" i="4"/>
  <c r="F57" i="4"/>
  <c r="E58" i="4"/>
  <c r="F58" i="4"/>
  <c r="E59" i="4"/>
  <c r="F59" i="4"/>
  <c r="E46" i="4"/>
  <c r="E47" i="4"/>
  <c r="L23" i="6" s="1"/>
  <c r="E48" i="4"/>
  <c r="F48" i="4"/>
  <c r="E34" i="4"/>
  <c r="E35" i="4"/>
  <c r="F35" i="4"/>
  <c r="E36" i="4"/>
  <c r="E37" i="4"/>
  <c r="F37" i="4"/>
  <c r="E23" i="4"/>
  <c r="E24" i="4"/>
  <c r="F24" i="4"/>
  <c r="E25" i="4"/>
  <c r="E26" i="4"/>
  <c r="F26" i="4"/>
  <c r="E12" i="4"/>
  <c r="F12" i="4"/>
  <c r="E13" i="4"/>
  <c r="F13" i="4"/>
  <c r="E14" i="4"/>
  <c r="F14" i="4"/>
  <c r="E15" i="4"/>
  <c r="F15" i="4"/>
  <c r="O63" i="6"/>
  <c r="F63" i="6"/>
  <c r="J23" i="3"/>
  <c r="J24" i="3"/>
  <c r="J25" i="3"/>
  <c r="F59" i="6" s="1"/>
  <c r="J26" i="3"/>
  <c r="J13" i="3"/>
  <c r="J14" i="3"/>
  <c r="C59" i="6" s="1"/>
  <c r="J15" i="3"/>
  <c r="AM8" i="10" l="1"/>
  <c r="Z22" i="3"/>
  <c r="Z21" i="3"/>
  <c r="Z18" i="3"/>
  <c r="Z16" i="3"/>
  <c r="Z11" i="3"/>
  <c r="Z9" i="3"/>
  <c r="Z8" i="3"/>
  <c r="Z7" i="3"/>
  <c r="Z6" i="3"/>
  <c r="Z5" i="3"/>
  <c r="Z12" i="3" l="1"/>
  <c r="Z14" i="3"/>
  <c r="J59" i="3" l="1"/>
  <c r="J58" i="3"/>
  <c r="J57" i="3"/>
  <c r="J56" i="3"/>
  <c r="J48" i="3"/>
  <c r="J46" i="3"/>
  <c r="J37" i="3"/>
  <c r="J35" i="3"/>
  <c r="J34" i="3"/>
  <c r="I62" i="3" l="1"/>
  <c r="I63" i="3"/>
  <c r="O59" i="6"/>
  <c r="I23" i="3"/>
  <c r="I24" i="3"/>
  <c r="I26" i="3"/>
  <c r="I13" i="3"/>
  <c r="I14" i="3"/>
  <c r="I15" i="3"/>
  <c r="I59" i="3"/>
  <c r="I57" i="3"/>
  <c r="I48" i="3"/>
  <c r="I46" i="3"/>
  <c r="I37" i="3"/>
  <c r="I63" i="6"/>
  <c r="I35" i="3"/>
  <c r="I34" i="3"/>
  <c r="H62" i="3" l="1"/>
  <c r="H63" i="3"/>
  <c r="C63" i="6"/>
  <c r="D59" i="4"/>
  <c r="Y56" i="3" l="1"/>
  <c r="Z50" i="3"/>
  <c r="Z51" i="3"/>
  <c r="Z49" i="3"/>
  <c r="Z36" i="3"/>
  <c r="Z19" i="3"/>
  <c r="Z23" i="3" l="1"/>
  <c r="Z25" i="3"/>
  <c r="Z58" i="3"/>
  <c r="O5" i="6" s="1"/>
  <c r="L5" i="6"/>
  <c r="I5" i="6"/>
  <c r="Z37" i="3"/>
  <c r="Z26" i="3"/>
  <c r="Z24" i="3"/>
  <c r="Z13" i="3"/>
  <c r="Z35" i="3"/>
  <c r="Q65" i="3" s="1"/>
  <c r="C5" i="6"/>
  <c r="Z48" i="3"/>
  <c r="Z46" i="3"/>
  <c r="Z15" i="3"/>
  <c r="D48" i="3"/>
  <c r="E48" i="3"/>
  <c r="F48" i="3"/>
  <c r="G48" i="3"/>
  <c r="H48" i="3"/>
  <c r="O48" i="3"/>
  <c r="P48" i="3"/>
  <c r="Q48" i="3"/>
  <c r="R48" i="3"/>
  <c r="S48" i="3"/>
  <c r="T48" i="3"/>
  <c r="U48" i="3"/>
  <c r="V48" i="3"/>
  <c r="X48" i="3"/>
  <c r="Y48" i="3"/>
  <c r="D46" i="3"/>
  <c r="E46" i="3"/>
  <c r="F46" i="3"/>
  <c r="G46" i="3"/>
  <c r="H46" i="3"/>
  <c r="O46" i="3"/>
  <c r="P46" i="3"/>
  <c r="Q46" i="3"/>
  <c r="R46" i="3"/>
  <c r="S46" i="3"/>
  <c r="T46" i="3"/>
  <c r="U46" i="3"/>
  <c r="V46" i="3"/>
  <c r="W46" i="3"/>
  <c r="X46" i="3"/>
  <c r="Y46" i="3"/>
  <c r="D45" i="3"/>
  <c r="E45" i="3"/>
  <c r="F45" i="3"/>
  <c r="G45" i="3"/>
  <c r="H45" i="3"/>
  <c r="O45" i="3"/>
  <c r="P45" i="3"/>
  <c r="Q45" i="3"/>
  <c r="R45" i="3"/>
  <c r="S45" i="3"/>
  <c r="T45" i="3"/>
  <c r="U45" i="3"/>
  <c r="V45" i="3"/>
  <c r="W45" i="3"/>
  <c r="X45" i="3"/>
  <c r="Y45" i="3"/>
  <c r="D37" i="3"/>
  <c r="E37" i="3"/>
  <c r="F37" i="3"/>
  <c r="G37" i="3"/>
  <c r="H37" i="3"/>
  <c r="O37" i="3"/>
  <c r="P37" i="3"/>
  <c r="Q37" i="3"/>
  <c r="R37" i="3"/>
  <c r="S37" i="3"/>
  <c r="T37" i="3"/>
  <c r="U37" i="3"/>
  <c r="V37" i="3"/>
  <c r="X37" i="3"/>
  <c r="Y37" i="3"/>
  <c r="D36" i="3"/>
  <c r="E36" i="3"/>
  <c r="F36" i="3"/>
  <c r="G36" i="3"/>
  <c r="H36" i="3"/>
  <c r="I23" i="6" s="1"/>
  <c r="O36" i="3"/>
  <c r="P36" i="3"/>
  <c r="Q36" i="3"/>
  <c r="R36" i="3"/>
  <c r="S36" i="3"/>
  <c r="T36" i="3"/>
  <c r="U36" i="3"/>
  <c r="V36" i="3"/>
  <c r="X36" i="3"/>
  <c r="Y36" i="3"/>
  <c r="D35" i="3"/>
  <c r="E35" i="3"/>
  <c r="F35" i="3"/>
  <c r="G35" i="3"/>
  <c r="H35" i="3"/>
  <c r="O35" i="3"/>
  <c r="P35" i="3"/>
  <c r="Q35" i="3"/>
  <c r="R35" i="3"/>
  <c r="S35" i="3"/>
  <c r="T35" i="3"/>
  <c r="U35" i="3"/>
  <c r="V35" i="3"/>
  <c r="W35" i="3"/>
  <c r="X35" i="3"/>
  <c r="Y35" i="3"/>
  <c r="D34" i="3"/>
  <c r="E34" i="3"/>
  <c r="F34" i="3"/>
  <c r="G34" i="3"/>
  <c r="H34" i="3"/>
  <c r="O34" i="3"/>
  <c r="P34" i="3"/>
  <c r="Q34" i="3"/>
  <c r="R34" i="3"/>
  <c r="S34" i="3"/>
  <c r="T34" i="3"/>
  <c r="U34" i="3"/>
  <c r="V34" i="3"/>
  <c r="W34" i="3"/>
  <c r="X34" i="3"/>
  <c r="Y34" i="3"/>
  <c r="D26" i="3"/>
  <c r="E26" i="3"/>
  <c r="F26" i="3"/>
  <c r="G26" i="3"/>
  <c r="H26" i="3"/>
  <c r="O26" i="3"/>
  <c r="P26" i="3"/>
  <c r="Q26" i="3"/>
  <c r="R26" i="3"/>
  <c r="S26" i="3"/>
  <c r="T26" i="3"/>
  <c r="U26" i="3"/>
  <c r="V26" i="3"/>
  <c r="W26" i="3"/>
  <c r="X26" i="3"/>
  <c r="Y26" i="3"/>
  <c r="E25" i="3"/>
  <c r="F25" i="3"/>
  <c r="G25" i="3"/>
  <c r="H25" i="3"/>
  <c r="F23" i="6" s="1"/>
  <c r="O25" i="3"/>
  <c r="P25" i="3"/>
  <c r="Q25" i="3"/>
  <c r="R25" i="3"/>
  <c r="S25" i="3"/>
  <c r="T25" i="3"/>
  <c r="U25" i="3"/>
  <c r="V25" i="3"/>
  <c r="W25" i="3"/>
  <c r="X25" i="3"/>
  <c r="Y25" i="3"/>
  <c r="D24" i="3"/>
  <c r="E24" i="3"/>
  <c r="F24" i="3"/>
  <c r="G24" i="3"/>
  <c r="H24" i="3"/>
  <c r="O24" i="3"/>
  <c r="P24" i="3"/>
  <c r="Q24" i="3"/>
  <c r="R24" i="3"/>
  <c r="S24" i="3"/>
  <c r="T24" i="3"/>
  <c r="U24" i="3"/>
  <c r="V24" i="3"/>
  <c r="W24" i="3"/>
  <c r="X24" i="3"/>
  <c r="Y24" i="3"/>
  <c r="D23" i="3"/>
  <c r="E23" i="3"/>
  <c r="F23" i="3"/>
  <c r="G23" i="3"/>
  <c r="H23" i="3"/>
  <c r="O23" i="3"/>
  <c r="P23" i="3"/>
  <c r="Q23" i="3"/>
  <c r="R23" i="3"/>
  <c r="S23" i="3"/>
  <c r="T23" i="3"/>
  <c r="U23" i="3"/>
  <c r="V23" i="3"/>
  <c r="W23" i="3"/>
  <c r="X23" i="3"/>
  <c r="Y23" i="3"/>
  <c r="D15" i="3"/>
  <c r="E15" i="3"/>
  <c r="F15" i="3"/>
  <c r="G15" i="3"/>
  <c r="H15" i="3"/>
  <c r="O15" i="3"/>
  <c r="P15" i="3"/>
  <c r="Q15" i="3"/>
  <c r="S15" i="3"/>
  <c r="T15" i="3"/>
  <c r="U15" i="3"/>
  <c r="V15" i="3"/>
  <c r="W15" i="3"/>
  <c r="X15" i="3"/>
  <c r="E14" i="3"/>
  <c r="F14" i="3"/>
  <c r="G14" i="3"/>
  <c r="H14" i="3"/>
  <c r="C23" i="6" s="1"/>
  <c r="O14" i="3"/>
  <c r="P14" i="3"/>
  <c r="Q14" i="3"/>
  <c r="R14" i="3"/>
  <c r="S14" i="3"/>
  <c r="T14" i="3"/>
  <c r="U14" i="3"/>
  <c r="V14" i="3"/>
  <c r="W14" i="3"/>
  <c r="X14" i="3"/>
  <c r="Y14" i="3"/>
  <c r="D13" i="3"/>
  <c r="E13" i="3"/>
  <c r="G13" i="3"/>
  <c r="H13" i="3"/>
  <c r="O13" i="3"/>
  <c r="P13" i="3"/>
  <c r="Q13" i="3"/>
  <c r="R13" i="3"/>
  <c r="S13" i="3"/>
  <c r="T13" i="3"/>
  <c r="U13" i="3"/>
  <c r="V13" i="3"/>
  <c r="W13" i="3"/>
  <c r="X13" i="3"/>
  <c r="Y13" i="3"/>
  <c r="H12" i="3"/>
  <c r="T12" i="3"/>
  <c r="V12" i="3"/>
  <c r="W12" i="3"/>
  <c r="Y12" i="3"/>
  <c r="Z59" i="3"/>
  <c r="Y59" i="3"/>
  <c r="X59" i="3"/>
  <c r="V59" i="3"/>
  <c r="U59" i="3"/>
  <c r="T59" i="3"/>
  <c r="S59" i="3"/>
  <c r="R59" i="3"/>
  <c r="Y58" i="3"/>
  <c r="X58" i="3"/>
  <c r="U58" i="3"/>
  <c r="T58" i="3"/>
  <c r="S58" i="3"/>
  <c r="R58" i="3"/>
  <c r="Z57" i="3"/>
  <c r="Y57" i="3"/>
  <c r="X57" i="3"/>
  <c r="W57" i="3"/>
  <c r="V57" i="3"/>
  <c r="U57" i="3"/>
  <c r="T57" i="3"/>
  <c r="S57" i="3"/>
  <c r="R57" i="3"/>
  <c r="X56" i="3"/>
  <c r="W56" i="3"/>
  <c r="V56" i="3"/>
  <c r="U56" i="3"/>
  <c r="T56" i="3"/>
  <c r="S56" i="3"/>
  <c r="R56" i="3"/>
  <c r="Q63" i="3" l="1"/>
  <c r="C25" i="14"/>
  <c r="G63" i="3"/>
  <c r="Q62" i="3"/>
  <c r="I25" i="6"/>
  <c r="F5" i="6"/>
  <c r="C25" i="6"/>
  <c r="Q64" i="3"/>
  <c r="L25" i="6"/>
  <c r="F25" i="6"/>
  <c r="O25" i="6"/>
  <c r="G45" i="2"/>
  <c r="G46" i="2"/>
  <c r="G47" i="2"/>
  <c r="G48" i="2"/>
  <c r="H48" i="2"/>
  <c r="C5" i="14" l="1"/>
  <c r="J44" i="2" l="1"/>
  <c r="I45" i="2"/>
  <c r="H45" i="2"/>
  <c r="F45" i="2"/>
  <c r="E45" i="2"/>
  <c r="C45" i="2"/>
  <c r="G34" i="2"/>
  <c r="E34" i="2"/>
  <c r="F34" i="2"/>
  <c r="J32" i="2"/>
  <c r="J33" i="2"/>
  <c r="F12" i="2" l="1"/>
  <c r="E23" i="2"/>
  <c r="C15" i="14" l="1"/>
  <c r="AM40" i="10" l="1"/>
  <c r="AM42" i="10"/>
  <c r="AM29" i="10"/>
  <c r="AM18" i="10"/>
  <c r="AM20" i="10"/>
  <c r="C13" i="6" s="1"/>
  <c r="AM21" i="10"/>
  <c r="AM19" i="10"/>
  <c r="AM41" i="10"/>
  <c r="AM43" i="10"/>
  <c r="AM31" i="10"/>
  <c r="AM30" i="10"/>
  <c r="AM32" i="10"/>
  <c r="J68" i="10"/>
  <c r="C43" i="14" s="1"/>
  <c r="C10" i="10"/>
  <c r="C61" i="6" l="1"/>
  <c r="F35" i="2" l="1"/>
  <c r="O67" i="6" l="1"/>
  <c r="O45" i="6"/>
  <c r="O73" i="6"/>
  <c r="O71" i="6"/>
  <c r="O61" i="6"/>
  <c r="L67" i="6"/>
  <c r="L65" i="6"/>
  <c r="L73" i="6"/>
  <c r="L71" i="6"/>
  <c r="L69" i="6"/>
  <c r="L61" i="6"/>
  <c r="I67" i="6"/>
  <c r="I65" i="6"/>
  <c r="I73" i="6"/>
  <c r="I71" i="6"/>
  <c r="I69" i="6"/>
  <c r="I61" i="6"/>
  <c r="F67" i="6"/>
  <c r="F65" i="6"/>
  <c r="F73" i="6"/>
  <c r="F71" i="6"/>
  <c r="F69" i="6"/>
  <c r="C61" i="14" l="1"/>
  <c r="C55" i="14"/>
  <c r="Q68" i="10"/>
  <c r="C71" i="14" s="1"/>
  <c r="M68" i="10"/>
  <c r="C63" i="14" s="1"/>
  <c r="C57" i="14"/>
  <c r="E68" i="10"/>
  <c r="P68" i="10"/>
  <c r="C73" i="14" s="1"/>
  <c r="C59" i="14"/>
  <c r="C47" i="14"/>
  <c r="O68" i="10"/>
  <c r="C65" i="14" s="1"/>
  <c r="L68" i="10"/>
  <c r="C67" i="14" s="1"/>
  <c r="F68" i="10"/>
  <c r="C75" i="14" s="1"/>
  <c r="K68" i="10"/>
  <c r="R68" i="10"/>
  <c r="C69" i="14" s="1"/>
  <c r="N68" i="10"/>
  <c r="C49" i="14" s="1"/>
  <c r="C68" i="10"/>
  <c r="C65" i="6"/>
  <c r="F75" i="6"/>
  <c r="L75" i="6"/>
  <c r="C69" i="6"/>
  <c r="C73" i="6"/>
  <c r="C71" i="6"/>
  <c r="C55" i="6"/>
  <c r="C67" i="6"/>
  <c r="C75" i="6"/>
  <c r="I75" i="6"/>
  <c r="D59" i="2"/>
  <c r="E59" i="2"/>
  <c r="F59" i="2"/>
  <c r="G59" i="2"/>
  <c r="H59" i="2"/>
  <c r="I59" i="2"/>
  <c r="O49" i="6"/>
  <c r="G58" i="2"/>
  <c r="O33" i="6" s="1"/>
  <c r="F58" i="2"/>
  <c r="O31" i="6" s="1"/>
  <c r="E58" i="2"/>
  <c r="D58" i="2"/>
  <c r="O29" i="6" s="1"/>
  <c r="D57" i="2"/>
  <c r="E57" i="2"/>
  <c r="F57" i="2"/>
  <c r="G57" i="2"/>
  <c r="H57" i="2"/>
  <c r="I57" i="2"/>
  <c r="G56" i="2"/>
  <c r="F56" i="2"/>
  <c r="E56" i="2"/>
  <c r="D56" i="2"/>
  <c r="I46" i="2" l="1"/>
  <c r="H46" i="2"/>
  <c r="L49" i="6"/>
  <c r="I48" i="2"/>
  <c r="F36" i="2"/>
  <c r="E36" i="2"/>
  <c r="I35" i="6" s="1"/>
  <c r="D34" i="2"/>
  <c r="D48" i="2"/>
  <c r="D47" i="2"/>
  <c r="D46" i="2"/>
  <c r="D45" i="2"/>
  <c r="E48" i="2"/>
  <c r="E47" i="2"/>
  <c r="L35" i="6" s="1"/>
  <c r="E46" i="2"/>
  <c r="F48" i="2"/>
  <c r="F47" i="2"/>
  <c r="F46" i="2"/>
  <c r="G36" i="2"/>
  <c r="G35" i="2"/>
  <c r="C56" i="5" l="1"/>
  <c r="C67" i="5"/>
  <c r="C69" i="5"/>
  <c r="C57" i="5"/>
  <c r="C59" i="5"/>
  <c r="D67" i="5"/>
  <c r="C68" i="5"/>
  <c r="D68" i="5" s="1"/>
  <c r="C70" i="5"/>
  <c r="D70" i="5" s="1"/>
  <c r="F61" i="6"/>
  <c r="J50" i="2"/>
  <c r="J49" i="2"/>
  <c r="J51" i="2"/>
  <c r="J43" i="2"/>
  <c r="J42" i="2"/>
  <c r="J41" i="2"/>
  <c r="J40" i="2"/>
  <c r="J39" i="2"/>
  <c r="J29" i="2"/>
  <c r="J36" i="2" s="1"/>
  <c r="J22" i="2"/>
  <c r="J21" i="2"/>
  <c r="J20" i="2"/>
  <c r="J19" i="2"/>
  <c r="J17" i="2"/>
  <c r="J16" i="2"/>
  <c r="J11" i="2"/>
  <c r="J10" i="2"/>
  <c r="J9" i="2"/>
  <c r="J8" i="2"/>
  <c r="J5" i="2"/>
  <c r="C49" i="6"/>
  <c r="I12" i="2"/>
  <c r="H12" i="2"/>
  <c r="G14" i="4"/>
  <c r="C14" i="4"/>
  <c r="I5" i="4"/>
  <c r="I6" i="4"/>
  <c r="I8" i="4"/>
  <c r="I9" i="4"/>
  <c r="I11" i="4"/>
  <c r="G12" i="4"/>
  <c r="C12" i="4"/>
  <c r="C45" i="6"/>
  <c r="C56" i="2"/>
  <c r="C57" i="2"/>
  <c r="C58" i="2"/>
  <c r="C59" i="2"/>
  <c r="C46" i="2"/>
  <c r="C47" i="2"/>
  <c r="C48" i="2"/>
  <c r="C34" i="2"/>
  <c r="C35" i="2"/>
  <c r="C36" i="2"/>
  <c r="C37" i="2"/>
  <c r="C23" i="2"/>
  <c r="C24" i="2"/>
  <c r="C25" i="2"/>
  <c r="C26" i="2"/>
  <c r="C12" i="2"/>
  <c r="C13" i="2"/>
  <c r="C14" i="2"/>
  <c r="C27" i="6" s="1"/>
  <c r="C15" i="2"/>
  <c r="G15" i="4"/>
  <c r="H15" i="4"/>
  <c r="I67" i="2"/>
  <c r="I68" i="2"/>
  <c r="I69" i="2"/>
  <c r="I70" i="2"/>
  <c r="I34" i="2"/>
  <c r="I35" i="2"/>
  <c r="I49" i="6"/>
  <c r="I37" i="2"/>
  <c r="I23" i="2"/>
  <c r="I24" i="2"/>
  <c r="F49" i="6"/>
  <c r="I26" i="2"/>
  <c r="I15" i="2"/>
  <c r="I13" i="2"/>
  <c r="C56" i="4"/>
  <c r="D56" i="4"/>
  <c r="G56" i="4"/>
  <c r="H56" i="4"/>
  <c r="I51" i="4"/>
  <c r="I50" i="4"/>
  <c r="C45" i="4"/>
  <c r="D45" i="4"/>
  <c r="G45" i="4"/>
  <c r="H45" i="4"/>
  <c r="I44" i="4"/>
  <c r="I43" i="4"/>
  <c r="I42" i="4"/>
  <c r="I41" i="4"/>
  <c r="I39" i="4"/>
  <c r="I38" i="4"/>
  <c r="C25" i="4"/>
  <c r="G25" i="4"/>
  <c r="C23" i="4"/>
  <c r="G23" i="4"/>
  <c r="I22" i="4"/>
  <c r="I21" i="4"/>
  <c r="I20" i="4"/>
  <c r="I18" i="4"/>
  <c r="I17" i="4"/>
  <c r="H58" i="4"/>
  <c r="G58" i="4"/>
  <c r="D58" i="4"/>
  <c r="C58" i="4"/>
  <c r="G47" i="4"/>
  <c r="L21" i="6" s="1"/>
  <c r="D47" i="4"/>
  <c r="C47" i="4"/>
  <c r="G36" i="4"/>
  <c r="C15" i="3"/>
  <c r="C14" i="3"/>
  <c r="C45" i="3"/>
  <c r="G68" i="10"/>
  <c r="O43" i="6"/>
  <c r="O35" i="6"/>
  <c r="O37" i="6"/>
  <c r="O39" i="6"/>
  <c r="I68" i="10"/>
  <c r="C41" i="14" s="1"/>
  <c r="C37" i="3"/>
  <c r="C36" i="3"/>
  <c r="L45" i="6"/>
  <c r="L43" i="6"/>
  <c r="L41" i="6"/>
  <c r="L39" i="6"/>
  <c r="L37" i="6"/>
  <c r="I45" i="6"/>
  <c r="I43" i="6"/>
  <c r="I41" i="6"/>
  <c r="I39" i="6"/>
  <c r="I37" i="6"/>
  <c r="H34" i="2"/>
  <c r="D36" i="4"/>
  <c r="C36" i="4"/>
  <c r="C25" i="3"/>
  <c r="C24" i="3"/>
  <c r="G34" i="4"/>
  <c r="C13" i="4"/>
  <c r="D13" i="4"/>
  <c r="G13" i="4"/>
  <c r="H13" i="4"/>
  <c r="C15" i="4"/>
  <c r="D15" i="4"/>
  <c r="G24" i="4"/>
  <c r="C24" i="4"/>
  <c r="C37" i="4"/>
  <c r="D37" i="4"/>
  <c r="H37" i="4"/>
  <c r="G35" i="4"/>
  <c r="H35" i="4"/>
  <c r="C35" i="4"/>
  <c r="D35" i="4"/>
  <c r="D46" i="4"/>
  <c r="C46" i="4"/>
  <c r="C48" i="4"/>
  <c r="H48" i="4"/>
  <c r="C57" i="4"/>
  <c r="D57" i="4"/>
  <c r="G59" i="4"/>
  <c r="H57" i="4"/>
  <c r="H59" i="4"/>
  <c r="G48" i="4"/>
  <c r="D48" i="4"/>
  <c r="H46" i="4"/>
  <c r="H26" i="4"/>
  <c r="G46" i="4"/>
  <c r="G26" i="4"/>
  <c r="C59" i="4"/>
  <c r="G57" i="4"/>
  <c r="G37" i="4"/>
  <c r="D34" i="4"/>
  <c r="D26" i="4"/>
  <c r="H24" i="4"/>
  <c r="C34" i="4"/>
  <c r="C26" i="4"/>
  <c r="F14" i="2"/>
  <c r="C31" i="6" s="1"/>
  <c r="E14" i="2"/>
  <c r="C35" i="6" s="1"/>
  <c r="D14" i="2"/>
  <c r="C29" i="6" s="1"/>
  <c r="E12" i="2"/>
  <c r="D12" i="2"/>
  <c r="F45" i="6"/>
  <c r="F43" i="6"/>
  <c r="F41" i="6"/>
  <c r="F39" i="6"/>
  <c r="F37" i="6"/>
  <c r="H26" i="2"/>
  <c r="G26" i="2"/>
  <c r="G25" i="2"/>
  <c r="F33" i="6" s="1"/>
  <c r="F26" i="2"/>
  <c r="F25" i="2"/>
  <c r="F31" i="6" s="1"/>
  <c r="E25" i="2"/>
  <c r="F35" i="6" s="1"/>
  <c r="E26" i="2"/>
  <c r="D26" i="2"/>
  <c r="D25" i="2"/>
  <c r="F29" i="6" s="1"/>
  <c r="D24" i="2"/>
  <c r="D23" i="2"/>
  <c r="H15" i="2"/>
  <c r="F15" i="2"/>
  <c r="E15" i="2"/>
  <c r="D15" i="2"/>
  <c r="L33" i="6"/>
  <c r="I33" i="6"/>
  <c r="G37" i="2"/>
  <c r="F13" i="2"/>
  <c r="G24" i="2"/>
  <c r="G23" i="2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H56" i="3"/>
  <c r="H57" i="3"/>
  <c r="H58" i="3"/>
  <c r="H59" i="3"/>
  <c r="E56" i="3"/>
  <c r="E57" i="3"/>
  <c r="E58" i="3"/>
  <c r="E59" i="3"/>
  <c r="H13" i="2"/>
  <c r="D13" i="2"/>
  <c r="C13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D69" i="11"/>
  <c r="D58" i="3"/>
  <c r="F69" i="2"/>
  <c r="C69" i="11"/>
  <c r="L31" i="6"/>
  <c r="D47" i="11"/>
  <c r="C47" i="11"/>
  <c r="I31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56" i="3"/>
  <c r="F67" i="2"/>
  <c r="C12" i="11"/>
  <c r="C67" i="11"/>
  <c r="C23" i="11"/>
  <c r="C34" i="11"/>
  <c r="C45" i="11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35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P58" i="3"/>
  <c r="Q58" i="3"/>
  <c r="P56" i="3"/>
  <c r="Q56" i="3"/>
  <c r="C34" i="3"/>
  <c r="G55" i="8"/>
  <c r="G56" i="8"/>
  <c r="G54" i="8"/>
  <c r="G10" i="8"/>
  <c r="B55" i="8"/>
  <c r="G33" i="8"/>
  <c r="G32" i="8"/>
  <c r="C48" i="3"/>
  <c r="C59" i="8"/>
  <c r="H23" i="2"/>
  <c r="C46" i="3"/>
  <c r="C37" i="8"/>
  <c r="C15" i="5"/>
  <c r="F68" i="2"/>
  <c r="F70" i="2"/>
  <c r="H35" i="2"/>
  <c r="H37" i="2"/>
  <c r="C48" i="5"/>
  <c r="D12" i="8"/>
  <c r="E67" i="2"/>
  <c r="H67" i="2"/>
  <c r="E68" i="2"/>
  <c r="H68" i="2"/>
  <c r="E69" i="2"/>
  <c r="H69" i="2"/>
  <c r="E70" i="2"/>
  <c r="H70" i="2"/>
  <c r="G21" i="8"/>
  <c r="G22" i="8"/>
  <c r="G24" i="8"/>
  <c r="G43" i="8"/>
  <c r="G44" i="8"/>
  <c r="G11" i="8"/>
  <c r="G13" i="8"/>
  <c r="E35" i="2"/>
  <c r="E37" i="2"/>
  <c r="F37" i="2"/>
  <c r="E24" i="2"/>
  <c r="H24" i="2"/>
  <c r="E13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35" i="2"/>
  <c r="D36" i="2"/>
  <c r="I29" i="6" s="1"/>
  <c r="D37" i="2"/>
  <c r="L29" i="6"/>
  <c r="C13" i="3"/>
  <c r="D69" i="2"/>
  <c r="C26" i="5"/>
  <c r="C59" i="3"/>
  <c r="C57" i="3"/>
  <c r="C35" i="3"/>
  <c r="C26" i="3"/>
  <c r="D68" i="2"/>
  <c r="D67" i="2"/>
  <c r="D70" i="2"/>
  <c r="C24" i="5"/>
  <c r="Q57" i="3"/>
  <c r="P57" i="3"/>
  <c r="G57" i="3"/>
  <c r="F57" i="3"/>
  <c r="D57" i="3"/>
  <c r="G56" i="3"/>
  <c r="F56" i="3"/>
  <c r="Q59" i="3"/>
  <c r="P59" i="3"/>
  <c r="O59" i="3"/>
  <c r="G59" i="3"/>
  <c r="F59" i="3"/>
  <c r="D59" i="3"/>
  <c r="G58" i="3"/>
  <c r="F58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4" i="2"/>
  <c r="F23" i="2"/>
  <c r="I73" i="2" l="1"/>
  <c r="H73" i="2"/>
  <c r="B63" i="4"/>
  <c r="D63" i="3"/>
  <c r="C23" i="14"/>
  <c r="C63" i="4"/>
  <c r="F74" i="5"/>
  <c r="C11" i="14" s="1"/>
  <c r="B73" i="5"/>
  <c r="F75" i="5"/>
  <c r="C53" i="14"/>
  <c r="D69" i="5"/>
  <c r="B74" i="5"/>
  <c r="B55" i="10"/>
  <c r="B56" i="10" s="1"/>
  <c r="B57" i="10" s="1"/>
  <c r="F62" i="3"/>
  <c r="O21" i="6"/>
  <c r="AM65" i="10"/>
  <c r="AM64" i="10"/>
  <c r="E74" i="10" s="1"/>
  <c r="AM62" i="10"/>
  <c r="E73" i="10" s="1"/>
  <c r="AM63" i="10"/>
  <c r="I23" i="4"/>
  <c r="I45" i="4"/>
  <c r="I47" i="4"/>
  <c r="J47" i="2"/>
  <c r="L9" i="6" s="1"/>
  <c r="J45" i="2"/>
  <c r="I12" i="4"/>
  <c r="E63" i="3"/>
  <c r="O23" i="6"/>
  <c r="J56" i="2"/>
  <c r="I56" i="4"/>
  <c r="L11" i="6"/>
  <c r="L27" i="6"/>
  <c r="I11" i="6"/>
  <c r="I27" i="6"/>
  <c r="F76" i="5"/>
  <c r="F11" i="6"/>
  <c r="F27" i="6"/>
  <c r="F63" i="3"/>
  <c r="O27" i="6"/>
  <c r="O11" i="6"/>
  <c r="B33" i="2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I21" i="6"/>
  <c r="F21" i="6"/>
  <c r="H68" i="10"/>
  <c r="C45" i="14" s="1"/>
  <c r="D73" i="2"/>
  <c r="C21" i="6"/>
  <c r="E73" i="2"/>
  <c r="C11" i="6"/>
  <c r="C41" i="6"/>
  <c r="F13" i="6"/>
  <c r="C43" i="6"/>
  <c r="C39" i="6"/>
  <c r="C37" i="6"/>
  <c r="I58" i="4"/>
  <c r="O7" i="6" s="1"/>
  <c r="I57" i="4"/>
  <c r="I59" i="4"/>
  <c r="I46" i="4"/>
  <c r="I48" i="4"/>
  <c r="F73" i="5"/>
  <c r="I35" i="4"/>
  <c r="I7" i="6"/>
  <c r="I14" i="4"/>
  <c r="I15" i="4"/>
  <c r="I13" i="4"/>
  <c r="C73" i="2"/>
  <c r="C9" i="14" s="1"/>
  <c r="J59" i="2"/>
  <c r="J67" i="2"/>
  <c r="J48" i="2"/>
  <c r="J46" i="2"/>
  <c r="J68" i="2"/>
  <c r="J70" i="2"/>
  <c r="J23" i="2"/>
  <c r="E74" i="2"/>
  <c r="J24" i="2"/>
  <c r="F74" i="2"/>
  <c r="J69" i="2"/>
  <c r="D74" i="2"/>
  <c r="J25" i="2"/>
  <c r="F9" i="6" s="1"/>
  <c r="C74" i="2"/>
  <c r="J58" i="2"/>
  <c r="O9" i="6" s="1"/>
  <c r="J37" i="2"/>
  <c r="J26" i="2"/>
  <c r="I9" i="6"/>
  <c r="J57" i="2"/>
  <c r="J35" i="2"/>
  <c r="J34" i="2"/>
  <c r="I37" i="4"/>
  <c r="I24" i="4"/>
  <c r="I25" i="4"/>
  <c r="I26" i="4"/>
  <c r="I63" i="4" l="1"/>
  <c r="C7" i="14" s="1"/>
  <c r="O77" i="6"/>
  <c r="O13" i="6"/>
  <c r="O15" i="6" s="1"/>
  <c r="F77" i="6"/>
  <c r="I62" i="4"/>
  <c r="L7" i="6"/>
  <c r="L15" i="6" s="1"/>
  <c r="C7" i="6"/>
  <c r="I65" i="4"/>
  <c r="E75" i="10"/>
  <c r="E76" i="10"/>
  <c r="I64" i="4"/>
  <c r="C77" i="14"/>
  <c r="C13" i="14"/>
  <c r="C27" i="14"/>
  <c r="I13" i="6"/>
  <c r="L77" i="6"/>
  <c r="I77" i="6"/>
  <c r="F7" i="6"/>
  <c r="F15" i="6" s="1"/>
  <c r="I15" i="6" l="1"/>
  <c r="F73" i="2"/>
  <c r="G13" i="2" l="1"/>
  <c r="G15" i="2"/>
  <c r="G12" i="2"/>
  <c r="G73" i="2" s="1"/>
  <c r="G14" i="2"/>
  <c r="C33" i="6" s="1"/>
  <c r="C77" i="6" s="1"/>
  <c r="J6" i="2"/>
  <c r="J12" i="2" l="1"/>
  <c r="J14" i="2"/>
  <c r="C9" i="6" s="1"/>
  <c r="C15" i="6" s="1"/>
  <c r="J13" i="2"/>
  <c r="K76" i="2" s="1"/>
  <c r="J15" i="2"/>
  <c r="K75" i="2" s="1"/>
  <c r="R19" i="6" s="1"/>
  <c r="G74" i="2"/>
  <c r="R14" i="6" l="1"/>
  <c r="K73" i="2"/>
  <c r="R23" i="6" s="1"/>
  <c r="R29" i="6" s="1"/>
</calcChain>
</file>

<file path=xl/sharedStrings.xml><?xml version="1.0" encoding="utf-8"?>
<sst xmlns="http://schemas.openxmlformats.org/spreadsheetml/2006/main" count="874" uniqueCount="136">
  <si>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</si>
  <si>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</si>
  <si>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</si>
  <si>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</si>
  <si>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</si>
  <si>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</si>
  <si>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</si>
  <si>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</si>
  <si>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</si>
  <si>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</si>
  <si>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</si>
  <si>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</si>
  <si>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</si>
  <si>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</si>
  <si>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</si>
  <si>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</si>
  <si>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</si>
  <si>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</si>
  <si>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</si>
  <si>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</si>
  <si>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</si>
  <si>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</si>
  <si>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</si>
  <si>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</si>
  <si>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</si>
  <si>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</si>
  <si>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</si>
  <si>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</si>
  <si>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</si>
  <si>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</si>
  <si>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</si>
  <si>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</si>
  <si>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</si>
  <si>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</si>
  <si>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</si>
  <si>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</si>
  <si>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</si>
  <si>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</si>
  <si>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</si>
  <si>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</si>
  <si>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</si>
  <si>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</si>
  <si>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</si>
  <si>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</si>
  <si>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</si>
  <si>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</si>
  <si>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</si>
  <si>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</si>
  <si>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</si>
  <si>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</si>
  <si>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</si>
  <si>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</si>
  <si>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</si>
  <si>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</si>
  <si>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</si>
  <si>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</si>
  <si>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</si>
  <si>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</si>
  <si>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</si>
  <si>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</si>
  <si>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</si>
  <si>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</si>
  <si>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</si>
  <si>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</si>
  <si>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</si>
  <si>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</si>
  <si>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</si>
  <si>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</si>
  <si>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</si>
  <si>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</si>
  <si>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</si>
  <si>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</si>
  <si>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</si>
  <si>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</si>
  <si>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</si>
  <si>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</si>
  <si>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</si>
  <si>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</si>
  <si>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</si>
  <si>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</si>
  <si>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</si>
  <si>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</si>
  <si>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</si>
  <si>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</si>
  <si>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</si>
  <si>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</si>
  <si>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</si>
  <si>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</si>
  <si>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</si>
  <si>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</si>
  <si>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</si>
  <si>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</si>
  <si>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</si>
  <si>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</si>
  <si>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</si>
  <si>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</si>
  <si>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</si>
  <si>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</si>
  <si>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</si>
  <si>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</si>
  <si>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</si>
  <si>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</si>
  <si>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</si>
  <si>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</si>
  <si>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</si>
  <si>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</si>
  <si>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</si>
  <si>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</si>
  <si>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</si>
  <si>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</si>
  <si>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</si>
  <si>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</si>
  <si>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</si>
  <si>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</si>
  <si>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</si>
  <si>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</si>
  <si>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</si>
  <si>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</si>
  <si>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Governors Island (GI Ferry Slip)</t>
  </si>
  <si>
    <t>Governors Island-Yankee Pier</t>
  </si>
  <si>
    <t>BMB-Governors Island Slip</t>
  </si>
  <si>
    <t>BMB Slip #5</t>
  </si>
  <si>
    <t>BBP Pier 6 Atlantic Ave</t>
  </si>
  <si>
    <t>Governors Island - Atlantic Basin</t>
  </si>
  <si>
    <t>Sandy Hook</t>
  </si>
  <si>
    <t>Edgewater-Downtown</t>
  </si>
  <si>
    <t>7/1/2021 - 7/2/2021</t>
  </si>
  <si>
    <t>7/5/2021 - 7/9/2021</t>
  </si>
  <si>
    <t>7/12/2021 - 7/16/2021</t>
  </si>
  <si>
    <t>7/19/2021 - 7/23/2021</t>
  </si>
  <si>
    <t>7/26/2021 - 7/30/2021</t>
  </si>
  <si>
    <t>NA</t>
  </si>
  <si>
    <t>Ikea Redhook</t>
  </si>
  <si>
    <t>E34th St</t>
  </si>
  <si>
    <t>WFC/BPT</t>
  </si>
  <si>
    <t>IKEA Redhook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</si>
</sst>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164" formatCode="mm/dd/yy;@"/>
    <numFmt numFmtId="165" formatCode="[$-F800]dddd\,\ mmmm\ dd\,\ yyyy"/>
    <numFmt numFmtId="166" formatCode="_(* #,##0_);_(* \(#,##0\);_(* &quot;&quot;_);_(@_)"/>
    <numFmt numFmtId="167" formatCode="ddd"/>
    <numFmt numFmtId="168" formatCode="m/d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alifornian FB"/>
      <family val="1"/>
    </font>
    <font>
      <sz val="11"/>
      <name val="Calibri"/>
      <family val="2"/>
    </font>
    <font>
      <sz val="10"/>
      <color rgb="FF000000"/>
      <name val="Segoe UI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765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69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0" xfId="0" applyNumberFormat="1" applyFont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3" fontId="19" fillId="6" borderId="19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3" fontId="19" fillId="0" borderId="1" xfId="0" applyNumberFormat="1" applyFont="1" applyFill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0" xfId="0" applyFont="1" applyBorder="1"/>
    <xf numFmtId="0" fontId="1" fillId="0" borderId="42" xfId="0" applyFont="1" applyBorder="1"/>
    <xf numFmtId="0" fontId="1" fillId="0" borderId="43" xfId="0" applyFont="1" applyBorder="1"/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vertical="center" wrapText="1"/>
    </xf>
    <xf numFmtId="3" fontId="1" fillId="0" borderId="31" xfId="0" applyNumberFormat="1" applyFont="1" applyFill="1" applyBorder="1" applyAlignment="1">
      <alignment horizontal="right"/>
    </xf>
    <xf numFmtId="0" fontId="0" fillId="0" borderId="0" xfId="0" applyFill="1"/>
    <xf numFmtId="3" fontId="21" fillId="4" borderId="18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1" fontId="1" fillId="0" borderId="65" xfId="0" applyNumberFormat="1" applyFont="1" applyBorder="1" applyAlignment="1">
      <alignment horizontal="right"/>
    </xf>
    <xf numFmtId="1" fontId="19" fillId="0" borderId="65" xfId="0" applyNumberFormat="1" applyFont="1" applyBorder="1" applyAlignment="1">
      <alignment horizontal="right"/>
    </xf>
    <xf numFmtId="1" fontId="1" fillId="0" borderId="20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1" fontId="1" fillId="0" borderId="21" xfId="0" applyNumberFormat="1" applyFont="1" applyBorder="1" applyAlignment="1">
      <alignment horizontal="right"/>
    </xf>
    <xf numFmtId="1" fontId="19" fillId="0" borderId="21" xfId="0" applyNumberFormat="1" applyFont="1" applyBorder="1" applyAlignment="1">
      <alignment horizontal="right"/>
    </xf>
    <xf numFmtId="1" fontId="19" fillId="0" borderId="28" xfId="0" applyNumberFormat="1" applyFont="1" applyBorder="1" applyAlignment="1">
      <alignment horizontal="right"/>
    </xf>
    <xf numFmtId="1" fontId="19" fillId="0" borderId="36" xfId="0" applyNumberFormat="1" applyFont="1" applyBorder="1" applyAlignment="1">
      <alignment horizontal="right"/>
    </xf>
    <xf numFmtId="1" fontId="1" fillId="0" borderId="22" xfId="0" applyNumberFormat="1" applyFont="1" applyFill="1" applyBorder="1" applyAlignment="1">
      <alignment horizontal="right"/>
    </xf>
    <xf numFmtId="1" fontId="1" fillId="0" borderId="12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19" fillId="0" borderId="9" xfId="0" applyNumberFormat="1" applyFont="1" applyBorder="1" applyAlignment="1">
      <alignment horizontal="right"/>
    </xf>
    <xf numFmtId="1" fontId="19" fillId="0" borderId="37" xfId="0" applyNumberFormat="1" applyFont="1" applyBorder="1" applyAlignment="1">
      <alignment horizontal="right"/>
    </xf>
    <xf numFmtId="1" fontId="19" fillId="0" borderId="66" xfId="0" applyNumberFormat="1" applyFont="1" applyBorder="1" applyAlignment="1">
      <alignment horizontal="right"/>
    </xf>
    <xf numFmtId="1" fontId="19" fillId="5" borderId="65" xfId="0" applyNumberFormat="1" applyFont="1" applyFill="1" applyBorder="1" applyAlignment="1">
      <alignment horizontal="right"/>
    </xf>
    <xf numFmtId="1" fontId="19" fillId="5" borderId="36" xfId="0" applyNumberFormat="1" applyFont="1" applyFill="1" applyBorder="1" applyAlignment="1">
      <alignment horizontal="right"/>
    </xf>
    <xf numFmtId="1" fontId="19" fillId="4" borderId="36" xfId="0" applyNumberFormat="1" applyFont="1" applyFill="1" applyBorder="1" applyAlignment="1">
      <alignment horizontal="right"/>
    </xf>
    <xf numFmtId="1" fontId="19" fillId="4" borderId="68" xfId="0" applyNumberFormat="1" applyFont="1" applyFill="1" applyBorder="1" applyAlignment="1">
      <alignment horizontal="right"/>
    </xf>
    <xf numFmtId="1" fontId="19" fillId="0" borderId="68" xfId="0" applyNumberFormat="1" applyFont="1" applyBorder="1" applyAlignment="1">
      <alignment horizontal="right"/>
    </xf>
    <xf numFmtId="1" fontId="19" fillId="4" borderId="66" xfId="0" applyNumberFormat="1" applyFont="1" applyFill="1" applyBorder="1" applyAlignment="1">
      <alignment horizontal="right"/>
    </xf>
    <xf numFmtId="1" fontId="19" fillId="0" borderId="67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/>
    </xf>
    <xf numFmtId="1" fontId="1" fillId="0" borderId="36" xfId="0" applyNumberFormat="1" applyFont="1" applyFill="1" applyBorder="1" applyAlignment="1">
      <alignment horizontal="right"/>
    </xf>
    <xf numFmtId="1" fontId="1" fillId="0" borderId="68" xfId="0" applyNumberFormat="1" applyFont="1" applyFill="1" applyBorder="1" applyAlignment="1">
      <alignment horizontal="right"/>
    </xf>
    <xf numFmtId="1" fontId="6" fillId="0" borderId="67" xfId="0" applyNumberFormat="1" applyFont="1" applyFill="1" applyBorder="1" applyAlignment="1">
      <alignment horizontal="right"/>
    </xf>
    <xf numFmtId="1" fontId="6" fillId="0" borderId="36" xfId="0" applyNumberFormat="1" applyFont="1" applyFill="1" applyBorder="1" applyAlignment="1">
      <alignment horizontal="right"/>
    </xf>
    <xf numFmtId="1" fontId="6" fillId="0" borderId="68" xfId="0" applyNumberFormat="1" applyFont="1" applyFill="1" applyBorder="1" applyAlignment="1">
      <alignment horizontal="right"/>
    </xf>
    <xf numFmtId="1" fontId="19" fillId="0" borderId="36" xfId="0" applyNumberFormat="1" applyFont="1" applyFill="1" applyBorder="1" applyAlignment="1">
      <alignment horizontal="right"/>
    </xf>
    <xf numFmtId="1" fontId="19" fillId="0" borderId="68" xfId="0" applyNumberFormat="1" applyFont="1" applyFill="1" applyBorder="1" applyAlignment="1">
      <alignment horizontal="right"/>
    </xf>
    <xf numFmtId="164" fontId="1" fillId="0" borderId="50" xfId="0" applyNumberFormat="1" applyFont="1" applyBorder="1" applyAlignment="1">
      <alignment horizontal="right"/>
    </xf>
    <xf numFmtId="3" fontId="21" fillId="5" borderId="19" xfId="0" applyNumberFormat="1" applyFont="1" applyFill="1" applyBorder="1" applyAlignment="1">
      <alignment horizontal="right"/>
    </xf>
    <xf numFmtId="166" fontId="0" fillId="0" borderId="21" xfId="0" applyNumberFormat="1" applyBorder="1"/>
    <xf numFmtId="0" fontId="0" fillId="0" borderId="21" xfId="0" applyBorder="1"/>
    <xf numFmtId="3" fontId="12" fillId="4" borderId="18" xfId="0" applyNumberFormat="1" applyFont="1" applyFill="1" applyBorder="1" applyAlignment="1">
      <alignment horizontal="right"/>
    </xf>
    <xf numFmtId="41" fontId="1" fillId="0" borderId="21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0" fontId="28" fillId="0" borderId="0" xfId="0" applyFont="1" applyFill="1" applyAlignment="1">
      <alignment horizontal="right"/>
    </xf>
    <xf numFmtId="3" fontId="19" fillId="0" borderId="42" xfId="0" applyNumberFormat="1" applyFont="1" applyFill="1" applyBorder="1" applyAlignment="1">
      <alignment horizontal="right"/>
    </xf>
    <xf numFmtId="167" fontId="29" fillId="0" borderId="0" xfId="0" applyNumberFormat="1" applyFont="1" applyAlignment="1">
      <alignment horizontal="center"/>
    </xf>
    <xf numFmtId="168" fontId="2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3" fontId="1" fillId="5" borderId="21" xfId="0" applyNumberFormat="1" applyFont="1" applyFill="1" applyBorder="1" applyAlignment="1"/>
    <xf numFmtId="3" fontId="1" fillId="4" borderId="21" xfId="0" applyNumberFormat="1" applyFont="1" applyFill="1" applyBorder="1" applyAlignment="1"/>
    <xf numFmtId="3" fontId="1" fillId="0" borderId="21" xfId="0" applyNumberFormat="1" applyFont="1" applyBorder="1" applyAlignment="1"/>
    <xf numFmtId="38" fontId="12" fillId="0" borderId="21" xfId="0" applyNumberFormat="1" applyFont="1" applyFill="1" applyBorder="1" applyAlignment="1">
      <alignment wrapText="1"/>
    </xf>
    <xf numFmtId="3" fontId="1" fillId="4" borderId="29" xfId="0" applyNumberFormat="1" applyFont="1" applyFill="1" applyBorder="1" applyAlignment="1"/>
    <xf numFmtId="3" fontId="1" fillId="0" borderId="21" xfId="0" applyNumberFormat="1" applyFont="1" applyFill="1" applyBorder="1" applyAlignment="1"/>
    <xf numFmtId="164" fontId="19" fillId="0" borderId="1" xfId="0" applyNumberFormat="1" applyFont="1" applyBorder="1"/>
    <xf numFmtId="164" fontId="19" fillId="0" borderId="25" xfId="0" applyNumberFormat="1" applyFont="1" applyBorder="1"/>
    <xf numFmtId="0" fontId="0" fillId="0" borderId="16" xfId="0" applyBorder="1"/>
    <xf numFmtId="0" fontId="0" fillId="0" borderId="17" xfId="0" applyBorder="1"/>
    <xf numFmtId="0" fontId="0" fillId="0" borderId="35" xfId="0" applyBorder="1"/>
    <xf numFmtId="0" fontId="0" fillId="0" borderId="21" xfId="0" applyFill="1" applyBorder="1"/>
    <xf numFmtId="3" fontId="1" fillId="0" borderId="7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0" fontId="1" fillId="0" borderId="36" xfId="0" applyFont="1" applyFill="1" applyBorder="1" applyAlignment="1">
      <alignment horizontal="right"/>
    </xf>
    <xf numFmtId="166" fontId="0" fillId="0" borderId="0" xfId="0" applyNumberFormat="1"/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 wrapText="1"/>
    </xf>
    <xf numFmtId="0" fontId="30" fillId="0" borderId="21" xfId="0" applyNumberFormat="1" applyFont="1" applyFill="1" applyBorder="1" applyAlignment="1">
      <alignment vertical="top" wrapText="1" readingOrder="1"/>
    </xf>
    <xf numFmtId="0" fontId="1" fillId="0" borderId="41" xfId="0" applyNumberFormat="1" applyFont="1" applyFill="1" applyBorder="1" applyAlignment="1">
      <alignment horizontal="right"/>
    </xf>
    <xf numFmtId="166" fontId="0" fillId="0" borderId="21" xfId="0" applyNumberFormat="1" applyFill="1" applyBorder="1"/>
    <xf numFmtId="166" fontId="0" fillId="0" borderId="22" xfId="0" applyNumberFormat="1" applyBorder="1"/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1" fontId="1" fillId="0" borderId="22" xfId="0" applyNumberFormat="1" applyFont="1" applyBorder="1" applyAlignment="1">
      <alignment horizontal="right"/>
    </xf>
    <xf numFmtId="3" fontId="21" fillId="4" borderId="70" xfId="0" applyNumberFormat="1" applyFont="1" applyFill="1" applyBorder="1" applyAlignment="1">
      <alignment horizontal="right"/>
    </xf>
    <xf numFmtId="1" fontId="1" fillId="0" borderId="36" xfId="0" applyNumberFormat="1" applyFont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4" borderId="67" xfId="0" applyNumberFormat="1" applyFont="1" applyFill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1" fontId="1" fillId="0" borderId="8" xfId="0" applyNumberFormat="1" applyFont="1" applyBorder="1" applyAlignment="1">
      <alignment horizontal="right"/>
    </xf>
    <xf numFmtId="1" fontId="1" fillId="0" borderId="17" xfId="0" applyNumberFormat="1" applyFont="1" applyBorder="1" applyAlignment="1">
      <alignment horizontal="right"/>
    </xf>
    <xf numFmtId="1" fontId="1" fillId="0" borderId="18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166" fontId="0" fillId="0" borderId="28" xfId="0" applyNumberFormat="1" applyBorder="1"/>
    <xf numFmtId="0" fontId="1" fillId="0" borderId="28" xfId="0" applyFont="1" applyFill="1" applyBorder="1" applyAlignment="1">
      <alignment horizontal="right"/>
    </xf>
    <xf numFmtId="166" fontId="0" fillId="0" borderId="36" xfId="0" applyNumberFormat="1" applyBorder="1"/>
    <xf numFmtId="166" fontId="0" fillId="0" borderId="36" xfId="0" applyNumberFormat="1" applyFill="1" applyBorder="1"/>
    <xf numFmtId="164" fontId="1" fillId="0" borderId="4" xfId="0" applyNumberFormat="1" applyFont="1" applyBorder="1" applyAlignment="1">
      <alignment horizontal="right"/>
    </xf>
    <xf numFmtId="164" fontId="6" fillId="0" borderId="16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72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1" fontId="1" fillId="0" borderId="51" xfId="0" applyNumberFormat="1" applyFont="1" applyBorder="1" applyAlignment="1">
      <alignment horizontal="right"/>
    </xf>
    <xf numFmtId="1" fontId="1" fillId="0" borderId="72" xfId="0" applyNumberFormat="1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" fillId="0" borderId="44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3" fontId="1" fillId="0" borderId="14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3" fontId="19" fillId="0" borderId="75" xfId="0" applyNumberFormat="1" applyFont="1" applyBorder="1" applyAlignment="1">
      <alignment horizontal="right"/>
    </xf>
    <xf numFmtId="3" fontId="19" fillId="0" borderId="14" xfId="0" applyNumberFormat="1" applyFont="1" applyBorder="1" applyAlignment="1">
      <alignment horizontal="right"/>
    </xf>
    <xf numFmtId="3" fontId="1" fillId="0" borderId="38" xfId="0" applyNumberFormat="1" applyFont="1" applyBorder="1" applyAlignment="1">
      <alignment horizontal="right"/>
    </xf>
    <xf numFmtId="3" fontId="21" fillId="5" borderId="34" xfId="0" applyNumberFormat="1" applyFont="1" applyFill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1" fontId="1" fillId="0" borderId="21" xfId="0" applyNumberFormat="1" applyFont="1" applyFill="1" applyBorder="1" applyAlignment="1">
      <alignment horizontal="right"/>
    </xf>
    <xf numFmtId="1" fontId="1" fillId="0" borderId="28" xfId="0" applyNumberFormat="1" applyFont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1" fillId="0" borderId="28" xfId="0" applyNumberFormat="1" applyFont="1" applyFill="1" applyBorder="1" applyAlignment="1">
      <alignment horizontal="right"/>
    </xf>
    <xf numFmtId="3" fontId="1" fillId="0" borderId="57" xfId="0" applyNumberFormat="1" applyFont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0" fontId="21" fillId="4" borderId="47" xfId="0" applyFont="1" applyFill="1" applyBorder="1" applyAlignment="1">
      <alignment horizontal="center" vertical="center" wrapText="1"/>
    </xf>
    <xf numFmtId="3" fontId="21" fillId="4" borderId="61" xfId="0" applyNumberFormat="1" applyFont="1" applyFill="1" applyBorder="1" applyAlignment="1">
      <alignment horizontal="center" vertical="center" wrapText="1"/>
    </xf>
    <xf numFmtId="3" fontId="21" fillId="4" borderId="73" xfId="0" applyNumberFormat="1" applyFont="1" applyFill="1" applyBorder="1" applyAlignment="1">
      <alignment horizontal="center" vertical="center" wrapText="1"/>
    </xf>
    <xf numFmtId="3" fontId="21" fillId="4" borderId="73" xfId="0" applyNumberFormat="1" applyFont="1" applyFill="1" applyBorder="1" applyAlignment="1">
      <alignment horizontal="center" vertical="center"/>
    </xf>
    <xf numFmtId="3" fontId="21" fillId="4" borderId="62" xfId="0" applyNumberFormat="1" applyFont="1" applyFill="1" applyBorder="1" applyAlignment="1">
      <alignment horizontal="center" vertical="center" wrapText="1"/>
    </xf>
    <xf numFmtId="3" fontId="19" fillId="0" borderId="42" xfId="0" applyNumberFormat="1" applyFont="1" applyBorder="1" applyAlignment="1">
      <alignment horizontal="center" vertical="center"/>
    </xf>
    <xf numFmtId="3" fontId="19" fillId="0" borderId="26" xfId="0" applyNumberFormat="1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Fill="1" applyBorder="1" applyAlignment="1">
      <alignment horizontal="center" vertical="center" wrapText="1"/>
    </xf>
    <xf numFmtId="3" fontId="19" fillId="0" borderId="43" xfId="0" applyNumberFormat="1" applyFont="1" applyBorder="1" applyAlignment="1">
      <alignment horizontal="center" vertical="center"/>
    </xf>
    <xf numFmtId="3" fontId="1" fillId="0" borderId="30" xfId="0" applyNumberFormat="1" applyFont="1" applyFill="1" applyBorder="1" applyAlignment="1">
      <alignment horizontal="center" vertical="center"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1" fillId="0" borderId="52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14" fontId="1" fillId="0" borderId="36" xfId="0" applyNumberFormat="1" applyFont="1" applyBorder="1" applyAlignment="1">
      <alignment horizontal="center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0" fillId="3" borderId="71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12" xfId="0" applyFont="1" applyFill="1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20" fillId="3" borderId="37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/>
    </xf>
    <xf numFmtId="0" fontId="21" fillId="4" borderId="34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3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1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2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1" fontId="21" fillId="4" borderId="67" xfId="0" applyNumberFormat="1" applyFont="1" applyFill="1" applyBorder="1" applyAlignment="1">
      <alignment horizontal="center" vertical="center" wrapText="1"/>
    </xf>
    <xf numFmtId="1" fontId="21" fillId="4" borderId="66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45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R80"/>
  <sheetViews>
    <sheetView tabSelected="1" zoomScaleNormal="100" workbookViewId="0">
      <pane ySplit="3" topLeftCell="A4" activePane="bottomLeft" state="frozen"/>
      <selection pane="bottomLeft" activeCell="J15" sqref="J15"/>
    </sheetView>
  </sheetViews>
  <sheetFormatPr defaultColWidth="9.140625" defaultRowHeight="13.5" x14ac:dyDescent="0.25"/>
  <cols>
    <col min="1" max="1" width="9.140625" style="94"/>
    <col min="2" max="2" width="26.5703125" style="94" bestFit="1" customWidth="1"/>
    <col min="3" max="3" width="8.85546875" style="94" customWidth="1"/>
    <col min="4" max="4" width="3.5703125" style="94" customWidth="1"/>
    <col min="5" max="5" width="26.5703125" style="94" bestFit="1" customWidth="1"/>
    <col min="6" max="6" width="8.7109375" style="94" bestFit="1" customWidth="1"/>
    <col min="7" max="7" width="3.7109375" style="94" customWidth="1"/>
    <col min="8" max="8" width="26.5703125" style="94" bestFit="1" customWidth="1"/>
    <col min="9" max="9" width="8.140625" style="94" bestFit="1" customWidth="1"/>
    <col min="10" max="10" width="3.7109375" style="94" customWidth="1"/>
    <col min="11" max="11" width="26.5703125" style="94" bestFit="1" customWidth="1"/>
    <col min="12" max="12" width="11.140625" style="94" customWidth="1"/>
    <col min="13" max="13" width="3.7109375" style="94" customWidth="1"/>
    <col min="14" max="14" width="26.5703125" style="321" bestFit="1" customWidth="1"/>
    <col min="15" max="15" width="11.140625" style="321" customWidth="1"/>
    <col min="16" max="16" width="3.7109375" style="94" customWidth="1"/>
    <col min="17" max="17" width="36.5703125" style="94" bestFit="1" customWidth="1"/>
    <col min="18" max="18" width="9.140625" style="94" bestFit="1" customWidth="1"/>
    <col min="19" max="19" width="61.7109375" style="94" bestFit="1" customWidth="1"/>
    <col min="20" max="16384" width="9.140625" style="94"/>
  </cols>
  <sheetData>
    <row r="2" spans="2:18" ht="13.15" x14ac:dyDescent="0.25">
      <c r="B2" s="561" t="s">
        <v>40</v>
      </c>
      <c r="C2" s="562"/>
      <c r="D2" s="78"/>
      <c r="E2" s="561" t="s">
        <v>40</v>
      </c>
      <c r="F2" s="562"/>
      <c r="G2" s="40"/>
      <c r="H2" s="561" t="s">
        <v>40</v>
      </c>
      <c r="I2" s="562"/>
      <c r="J2" s="79"/>
      <c r="K2" s="561" t="s">
        <v>40</v>
      </c>
      <c r="L2" s="562"/>
      <c r="M2" s="79"/>
      <c r="N2" s="561" t="s">
        <v>40</v>
      </c>
      <c r="O2" s="610"/>
    </row>
    <row r="3" spans="2:18" ht="15.75" customHeight="1" x14ac:dyDescent="0.25">
      <c r="B3" s="570" t="s">
        <v>126</v>
      </c>
      <c r="C3" s="570"/>
      <c r="D3" s="80"/>
      <c r="E3" s="563" t="s">
        <v>127</v>
      </c>
      <c r="F3" s="564"/>
      <c r="G3" s="80"/>
      <c r="H3" s="563" t="s">
        <v>128</v>
      </c>
      <c r="I3" s="564"/>
      <c r="J3" s="81"/>
      <c r="K3" s="568" t="s">
        <v>129</v>
      </c>
      <c r="L3" s="569"/>
      <c r="M3" s="79"/>
      <c r="N3" s="563" t="s">
        <v>130</v>
      </c>
      <c r="O3" s="614"/>
    </row>
    <row r="4" spans="2:18" ht="13.9" thickBot="1" x14ac:dyDescent="0.3">
      <c r="B4" s="565" t="s">
        <v>41</v>
      </c>
      <c r="C4" s="566"/>
      <c r="D4" s="78"/>
      <c r="E4" s="565" t="s">
        <v>41</v>
      </c>
      <c r="F4" s="566"/>
      <c r="G4" s="79"/>
      <c r="H4" s="565" t="s">
        <v>41</v>
      </c>
      <c r="I4" s="566"/>
      <c r="J4" s="79"/>
      <c r="K4" s="565" t="s">
        <v>41</v>
      </c>
      <c r="L4" s="567"/>
      <c r="M4" s="79"/>
      <c r="N4" s="565" t="s">
        <v>41</v>
      </c>
      <c r="O4" s="611"/>
    </row>
    <row r="5" spans="2:18" s="95" customFormat="1" ht="12.95" customHeight="1" x14ac:dyDescent="0.25">
      <c r="B5" s="558" t="s">
        <v>42</v>
      </c>
      <c r="C5" s="545">
        <f>'NY Waterway-(Port Imperial FC)'!Z14</f>
        <v>17587</v>
      </c>
      <c r="D5" s="7"/>
      <c r="E5" s="558" t="s">
        <v>42</v>
      </c>
      <c r="F5" s="545">
        <f>'NY Waterway-(Port Imperial FC)'!Z25</f>
        <v>59395</v>
      </c>
      <c r="G5" s="82"/>
      <c r="H5" s="558" t="s">
        <v>42</v>
      </c>
      <c r="I5" s="545">
        <f>'NY Waterway-(Port Imperial FC)'!Z36</f>
        <v>65826</v>
      </c>
      <c r="J5" s="82"/>
      <c r="K5" s="558" t="s">
        <v>42</v>
      </c>
      <c r="L5" s="545">
        <f>'NY Waterway-(Port Imperial FC)'!Z47</f>
        <v>71345</v>
      </c>
      <c r="M5" s="82"/>
      <c r="N5" s="558" t="s">
        <v>42</v>
      </c>
      <c r="O5" s="545">
        <f>'NY Waterway-(Port Imperial FC)'!Z58</f>
        <v>43222</v>
      </c>
    </row>
    <row r="6" spans="2:18" s="95" customFormat="1" ht="12.95" customHeight="1" thickBot="1" x14ac:dyDescent="0.3">
      <c r="B6" s="559"/>
      <c r="C6" s="546"/>
      <c r="D6" s="8"/>
      <c r="E6" s="559"/>
      <c r="F6" s="546"/>
      <c r="G6" s="82"/>
      <c r="H6" s="559"/>
      <c r="I6" s="560"/>
      <c r="J6" s="82"/>
      <c r="K6" s="559"/>
      <c r="L6" s="560"/>
      <c r="M6" s="82"/>
      <c r="N6" s="559"/>
      <c r="O6" s="560"/>
    </row>
    <row r="7" spans="2:18" s="95" customFormat="1" ht="12.95" customHeight="1" x14ac:dyDescent="0.25">
      <c r="B7" s="558" t="s">
        <v>43</v>
      </c>
      <c r="C7" s="545">
        <f>SUM(SeaStreak!I14)</f>
        <v>3610</v>
      </c>
      <c r="D7" s="7"/>
      <c r="E7" s="558" t="s">
        <v>43</v>
      </c>
      <c r="F7" s="545">
        <f>SUM(SeaStreak!I25)</f>
        <v>10271</v>
      </c>
      <c r="G7" s="82"/>
      <c r="H7" s="558" t="s">
        <v>43</v>
      </c>
      <c r="I7" s="545">
        <f>SUM(SeaStreak!I36)</f>
        <v>10659</v>
      </c>
      <c r="J7" s="82"/>
      <c r="K7" s="558" t="s">
        <v>43</v>
      </c>
      <c r="L7" s="545">
        <f>SUM(SeaStreak!I47)</f>
        <v>11528</v>
      </c>
      <c r="M7" s="82"/>
      <c r="N7" s="558" t="s">
        <v>43</v>
      </c>
      <c r="O7" s="545">
        <f>SeaStreak!I58</f>
        <v>10811</v>
      </c>
    </row>
    <row r="8" spans="2:18" s="95" customFormat="1" ht="12.95" customHeight="1" thickBot="1" x14ac:dyDescent="0.3">
      <c r="B8" s="571"/>
      <c r="C8" s="546"/>
      <c r="D8" s="83"/>
      <c r="E8" s="571"/>
      <c r="F8" s="560"/>
      <c r="G8" s="82"/>
      <c r="H8" s="571"/>
      <c r="I8" s="560"/>
      <c r="J8" s="82"/>
      <c r="K8" s="571"/>
      <c r="L8" s="560"/>
      <c r="M8" s="82"/>
      <c r="N8" s="571"/>
      <c r="O8" s="560"/>
    </row>
    <row r="9" spans="2:18" s="95" customFormat="1" ht="12.95" customHeight="1" x14ac:dyDescent="0.25">
      <c r="B9" s="547" t="s">
        <v>44</v>
      </c>
      <c r="C9" s="545">
        <f>SUM('New York Water Taxi'!J14)</f>
        <v>506</v>
      </c>
      <c r="D9" s="9"/>
      <c r="E9" s="547" t="s">
        <v>44</v>
      </c>
      <c r="F9" s="572">
        <f>SUM('New York Water Taxi'!J25)</f>
        <v>1166</v>
      </c>
      <c r="G9" s="82"/>
      <c r="H9" s="547" t="s">
        <v>44</v>
      </c>
      <c r="I9" s="572">
        <f>SUM('New York Water Taxi'!J36)</f>
        <v>1583</v>
      </c>
      <c r="J9" s="82"/>
      <c r="K9" s="547" t="s">
        <v>44</v>
      </c>
      <c r="L9" s="572">
        <f>SUM('New York Water Taxi'!J47)</f>
        <v>1585</v>
      </c>
      <c r="M9" s="82"/>
      <c r="N9" s="547" t="s">
        <v>44</v>
      </c>
      <c r="O9" s="572">
        <f>'New York Water Taxi'!J58</f>
        <v>1019</v>
      </c>
    </row>
    <row r="10" spans="2:18" s="95" customFormat="1" ht="12.95" customHeight="1" thickBot="1" x14ac:dyDescent="0.3">
      <c r="B10" s="553"/>
      <c r="C10" s="546"/>
      <c r="D10" s="84"/>
      <c r="E10" s="553"/>
      <c r="F10" s="573"/>
      <c r="G10" s="82"/>
      <c r="H10" s="553"/>
      <c r="I10" s="574"/>
      <c r="J10" s="82"/>
      <c r="K10" s="553"/>
      <c r="L10" s="574"/>
      <c r="M10" s="82"/>
      <c r="N10" s="553"/>
      <c r="O10" s="574"/>
    </row>
    <row r="11" spans="2:18" s="95" customFormat="1" ht="12.95" customHeight="1" x14ac:dyDescent="0.25">
      <c r="B11" s="579" t="s">
        <v>31</v>
      </c>
      <c r="C11" s="545">
        <f>'Liberty Landing Ferry'!C14</f>
        <v>714</v>
      </c>
      <c r="D11" s="9"/>
      <c r="E11" s="579" t="s">
        <v>31</v>
      </c>
      <c r="F11" s="572">
        <f>'Liberty Landing Ferry'!C25</f>
        <v>2122</v>
      </c>
      <c r="G11" s="82"/>
      <c r="H11" s="579" t="s">
        <v>31</v>
      </c>
      <c r="I11" s="572">
        <f>'Liberty Landing Ferry'!C36</f>
        <v>2558</v>
      </c>
      <c r="J11" s="82"/>
      <c r="K11" s="579" t="s">
        <v>31</v>
      </c>
      <c r="L11" s="572">
        <f>'Liberty Landing Ferry'!C47</f>
        <v>2667</v>
      </c>
      <c r="M11" s="82"/>
      <c r="N11" s="579" t="s">
        <v>31</v>
      </c>
      <c r="O11" s="572">
        <f>'Liberty Landing Ferry'!C58</f>
        <v>2632</v>
      </c>
    </row>
    <row r="12" spans="2:18" s="95" customFormat="1" ht="12.95" customHeight="1" thickBot="1" x14ac:dyDescent="0.3">
      <c r="B12" s="580"/>
      <c r="C12" s="546"/>
      <c r="D12" s="84"/>
      <c r="E12" s="580"/>
      <c r="F12" s="573"/>
      <c r="G12" s="82"/>
      <c r="H12" s="580"/>
      <c r="I12" s="574"/>
      <c r="J12" s="82"/>
      <c r="K12" s="580"/>
      <c r="L12" s="574"/>
      <c r="M12" s="82"/>
      <c r="N12" s="580"/>
      <c r="O12" s="574"/>
    </row>
    <row r="13" spans="2:18" s="172" customFormat="1" ht="12.95" customHeight="1" thickBot="1" x14ac:dyDescent="0.3">
      <c r="B13" s="579" t="s">
        <v>66</v>
      </c>
      <c r="C13" s="572">
        <f>'NYC Ferry'!AM20</f>
        <v>18436</v>
      </c>
      <c r="D13" s="84"/>
      <c r="E13" s="579" t="s">
        <v>66</v>
      </c>
      <c r="F13" s="572">
        <f>'NYC Ferry'!AM31</f>
        <v>83267</v>
      </c>
      <c r="G13" s="171"/>
      <c r="H13" s="579" t="s">
        <v>66</v>
      </c>
      <c r="I13" s="572">
        <f>'NYC Ferry'!AM42</f>
        <v>75221</v>
      </c>
      <c r="J13" s="171"/>
      <c r="K13" s="579" t="s">
        <v>66</v>
      </c>
      <c r="L13" s="572">
        <f>'NYC Ferry'!AM53</f>
        <v>78235</v>
      </c>
      <c r="M13" s="171"/>
      <c r="N13" s="579" t="s">
        <v>66</v>
      </c>
      <c r="O13" s="572">
        <f>'NYC Ferry'!AM64</f>
        <v>81617</v>
      </c>
    </row>
    <row r="14" spans="2:18" s="172" customFormat="1" ht="12.95" customHeight="1" thickBot="1" x14ac:dyDescent="0.3">
      <c r="B14" s="580"/>
      <c r="C14" s="573"/>
      <c r="D14" s="84"/>
      <c r="E14" s="580"/>
      <c r="F14" s="573"/>
      <c r="G14" s="171"/>
      <c r="H14" s="580"/>
      <c r="I14" s="573"/>
      <c r="J14" s="171"/>
      <c r="K14" s="580"/>
      <c r="L14" s="573"/>
      <c r="M14" s="171"/>
      <c r="N14" s="580"/>
      <c r="O14" s="573"/>
      <c r="Q14" s="575" t="s">
        <v>110</v>
      </c>
      <c r="R14" s="577">
        <f>AVERAGE('NYC Ferry'!E76,'NY Waterway-(Port Imperial FC)'!Q64,SeaStreak!I64,'New York Water Taxi'!K75,'Weekday Totals'!G76)</f>
        <v>6763.83</v>
      </c>
    </row>
    <row r="15" spans="2:18" s="86" customFormat="1" ht="12.95" customHeight="1" x14ac:dyDescent="0.2">
      <c r="B15" s="575" t="s">
        <v>17</v>
      </c>
      <c r="C15" s="577">
        <f>SUM(C5:C14)</f>
        <v>40853</v>
      </c>
      <c r="D15" s="10"/>
      <c r="E15" s="575" t="s">
        <v>17</v>
      </c>
      <c r="F15" s="577">
        <f>SUM(F5:F14)</f>
        <v>156221</v>
      </c>
      <c r="G15" s="85"/>
      <c r="H15" s="575" t="s">
        <v>17</v>
      </c>
      <c r="I15" s="577">
        <f>SUM(I5:I14)</f>
        <v>155847</v>
      </c>
      <c r="J15" s="85"/>
      <c r="K15" s="575" t="s">
        <v>17</v>
      </c>
      <c r="L15" s="577">
        <f>SUM(L5:L14)</f>
        <v>165360</v>
      </c>
      <c r="M15" s="85"/>
      <c r="N15" s="575" t="s">
        <v>17</v>
      </c>
      <c r="O15" s="577">
        <f>SUM(O5:O14)</f>
        <v>139301</v>
      </c>
      <c r="Q15" s="612"/>
      <c r="R15" s="597"/>
    </row>
    <row r="16" spans="2:18" s="86" customFormat="1" ht="12.95" customHeight="1" thickBot="1" x14ac:dyDescent="0.25">
      <c r="B16" s="576"/>
      <c r="C16" s="578"/>
      <c r="D16" s="87"/>
      <c r="E16" s="576"/>
      <c r="F16" s="578"/>
      <c r="G16" s="85"/>
      <c r="H16" s="576"/>
      <c r="I16" s="578"/>
      <c r="J16" s="85"/>
      <c r="K16" s="576"/>
      <c r="L16" s="578"/>
      <c r="M16" s="85"/>
      <c r="N16" s="576"/>
      <c r="O16" s="578"/>
      <c r="Q16" s="612"/>
      <c r="R16" s="597"/>
    </row>
    <row r="17" spans="2:18" s="95" customFormat="1" ht="14.25" thickBot="1" x14ac:dyDescent="0.3">
      <c r="B17" s="88"/>
      <c r="C17" s="89"/>
      <c r="D17" s="82"/>
      <c r="E17" s="88"/>
      <c r="F17" s="89"/>
      <c r="G17" s="82"/>
      <c r="H17" s="88"/>
      <c r="I17" s="89"/>
      <c r="J17" s="82"/>
      <c r="K17" s="90"/>
      <c r="L17" s="91"/>
      <c r="M17" s="82"/>
      <c r="N17" s="328"/>
      <c r="O17" s="329"/>
      <c r="Q17" s="613"/>
      <c r="R17" s="598"/>
    </row>
    <row r="18" spans="2:18" ht="14.25" thickBot="1" x14ac:dyDescent="0.3">
      <c r="B18" s="581" t="s">
        <v>45</v>
      </c>
      <c r="C18" s="582"/>
      <c r="D18" s="78"/>
      <c r="E18" s="581" t="s">
        <v>45</v>
      </c>
      <c r="F18" s="582"/>
      <c r="G18" s="79"/>
      <c r="H18" s="581" t="s">
        <v>45</v>
      </c>
      <c r="I18" s="582"/>
      <c r="J18" s="79"/>
      <c r="K18" s="581" t="s">
        <v>45</v>
      </c>
      <c r="L18" s="583"/>
      <c r="M18" s="79"/>
      <c r="N18" s="581" t="s">
        <v>45</v>
      </c>
      <c r="O18" s="608"/>
      <c r="Q18" s="10"/>
      <c r="R18" s="10"/>
    </row>
    <row r="19" spans="2:18" ht="12.95" customHeight="1" x14ac:dyDescent="0.25">
      <c r="B19" s="558" t="s">
        <v>10</v>
      </c>
      <c r="C19" s="545">
        <f>SUM('NY Waterway-(Port Imperial FC)'!C14:G14, SeaStreak!C14:D14,'NYC Ferry'!C20,'NYC Ferry'!J20,'NYC Ferry'!M20,'NYC Ferry'!T20,'NYC Ferry'!AA20,'NYC Ferry'!AF20,'NYC Ferry'!AK20)</f>
        <v>7631</v>
      </c>
      <c r="D19" s="7"/>
      <c r="E19" s="558" t="s">
        <v>10</v>
      </c>
      <c r="F19" s="545">
        <f>SUM('NY Waterway-(Port Imperial FC)'!C25:G25, SeaStreak!C25:D25,'NYC Ferry'!C31,'NYC Ferry'!J31,'NYC Ferry'!M31,'NYC Ferry'!T31,'NYC Ferry'!AA31,'NYC Ferry'!AF31,'NYC Ferry'!AK31)</f>
        <v>30960</v>
      </c>
      <c r="G19" s="79"/>
      <c r="H19" s="558" t="s">
        <v>10</v>
      </c>
      <c r="I19" s="545">
        <f>SUM('NY Waterway-(Port Imperial FC)'!C36:G36, SeaStreak!C36:D36,'NYC Ferry'!C42,'NYC Ferry'!J42,'NYC Ferry'!M42,'NYC Ferry'!T42,'NYC Ferry'!AA42,'NYC Ferry'!AF42,'NYC Ferry'!AK42)</f>
        <v>30152</v>
      </c>
      <c r="J19" s="79"/>
      <c r="K19" s="558" t="s">
        <v>10</v>
      </c>
      <c r="L19" s="545">
        <f>SUM('NY Waterway-(Port Imperial FC)'!C47:G47, SeaStreak!C47:D47,'NYC Ferry'!C53,'NYC Ferry'!J53,'NYC Ferry'!M53,'NYC Ferry'!T53,'NYC Ferry'!AA53,'NYC Ferry'!AF53,'NYC Ferry'!AK53)</f>
        <v>33260</v>
      </c>
      <c r="M19" s="79"/>
      <c r="N19" s="558" t="s">
        <v>10</v>
      </c>
      <c r="O19" s="545">
        <f>SUM('NY Waterway-(Port Imperial FC)'!C58:G58, SeaStreak!C58:D58,'NYC Ferry'!C64,'NYC Ferry'!J64,'NYC Ferry'!M64,'NYC Ferry'!T64,'NYC Ferry'!AA64,'NYC Ferry'!AF64,'NYC Ferry'!AK64)</f>
        <v>32890</v>
      </c>
      <c r="Q19" s="599" t="s">
        <v>111</v>
      </c>
      <c r="R19" s="602">
        <f>SUM('NYC Ferry'!E76,'NY Waterway-(Port Imperial FC)'!Q64,SeaStreak!I64,'New York Water Taxi'!K75,'Liberty Landing Ferry'!F75)</f>
        <v>27525.88</v>
      </c>
    </row>
    <row r="20" spans="2:18" ht="12.95" customHeight="1" thickBot="1" x14ac:dyDescent="0.3">
      <c r="B20" s="559"/>
      <c r="C20" s="560"/>
      <c r="D20" s="8"/>
      <c r="E20" s="559"/>
      <c r="F20" s="546"/>
      <c r="G20" s="79"/>
      <c r="H20" s="559"/>
      <c r="I20" s="546"/>
      <c r="J20" s="79"/>
      <c r="K20" s="559"/>
      <c r="L20" s="546"/>
      <c r="M20" s="79"/>
      <c r="N20" s="559"/>
      <c r="O20" s="560"/>
      <c r="Q20" s="600"/>
      <c r="R20" s="603"/>
    </row>
    <row r="21" spans="2:18" ht="12.95" customHeight="1" thickBot="1" x14ac:dyDescent="0.3">
      <c r="B21" s="558" t="s">
        <v>13</v>
      </c>
      <c r="C21" s="545">
        <f>SUM(SeaStreak!G14:H14,'New York Water Taxi'!H14,'NYC Ferry'!I20,'NYC Ferry'!V20,'NYC Ferry'!AB20,'NYC Ferry'!AI20)</f>
        <v>4291</v>
      </c>
      <c r="D21" s="7"/>
      <c r="E21" s="558" t="s">
        <v>13</v>
      </c>
      <c r="F21" s="545">
        <f>SUM(SeaStreak!G25:H25,'New York Water Taxi'!H25, 'NYC Ferry'!I31,'NYC Ferry'!V31,'NYC Ferry'!AB31,'NYC Ferry'!AI31)</f>
        <v>14360</v>
      </c>
      <c r="G21" s="79"/>
      <c r="H21" s="558" t="s">
        <v>13</v>
      </c>
      <c r="I21" s="545">
        <f>SUM(SeaStreak!G36:H36,'New York Water Taxi'!H36, 'NYC Ferry'!I42,'NYC Ferry'!V42,'NYC Ferry'!AB42,'NYC Ferry'!AI42)</f>
        <v>15191</v>
      </c>
      <c r="J21" s="79"/>
      <c r="K21" s="558" t="s">
        <v>13</v>
      </c>
      <c r="L21" s="545">
        <f>SUM(SeaStreak!G47:H47,'New York Water Taxi'!H47,'NYC Ferry'!I53,'NYC Ferry'!V53,'NYC Ferry'!AB53,'NYC Ferry'!AI53)</f>
        <v>15477</v>
      </c>
      <c r="M21" s="79"/>
      <c r="N21" s="558" t="s">
        <v>13</v>
      </c>
      <c r="O21" s="545">
        <f>SUM(SeaStreak!G58:H58,'New York Water Taxi'!H58,'NYC Ferry'!I64,'NYC Ferry'!V64,'NYC Ferry'!AB64,'NYC Ferry'!AI64)</f>
        <v>14403</v>
      </c>
      <c r="Q21" s="601"/>
      <c r="R21" s="604"/>
    </row>
    <row r="22" spans="2:18" ht="12.95" customHeight="1" thickBot="1" x14ac:dyDescent="0.3">
      <c r="B22" s="571"/>
      <c r="C22" s="560"/>
      <c r="D22" s="83"/>
      <c r="E22" s="571"/>
      <c r="F22" s="585"/>
      <c r="G22" s="79"/>
      <c r="H22" s="571"/>
      <c r="I22" s="585"/>
      <c r="J22" s="79"/>
      <c r="K22" s="571"/>
      <c r="L22" s="585"/>
      <c r="M22" s="79"/>
      <c r="N22" s="571"/>
      <c r="O22" s="585"/>
      <c r="Q22" s="322"/>
      <c r="R22" s="325"/>
    </row>
    <row r="23" spans="2:18" ht="12.95" customHeight="1" x14ac:dyDescent="0.25">
      <c r="B23" s="547" t="s">
        <v>62</v>
      </c>
      <c r="C23" s="545">
        <f xml:space="preserve"> SUM('NY Waterway-(Port Imperial FC)'!H14,SeaStreak!E14:F14)</f>
        <v>711</v>
      </c>
      <c r="D23" s="8"/>
      <c r="E23" s="547" t="s">
        <v>62</v>
      </c>
      <c r="F23" s="545">
        <f>SUM( 'NY Waterway-(Port Imperial FC)'!H25,SeaStreak!E25:F25)</f>
        <v>2016</v>
      </c>
      <c r="G23" s="79"/>
      <c r="H23" s="547" t="s">
        <v>62</v>
      </c>
      <c r="I23" s="545">
        <f>SUM( 'NY Waterway-(Port Imperial FC)'!H36,SeaStreak!E36:F36)</f>
        <v>2195</v>
      </c>
      <c r="J23" s="79"/>
      <c r="K23" s="547" t="s">
        <v>62</v>
      </c>
      <c r="L23" s="545">
        <f>SUM('NY Waterway-(Port Imperial FC)'!H47,SeaStreak!E47:F47)</f>
        <v>2433</v>
      </c>
      <c r="M23" s="79"/>
      <c r="N23" s="547" t="s">
        <v>62</v>
      </c>
      <c r="O23" s="545">
        <f>SUM('NY Waterway-(Port Imperial FC)'!H58,SeaStreak!E58:F58)</f>
        <v>2231</v>
      </c>
      <c r="Q23" s="599" t="s">
        <v>112</v>
      </c>
      <c r="R23" s="602">
        <f>SUM('NYC Ferry'!E74,'NY Waterway-(Port Imperial FC)'!Q62,SeaStreak!I62,'New York Water Taxi'!K73,'Liberty Landing Ferry'!F73)</f>
        <v>657949</v>
      </c>
    </row>
    <row r="24" spans="2:18" ht="12.95" customHeight="1" thickBot="1" x14ac:dyDescent="0.3">
      <c r="B24" s="548"/>
      <c r="C24" s="560"/>
      <c r="D24" s="8"/>
      <c r="E24" s="548"/>
      <c r="F24" s="546"/>
      <c r="G24" s="79"/>
      <c r="H24" s="548"/>
      <c r="I24" s="546"/>
      <c r="J24" s="79"/>
      <c r="K24" s="548"/>
      <c r="L24" s="546"/>
      <c r="M24" s="79"/>
      <c r="N24" s="609"/>
      <c r="O24" s="546"/>
      <c r="Q24" s="600"/>
      <c r="R24" s="603"/>
    </row>
    <row r="25" spans="2:18" ht="12.95" customHeight="1" thickBot="1" x14ac:dyDescent="0.3">
      <c r="B25" s="547" t="s">
        <v>8</v>
      </c>
      <c r="C25" s="572">
        <f>SUM('NY Waterway-(Port Imperial FC)'!R14:Y14)</f>
        <v>7507</v>
      </c>
      <c r="D25" s="9"/>
      <c r="E25" s="547" t="s">
        <v>8</v>
      </c>
      <c r="F25" s="572">
        <f>SUM('NY Waterway-(Port Imperial FC)'!R25:Y25)</f>
        <v>20355</v>
      </c>
      <c r="G25" s="79"/>
      <c r="H25" s="547" t="s">
        <v>8</v>
      </c>
      <c r="I25" s="572">
        <f>SUM('NY Waterway-(Port Imperial FC)'!R36:Y36)</f>
        <v>21108</v>
      </c>
      <c r="J25" s="79"/>
      <c r="K25" s="547" t="s">
        <v>8</v>
      </c>
      <c r="L25" s="572">
        <f>SUM('NY Waterway-(Port Imperial FC)'!R47:Y47)</f>
        <v>21543</v>
      </c>
      <c r="M25" s="79"/>
      <c r="N25" s="547" t="s">
        <v>8</v>
      </c>
      <c r="O25" s="572">
        <f>SUM('NY Waterway-(Port Imperial FC)'!R58:Y58)</f>
        <v>20504</v>
      </c>
      <c r="Q25" s="601"/>
      <c r="R25" s="604"/>
    </row>
    <row r="26" spans="2:18" ht="12.95" customHeight="1" thickBot="1" x14ac:dyDescent="0.3">
      <c r="B26" s="548"/>
      <c r="C26" s="574"/>
      <c r="D26" s="81"/>
      <c r="E26" s="548"/>
      <c r="F26" s="574"/>
      <c r="G26" s="79"/>
      <c r="H26" s="548"/>
      <c r="I26" s="595"/>
      <c r="J26" s="79"/>
      <c r="K26" s="548"/>
      <c r="L26" s="596"/>
      <c r="M26" s="79"/>
      <c r="N26" s="609"/>
      <c r="O26" s="595"/>
      <c r="Q26" s="323"/>
      <c r="R26" s="326"/>
    </row>
    <row r="27" spans="2:18" ht="12.95" customHeight="1" thickBot="1" x14ac:dyDescent="0.3">
      <c r="B27" s="547" t="s">
        <v>9</v>
      </c>
      <c r="C27" s="572">
        <f>SUM('NY Waterway-(Port Imperial FC)'!O14:Q14, 'Liberty Landing Ferry'!C14, 'New York Water Taxi'!C14)</f>
        <v>5730</v>
      </c>
      <c r="D27" s="9"/>
      <c r="E27" s="547" t="s">
        <v>9</v>
      </c>
      <c r="F27" s="551">
        <f>SUM('NY Waterway-(Port Imperial FC)'!O25:Q25, 'Liberty Landing Ferry'!C25, 'New York Water Taxi'!C25)</f>
        <v>16675</v>
      </c>
      <c r="G27" s="79"/>
      <c r="H27" s="547" t="s">
        <v>9</v>
      </c>
      <c r="I27" s="572">
        <f>SUM('NY Waterway-(Port Imperial FC)'!O36:Q36, 'Liberty Landing Ferry'!C36, 'New York Water Taxi'!C36)</f>
        <v>20440</v>
      </c>
      <c r="J27" s="79"/>
      <c r="K27" s="547" t="s">
        <v>9</v>
      </c>
      <c r="L27" s="572">
        <f>SUM('NY Waterway-(Port Imperial FC)'!O47:Q47, 'Liberty Landing Ferry'!C47, 'New York Water Taxi'!C47)</f>
        <v>21026</v>
      </c>
      <c r="M27" s="79"/>
      <c r="N27" s="547" t="s">
        <v>9</v>
      </c>
      <c r="O27" s="572">
        <f>SUM('NY Waterway-(Port Imperial FC)'!O58:Q58,'Liberty Landing Ferry'!C58,'New York Water Taxi'!C58)</f>
        <v>20568</v>
      </c>
      <c r="Q27" s="324" t="s">
        <v>101</v>
      </c>
      <c r="R27" s="327">
        <v>22</v>
      </c>
    </row>
    <row r="28" spans="2:18" ht="12.95" customHeight="1" thickBot="1" x14ac:dyDescent="0.3">
      <c r="B28" s="553"/>
      <c r="C28" s="574"/>
      <c r="D28" s="84"/>
      <c r="E28" s="553"/>
      <c r="F28" s="573"/>
      <c r="G28" s="79"/>
      <c r="H28" s="553"/>
      <c r="I28" s="573"/>
      <c r="J28" s="79"/>
      <c r="K28" s="553"/>
      <c r="L28" s="573"/>
      <c r="M28" s="79"/>
      <c r="N28" s="553"/>
      <c r="O28" s="573"/>
      <c r="Q28" s="322"/>
      <c r="R28" s="325"/>
    </row>
    <row r="29" spans="2:18" s="93" customFormat="1" ht="12.95" customHeight="1" x14ac:dyDescent="0.2">
      <c r="B29" s="547" t="s">
        <v>7</v>
      </c>
      <c r="C29" s="551">
        <f>SUM('New York Water Taxi'!D14)</f>
        <v>0</v>
      </c>
      <c r="D29" s="10"/>
      <c r="E29" s="547" t="s">
        <v>7</v>
      </c>
      <c r="F29" s="551">
        <f>SUM('New York Water Taxi'!D25)</f>
        <v>0</v>
      </c>
      <c r="G29" s="92"/>
      <c r="H29" s="547" t="s">
        <v>7</v>
      </c>
      <c r="I29" s="551">
        <f>SUM('New York Water Taxi'!D36)</f>
        <v>0</v>
      </c>
      <c r="J29" s="92"/>
      <c r="K29" s="547" t="s">
        <v>7</v>
      </c>
      <c r="L29" s="551">
        <f>SUM('New York Water Taxi'!D47)</f>
        <v>0</v>
      </c>
      <c r="M29" s="92"/>
      <c r="N29" s="547" t="s">
        <v>7</v>
      </c>
      <c r="O29" s="551">
        <f>SUM('New York Water Taxi'!D58)</f>
        <v>0</v>
      </c>
      <c r="Q29" s="599" t="s">
        <v>102</v>
      </c>
      <c r="R29" s="605">
        <f>R23/R27</f>
        <v>29906.772727272728</v>
      </c>
    </row>
    <row r="30" spans="2:18" s="93" customFormat="1" ht="12.95" customHeight="1" thickBot="1" x14ac:dyDescent="0.25">
      <c r="B30" s="553"/>
      <c r="C30" s="552"/>
      <c r="D30" s="87"/>
      <c r="E30" s="553"/>
      <c r="F30" s="584"/>
      <c r="G30" s="92"/>
      <c r="H30" s="553"/>
      <c r="I30" s="584"/>
      <c r="J30" s="92"/>
      <c r="K30" s="553"/>
      <c r="L30" s="584"/>
      <c r="M30" s="92"/>
      <c r="N30" s="553"/>
      <c r="O30" s="584"/>
      <c r="Q30" s="600"/>
      <c r="R30" s="606"/>
    </row>
    <row r="31" spans="2:18" ht="12.75" customHeight="1" thickBot="1" x14ac:dyDescent="0.3">
      <c r="B31" s="547" t="s">
        <v>89</v>
      </c>
      <c r="C31" s="551">
        <f>SUM('New York Water Taxi'!F14)</f>
        <v>0</v>
      </c>
      <c r="D31" s="79"/>
      <c r="E31" s="547" t="s">
        <v>89</v>
      </c>
      <c r="F31" s="551">
        <f>SUM('New York Water Taxi'!F25)</f>
        <v>0</v>
      </c>
      <c r="G31" s="79"/>
      <c r="H31" s="547" t="s">
        <v>89</v>
      </c>
      <c r="I31" s="551">
        <f>SUM('New York Water Taxi'!F36)</f>
        <v>0</v>
      </c>
      <c r="J31" s="79"/>
      <c r="K31" s="547" t="s">
        <v>89</v>
      </c>
      <c r="L31" s="551">
        <f>SUM('New York Water Taxi'!F47)</f>
        <v>0</v>
      </c>
      <c r="M31" s="79"/>
      <c r="N31" s="547" t="s">
        <v>89</v>
      </c>
      <c r="O31" s="551">
        <f>SUM('New York Water Taxi'!F58)</f>
        <v>0</v>
      </c>
      <c r="Q31" s="601"/>
      <c r="R31" s="607"/>
    </row>
    <row r="32" spans="2:18" ht="14.25" thickBot="1" x14ac:dyDescent="0.3">
      <c r="B32" s="553"/>
      <c r="C32" s="552"/>
      <c r="D32" s="79"/>
      <c r="E32" s="553"/>
      <c r="F32" s="555"/>
      <c r="G32" s="79"/>
      <c r="H32" s="553"/>
      <c r="I32" s="554"/>
      <c r="J32" s="79"/>
      <c r="K32" s="553"/>
      <c r="L32" s="555"/>
      <c r="M32" s="79"/>
      <c r="N32" s="553"/>
      <c r="O32" s="554"/>
    </row>
    <row r="33" spans="2:15" ht="12.75" customHeight="1" x14ac:dyDescent="0.25">
      <c r="B33" s="547" t="s">
        <v>86</v>
      </c>
      <c r="C33" s="551">
        <f>('New York Water Taxi'!G14)</f>
        <v>0</v>
      </c>
      <c r="D33" s="79"/>
      <c r="E33" s="547" t="s">
        <v>86</v>
      </c>
      <c r="F33" s="551">
        <f>'New York Water Taxi'!G25</f>
        <v>0</v>
      </c>
      <c r="G33" s="79"/>
      <c r="H33" s="547" t="s">
        <v>86</v>
      </c>
      <c r="I33" s="551">
        <f>'New York Water Taxi'!G36</f>
        <v>0</v>
      </c>
      <c r="J33" s="79"/>
      <c r="K33" s="547" t="s">
        <v>86</v>
      </c>
      <c r="L33" s="551">
        <f>'New York Water Taxi'!G47</f>
        <v>0</v>
      </c>
      <c r="M33" s="79"/>
      <c r="N33" s="547" t="s">
        <v>86</v>
      </c>
      <c r="O33" s="551">
        <f>SUM('New York Water Taxi'!G58)</f>
        <v>0</v>
      </c>
    </row>
    <row r="34" spans="2:15" ht="14.25" customHeight="1" thickBot="1" x14ac:dyDescent="0.3">
      <c r="B34" s="553"/>
      <c r="C34" s="552"/>
      <c r="D34" s="79"/>
      <c r="E34" s="553"/>
      <c r="F34" s="588"/>
      <c r="G34" s="79"/>
      <c r="H34" s="553"/>
      <c r="I34" s="557"/>
      <c r="J34" s="79"/>
      <c r="K34" s="553"/>
      <c r="L34" s="552"/>
      <c r="M34" s="79"/>
      <c r="N34" s="553"/>
      <c r="O34" s="552"/>
    </row>
    <row r="35" spans="2:15" x14ac:dyDescent="0.25">
      <c r="B35" s="549" t="s">
        <v>57</v>
      </c>
      <c r="C35" s="551">
        <f>SUM('NYC Ferry'!D20,'NYC Ferry'!N20,'New York Water Taxi'!E14)</f>
        <v>1475</v>
      </c>
      <c r="D35" s="79"/>
      <c r="E35" s="549" t="s">
        <v>57</v>
      </c>
      <c r="F35" s="551">
        <f>SUM('NYC Ferry'!D31,'NYC Ferry'!N31,'New York Water Taxi'!E25)</f>
        <v>6879</v>
      </c>
      <c r="G35" s="79"/>
      <c r="H35" s="549" t="s">
        <v>57</v>
      </c>
      <c r="I35" s="551">
        <f>SUM('NYC Ferry'!D42,'NYC Ferry'!N42,'New York Water Taxi'!E36)</f>
        <v>6766</v>
      </c>
      <c r="J35" s="79"/>
      <c r="K35" s="549" t="s">
        <v>57</v>
      </c>
      <c r="L35" s="551">
        <f>SUM('NYC Ferry'!D53,'NYC Ferry'!N53,'New York Water Taxi'!E47)</f>
        <v>7478</v>
      </c>
      <c r="M35" s="79"/>
      <c r="N35" s="549" t="s">
        <v>57</v>
      </c>
      <c r="O35" s="551">
        <f>SUM('NYC Ferry'!D64,'NYC Ferry'!N64,'New York Water Taxi'!E58)</f>
        <v>6929</v>
      </c>
    </row>
    <row r="36" spans="2:15" ht="14.25" thickBot="1" x14ac:dyDescent="0.3">
      <c r="B36" s="550"/>
      <c r="C36" s="552"/>
      <c r="D36" s="79"/>
      <c r="E36" s="550"/>
      <c r="F36" s="552"/>
      <c r="G36" s="79"/>
      <c r="H36" s="550"/>
      <c r="I36" s="552"/>
      <c r="J36" s="79"/>
      <c r="K36" s="550"/>
      <c r="L36" s="552"/>
      <c r="M36" s="79"/>
      <c r="N36" s="550"/>
      <c r="O36" s="552"/>
    </row>
    <row r="37" spans="2:15" ht="12.75" customHeight="1" x14ac:dyDescent="0.25">
      <c r="B37" s="549" t="s">
        <v>58</v>
      </c>
      <c r="C37" s="551">
        <f>SUM('NYC Ferry'!E20)</f>
        <v>0</v>
      </c>
      <c r="D37" s="79"/>
      <c r="E37" s="549" t="s">
        <v>58</v>
      </c>
      <c r="F37" s="551">
        <f>SUM('NYC Ferry'!E31)</f>
        <v>0</v>
      </c>
      <c r="G37" s="79"/>
      <c r="H37" s="549" t="s">
        <v>58</v>
      </c>
      <c r="I37" s="551">
        <f>SUM('NYC Ferry'!E42)</f>
        <v>0</v>
      </c>
      <c r="J37" s="79"/>
      <c r="K37" s="549" t="s">
        <v>58</v>
      </c>
      <c r="L37" s="551">
        <f>SUM('NYC Ferry'!E53)</f>
        <v>0</v>
      </c>
      <c r="M37" s="79"/>
      <c r="N37" s="549" t="s">
        <v>58</v>
      </c>
      <c r="O37" s="551">
        <f>SUM('NYC Ferry'!E64)</f>
        <v>601</v>
      </c>
    </row>
    <row r="38" spans="2:15" ht="13.5" customHeight="1" thickBot="1" x14ac:dyDescent="0.3">
      <c r="B38" s="550"/>
      <c r="C38" s="552"/>
      <c r="D38" s="79"/>
      <c r="E38" s="550"/>
      <c r="F38" s="552"/>
      <c r="G38" s="79"/>
      <c r="H38" s="550"/>
      <c r="I38" s="552"/>
      <c r="J38" s="79"/>
      <c r="K38" s="550"/>
      <c r="L38" s="552"/>
      <c r="M38" s="79"/>
      <c r="N38" s="550"/>
      <c r="O38" s="552"/>
    </row>
    <row r="39" spans="2:15" ht="12.75" customHeight="1" x14ac:dyDescent="0.25">
      <c r="B39" s="549" t="s">
        <v>11</v>
      </c>
      <c r="C39" s="551">
        <f>SUM('NYC Ferry'!F20)</f>
        <v>1536</v>
      </c>
      <c r="D39" s="79"/>
      <c r="E39" s="549" t="s">
        <v>11</v>
      </c>
      <c r="F39" s="551">
        <f>SUM('NYC Ferry'!F31)</f>
        <v>5759</v>
      </c>
      <c r="G39" s="79"/>
      <c r="H39" s="549" t="s">
        <v>11</v>
      </c>
      <c r="I39" s="551">
        <f>SUM('NYC Ferry'!F42)</f>
        <v>5641</v>
      </c>
      <c r="J39" s="79"/>
      <c r="K39" s="549" t="s">
        <v>11</v>
      </c>
      <c r="L39" s="551">
        <f>SUM('NYC Ferry'!F53)</f>
        <v>3422</v>
      </c>
      <c r="M39" s="79"/>
      <c r="N39" s="549" t="s">
        <v>11</v>
      </c>
      <c r="O39" s="551">
        <f>SUM('NYC Ferry'!F64)</f>
        <v>5770</v>
      </c>
    </row>
    <row r="40" spans="2:15" ht="13.5" customHeight="1" thickBot="1" x14ac:dyDescent="0.3">
      <c r="B40" s="550"/>
      <c r="C40" s="552"/>
      <c r="D40" s="79"/>
      <c r="E40" s="550"/>
      <c r="F40" s="552"/>
      <c r="G40" s="79"/>
      <c r="H40" s="550"/>
      <c r="I40" s="552"/>
      <c r="J40" s="79"/>
      <c r="K40" s="550"/>
      <c r="L40" s="552"/>
      <c r="M40" s="79"/>
      <c r="N40" s="550"/>
      <c r="O40" s="552"/>
    </row>
    <row r="41" spans="2:15" ht="12.75" customHeight="1" x14ac:dyDescent="0.25">
      <c r="B41" s="549" t="s">
        <v>12</v>
      </c>
      <c r="C41" s="551">
        <f>SUM('NYC Ferry'!G20)</f>
        <v>0</v>
      </c>
      <c r="D41" s="79"/>
      <c r="E41" s="549" t="s">
        <v>12</v>
      </c>
      <c r="F41" s="551">
        <f>SUM('NYC Ferry'!G31)</f>
        <v>0</v>
      </c>
      <c r="G41" s="79"/>
      <c r="H41" s="549" t="s">
        <v>12</v>
      </c>
      <c r="I41" s="551">
        <f>SUM('NYC Ferry'!G42)</f>
        <v>0</v>
      </c>
      <c r="J41" s="79"/>
      <c r="K41" s="549" t="s">
        <v>12</v>
      </c>
      <c r="L41" s="551">
        <f>SUM('NYC Ferry'!G53)</f>
        <v>0</v>
      </c>
      <c r="M41" s="79"/>
      <c r="N41" s="549" t="s">
        <v>12</v>
      </c>
      <c r="O41" s="551">
        <f>SUM('NYC Ferry'!G64)</f>
        <v>0</v>
      </c>
    </row>
    <row r="42" spans="2:15" ht="13.5" customHeight="1" thickBot="1" x14ac:dyDescent="0.3">
      <c r="B42" s="550"/>
      <c r="C42" s="552"/>
      <c r="D42" s="79"/>
      <c r="E42" s="550"/>
      <c r="F42" s="552"/>
      <c r="G42" s="79"/>
      <c r="H42" s="550"/>
      <c r="I42" s="552"/>
      <c r="J42" s="79"/>
      <c r="K42" s="550"/>
      <c r="L42" s="552"/>
      <c r="M42" s="79"/>
      <c r="N42" s="550"/>
      <c r="O42" s="552"/>
    </row>
    <row r="43" spans="2:15" ht="12.75" customHeight="1" x14ac:dyDescent="0.25">
      <c r="B43" s="549" t="s">
        <v>82</v>
      </c>
      <c r="C43" s="551">
        <f>SUM('NYC Ferry'!H20,)</f>
        <v>836</v>
      </c>
      <c r="D43" s="79"/>
      <c r="E43" s="549" t="s">
        <v>82</v>
      </c>
      <c r="F43" s="551">
        <f>SUM('NYC Ferry'!H31)</f>
        <v>3401</v>
      </c>
      <c r="G43" s="79"/>
      <c r="H43" s="549" t="s">
        <v>82</v>
      </c>
      <c r="I43" s="551">
        <f>SUM('NYC Ferry'!H42)</f>
        <v>2888</v>
      </c>
      <c r="J43" s="79"/>
      <c r="K43" s="549" t="s">
        <v>82</v>
      </c>
      <c r="L43" s="551">
        <f>SUM('NYC Ferry'!H53)</f>
        <v>0</v>
      </c>
      <c r="M43" s="79"/>
      <c r="N43" s="549" t="s">
        <v>82</v>
      </c>
      <c r="O43" s="551">
        <f>SUM('NYC Ferry'!H64,)</f>
        <v>3268</v>
      </c>
    </row>
    <row r="44" spans="2:15" ht="13.5" customHeight="1" thickBot="1" x14ac:dyDescent="0.3">
      <c r="B44" s="550"/>
      <c r="C44" s="552"/>
      <c r="D44" s="79"/>
      <c r="E44" s="550"/>
      <c r="F44" s="552"/>
      <c r="G44" s="79"/>
      <c r="H44" s="550"/>
      <c r="I44" s="552"/>
      <c r="J44" s="79"/>
      <c r="K44" s="550"/>
      <c r="L44" s="552"/>
      <c r="M44" s="79"/>
      <c r="N44" s="550"/>
      <c r="O44" s="552"/>
    </row>
    <row r="45" spans="2:15" ht="12.75" customHeight="1" x14ac:dyDescent="0.25">
      <c r="B45" s="549" t="s">
        <v>71</v>
      </c>
      <c r="C45" s="551">
        <f>SUM('NYC Ferry'!P20)</f>
        <v>226</v>
      </c>
      <c r="D45" s="79"/>
      <c r="E45" s="549" t="s">
        <v>71</v>
      </c>
      <c r="F45" s="551">
        <f>SUM('NYC Ferry'!P31)</f>
        <v>972</v>
      </c>
      <c r="G45" s="79"/>
      <c r="H45" s="549" t="s">
        <v>71</v>
      </c>
      <c r="I45" s="551">
        <f>SUM('NYC Ferry'!P42)</f>
        <v>709</v>
      </c>
      <c r="J45" s="79"/>
      <c r="K45" s="549" t="s">
        <v>71</v>
      </c>
      <c r="L45" s="551">
        <f>SUM('NYC Ferry'!P53)</f>
        <v>945</v>
      </c>
      <c r="M45" s="79"/>
      <c r="N45" s="549" t="s">
        <v>71</v>
      </c>
      <c r="O45" s="551">
        <f>SUM('NYC Ferry'!P64)</f>
        <v>754</v>
      </c>
    </row>
    <row r="46" spans="2:15" ht="13.5" customHeight="1" thickBot="1" x14ac:dyDescent="0.3">
      <c r="B46" s="550"/>
      <c r="C46" s="552"/>
      <c r="D46" s="79"/>
      <c r="E46" s="550"/>
      <c r="F46" s="552"/>
      <c r="G46" s="79"/>
      <c r="H46" s="550"/>
      <c r="I46" s="552"/>
      <c r="J46" s="79"/>
      <c r="K46" s="550"/>
      <c r="L46" s="552"/>
      <c r="M46" s="79"/>
      <c r="N46" s="550"/>
      <c r="O46" s="552"/>
    </row>
    <row r="47" spans="2:15" ht="13.5" customHeight="1" x14ac:dyDescent="0.25">
      <c r="B47" s="549" t="s">
        <v>95</v>
      </c>
      <c r="C47" s="551">
        <f>SUM('NY Waterway-(Port Imperial FC)'!K14:N14)</f>
        <v>0</v>
      </c>
      <c r="D47" s="79"/>
      <c r="E47" s="549" t="s">
        <v>95</v>
      </c>
      <c r="F47" s="551">
        <f>SUM('NY Waterway-(Port Imperial FC)'!K25:N25)</f>
        <v>0</v>
      </c>
      <c r="G47" s="79"/>
      <c r="H47" s="549" t="s">
        <v>95</v>
      </c>
      <c r="I47" s="551">
        <f>SUM('NY Waterway-(Port Imperial FC)'!K36:N36)</f>
        <v>0</v>
      </c>
      <c r="J47" s="79"/>
      <c r="K47" s="549" t="s">
        <v>95</v>
      </c>
      <c r="L47" s="551">
        <f>SUM('NY Waterway-(Port Imperial FC)'!K47:N47)</f>
        <v>0</v>
      </c>
      <c r="M47" s="79"/>
      <c r="N47" s="549" t="s">
        <v>95</v>
      </c>
      <c r="O47" s="551">
        <f>SUM('NY Waterway-(Port Imperial FC)'!K58:N58)</f>
        <v>0</v>
      </c>
    </row>
    <row r="48" spans="2:15" ht="13.5" customHeight="1" thickBot="1" x14ac:dyDescent="0.3">
      <c r="B48" s="550"/>
      <c r="C48" s="552"/>
      <c r="D48" s="79"/>
      <c r="E48" s="550"/>
      <c r="F48" s="552"/>
      <c r="G48" s="79"/>
      <c r="H48" s="550"/>
      <c r="I48" s="552"/>
      <c r="J48" s="79"/>
      <c r="K48" s="550"/>
      <c r="L48" s="593"/>
      <c r="M48" s="79"/>
      <c r="N48" s="550"/>
      <c r="O48" s="593"/>
    </row>
    <row r="49" spans="2:15" ht="13.5" customHeight="1" x14ac:dyDescent="0.25">
      <c r="B49" s="586" t="s">
        <v>100</v>
      </c>
      <c r="C49" s="551">
        <f>SUM('NYC Ferry'!K20,'NYC Ferry'!Q20,'New York Water Taxi'!I14)</f>
        <v>661</v>
      </c>
      <c r="D49" s="79"/>
      <c r="E49" s="586" t="s">
        <v>100</v>
      </c>
      <c r="F49" s="551">
        <f>SUM('NYC Ferry'!K31,'NYC Ferry'!Q31,'New York Water Taxi'!I25)</f>
        <v>3055</v>
      </c>
      <c r="G49" s="79"/>
      <c r="H49" s="586" t="s">
        <v>100</v>
      </c>
      <c r="I49" s="551">
        <f>SUM('NYC Ferry'!K42,'NYC Ferry'!Q42,'New York Water Taxi'!I36)</f>
        <v>2750</v>
      </c>
      <c r="J49" s="79"/>
      <c r="K49" s="586" t="s">
        <v>100</v>
      </c>
      <c r="L49" s="551">
        <f>SUM('NYC Ferry'!K53,'NYC Ferry'!Q53,'New York Water Taxi'!I47)</f>
        <v>3132</v>
      </c>
      <c r="M49" s="79"/>
      <c r="N49" s="586" t="s">
        <v>100</v>
      </c>
      <c r="O49" s="551">
        <f>SUM('NYC Ferry'!K64,'NYC Ferry'!Q64,'New York Water Taxi'!I58)</f>
        <v>2955</v>
      </c>
    </row>
    <row r="50" spans="2:15" ht="13.5" customHeight="1" thickBot="1" x14ac:dyDescent="0.3">
      <c r="B50" s="587"/>
      <c r="C50" s="552"/>
      <c r="D50" s="79"/>
      <c r="E50" s="587"/>
      <c r="F50" s="552"/>
      <c r="G50" s="79"/>
      <c r="H50" s="587"/>
      <c r="I50" s="557"/>
      <c r="J50" s="79"/>
      <c r="K50" s="587"/>
      <c r="L50" s="557"/>
      <c r="M50" s="79"/>
      <c r="N50" s="587"/>
      <c r="O50" s="557"/>
    </row>
    <row r="51" spans="2:15" ht="13.5" customHeight="1" x14ac:dyDescent="0.25">
      <c r="B51" s="549" t="s">
        <v>76</v>
      </c>
      <c r="C51" s="551">
        <f>SUM('NYC Ferry'!AH20,'NYC Ferry'!AE20)</f>
        <v>260</v>
      </c>
      <c r="D51" s="79"/>
      <c r="E51" s="549" t="s">
        <v>76</v>
      </c>
      <c r="F51" s="551">
        <f>SUM('NYC Ferry'!AH31,'NYC Ferry'!AE31,)</f>
        <v>969</v>
      </c>
      <c r="G51" s="79"/>
      <c r="H51" s="549" t="s">
        <v>76</v>
      </c>
      <c r="I51" s="556">
        <f>SUM('NYC Ferry'!AH42,'NYC Ferry'!AE42)</f>
        <v>1008</v>
      </c>
      <c r="J51" s="79"/>
      <c r="K51" s="549" t="s">
        <v>76</v>
      </c>
      <c r="L51" s="556">
        <f>SUM('NYC Ferry'!AH53,'NYC Ferry'!AE53,)</f>
        <v>1196</v>
      </c>
      <c r="M51" s="79"/>
      <c r="N51" s="549" t="s">
        <v>76</v>
      </c>
      <c r="O51" s="556">
        <f>SUM('NYC Ferry'!AH64,'NYC Ferry'!AE64,)</f>
        <v>1101</v>
      </c>
    </row>
    <row r="52" spans="2:15" ht="13.5" customHeight="1" thickBot="1" x14ac:dyDescent="0.3">
      <c r="B52" s="550"/>
      <c r="C52" s="552"/>
      <c r="D52" s="79"/>
      <c r="E52" s="550"/>
      <c r="F52" s="552"/>
      <c r="G52" s="79"/>
      <c r="H52" s="550"/>
      <c r="I52" s="557"/>
      <c r="J52" s="79"/>
      <c r="K52" s="550"/>
      <c r="L52" s="557"/>
      <c r="M52" s="79"/>
      <c r="N52" s="550"/>
      <c r="O52" s="557"/>
    </row>
    <row r="53" spans="2:15" ht="13.5" customHeight="1" x14ac:dyDescent="0.25">
      <c r="B53" s="549" t="s">
        <v>77</v>
      </c>
      <c r="C53" s="551">
        <f>SUM('NYC Ferry'!AG20,'NYC Ferry'!S20,)</f>
        <v>183</v>
      </c>
      <c r="D53" s="79"/>
      <c r="E53" s="549" t="s">
        <v>77</v>
      </c>
      <c r="F53" s="551">
        <f>SUM('NYC Ferry'!AG31,'NYC Ferry'!S31,)</f>
        <v>774</v>
      </c>
      <c r="G53" s="79"/>
      <c r="H53" s="549" t="s">
        <v>77</v>
      </c>
      <c r="I53" s="556">
        <f>SUM('NYC Ferry'!AG42,'NYC Ferry'!S42,)</f>
        <v>673</v>
      </c>
      <c r="J53" s="79"/>
      <c r="K53" s="549" t="s">
        <v>77</v>
      </c>
      <c r="L53" s="556">
        <f>SUM('NYC Ferry'!AG53,'NYC Ferry'!S53,)</f>
        <v>808</v>
      </c>
      <c r="M53" s="79"/>
      <c r="N53" s="549" t="s">
        <v>77</v>
      </c>
      <c r="O53" s="556">
        <f>SUM('NYC Ferry'!AG64,'NYC Ferry'!S64,)</f>
        <v>623</v>
      </c>
    </row>
    <row r="54" spans="2:15" ht="13.5" customHeight="1" thickBot="1" x14ac:dyDescent="0.3">
      <c r="B54" s="550"/>
      <c r="C54" s="552"/>
      <c r="D54" s="79"/>
      <c r="E54" s="550"/>
      <c r="F54" s="552"/>
      <c r="G54" s="79"/>
      <c r="H54" s="550"/>
      <c r="I54" s="557"/>
      <c r="J54" s="79"/>
      <c r="K54" s="550"/>
      <c r="L54" s="557"/>
      <c r="M54" s="79"/>
      <c r="N54" s="550"/>
      <c r="O54" s="557"/>
    </row>
    <row r="55" spans="2:15" ht="13.5" customHeight="1" x14ac:dyDescent="0.25">
      <c r="B55" s="549" t="s">
        <v>79</v>
      </c>
      <c r="C55" s="551">
        <f>SUM('NYC Ferry'!AD20)</f>
        <v>964</v>
      </c>
      <c r="D55" s="79"/>
      <c r="E55" s="549" t="s">
        <v>79</v>
      </c>
      <c r="F55" s="551">
        <f>SUM('NYC Ferry'!AD31,)</f>
        <v>3517</v>
      </c>
      <c r="G55" s="79"/>
      <c r="H55" s="549" t="s">
        <v>79</v>
      </c>
      <c r="I55" s="556">
        <f>SUM('NYC Ferry'!AD42,)</f>
        <v>3564</v>
      </c>
      <c r="J55" s="79"/>
      <c r="K55" s="549" t="s">
        <v>79</v>
      </c>
      <c r="L55" s="556">
        <f>SUM('NYC Ferry'!AD53,)</f>
        <v>3735</v>
      </c>
      <c r="M55" s="79"/>
      <c r="N55" s="549" t="s">
        <v>79</v>
      </c>
      <c r="O55" s="556">
        <f>SUM('NYC Ferry'!AD64,)</f>
        <v>3968</v>
      </c>
    </row>
    <row r="56" spans="2:15" ht="13.5" customHeight="1" thickBot="1" x14ac:dyDescent="0.3">
      <c r="B56" s="550"/>
      <c r="C56" s="552"/>
      <c r="D56" s="79"/>
      <c r="E56" s="550"/>
      <c r="F56" s="552"/>
      <c r="G56" s="79"/>
      <c r="H56" s="550"/>
      <c r="I56" s="557"/>
      <c r="J56" s="79"/>
      <c r="K56" s="550"/>
      <c r="L56" s="557"/>
      <c r="M56" s="79"/>
      <c r="N56" s="550"/>
      <c r="O56" s="557"/>
    </row>
    <row r="57" spans="2:15" ht="13.5" customHeight="1" x14ac:dyDescent="0.25">
      <c r="B57" s="549" t="s">
        <v>78</v>
      </c>
      <c r="C57" s="551">
        <f>SUM('NYC Ferry'!AC20,'NYC Ferry'!Z20)</f>
        <v>1163</v>
      </c>
      <c r="D57" s="79"/>
      <c r="E57" s="549" t="s">
        <v>78</v>
      </c>
      <c r="F57" s="551">
        <f>SUM('NYC Ferry'!AC31,'NYC Ferry'!Z31)</f>
        <v>4633</v>
      </c>
      <c r="G57" s="79"/>
      <c r="H57" s="549" t="s">
        <v>78</v>
      </c>
      <c r="I57" s="556">
        <f>SUM('NYC Ferry'!AC42,'NYC Ferry'!Z42)</f>
        <v>4424</v>
      </c>
      <c r="J57" s="79"/>
      <c r="K57" s="549" t="s">
        <v>78</v>
      </c>
      <c r="L57" s="556">
        <f>SUM('NYC Ferry'!AC53,'NYC Ferry'!Z53)</f>
        <v>5147</v>
      </c>
      <c r="M57" s="79"/>
      <c r="N57" s="549" t="s">
        <v>78</v>
      </c>
      <c r="O57" s="556">
        <f>SUM('NYC Ferry'!AC64,'NYC Ferry'!Z64)</f>
        <v>4442</v>
      </c>
    </row>
    <row r="58" spans="2:15" ht="13.5" customHeight="1" thickBot="1" x14ac:dyDescent="0.3">
      <c r="B58" s="550"/>
      <c r="C58" s="552"/>
      <c r="D58" s="79"/>
      <c r="E58" s="550"/>
      <c r="F58" s="552"/>
      <c r="G58" s="79"/>
      <c r="H58" s="550"/>
      <c r="I58" s="557"/>
      <c r="J58" s="79"/>
      <c r="K58" s="550"/>
      <c r="L58" s="557"/>
      <c r="M58" s="79"/>
      <c r="N58" s="550"/>
      <c r="O58" s="557"/>
    </row>
    <row r="59" spans="2:15" ht="12.75" customHeight="1" x14ac:dyDescent="0.25">
      <c r="B59" s="549" t="s">
        <v>122</v>
      </c>
      <c r="C59" s="551">
        <f>SUM('NYC Ferry'!O20,,'NY Waterway-(Port Imperial FC)'!J14)</f>
        <v>377</v>
      </c>
      <c r="D59" s="79"/>
      <c r="E59" s="549" t="s">
        <v>122</v>
      </c>
      <c r="F59" s="551">
        <f>SUM('NYC Ferry'!O31,'NY Waterway-(Port Imperial FC)'!J25)</f>
        <v>3327</v>
      </c>
      <c r="G59" s="79"/>
      <c r="H59" s="549" t="s">
        <v>122</v>
      </c>
      <c r="I59" s="551">
        <f>SUM('NYC Ferry'!O42,'NY Waterway-(Port Imperial FC)'!J36)</f>
        <v>1401</v>
      </c>
      <c r="J59" s="79"/>
      <c r="K59" s="549" t="s">
        <v>122</v>
      </c>
      <c r="L59" s="551">
        <f>SUM('NYC Ferry'!O53,'NY Waterway-(Port Imperial FC)'!J47)</f>
        <v>1693</v>
      </c>
      <c r="M59" s="79"/>
      <c r="N59" s="549" t="s">
        <v>122</v>
      </c>
      <c r="O59" s="551">
        <f>SUM('NYC Ferry'!O64,,'NY Waterway-(Port Imperial FC)'!J58)</f>
        <v>1769</v>
      </c>
    </row>
    <row r="60" spans="2:15" ht="13.5" customHeight="1" thickBot="1" x14ac:dyDescent="0.3">
      <c r="B60" s="550"/>
      <c r="C60" s="552"/>
      <c r="D60" s="79"/>
      <c r="E60" s="550"/>
      <c r="F60" s="552"/>
      <c r="G60" s="79"/>
      <c r="H60" s="550"/>
      <c r="I60" s="552"/>
      <c r="J60" s="79"/>
      <c r="K60" s="550"/>
      <c r="L60" s="552"/>
      <c r="M60" s="79"/>
      <c r="N60" s="550"/>
      <c r="O60" s="552"/>
    </row>
    <row r="61" spans="2:15" ht="13.5" customHeight="1" x14ac:dyDescent="0.25">
      <c r="B61" s="589" t="s">
        <v>119</v>
      </c>
      <c r="C61" s="551">
        <f>'NYC Ferry'!AL20</f>
        <v>0</v>
      </c>
      <c r="D61" s="79"/>
      <c r="E61" s="589" t="s">
        <v>119</v>
      </c>
      <c r="F61" s="551">
        <f>'NYC Ferry'!AL31</f>
        <v>423</v>
      </c>
      <c r="G61" s="79"/>
      <c r="H61" s="589" t="s">
        <v>119</v>
      </c>
      <c r="I61" s="593">
        <f>'NYC Ferry'!AL42</f>
        <v>0</v>
      </c>
      <c r="J61" s="79"/>
      <c r="K61" s="589" t="s">
        <v>119</v>
      </c>
      <c r="L61" s="593">
        <f>SUM('NYC Ferry'!AL53)</f>
        <v>0</v>
      </c>
      <c r="M61" s="79"/>
      <c r="N61" s="589" t="s">
        <v>119</v>
      </c>
      <c r="O61" s="593">
        <f>SUM('NYC Ferry'!AL64,)</f>
        <v>691</v>
      </c>
    </row>
    <row r="62" spans="2:15" ht="13.5" customHeight="1" thickBot="1" x14ac:dyDescent="0.3">
      <c r="B62" s="587"/>
      <c r="C62" s="552"/>
      <c r="D62" s="79"/>
      <c r="E62" s="587"/>
      <c r="F62" s="552"/>
      <c r="G62" s="79"/>
      <c r="H62" s="587"/>
      <c r="I62" s="552"/>
      <c r="J62" s="79"/>
      <c r="K62" s="587"/>
      <c r="L62" s="552"/>
      <c r="M62" s="79"/>
      <c r="N62" s="587"/>
      <c r="O62" s="552"/>
    </row>
    <row r="63" spans="2:15" ht="13.5" customHeight="1" x14ac:dyDescent="0.25">
      <c r="B63" s="589" t="s">
        <v>120</v>
      </c>
      <c r="C63" s="551">
        <f>'NY Waterway-(Port Imperial FC)'!I14</f>
        <v>3214</v>
      </c>
      <c r="D63" s="79"/>
      <c r="E63" s="589" t="s">
        <v>120</v>
      </c>
      <c r="F63" s="551">
        <f>'NY Waterway-(Port Imperial FC)'!I25</f>
        <v>18006</v>
      </c>
      <c r="G63" s="79"/>
      <c r="H63" s="589" t="s">
        <v>120</v>
      </c>
      <c r="I63" s="593">
        <f>'NY Waterway-(Port Imperial FC)'!I36</f>
        <v>15823</v>
      </c>
      <c r="J63" s="79"/>
      <c r="K63" s="589" t="s">
        <v>120</v>
      </c>
      <c r="L63" s="593">
        <f>SUM(,'NY Waterway-(Port Imperial FC)'!I47)</f>
        <v>19919</v>
      </c>
      <c r="M63" s="79"/>
      <c r="N63" s="589" t="s">
        <v>120</v>
      </c>
      <c r="O63" s="593">
        <f>'NY Waterway-(Port Imperial FC)'!I58</f>
        <v>21029</v>
      </c>
    </row>
    <row r="64" spans="2:15" ht="13.5" customHeight="1" thickBot="1" x14ac:dyDescent="0.3">
      <c r="B64" s="587"/>
      <c r="C64" s="552"/>
      <c r="D64" s="79"/>
      <c r="E64" s="587"/>
      <c r="F64" s="552"/>
      <c r="G64" s="79"/>
      <c r="H64" s="587"/>
      <c r="I64" s="552"/>
      <c r="J64" s="79"/>
      <c r="K64" s="587"/>
      <c r="L64" s="552"/>
      <c r="M64" s="79"/>
      <c r="N64" s="587"/>
      <c r="O64" s="552"/>
    </row>
    <row r="65" spans="2:15" ht="13.5" customHeight="1" x14ac:dyDescent="0.25">
      <c r="B65" s="549" t="s">
        <v>70</v>
      </c>
      <c r="C65" s="551">
        <f>'NYC Ferry'!R20</f>
        <v>436</v>
      </c>
      <c r="D65" s="79"/>
      <c r="E65" s="549" t="s">
        <v>70</v>
      </c>
      <c r="F65" s="551">
        <f>'NYC Ferry'!R31</f>
        <v>1547</v>
      </c>
      <c r="G65" s="79"/>
      <c r="H65" s="549" t="s">
        <v>70</v>
      </c>
      <c r="I65" s="593">
        <f>'NYC Ferry'!R42</f>
        <v>1410</v>
      </c>
      <c r="J65" s="79"/>
      <c r="K65" s="549" t="s">
        <v>70</v>
      </c>
      <c r="L65" s="593">
        <f>'NYC Ferry'!R53</f>
        <v>1991</v>
      </c>
      <c r="M65" s="79"/>
      <c r="N65" s="549" t="s">
        <v>70</v>
      </c>
      <c r="O65" s="593">
        <f>SUM('NYC Ferry'!R64)</f>
        <v>1662</v>
      </c>
    </row>
    <row r="66" spans="2:15" ht="13.5" customHeight="1" thickBot="1" x14ac:dyDescent="0.3">
      <c r="B66" s="550"/>
      <c r="C66" s="552"/>
      <c r="D66" s="79"/>
      <c r="E66" s="550"/>
      <c r="F66" s="552"/>
      <c r="G66" s="79"/>
      <c r="H66" s="550"/>
      <c r="I66" s="552"/>
      <c r="J66" s="79"/>
      <c r="K66" s="550"/>
      <c r="L66" s="552"/>
      <c r="M66" s="79"/>
      <c r="N66" s="550"/>
      <c r="O66" s="552"/>
    </row>
    <row r="67" spans="2:15" ht="13.5" customHeight="1" x14ac:dyDescent="0.25">
      <c r="B67" s="594" t="s">
        <v>65</v>
      </c>
      <c r="C67" s="551">
        <f>'NYC Ferry'!L20</f>
        <v>1026</v>
      </c>
      <c r="D67" s="79"/>
      <c r="E67" s="594" t="s">
        <v>65</v>
      </c>
      <c r="F67" s="551">
        <f>'NYC Ferry'!L31</f>
        <v>8265</v>
      </c>
      <c r="G67" s="79"/>
      <c r="H67" s="594" t="s">
        <v>65</v>
      </c>
      <c r="I67" s="593">
        <f>'NYC Ferry'!L42</f>
        <v>5799</v>
      </c>
      <c r="J67" s="79"/>
      <c r="K67" s="594" t="s">
        <v>65</v>
      </c>
      <c r="L67" s="593">
        <f>'NYC Ferry'!L53</f>
        <v>6495</v>
      </c>
      <c r="M67" s="79"/>
      <c r="N67" s="594" t="s">
        <v>65</v>
      </c>
      <c r="O67" s="593">
        <f>SUM('NYC Ferry'!L64)</f>
        <v>6515</v>
      </c>
    </row>
    <row r="68" spans="2:15" ht="13.5" customHeight="1" thickBot="1" x14ac:dyDescent="0.3">
      <c r="B68" s="550"/>
      <c r="C68" s="552"/>
      <c r="D68" s="79"/>
      <c r="E68" s="550"/>
      <c r="F68" s="552"/>
      <c r="G68" s="79"/>
      <c r="H68" s="550"/>
      <c r="I68" s="552"/>
      <c r="J68" s="79"/>
      <c r="K68" s="550"/>
      <c r="L68" s="552"/>
      <c r="M68" s="79"/>
      <c r="N68" s="550"/>
      <c r="O68" s="552"/>
    </row>
    <row r="69" spans="2:15" ht="13.5" customHeight="1" x14ac:dyDescent="0.25">
      <c r="B69" s="594" t="s">
        <v>72</v>
      </c>
      <c r="C69" s="551">
        <f>SUM('NYC Ferry'!Y20)</f>
        <v>811</v>
      </c>
      <c r="D69" s="79"/>
      <c r="E69" s="594" t="s">
        <v>72</v>
      </c>
      <c r="F69" s="551">
        <f>SUM('NYC Ferry'!Y31)</f>
        <v>3083</v>
      </c>
      <c r="G69" s="79"/>
      <c r="H69" s="594" t="s">
        <v>72</v>
      </c>
      <c r="I69" s="593">
        <f>SUM('NYC Ferry'!Y42)</f>
        <v>2775</v>
      </c>
      <c r="J69" s="79"/>
      <c r="K69" s="594" t="s">
        <v>72</v>
      </c>
      <c r="L69" s="593">
        <f>SUM('NYC Ferry'!Y53)</f>
        <v>3355</v>
      </c>
      <c r="M69" s="79"/>
      <c r="N69" s="594" t="s">
        <v>72</v>
      </c>
      <c r="O69" s="593">
        <f>SUM('NYC Ferry'!Y64)</f>
        <v>2923</v>
      </c>
    </row>
    <row r="70" spans="2:15" ht="13.5" customHeight="1" thickBot="1" x14ac:dyDescent="0.3">
      <c r="B70" s="550"/>
      <c r="C70" s="552"/>
      <c r="D70" s="79"/>
      <c r="E70" s="550"/>
      <c r="F70" s="552"/>
      <c r="G70" s="79"/>
      <c r="H70" s="550"/>
      <c r="I70" s="552"/>
      <c r="J70" s="79"/>
      <c r="K70" s="550"/>
      <c r="L70" s="552"/>
      <c r="M70" s="79"/>
      <c r="N70" s="550"/>
      <c r="O70" s="552"/>
    </row>
    <row r="71" spans="2:15" ht="13.5" customHeight="1" x14ac:dyDescent="0.25">
      <c r="B71" s="594" t="s">
        <v>73</v>
      </c>
      <c r="C71" s="551">
        <f>SUM('NYC Ferry'!X20)</f>
        <v>499</v>
      </c>
      <c r="D71" s="79"/>
      <c r="E71" s="594" t="s">
        <v>73</v>
      </c>
      <c r="F71" s="551">
        <f>SUM('NYC Ferry'!X31)</f>
        <v>2320</v>
      </c>
      <c r="G71" s="79"/>
      <c r="H71" s="594" t="s">
        <v>73</v>
      </c>
      <c r="I71" s="593">
        <f>SUM('NYC Ferry'!X42)</f>
        <v>2071</v>
      </c>
      <c r="J71" s="79"/>
      <c r="K71" s="594" t="s">
        <v>73</v>
      </c>
      <c r="L71" s="593">
        <f>SUM('NYC Ferry'!X53)</f>
        <v>2307</v>
      </c>
      <c r="M71" s="79"/>
      <c r="N71" s="594" t="s">
        <v>73</v>
      </c>
      <c r="O71" s="593">
        <f>SUM('NYC Ferry'!X64)</f>
        <v>2173</v>
      </c>
    </row>
    <row r="72" spans="2:15" ht="13.5" customHeight="1" thickBot="1" x14ac:dyDescent="0.3">
      <c r="B72" s="550"/>
      <c r="C72" s="552"/>
      <c r="D72" s="79"/>
      <c r="E72" s="550"/>
      <c r="F72" s="552"/>
      <c r="G72" s="79"/>
      <c r="H72" s="550"/>
      <c r="I72" s="552"/>
      <c r="J72" s="79"/>
      <c r="K72" s="550"/>
      <c r="L72" s="552"/>
      <c r="M72" s="79"/>
      <c r="N72" s="550"/>
      <c r="O72" s="552"/>
    </row>
    <row r="73" spans="2:15" ht="13.5" customHeight="1" x14ac:dyDescent="0.25">
      <c r="B73" s="549" t="s">
        <v>98</v>
      </c>
      <c r="C73" s="551">
        <f>'NYC Ferry'!U20</f>
        <v>452</v>
      </c>
      <c r="D73" s="79"/>
      <c r="E73" s="549" t="s">
        <v>98</v>
      </c>
      <c r="F73" s="551">
        <f>'NYC Ferry'!U31</f>
        <v>1435</v>
      </c>
      <c r="G73" s="79"/>
      <c r="H73" s="549" t="s">
        <v>98</v>
      </c>
      <c r="I73" s="551">
        <f>'NYC Ferry'!U42</f>
        <v>1495</v>
      </c>
      <c r="J73" s="79"/>
      <c r="K73" s="549" t="s">
        <v>98</v>
      </c>
      <c r="L73" s="551">
        <f>'NYC Ferry'!U53</f>
        <v>1627</v>
      </c>
      <c r="M73" s="79"/>
      <c r="N73" s="549" t="s">
        <v>98</v>
      </c>
      <c r="O73" s="551">
        <f>SUM('NYC Ferry'!U64)</f>
        <v>1626</v>
      </c>
    </row>
    <row r="74" spans="2:15" ht="13.5" customHeight="1" thickBot="1" x14ac:dyDescent="0.3">
      <c r="B74" s="550"/>
      <c r="C74" s="552"/>
      <c r="D74" s="79"/>
      <c r="E74" s="550"/>
      <c r="F74" s="552"/>
      <c r="G74" s="79"/>
      <c r="H74" s="550"/>
      <c r="I74" s="552"/>
      <c r="J74" s="79"/>
      <c r="K74" s="550"/>
      <c r="L74" s="552"/>
      <c r="M74" s="79"/>
      <c r="N74" s="550"/>
      <c r="O74" s="552"/>
    </row>
    <row r="75" spans="2:15" ht="13.5" customHeight="1" x14ac:dyDescent="0.25">
      <c r="B75" s="549" t="s">
        <v>59</v>
      </c>
      <c r="C75" s="551">
        <f>SUM('NYC Ferry'!W20,'NYC Ferry'!AJ20)</f>
        <v>864</v>
      </c>
      <c r="D75" s="79"/>
      <c r="E75" s="549" t="s">
        <v>59</v>
      </c>
      <c r="F75" s="551">
        <f>SUM(,'NYC Ferry'!W31, 'NYC Ferry'!AJ31)</f>
        <v>3490</v>
      </c>
      <c r="G75" s="79"/>
      <c r="H75" s="549" t="s">
        <v>59</v>
      </c>
      <c r="I75" s="551">
        <f>SUM(,'NYC Ferry'!W42,'NYC Ferry'!AJ42)</f>
        <v>3228</v>
      </c>
      <c r="J75" s="79"/>
      <c r="K75" s="549" t="s">
        <v>59</v>
      </c>
      <c r="L75" s="551">
        <f>SUM('NYC Ferry'!W53,'NYC Ferry'!AJ53)</f>
        <v>3604</v>
      </c>
      <c r="M75" s="79"/>
      <c r="N75" s="549" t="s">
        <v>59</v>
      </c>
      <c r="O75" s="551">
        <f>SUM('NYC Ferry'!W64,'NYC Ferry'!AJ64)</f>
        <v>3233</v>
      </c>
    </row>
    <row r="76" spans="2:15" ht="13.5" customHeight="1" thickBot="1" x14ac:dyDescent="0.3">
      <c r="B76" s="550"/>
      <c r="C76" s="552"/>
      <c r="D76" s="79"/>
      <c r="E76" s="550"/>
      <c r="F76" s="552"/>
      <c r="G76" s="79"/>
      <c r="H76" s="550"/>
      <c r="I76" s="552"/>
      <c r="J76" s="79"/>
      <c r="K76" s="550"/>
      <c r="L76" s="552"/>
      <c r="M76" s="79"/>
      <c r="N76" s="550"/>
      <c r="O76" s="552"/>
    </row>
    <row r="77" spans="2:15" x14ac:dyDescent="0.25">
      <c r="B77" s="590" t="s">
        <v>17</v>
      </c>
      <c r="C77" s="577">
        <f>SUM(C19:C76)</f>
        <v>40853</v>
      </c>
      <c r="D77" s="79"/>
      <c r="E77" s="590" t="s">
        <v>17</v>
      </c>
      <c r="F77" s="577">
        <f>SUM(F19:F76)</f>
        <v>156221</v>
      </c>
      <c r="G77" s="79"/>
      <c r="H77" s="590" t="s">
        <v>17</v>
      </c>
      <c r="I77" s="577">
        <f>SUM(I19:I76)</f>
        <v>151511</v>
      </c>
      <c r="J77" s="79"/>
      <c r="K77" s="592" t="s">
        <v>17</v>
      </c>
      <c r="L77" s="577">
        <f>SUM(L19:L76)</f>
        <v>160593</v>
      </c>
      <c r="M77" s="79"/>
      <c r="N77" s="592" t="s">
        <v>17</v>
      </c>
      <c r="O77" s="577">
        <f>SUM(O19:O76)</f>
        <v>162628</v>
      </c>
    </row>
    <row r="78" spans="2:15" ht="14.25" thickBot="1" x14ac:dyDescent="0.3">
      <c r="B78" s="591"/>
      <c r="C78" s="578"/>
      <c r="D78" s="79"/>
      <c r="E78" s="591"/>
      <c r="F78" s="578"/>
      <c r="G78" s="79"/>
      <c r="H78" s="591"/>
      <c r="I78" s="578"/>
      <c r="J78" s="79"/>
      <c r="K78" s="591"/>
      <c r="L78" s="578"/>
      <c r="M78" s="79"/>
      <c r="N78" s="591"/>
      <c r="O78" s="578"/>
    </row>
    <row r="79" spans="2:15" x14ac:dyDescent="0.25">
      <c r="D79" s="79"/>
      <c r="G79" s="79"/>
      <c r="J79" s="79"/>
      <c r="M79" s="79"/>
    </row>
    <row r="80" spans="2:15" x14ac:dyDescent="0.25">
      <c r="D80" s="79"/>
      <c r="G80" s="79"/>
      <c r="J80" s="79"/>
      <c r="M80" s="79"/>
    </row>
  </sheetData>
  <mergeCells count="388">
    <mergeCell ref="B63:B64"/>
    <mergeCell ref="C63:C64"/>
    <mergeCell ref="E63:E64"/>
    <mergeCell ref="F63:F64"/>
    <mergeCell ref="H63:H64"/>
    <mergeCell ref="I63:I64"/>
    <mergeCell ref="K63:K64"/>
    <mergeCell ref="L63:L64"/>
    <mergeCell ref="N63:N64"/>
    <mergeCell ref="N75:N76"/>
    <mergeCell ref="O75:O76"/>
    <mergeCell ref="N77:N78"/>
    <mergeCell ref="O77:O78"/>
    <mergeCell ref="N61:N62"/>
    <mergeCell ref="O61:O62"/>
    <mergeCell ref="N65:N66"/>
    <mergeCell ref="O65:O66"/>
    <mergeCell ref="N67:N68"/>
    <mergeCell ref="O67:O68"/>
    <mergeCell ref="N69:N70"/>
    <mergeCell ref="O69:O70"/>
    <mergeCell ref="N71:N72"/>
    <mergeCell ref="O71:O72"/>
    <mergeCell ref="O63:O64"/>
    <mergeCell ref="N53:N54"/>
    <mergeCell ref="O53:O54"/>
    <mergeCell ref="N55:N56"/>
    <mergeCell ref="O55:O56"/>
    <mergeCell ref="N57:N58"/>
    <mergeCell ref="O57:O58"/>
    <mergeCell ref="N59:N60"/>
    <mergeCell ref="O59:O60"/>
    <mergeCell ref="N73:N74"/>
    <mergeCell ref="O73:O74"/>
    <mergeCell ref="N43:N44"/>
    <mergeCell ref="O43:O44"/>
    <mergeCell ref="N45:N46"/>
    <mergeCell ref="O45:O46"/>
    <mergeCell ref="N47:N48"/>
    <mergeCell ref="O47:O48"/>
    <mergeCell ref="N49:N50"/>
    <mergeCell ref="O49:O50"/>
    <mergeCell ref="N51:N52"/>
    <mergeCell ref="O51:O52"/>
    <mergeCell ref="N33:N34"/>
    <mergeCell ref="O33:O34"/>
    <mergeCell ref="N35:N36"/>
    <mergeCell ref="O35:O36"/>
    <mergeCell ref="N37:N38"/>
    <mergeCell ref="O37:O38"/>
    <mergeCell ref="N39:N40"/>
    <mergeCell ref="O39:O40"/>
    <mergeCell ref="N41:N42"/>
    <mergeCell ref="O41:O42"/>
    <mergeCell ref="N2:O2"/>
    <mergeCell ref="N4:O4"/>
    <mergeCell ref="N5:N6"/>
    <mergeCell ref="O5:O6"/>
    <mergeCell ref="N7:N8"/>
    <mergeCell ref="O7:O8"/>
    <mergeCell ref="N9:N10"/>
    <mergeCell ref="O9:O10"/>
    <mergeCell ref="Q14:Q17"/>
    <mergeCell ref="N3:O3"/>
    <mergeCell ref="N11:N12"/>
    <mergeCell ref="O11:O12"/>
    <mergeCell ref="N13:N14"/>
    <mergeCell ref="O13:O14"/>
    <mergeCell ref="N15:N16"/>
    <mergeCell ref="O15:O16"/>
    <mergeCell ref="R14:R17"/>
    <mergeCell ref="Q19:Q21"/>
    <mergeCell ref="R19:R21"/>
    <mergeCell ref="Q23:Q25"/>
    <mergeCell ref="R23:R25"/>
    <mergeCell ref="Q29:Q31"/>
    <mergeCell ref="R29:R31"/>
    <mergeCell ref="O25:O26"/>
    <mergeCell ref="O27:O28"/>
    <mergeCell ref="N18:O18"/>
    <mergeCell ref="N19:N20"/>
    <mergeCell ref="O19:O20"/>
    <mergeCell ref="N23:N24"/>
    <mergeCell ref="O23:O24"/>
    <mergeCell ref="N25:N26"/>
    <mergeCell ref="N21:N22"/>
    <mergeCell ref="O21:O22"/>
    <mergeCell ref="N27:N28"/>
    <mergeCell ref="N29:N30"/>
    <mergeCell ref="O29:O30"/>
    <mergeCell ref="N31:N32"/>
    <mergeCell ref="O31:O32"/>
    <mergeCell ref="L73:L74"/>
    <mergeCell ref="I73:I74"/>
    <mergeCell ref="F73:F74"/>
    <mergeCell ref="I61:I62"/>
    <mergeCell ref="K61:K62"/>
    <mergeCell ref="L61:L62"/>
    <mergeCell ref="H61:H62"/>
    <mergeCell ref="L65:L66"/>
    <mergeCell ref="L69:L70"/>
    <mergeCell ref="I25:I26"/>
    <mergeCell ref="K25:K26"/>
    <mergeCell ref="L25:L26"/>
    <mergeCell ref="I33:I34"/>
    <mergeCell ref="L33:L34"/>
    <mergeCell ref="C73:C74"/>
    <mergeCell ref="H45:H46"/>
    <mergeCell ref="K45:K46"/>
    <mergeCell ref="I45:I46"/>
    <mergeCell ref="L45:L46"/>
    <mergeCell ref="H51:H52"/>
    <mergeCell ref="K51:K52"/>
    <mergeCell ref="C51:C52"/>
    <mergeCell ref="F51:F52"/>
    <mergeCell ref="I51:I52"/>
    <mergeCell ref="L51:L52"/>
    <mergeCell ref="L49:L50"/>
    <mergeCell ref="L47:L48"/>
    <mergeCell ref="C57:C58"/>
    <mergeCell ref="E55:E56"/>
    <mergeCell ref="E57:E58"/>
    <mergeCell ref="F55:F56"/>
    <mergeCell ref="F57:F58"/>
    <mergeCell ref="H55:H56"/>
    <mergeCell ref="B75:B76"/>
    <mergeCell ref="E75:E76"/>
    <mergeCell ref="H75:H76"/>
    <mergeCell ref="K75:K76"/>
    <mergeCell ref="H65:H66"/>
    <mergeCell ref="I65:I66"/>
    <mergeCell ref="K65:K66"/>
    <mergeCell ref="E67:E68"/>
    <mergeCell ref="F67:F68"/>
    <mergeCell ref="H67:H68"/>
    <mergeCell ref="K69:K70"/>
    <mergeCell ref="E73:E74"/>
    <mergeCell ref="H73:H74"/>
    <mergeCell ref="K73:K74"/>
    <mergeCell ref="L75:L76"/>
    <mergeCell ref="I75:I76"/>
    <mergeCell ref="F75:F76"/>
    <mergeCell ref="C75:C76"/>
    <mergeCell ref="B53:B54"/>
    <mergeCell ref="H53:H54"/>
    <mergeCell ref="K53:K54"/>
    <mergeCell ref="E53:E54"/>
    <mergeCell ref="I53:I54"/>
    <mergeCell ref="B73:B74"/>
    <mergeCell ref="I67:I68"/>
    <mergeCell ref="K67:K68"/>
    <mergeCell ref="L53:L54"/>
    <mergeCell ref="L55:L56"/>
    <mergeCell ref="L57:L58"/>
    <mergeCell ref="F53:F54"/>
    <mergeCell ref="C53:C54"/>
    <mergeCell ref="B55:B56"/>
    <mergeCell ref="B57:B58"/>
    <mergeCell ref="C55:C56"/>
    <mergeCell ref="B65:B66"/>
    <mergeCell ref="C65:C66"/>
    <mergeCell ref="E65:E66"/>
    <mergeCell ref="F65:F66"/>
    <mergeCell ref="B51:B52"/>
    <mergeCell ref="E51:E52"/>
    <mergeCell ref="B47:B48"/>
    <mergeCell ref="E47:E48"/>
    <mergeCell ref="H47:H48"/>
    <mergeCell ref="K47:K48"/>
    <mergeCell ref="C47:C48"/>
    <mergeCell ref="F47:F48"/>
    <mergeCell ref="I47:I48"/>
    <mergeCell ref="H49:H50"/>
    <mergeCell ref="I49:I50"/>
    <mergeCell ref="K49:K50"/>
    <mergeCell ref="B77:B78"/>
    <mergeCell ref="C77:C78"/>
    <mergeCell ref="E77:E78"/>
    <mergeCell ref="F77:F78"/>
    <mergeCell ref="H77:H78"/>
    <mergeCell ref="I77:I78"/>
    <mergeCell ref="K77:K78"/>
    <mergeCell ref="L77:L78"/>
    <mergeCell ref="L67:L68"/>
    <mergeCell ref="B67:B68"/>
    <mergeCell ref="B71:B72"/>
    <mergeCell ref="C71:C72"/>
    <mergeCell ref="E71:E72"/>
    <mergeCell ref="F71:F72"/>
    <mergeCell ref="H71:H72"/>
    <mergeCell ref="I71:I72"/>
    <mergeCell ref="K71:K72"/>
    <mergeCell ref="L71:L72"/>
    <mergeCell ref="B69:B70"/>
    <mergeCell ref="C69:C70"/>
    <mergeCell ref="E69:E70"/>
    <mergeCell ref="F69:F70"/>
    <mergeCell ref="H69:H70"/>
    <mergeCell ref="I69:I70"/>
    <mergeCell ref="B31:B32"/>
    <mergeCell ref="C31:C32"/>
    <mergeCell ref="E31:E32"/>
    <mergeCell ref="F31:F32"/>
    <mergeCell ref="C67:C68"/>
    <mergeCell ref="E49:E50"/>
    <mergeCell ref="F49:F50"/>
    <mergeCell ref="B45:B46"/>
    <mergeCell ref="C45:C46"/>
    <mergeCell ref="B49:B50"/>
    <mergeCell ref="C49:C50"/>
    <mergeCell ref="B33:B34"/>
    <mergeCell ref="E33:E34"/>
    <mergeCell ref="C33:C34"/>
    <mergeCell ref="F33:F34"/>
    <mergeCell ref="B61:B62"/>
    <mergeCell ref="C61:C62"/>
    <mergeCell ref="E61:E62"/>
    <mergeCell ref="F61:F62"/>
    <mergeCell ref="B59:B60"/>
    <mergeCell ref="C59:C60"/>
    <mergeCell ref="E59:E60"/>
    <mergeCell ref="E45:E46"/>
    <mergeCell ref="F45:F46"/>
    <mergeCell ref="B35:B36"/>
    <mergeCell ref="C35:C36"/>
    <mergeCell ref="E35:E36"/>
    <mergeCell ref="F35:F36"/>
    <mergeCell ref="H35:H36"/>
    <mergeCell ref="I35:I36"/>
    <mergeCell ref="B37:B38"/>
    <mergeCell ref="C37:C38"/>
    <mergeCell ref="E37:E38"/>
    <mergeCell ref="F37:F38"/>
    <mergeCell ref="B43:B44"/>
    <mergeCell ref="C43:C44"/>
    <mergeCell ref="E43:E44"/>
    <mergeCell ref="F43:F44"/>
    <mergeCell ref="H43:H44"/>
    <mergeCell ref="I43:I44"/>
    <mergeCell ref="K43:K44"/>
    <mergeCell ref="L43:L44"/>
    <mergeCell ref="L37:L38"/>
    <mergeCell ref="B21:B22"/>
    <mergeCell ref="C21:C22"/>
    <mergeCell ref="E21:E22"/>
    <mergeCell ref="F21:F22"/>
    <mergeCell ref="H21:H22"/>
    <mergeCell ref="I21:I22"/>
    <mergeCell ref="K21:K22"/>
    <mergeCell ref="L21:L22"/>
    <mergeCell ref="B41:B42"/>
    <mergeCell ref="C41:C42"/>
    <mergeCell ref="E41:E42"/>
    <mergeCell ref="F41:F42"/>
    <mergeCell ref="H41:H42"/>
    <mergeCell ref="H37:H38"/>
    <mergeCell ref="B39:B40"/>
    <mergeCell ref="C39:C40"/>
    <mergeCell ref="E39:E40"/>
    <mergeCell ref="F39:F40"/>
    <mergeCell ref="H39:H40"/>
    <mergeCell ref="I39:I40"/>
    <mergeCell ref="K39:K40"/>
    <mergeCell ref="L39:L40"/>
    <mergeCell ref="I41:I42"/>
    <mergeCell ref="K41:K42"/>
    <mergeCell ref="B29:B30"/>
    <mergeCell ref="C29:C30"/>
    <mergeCell ref="E29:E30"/>
    <mergeCell ref="F29:F30"/>
    <mergeCell ref="H29:H30"/>
    <mergeCell ref="I29:I30"/>
    <mergeCell ref="K29:K30"/>
    <mergeCell ref="L29:L30"/>
    <mergeCell ref="B27:B28"/>
    <mergeCell ref="C27:C28"/>
    <mergeCell ref="E27:E28"/>
    <mergeCell ref="F27:F28"/>
    <mergeCell ref="H27:H28"/>
    <mergeCell ref="I27:I28"/>
    <mergeCell ref="K27:K28"/>
    <mergeCell ref="L27:L28"/>
    <mergeCell ref="B18:C18"/>
    <mergeCell ref="E18:F18"/>
    <mergeCell ref="H18:I18"/>
    <mergeCell ref="K18:L18"/>
    <mergeCell ref="C19:C20"/>
    <mergeCell ref="E19:E20"/>
    <mergeCell ref="F19:F20"/>
    <mergeCell ref="H19:H20"/>
    <mergeCell ref="I19:I20"/>
    <mergeCell ref="K19:K20"/>
    <mergeCell ref="L19:L20"/>
    <mergeCell ref="B19:B20"/>
    <mergeCell ref="B23:B24"/>
    <mergeCell ref="E23:E24"/>
    <mergeCell ref="H23:H24"/>
    <mergeCell ref="C23:C24"/>
    <mergeCell ref="B25:B26"/>
    <mergeCell ref="C25:C26"/>
    <mergeCell ref="E25:E26"/>
    <mergeCell ref="F25:F26"/>
    <mergeCell ref="H25:H26"/>
    <mergeCell ref="F23:F24"/>
    <mergeCell ref="B15:B16"/>
    <mergeCell ref="C15:C16"/>
    <mergeCell ref="E15:E16"/>
    <mergeCell ref="F15:F16"/>
    <mergeCell ref="H15:H16"/>
    <mergeCell ref="I15:I16"/>
    <mergeCell ref="L15:L16"/>
    <mergeCell ref="K15:K16"/>
    <mergeCell ref="B11:B12"/>
    <mergeCell ref="C11:C12"/>
    <mergeCell ref="E11:E12"/>
    <mergeCell ref="F11:F12"/>
    <mergeCell ref="H11:H12"/>
    <mergeCell ref="I11:I12"/>
    <mergeCell ref="K11:K12"/>
    <mergeCell ref="L11:L12"/>
    <mergeCell ref="B13:B14"/>
    <mergeCell ref="C13:C14"/>
    <mergeCell ref="E13:E14"/>
    <mergeCell ref="F13:F14"/>
    <mergeCell ref="L13:L14"/>
    <mergeCell ref="H13:H14"/>
    <mergeCell ref="I13:I14"/>
    <mergeCell ref="K13:K14"/>
    <mergeCell ref="B7:B8"/>
    <mergeCell ref="C7:C8"/>
    <mergeCell ref="E7:E8"/>
    <mergeCell ref="F7:F8"/>
    <mergeCell ref="H7:H8"/>
    <mergeCell ref="I7:I8"/>
    <mergeCell ref="K7:K8"/>
    <mergeCell ref="L7:L8"/>
    <mergeCell ref="B9:B10"/>
    <mergeCell ref="C9:C10"/>
    <mergeCell ref="E9:E10"/>
    <mergeCell ref="F9:F10"/>
    <mergeCell ref="H9:H10"/>
    <mergeCell ref="I9:I10"/>
    <mergeCell ref="K9:K10"/>
    <mergeCell ref="L9:L10"/>
    <mergeCell ref="K5:K6"/>
    <mergeCell ref="L5:L6"/>
    <mergeCell ref="B5:B6"/>
    <mergeCell ref="C5:C6"/>
    <mergeCell ref="E5:E6"/>
    <mergeCell ref="H5:H6"/>
    <mergeCell ref="I5:I6"/>
    <mergeCell ref="F5:F6"/>
    <mergeCell ref="B2:C2"/>
    <mergeCell ref="E2:F2"/>
    <mergeCell ref="H2:I2"/>
    <mergeCell ref="K2:L2"/>
    <mergeCell ref="E3:F3"/>
    <mergeCell ref="H3:I3"/>
    <mergeCell ref="B4:C4"/>
    <mergeCell ref="E4:F4"/>
    <mergeCell ref="H4:I4"/>
    <mergeCell ref="K4:L4"/>
    <mergeCell ref="K3:L3"/>
    <mergeCell ref="B3:C3"/>
    <mergeCell ref="I23:I24"/>
    <mergeCell ref="K23:K24"/>
    <mergeCell ref="L23:L24"/>
    <mergeCell ref="K35:K36"/>
    <mergeCell ref="L35:L36"/>
    <mergeCell ref="F59:F60"/>
    <mergeCell ref="H59:H60"/>
    <mergeCell ref="I59:I60"/>
    <mergeCell ref="K59:K60"/>
    <mergeCell ref="L59:L60"/>
    <mergeCell ref="H31:H32"/>
    <mergeCell ref="I31:I32"/>
    <mergeCell ref="K31:K32"/>
    <mergeCell ref="L31:L32"/>
    <mergeCell ref="L41:L42"/>
    <mergeCell ref="I37:I38"/>
    <mergeCell ref="K37:K38"/>
    <mergeCell ref="H33:H34"/>
    <mergeCell ref="K33:K34"/>
    <mergeCell ref="H57:H58"/>
    <mergeCell ref="I55:I56"/>
    <mergeCell ref="I57:I58"/>
    <mergeCell ref="K55:K56"/>
    <mergeCell ref="K57:K58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B17:M18 B15 D15:E15 G15:H15 J15:K15 M15 B36 M35 B38 D37 M37 B40 B39 M39 B42 B41 M41 B44 D43 M43 B20 B19 M19 B27:B30 B60 B78:E78 D19:E19 D35 F36:G36 F38:G38 G37 F40:G40 G39 F42:G42 G41 F44:G44 G43 B34 F34:G34 G35 I36:J36 I38:J38 J37 I40:J40 J39 I42:J42 J41 I44:J44 J43 I34:J34 J35 L36:M36 L38:M38 L40:M40 L42:M42 L44:M44 L34:M34 D39 D41 D59 D61 G19:H19 G59 G61 J19:K19 J59 J61 M59 M61 B62 J62 B16 J16:M16 J78:K78 B26 B25 D25:E25 G25:H25 J25:K25 M25 D16:H16 B77 D77:E77 G77:H77 J77:K77 M77 D36 D38 D40 D42 D44 D20:M20 D60 D33:D34 D62 D26:M26 D28:M28 D27:E27 G27:H27 D30:M30 D29:E29 G29:H29 J29:M29 G78:H78 M78 M27 J27:K27 F60:G60 G33 J33 M33 B32 D31:D32 F32:G32 I32:J32 L32:M32 G31 J31 M31 F62:G62 L62:M62 I60:J60 L60:M6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ColWidth="9.140625" defaultRowHeight="13.5" outlineLevelRow="1" x14ac:dyDescent="0.25"/>
  <cols>
    <col min="1" max="1" width="18.7109375" style="57" bestFit="1" customWidth="1"/>
    <col min="2" max="2" width="10.140625" style="57" bestFit="1" customWidth="1"/>
    <col min="3" max="7" width="15.7109375" style="57" customWidth="1"/>
    <col min="8" max="8" width="16.28515625" style="57" bestFit="1" customWidth="1"/>
    <col min="9" max="16384" width="9.140625" style="57"/>
  </cols>
  <sheetData>
    <row r="1" spans="1:7" ht="15" customHeight="1" x14ac:dyDescent="0.25">
      <c r="B1" s="118"/>
      <c r="C1" s="708" t="s">
        <v>43</v>
      </c>
      <c r="D1" s="709"/>
      <c r="E1" s="708"/>
      <c r="F1" s="710"/>
      <c r="G1" s="717" t="s">
        <v>17</v>
      </c>
    </row>
    <row r="2" spans="1:7" ht="15" customHeight="1" thickBot="1" x14ac:dyDescent="0.3">
      <c r="B2" s="118"/>
      <c r="C2" s="756"/>
      <c r="D2" s="760"/>
      <c r="E2" s="756"/>
      <c r="F2" s="761"/>
      <c r="G2" s="718"/>
    </row>
    <row r="3" spans="1:7" x14ac:dyDescent="0.25">
      <c r="A3" s="724" t="s">
        <v>48</v>
      </c>
      <c r="B3" s="763" t="s">
        <v>49</v>
      </c>
      <c r="C3" s="678" t="s">
        <v>46</v>
      </c>
      <c r="D3" s="750" t="s">
        <v>47</v>
      </c>
      <c r="E3" s="678"/>
      <c r="F3" s="750"/>
      <c r="G3" s="718"/>
    </row>
    <row r="4" spans="1:7" ht="14.25" customHeight="1" thickBot="1" x14ac:dyDescent="0.3">
      <c r="A4" s="725"/>
      <c r="B4" s="764"/>
      <c r="C4" s="725"/>
      <c r="D4" s="727"/>
      <c r="E4" s="725"/>
      <c r="F4" s="727"/>
      <c r="G4" s="718"/>
    </row>
    <row r="5" spans="1:7" s="63" customFormat="1" ht="12.75" customHeight="1" thickBot="1" x14ac:dyDescent="0.3">
      <c r="A5" s="130"/>
      <c r="B5" s="115"/>
      <c r="C5" s="58"/>
      <c r="D5" s="59"/>
      <c r="E5" s="60"/>
      <c r="F5" s="61"/>
      <c r="G5" s="62"/>
    </row>
    <row r="6" spans="1:7" s="63" customFormat="1" ht="12.75" customHeight="1" thickBot="1" x14ac:dyDescent="0.3">
      <c r="A6" s="130"/>
      <c r="B6" s="108"/>
      <c r="C6" s="58"/>
      <c r="D6" s="59"/>
      <c r="E6" s="60"/>
      <c r="F6" s="61"/>
      <c r="G6" s="62"/>
    </row>
    <row r="7" spans="1:7" s="63" customFormat="1" ht="12.75" customHeight="1" thickBot="1" x14ac:dyDescent="0.3">
      <c r="A7" s="130"/>
      <c r="B7" s="108"/>
      <c r="C7" s="58"/>
      <c r="D7" s="59"/>
      <c r="E7" s="60"/>
      <c r="F7" s="61"/>
      <c r="G7" s="62"/>
    </row>
    <row r="8" spans="1:7" s="63" customFormat="1" ht="12.75" customHeight="1" thickBot="1" x14ac:dyDescent="0.3">
      <c r="A8" s="135"/>
      <c r="B8" s="108"/>
      <c r="C8" s="58"/>
      <c r="D8" s="59"/>
      <c r="E8" s="60"/>
      <c r="F8" s="61"/>
      <c r="G8" s="62"/>
    </row>
    <row r="9" spans="1:7" s="63" customFormat="1" ht="12.75" customHeight="1" thickBot="1" x14ac:dyDescent="0.3">
      <c r="A9" s="135"/>
      <c r="B9" s="108"/>
      <c r="C9" s="58"/>
      <c r="D9" s="59"/>
      <c r="E9" s="60"/>
      <c r="F9" s="61"/>
      <c r="G9" s="62"/>
    </row>
    <row r="10" spans="1:7" s="63" customFormat="1" ht="12.75" customHeight="1" outlineLevel="1" thickBot="1" x14ac:dyDescent="0.3">
      <c r="A10" s="135"/>
      <c r="B10" s="139"/>
      <c r="C10" s="60"/>
      <c r="D10" s="64"/>
      <c r="E10" s="60"/>
      <c r="F10" s="61"/>
      <c r="G10" s="62">
        <f>SUM(C10:F10)</f>
        <v>0</v>
      </c>
    </row>
    <row r="11" spans="1:7" s="63" customFormat="1" ht="14.25" outlineLevel="1" thickBot="1" x14ac:dyDescent="0.3">
      <c r="A11" s="135"/>
      <c r="B11" s="108"/>
      <c r="C11" s="65"/>
      <c r="D11" s="66"/>
      <c r="E11" s="65"/>
      <c r="F11" s="67"/>
      <c r="G11" s="62">
        <f>SUM(C11:F11)</f>
        <v>0</v>
      </c>
    </row>
    <row r="12" spans="1:7" s="69" customFormat="1" ht="14.25" customHeight="1" outlineLevel="1" thickBot="1" x14ac:dyDescent="0.3">
      <c r="A12" s="98" t="s">
        <v>19</v>
      </c>
      <c r="B12" s="730" t="s">
        <v>22</v>
      </c>
      <c r="C12" s="105">
        <f>SUM(C5:C11)</f>
        <v>0</v>
      </c>
      <c r="D12" s="105">
        <f>SUM(D5:D11)</f>
        <v>0</v>
      </c>
      <c r="E12" s="105">
        <f>SUM(E5:E11)</f>
        <v>0</v>
      </c>
      <c r="F12" s="105">
        <f>SUM(F5:F11)</f>
        <v>0</v>
      </c>
      <c r="G12" s="105">
        <f>SUM(G5:G11)</f>
        <v>0</v>
      </c>
    </row>
    <row r="13" spans="1:7" s="69" customFormat="1" ht="14.25" customHeight="1" outlineLevel="1" thickBot="1" x14ac:dyDescent="0.3">
      <c r="A13" s="99" t="s">
        <v>21</v>
      </c>
      <c r="B13" s="731"/>
      <c r="C13" s="106" t="e">
        <f>AVERAGE(C5:C11)</f>
        <v>#DIV/0!</v>
      </c>
      <c r="D13" s="106" t="e">
        <f>AVERAGE(D5:D11)</f>
        <v>#DIV/0!</v>
      </c>
      <c r="E13" s="106" t="e">
        <f>AVERAGE(E5:E11)</f>
        <v>#DIV/0!</v>
      </c>
      <c r="F13" s="106" t="e">
        <f>AVERAGE(F5:F11)</f>
        <v>#DIV/0!</v>
      </c>
      <c r="G13" s="106">
        <f>AVERAGE(G5:G11)</f>
        <v>0</v>
      </c>
    </row>
    <row r="14" spans="1:7" s="69" customFormat="1" ht="14.25" customHeight="1" thickBot="1" x14ac:dyDescent="0.3">
      <c r="A14" s="26" t="s">
        <v>18</v>
      </c>
      <c r="B14" s="731"/>
      <c r="C14" s="76">
        <f>SUM(C5:C9)</f>
        <v>0</v>
      </c>
      <c r="D14" s="76">
        <f>SUM(D5:D9)</f>
        <v>0</v>
      </c>
      <c r="E14" s="76">
        <f>SUM(E5:E9)</f>
        <v>0</v>
      </c>
      <c r="F14" s="76">
        <f>SUM(F5:F9)</f>
        <v>0</v>
      </c>
      <c r="G14" s="76">
        <f>SUM(G5:G9)</f>
        <v>0</v>
      </c>
    </row>
    <row r="15" spans="1:7" s="69" customFormat="1" ht="14.25" customHeight="1" thickBot="1" x14ac:dyDescent="0.3">
      <c r="A15" s="26" t="s">
        <v>20</v>
      </c>
      <c r="B15" s="732"/>
      <c r="C15" s="77" t="e">
        <f>AVERAGE(C5:C9)</f>
        <v>#DIV/0!</v>
      </c>
      <c r="D15" s="77" t="e">
        <f>AVERAGE(D5:D9)</f>
        <v>#DIV/0!</v>
      </c>
      <c r="E15" s="77" t="e">
        <f>AVERAGE(E5:E9)</f>
        <v>#DIV/0!</v>
      </c>
      <c r="F15" s="77" t="e">
        <f>AVERAGE(F5:F9)</f>
        <v>#DIV/0!</v>
      </c>
      <c r="G15" s="77" t="e">
        <f>AVERAGE(G5:G9)</f>
        <v>#DIV/0!</v>
      </c>
    </row>
    <row r="16" spans="1:7" s="69" customFormat="1" ht="13.5" customHeight="1" thickBot="1" x14ac:dyDescent="0.3">
      <c r="A16" s="25"/>
      <c r="B16" s="109"/>
      <c r="C16" s="58"/>
      <c r="D16" s="59"/>
      <c r="E16" s="58"/>
      <c r="F16" s="70"/>
      <c r="G16" s="137"/>
    </row>
    <row r="17" spans="1:7" s="69" customFormat="1" ht="13.5" customHeight="1" thickBot="1" x14ac:dyDescent="0.3">
      <c r="A17" s="25"/>
      <c r="B17" s="110"/>
      <c r="C17" s="58"/>
      <c r="D17" s="59"/>
      <c r="E17" s="60"/>
      <c r="F17" s="61"/>
      <c r="G17" s="137"/>
    </row>
    <row r="18" spans="1:7" s="69" customFormat="1" ht="15" customHeight="1" thickBot="1" x14ac:dyDescent="0.3">
      <c r="A18" s="25"/>
      <c r="B18" s="110"/>
      <c r="C18" s="58"/>
      <c r="D18" s="59"/>
      <c r="E18" s="60"/>
      <c r="F18" s="61"/>
      <c r="G18" s="137"/>
    </row>
    <row r="19" spans="1:7" s="69" customFormat="1" ht="14.25" customHeight="1" thickBot="1" x14ac:dyDescent="0.3">
      <c r="A19" s="25"/>
      <c r="B19" s="110"/>
      <c r="C19" s="58"/>
      <c r="D19" s="59"/>
      <c r="E19" s="60"/>
      <c r="F19" s="61"/>
      <c r="G19" s="137"/>
    </row>
    <row r="20" spans="1:7" s="69" customFormat="1" ht="14.25" customHeight="1" thickBot="1" x14ac:dyDescent="0.3">
      <c r="A20" s="25"/>
      <c r="B20" s="110"/>
      <c r="C20" s="58"/>
      <c r="D20" s="59"/>
      <c r="E20" s="60"/>
      <c r="F20" s="61"/>
      <c r="G20" s="137"/>
    </row>
    <row r="21" spans="1:7" s="69" customFormat="1" ht="14.25" customHeight="1" outlineLevel="1" thickBot="1" x14ac:dyDescent="0.3">
      <c r="A21" s="132"/>
      <c r="B21" s="110"/>
      <c r="C21" s="60"/>
      <c r="D21" s="64"/>
      <c r="E21" s="60"/>
      <c r="F21" s="61"/>
      <c r="G21" s="137">
        <f>SUM(C21:F21)</f>
        <v>0</v>
      </c>
    </row>
    <row r="22" spans="1:7" s="69" customFormat="1" ht="14.25" customHeight="1" outlineLevel="1" thickBot="1" x14ac:dyDescent="0.3">
      <c r="A22" s="132"/>
      <c r="B22" s="110"/>
      <c r="C22" s="65"/>
      <c r="D22" s="66"/>
      <c r="E22" s="65"/>
      <c r="F22" s="67"/>
      <c r="G22" s="137">
        <f>SUM(C22:F22)</f>
        <v>0</v>
      </c>
    </row>
    <row r="23" spans="1:7" s="69" customFormat="1" ht="14.25" customHeight="1" outlineLevel="1" thickBot="1" x14ac:dyDescent="0.3">
      <c r="A23" s="98" t="s">
        <v>19</v>
      </c>
      <c r="B23" s="730" t="s">
        <v>23</v>
      </c>
      <c r="C23" s="105">
        <f>SUM(C16:C22)</f>
        <v>0</v>
      </c>
      <c r="D23" s="105">
        <f>SUM(D16:D22)</f>
        <v>0</v>
      </c>
      <c r="E23" s="105">
        <f>SUM(E16:E22)</f>
        <v>0</v>
      </c>
      <c r="F23" s="105">
        <f>SUM(F16:F22)</f>
        <v>0</v>
      </c>
      <c r="G23" s="105">
        <f>SUM(G16:G22)</f>
        <v>0</v>
      </c>
    </row>
    <row r="24" spans="1:7" s="69" customFormat="1" ht="14.25" customHeight="1" outlineLevel="1" thickBot="1" x14ac:dyDescent="0.3">
      <c r="A24" s="99" t="s">
        <v>21</v>
      </c>
      <c r="B24" s="731"/>
      <c r="C24" s="106" t="e">
        <f>AVERAGE(C16:C22)</f>
        <v>#DIV/0!</v>
      </c>
      <c r="D24" s="106" t="e">
        <f>AVERAGE(D16:D22)</f>
        <v>#DIV/0!</v>
      </c>
      <c r="E24" s="106" t="e">
        <f>AVERAGE(E16:E22)</f>
        <v>#DIV/0!</v>
      </c>
      <c r="F24" s="106" t="e">
        <f>AVERAGE(F16:F22)</f>
        <v>#DIV/0!</v>
      </c>
      <c r="G24" s="106">
        <f>AVERAGE(G16:G22)</f>
        <v>0</v>
      </c>
    </row>
    <row r="25" spans="1:7" s="69" customFormat="1" ht="14.25" customHeight="1" thickBot="1" x14ac:dyDescent="0.3">
      <c r="A25" s="26" t="s">
        <v>18</v>
      </c>
      <c r="B25" s="731"/>
      <c r="C25" s="76">
        <f>SUM(C16:C20)</f>
        <v>0</v>
      </c>
      <c r="D25" s="76">
        <f>SUM(D16:D20)</f>
        <v>0</v>
      </c>
      <c r="E25" s="76">
        <f>SUM(E16:E20)</f>
        <v>0</v>
      </c>
      <c r="F25" s="76">
        <f>SUM(F16:F20)</f>
        <v>0</v>
      </c>
      <c r="G25" s="76">
        <f>SUM(G16:G20)</f>
        <v>0</v>
      </c>
    </row>
    <row r="26" spans="1:7" s="69" customFormat="1" ht="14.25" customHeight="1" thickBot="1" x14ac:dyDescent="0.3">
      <c r="A26" s="26" t="s">
        <v>20</v>
      </c>
      <c r="B26" s="732"/>
      <c r="C26" s="77" t="e">
        <f>AVERAGE(C16:C20)</f>
        <v>#DIV/0!</v>
      </c>
      <c r="D26" s="77" t="e">
        <f>AVERAGE(D16:D20)</f>
        <v>#DIV/0!</v>
      </c>
      <c r="E26" s="77" t="e">
        <f>AVERAGE(E16:E20)</f>
        <v>#DIV/0!</v>
      </c>
      <c r="F26" s="77" t="e">
        <f>AVERAGE(F16:F20)</f>
        <v>#DIV/0!</v>
      </c>
      <c r="G26" s="77" t="e">
        <f>AVERAGE(G16:G20)</f>
        <v>#DIV/0!</v>
      </c>
    </row>
    <row r="27" spans="1:7" s="69" customFormat="1" ht="14.25" customHeight="1" thickBot="1" x14ac:dyDescent="0.3">
      <c r="A27" s="25"/>
      <c r="B27" s="131"/>
      <c r="C27" s="58"/>
      <c r="D27" s="59"/>
      <c r="E27" s="58"/>
      <c r="F27" s="70"/>
      <c r="G27" s="137"/>
    </row>
    <row r="28" spans="1:7" s="69" customFormat="1" ht="15.75" customHeight="1" thickBot="1" x14ac:dyDescent="0.3">
      <c r="A28" s="25"/>
      <c r="B28" s="112"/>
      <c r="C28" s="58"/>
      <c r="D28" s="59"/>
      <c r="E28" s="60"/>
      <c r="F28" s="61"/>
      <c r="G28" s="137"/>
    </row>
    <row r="29" spans="1:7" s="69" customFormat="1" ht="13.5" customHeight="1" thickBot="1" x14ac:dyDescent="0.3">
      <c r="A29" s="25"/>
      <c r="B29" s="112"/>
      <c r="C29" s="58"/>
      <c r="D29" s="59"/>
      <c r="E29" s="60"/>
      <c r="F29" s="61"/>
      <c r="G29" s="137"/>
    </row>
    <row r="30" spans="1:7" s="69" customFormat="1" ht="12.75" customHeight="1" thickBot="1" x14ac:dyDescent="0.3">
      <c r="A30" s="25"/>
      <c r="B30" s="112"/>
      <c r="C30" s="58"/>
      <c r="D30" s="59"/>
      <c r="E30" s="60"/>
      <c r="F30" s="61"/>
      <c r="G30" s="137"/>
    </row>
    <row r="31" spans="1:7" s="69" customFormat="1" ht="14.25" thickBot="1" x14ac:dyDescent="0.3">
      <c r="A31" s="25"/>
      <c r="B31" s="112"/>
      <c r="C31" s="58"/>
      <c r="D31" s="59"/>
      <c r="E31" s="60"/>
      <c r="F31" s="61"/>
      <c r="G31" s="137"/>
    </row>
    <row r="32" spans="1:7" s="69" customFormat="1" ht="14.25" customHeight="1" outlineLevel="1" thickBot="1" x14ac:dyDescent="0.3">
      <c r="A32" s="132"/>
      <c r="B32" s="110"/>
      <c r="C32" s="60"/>
      <c r="D32" s="64"/>
      <c r="E32" s="60"/>
      <c r="F32" s="61"/>
      <c r="G32" s="137">
        <f>SUM(C32:F32)</f>
        <v>0</v>
      </c>
    </row>
    <row r="33" spans="1:8" s="69" customFormat="1" ht="14.25" customHeight="1" outlineLevel="1" thickBot="1" x14ac:dyDescent="0.3">
      <c r="A33" s="132"/>
      <c r="B33" s="110"/>
      <c r="C33" s="65"/>
      <c r="D33" s="66"/>
      <c r="E33" s="65"/>
      <c r="F33" s="67"/>
      <c r="G33" s="137">
        <f>SUM(C33:F33)</f>
        <v>0</v>
      </c>
    </row>
    <row r="34" spans="1:8" s="69" customFormat="1" ht="14.25" customHeight="1" outlineLevel="1" thickBot="1" x14ac:dyDescent="0.3">
      <c r="A34" s="98" t="s">
        <v>19</v>
      </c>
      <c r="B34" s="730" t="s">
        <v>24</v>
      </c>
      <c r="C34" s="105">
        <f>SUM(C27:C33)</f>
        <v>0</v>
      </c>
      <c r="D34" s="105">
        <f>SUM(D27:D33)</f>
        <v>0</v>
      </c>
      <c r="E34" s="105">
        <f>SUM(E27:E33)</f>
        <v>0</v>
      </c>
      <c r="F34" s="105">
        <f>SUM(F27:F33)</f>
        <v>0</v>
      </c>
      <c r="G34" s="105">
        <f>SUM(G27:G33)</f>
        <v>0</v>
      </c>
    </row>
    <row r="35" spans="1:8" s="69" customFormat="1" ht="14.25" customHeight="1" outlineLevel="1" thickBot="1" x14ac:dyDescent="0.3">
      <c r="A35" s="99" t="s">
        <v>21</v>
      </c>
      <c r="B35" s="731"/>
      <c r="C35" s="106" t="e">
        <f>AVERAGE(C27:C33)</f>
        <v>#DIV/0!</v>
      </c>
      <c r="D35" s="106" t="e">
        <f>AVERAGE(D27:D33)</f>
        <v>#DIV/0!</v>
      </c>
      <c r="E35" s="106" t="e">
        <f>AVERAGE(E27:E33)</f>
        <v>#DIV/0!</v>
      </c>
      <c r="F35" s="106" t="e">
        <f>AVERAGE(F27:F33)</f>
        <v>#DIV/0!</v>
      </c>
      <c r="G35" s="106">
        <f>AVERAGE(G27:G33)</f>
        <v>0</v>
      </c>
    </row>
    <row r="36" spans="1:8" s="69" customFormat="1" ht="14.25" customHeight="1" thickBot="1" x14ac:dyDescent="0.3">
      <c r="A36" s="26" t="s">
        <v>18</v>
      </c>
      <c r="B36" s="731"/>
      <c r="C36" s="76">
        <f>SUM(C27:C31)</f>
        <v>0</v>
      </c>
      <c r="D36" s="76">
        <f>SUM(D27:D31)</f>
        <v>0</v>
      </c>
      <c r="E36" s="76">
        <f>SUM(E27:E31)</f>
        <v>0</v>
      </c>
      <c r="F36" s="76">
        <f>SUM(F27:F31)</f>
        <v>0</v>
      </c>
      <c r="G36" s="76">
        <f>SUM(G27:G31)</f>
        <v>0</v>
      </c>
    </row>
    <row r="37" spans="1:8" s="69" customFormat="1" ht="15.75" customHeight="1" thickBot="1" x14ac:dyDescent="0.3">
      <c r="A37" s="26" t="s">
        <v>20</v>
      </c>
      <c r="B37" s="732"/>
      <c r="C37" s="77" t="e">
        <f>AVERAGE(C27:C31)</f>
        <v>#DIV/0!</v>
      </c>
      <c r="D37" s="77" t="e">
        <f>AVERAGE(D27:D31)</f>
        <v>#DIV/0!</v>
      </c>
      <c r="E37" s="77" t="e">
        <f>AVERAGE(E27:E31)</f>
        <v>#DIV/0!</v>
      </c>
      <c r="F37" s="77" t="e">
        <f>AVERAGE(F27:F31)</f>
        <v>#DIV/0!</v>
      </c>
      <c r="G37" s="77" t="e">
        <f>AVERAGE(G27:G31)</f>
        <v>#DIV/0!</v>
      </c>
    </row>
    <row r="38" spans="1:8" s="69" customFormat="1" ht="12.75" customHeight="1" thickBot="1" x14ac:dyDescent="0.3">
      <c r="A38" s="25"/>
      <c r="B38" s="131"/>
      <c r="C38" s="58"/>
      <c r="D38" s="59"/>
      <c r="E38" s="58"/>
      <c r="F38" s="70"/>
      <c r="G38" s="71"/>
    </row>
    <row r="39" spans="1:8" s="69" customFormat="1" ht="15.75" customHeight="1" thickBot="1" x14ac:dyDescent="0.3">
      <c r="A39" s="25"/>
      <c r="B39" s="112"/>
      <c r="C39" s="58"/>
      <c r="D39" s="59"/>
      <c r="E39" s="60"/>
      <c r="F39" s="61"/>
      <c r="G39" s="62"/>
    </row>
    <row r="40" spans="1:8" s="69" customFormat="1" ht="17.25" customHeight="1" thickBot="1" x14ac:dyDescent="0.3">
      <c r="A40" s="25"/>
      <c r="B40" s="112"/>
      <c r="C40" s="58"/>
      <c r="D40" s="59"/>
      <c r="E40" s="60"/>
      <c r="F40" s="61"/>
      <c r="G40" s="62"/>
    </row>
    <row r="41" spans="1:8" s="69" customFormat="1" ht="14.25" customHeight="1" thickBot="1" x14ac:dyDescent="0.3">
      <c r="A41" s="25"/>
      <c r="B41" s="112"/>
      <c r="C41" s="58"/>
      <c r="D41" s="59"/>
      <c r="E41" s="60"/>
      <c r="F41" s="61"/>
      <c r="G41" s="62"/>
    </row>
    <row r="42" spans="1:8" s="69" customFormat="1" ht="17.25" customHeight="1" thickBot="1" x14ac:dyDescent="0.3">
      <c r="A42" s="25"/>
      <c r="B42" s="112"/>
      <c r="C42" s="58"/>
      <c r="D42" s="59"/>
      <c r="E42" s="60"/>
      <c r="F42" s="61"/>
      <c r="G42" s="62"/>
    </row>
    <row r="43" spans="1:8" s="69" customFormat="1" ht="14.25" customHeight="1" outlineLevel="1" thickBot="1" x14ac:dyDescent="0.3">
      <c r="A43" s="132"/>
      <c r="B43" s="110"/>
      <c r="C43" s="60"/>
      <c r="D43" s="64"/>
      <c r="E43" s="60"/>
      <c r="F43" s="61"/>
      <c r="G43" s="62">
        <f>SUM(C43:F43)</f>
        <v>0</v>
      </c>
      <c r="H43" s="107"/>
    </row>
    <row r="44" spans="1:8" s="69" customFormat="1" ht="14.25" customHeight="1" outlineLevel="1" thickBot="1" x14ac:dyDescent="0.3">
      <c r="A44" s="132"/>
      <c r="B44" s="110"/>
      <c r="C44" s="65"/>
      <c r="D44" s="66"/>
      <c r="E44" s="65"/>
      <c r="F44" s="67"/>
      <c r="G44" s="68">
        <f>SUM(C44:F44)</f>
        <v>0</v>
      </c>
      <c r="H44" s="107"/>
    </row>
    <row r="45" spans="1:8" s="69" customFormat="1" ht="14.25" customHeight="1" outlineLevel="1" thickBot="1" x14ac:dyDescent="0.3">
      <c r="A45" s="98" t="s">
        <v>19</v>
      </c>
      <c r="B45" s="730" t="s">
        <v>25</v>
      </c>
      <c r="C45" s="105">
        <f>SUM(C38:C44)</f>
        <v>0</v>
      </c>
      <c r="D45" s="105">
        <f>SUM(D38:D44)</f>
        <v>0</v>
      </c>
      <c r="E45" s="105">
        <f>SUM(E38:E44)</f>
        <v>0</v>
      </c>
      <c r="F45" s="105">
        <f>SUM(F38:F44)</f>
        <v>0</v>
      </c>
      <c r="G45" s="105">
        <f>SUM(G38:G44)</f>
        <v>0</v>
      </c>
    </row>
    <row r="46" spans="1:8" s="69" customFormat="1" ht="14.25" customHeight="1" outlineLevel="1" thickBot="1" x14ac:dyDescent="0.3">
      <c r="A46" s="99" t="s">
        <v>21</v>
      </c>
      <c r="B46" s="731"/>
      <c r="C46" s="106" t="e">
        <f>AVERAGE(C38:C44)</f>
        <v>#DIV/0!</v>
      </c>
      <c r="D46" s="106" t="e">
        <f>AVERAGE(D38:D44)</f>
        <v>#DIV/0!</v>
      </c>
      <c r="E46" s="106" t="e">
        <f>AVERAGE(E38:E44)</f>
        <v>#DIV/0!</v>
      </c>
      <c r="F46" s="106" t="e">
        <f>AVERAGE(F38:F44)</f>
        <v>#DIV/0!</v>
      </c>
      <c r="G46" s="106">
        <f>AVERAGE(G38:G44)</f>
        <v>0</v>
      </c>
    </row>
    <row r="47" spans="1:8" s="69" customFormat="1" ht="14.25" customHeight="1" thickBot="1" x14ac:dyDescent="0.3">
      <c r="A47" s="26" t="s">
        <v>18</v>
      </c>
      <c r="B47" s="731"/>
      <c r="C47" s="76">
        <f>SUM(C38:C42)</f>
        <v>0</v>
      </c>
      <c r="D47" s="76">
        <f>SUM(D38:D42)</f>
        <v>0</v>
      </c>
      <c r="E47" s="76">
        <f>SUM(E38:E42)</f>
        <v>0</v>
      </c>
      <c r="F47" s="76">
        <f>SUM(F38:F42)</f>
        <v>0</v>
      </c>
      <c r="G47" s="76">
        <f>SUM(G38:G42)</f>
        <v>0</v>
      </c>
    </row>
    <row r="48" spans="1:8" s="69" customFormat="1" ht="13.5" customHeight="1" thickBot="1" x14ac:dyDescent="0.3">
      <c r="A48" s="26" t="s">
        <v>20</v>
      </c>
      <c r="B48" s="732"/>
      <c r="C48" s="77" t="e">
        <f>AVERAGE(C38:C42)</f>
        <v>#DIV/0!</v>
      </c>
      <c r="D48" s="77" t="e">
        <f>AVERAGE(D38:D42)</f>
        <v>#DIV/0!</v>
      </c>
      <c r="E48" s="77" t="e">
        <f>AVERAGE(E38:E42)</f>
        <v>#DIV/0!</v>
      </c>
      <c r="F48" s="77" t="e">
        <f>AVERAGE(F38:F42)</f>
        <v>#DIV/0!</v>
      </c>
      <c r="G48" s="77" t="e">
        <f>AVERAGE(G38:G42)</f>
        <v>#DIV/0!</v>
      </c>
    </row>
    <row r="49" spans="1:7" s="69" customFormat="1" ht="13.5" customHeight="1" thickBot="1" x14ac:dyDescent="0.3">
      <c r="A49" s="25"/>
      <c r="B49" s="111"/>
      <c r="C49" s="126"/>
      <c r="D49" s="127"/>
      <c r="E49" s="58"/>
      <c r="F49" s="70"/>
      <c r="G49" s="71"/>
    </row>
    <row r="50" spans="1:7" s="69" customFormat="1" ht="14.25" customHeight="1" thickBot="1" x14ac:dyDescent="0.3">
      <c r="A50" s="25"/>
      <c r="B50" s="125"/>
      <c r="C50" s="128"/>
      <c r="D50" s="129"/>
      <c r="E50" s="60"/>
      <c r="F50" s="61"/>
      <c r="G50" s="62"/>
    </row>
    <row r="51" spans="1:7" s="69" customFormat="1" ht="13.5" customHeight="1" thickBot="1" x14ac:dyDescent="0.3">
      <c r="A51" s="25"/>
      <c r="B51" s="125"/>
      <c r="C51" s="58"/>
      <c r="D51" s="70"/>
      <c r="E51" s="60"/>
      <c r="F51" s="61"/>
      <c r="G51" s="62"/>
    </row>
    <row r="52" spans="1:7" s="69" customFormat="1" ht="13.5" customHeight="1" thickBot="1" x14ac:dyDescent="0.3">
      <c r="A52" s="132"/>
      <c r="B52" s="125"/>
      <c r="C52" s="58"/>
      <c r="D52" s="70"/>
      <c r="E52" s="60"/>
      <c r="F52" s="61"/>
      <c r="G52" s="62"/>
    </row>
    <row r="53" spans="1:7" s="69" customFormat="1" ht="12" customHeight="1" x14ac:dyDescent="0.25">
      <c r="A53" s="132"/>
      <c r="B53" s="125"/>
      <c r="C53" s="126"/>
      <c r="D53" s="159"/>
      <c r="E53" s="65"/>
      <c r="F53" s="67"/>
      <c r="G53" s="68"/>
    </row>
    <row r="54" spans="1:7" s="69" customFormat="1" ht="14.25" customHeight="1" outlineLevel="1" thickBot="1" x14ac:dyDescent="0.3">
      <c r="A54" s="162"/>
      <c r="B54" s="168"/>
      <c r="C54" s="60"/>
      <c r="D54" s="61"/>
      <c r="E54" s="60"/>
      <c r="F54" s="61"/>
      <c r="G54" s="60">
        <f>SUM(C54:F54)</f>
        <v>0</v>
      </c>
    </row>
    <row r="55" spans="1:7" s="69" customFormat="1" ht="16.5" hidden="1" customHeight="1" outlineLevel="1" thickBot="1" x14ac:dyDescent="0.3">
      <c r="A55" s="132" t="s">
        <v>2</v>
      </c>
      <c r="B55" s="110">
        <f>B54+1</f>
        <v>1</v>
      </c>
      <c r="C55" s="160"/>
      <c r="D55" s="161"/>
      <c r="E55" s="126"/>
      <c r="F55" s="159"/>
      <c r="G55" s="60">
        <f>SUM(C55:F55)</f>
        <v>0</v>
      </c>
    </row>
    <row r="56" spans="1:7" s="69" customFormat="1" ht="16.5" customHeight="1" outlineLevel="1" thickBot="1" x14ac:dyDescent="0.3">
      <c r="A56" s="98" t="s">
        <v>19</v>
      </c>
      <c r="B56" s="730" t="s">
        <v>26</v>
      </c>
      <c r="C56" s="105">
        <f>SUM(C49:C55)</f>
        <v>0</v>
      </c>
      <c r="D56" s="105">
        <f>SUM(D49:D55)</f>
        <v>0</v>
      </c>
      <c r="E56" s="105">
        <f>SUM(E49:E55)</f>
        <v>0</v>
      </c>
      <c r="F56" s="105">
        <f>SUM(F49:F55)</f>
        <v>0</v>
      </c>
      <c r="G56" s="105">
        <f>SUM(G49:G55)</f>
        <v>0</v>
      </c>
    </row>
    <row r="57" spans="1:7" s="69" customFormat="1" ht="14.25" customHeight="1" outlineLevel="1" thickBot="1" x14ac:dyDescent="0.3">
      <c r="A57" s="99" t="s">
        <v>21</v>
      </c>
      <c r="B57" s="731"/>
      <c r="C57" s="106" t="e">
        <f>AVERAGE(C49:C55)</f>
        <v>#DIV/0!</v>
      </c>
      <c r="D57" s="106" t="e">
        <f>AVERAGE(D49:D55)</f>
        <v>#DIV/0!</v>
      </c>
      <c r="E57" s="106" t="e">
        <f>AVERAGE(E49:E55)</f>
        <v>#DIV/0!</v>
      </c>
      <c r="F57" s="106" t="e">
        <f>AVERAGE(F49:F55)</f>
        <v>#DIV/0!</v>
      </c>
      <c r="G57" s="106">
        <f>AVERAGE(G49:G55)</f>
        <v>0</v>
      </c>
    </row>
    <row r="58" spans="1:7" s="69" customFormat="1" ht="15.75" customHeight="1" thickBot="1" x14ac:dyDescent="0.3">
      <c r="A58" s="26" t="s">
        <v>18</v>
      </c>
      <c r="B58" s="731"/>
      <c r="C58" s="76">
        <f>SUM(C49:C53)</f>
        <v>0</v>
      </c>
      <c r="D58" s="76">
        <f>SUM(D49:D53)</f>
        <v>0</v>
      </c>
      <c r="E58" s="76">
        <f>SUM(E49:E53)</f>
        <v>0</v>
      </c>
      <c r="F58" s="76">
        <f>SUM(F49:F53)</f>
        <v>0</v>
      </c>
      <c r="G58" s="76">
        <f>SUM(G49:G53)</f>
        <v>0</v>
      </c>
    </row>
    <row r="59" spans="1:7" s="69" customFormat="1" ht="14.25" customHeight="1" thickBot="1" x14ac:dyDescent="0.3">
      <c r="A59" s="26" t="s">
        <v>20</v>
      </c>
      <c r="B59" s="732"/>
      <c r="C59" s="77" t="e">
        <f>AVERAGE(C49:C53)</f>
        <v>#DIV/0!</v>
      </c>
      <c r="D59" s="77" t="e">
        <f>AVERAGE(D49:D53)</f>
        <v>#DIV/0!</v>
      </c>
      <c r="E59" s="77" t="e">
        <f>AVERAGE(E49:E53)</f>
        <v>#DIV/0!</v>
      </c>
      <c r="F59" s="77" t="e">
        <f>AVERAGE(F49:F53)</f>
        <v>#DIV/0!</v>
      </c>
      <c r="G59" s="77" t="e">
        <f>AVERAGE(G49:G53)</f>
        <v>#DIV/0!</v>
      </c>
    </row>
    <row r="60" spans="1:7" s="69" customFormat="1" ht="1.5" hidden="1" customHeight="1" x14ac:dyDescent="0.25">
      <c r="A60" s="121"/>
      <c r="B60" s="114"/>
      <c r="C60" s="58"/>
      <c r="D60" s="59"/>
      <c r="E60" s="58"/>
      <c r="F60" s="70"/>
      <c r="G60" s="71"/>
    </row>
    <row r="61" spans="1:7" s="69" customFormat="1" ht="17.25" hidden="1" customHeight="1" x14ac:dyDescent="0.25">
      <c r="A61" s="122"/>
      <c r="B61" s="112"/>
      <c r="C61" s="58"/>
      <c r="D61" s="59"/>
      <c r="E61" s="60"/>
      <c r="F61" s="61"/>
      <c r="G61" s="62"/>
    </row>
    <row r="62" spans="1:7" s="69" customFormat="1" ht="18" hidden="1" customHeight="1" x14ac:dyDescent="0.25">
      <c r="A62" s="119"/>
      <c r="B62" s="112"/>
      <c r="C62" s="58"/>
      <c r="D62" s="59"/>
      <c r="E62" s="60"/>
      <c r="F62" s="61"/>
      <c r="G62" s="62"/>
    </row>
    <row r="63" spans="1:7" s="69" customFormat="1" ht="16.5" hidden="1" customHeight="1" x14ac:dyDescent="0.25">
      <c r="A63" s="119"/>
      <c r="B63" s="112"/>
      <c r="C63" s="58"/>
      <c r="D63" s="59"/>
      <c r="E63" s="60"/>
      <c r="F63" s="61"/>
      <c r="G63" s="62"/>
    </row>
    <row r="64" spans="1:7" s="69" customFormat="1" ht="15" hidden="1" customHeight="1" x14ac:dyDescent="0.25">
      <c r="A64" s="119"/>
      <c r="B64" s="112"/>
      <c r="C64" s="58"/>
      <c r="D64" s="59"/>
      <c r="E64" s="60"/>
      <c r="F64" s="61"/>
      <c r="G64" s="62"/>
    </row>
    <row r="65" spans="1:7" s="69" customFormat="1" ht="17.25" hidden="1" customHeight="1" outlineLevel="1" x14ac:dyDescent="0.25">
      <c r="A65" s="119"/>
      <c r="B65" s="112"/>
      <c r="C65" s="60"/>
      <c r="D65" s="64"/>
      <c r="E65" s="60"/>
      <c r="F65" s="61"/>
      <c r="G65" s="62"/>
    </row>
    <row r="66" spans="1:7" s="69" customFormat="1" ht="12" hidden="1" customHeight="1" outlineLevel="1" thickBot="1" x14ac:dyDescent="0.3">
      <c r="A66" s="119"/>
      <c r="B66" s="113"/>
      <c r="C66" s="65"/>
      <c r="D66" s="66"/>
      <c r="E66" s="65"/>
      <c r="F66" s="67"/>
      <c r="G66" s="68"/>
    </row>
    <row r="67" spans="1:7" s="69" customFormat="1" ht="15" hidden="1" customHeight="1" outlineLevel="1" thickBot="1" x14ac:dyDescent="0.3">
      <c r="A67" s="98" t="s">
        <v>19</v>
      </c>
      <c r="B67" s="730" t="s">
        <v>30</v>
      </c>
      <c r="C67" s="105">
        <f>SUM(C60:C66)</f>
        <v>0</v>
      </c>
      <c r="D67" s="105">
        <f>SUM(D60:D66)</f>
        <v>0</v>
      </c>
      <c r="E67" s="105">
        <f>SUM(E60:E66)</f>
        <v>0</v>
      </c>
      <c r="F67" s="105">
        <f>SUM(F60:F66)</f>
        <v>0</v>
      </c>
      <c r="G67" s="105">
        <f>SUM(G60:G66)</f>
        <v>0</v>
      </c>
    </row>
    <row r="68" spans="1:7" s="69" customFormat="1" ht="14.25" hidden="1" customHeight="1" outlineLevel="1" thickBot="1" x14ac:dyDescent="0.3">
      <c r="A68" s="99" t="s">
        <v>21</v>
      </c>
      <c r="B68" s="731"/>
      <c r="C68" s="106" t="e">
        <f>AVERAGE(C60:C66)</f>
        <v>#DIV/0!</v>
      </c>
      <c r="D68" s="106" t="e">
        <f>AVERAGE(D60:D66)</f>
        <v>#DIV/0!</v>
      </c>
      <c r="E68" s="106" t="e">
        <f>AVERAGE(E60:E66)</f>
        <v>#DIV/0!</v>
      </c>
      <c r="F68" s="106" t="e">
        <f>AVERAGE(F60:F66)</f>
        <v>#DIV/0!</v>
      </c>
      <c r="G68" s="106" t="e">
        <f>AVERAGE(G60:G66)</f>
        <v>#DIV/0!</v>
      </c>
    </row>
    <row r="69" spans="1:7" s="69" customFormat="1" ht="15.75" hidden="1" customHeight="1" thickBot="1" x14ac:dyDescent="0.3">
      <c r="A69" s="26" t="s">
        <v>18</v>
      </c>
      <c r="B69" s="731"/>
      <c r="C69" s="76">
        <f>SUM(C60:C64)</f>
        <v>0</v>
      </c>
      <c r="D69" s="76">
        <f>SUM(D60:D64)</f>
        <v>0</v>
      </c>
      <c r="E69" s="76">
        <f>SUM(E60:E64)</f>
        <v>0</v>
      </c>
      <c r="F69" s="76">
        <f>SUM(F60:F64)</f>
        <v>0</v>
      </c>
      <c r="G69" s="76">
        <f>SUM(G60:G64)</f>
        <v>0</v>
      </c>
    </row>
    <row r="70" spans="1:7" s="69" customFormat="1" ht="17.25" hidden="1" customHeight="1" thickBot="1" x14ac:dyDescent="0.3">
      <c r="A70" s="26" t="s">
        <v>20</v>
      </c>
      <c r="B70" s="732"/>
      <c r="C70" s="77" t="e">
        <f>AVERAGE(C60:C64)</f>
        <v>#DIV/0!</v>
      </c>
      <c r="D70" s="77" t="e">
        <f>AVERAGE(D60:D64)</f>
        <v>#DIV/0!</v>
      </c>
      <c r="E70" s="77" t="e">
        <f>AVERAGE(E60:E64)</f>
        <v>#DIV/0!</v>
      </c>
      <c r="F70" s="77" t="e">
        <f>AVERAGE(F60:F64)</f>
        <v>#DIV/0!</v>
      </c>
      <c r="G70" s="77" t="e">
        <f>AVERAGE(G60:G64)</f>
        <v>#DIV/0!</v>
      </c>
    </row>
    <row r="71" spans="1:7" s="69" customFormat="1" ht="14.25" customHeight="1" x14ac:dyDescent="0.25">
      <c r="A71" s="43"/>
      <c r="B71" s="44"/>
      <c r="C71" s="72"/>
      <c r="D71" s="72"/>
      <c r="E71" s="72"/>
      <c r="F71" s="72"/>
      <c r="G71" s="72"/>
    </row>
    <row r="72" spans="1:7" s="69" customFormat="1" ht="30" customHeight="1" x14ac:dyDescent="0.25">
      <c r="B72" s="73"/>
      <c r="C72" s="35" t="s">
        <v>46</v>
      </c>
      <c r="D72" s="35" t="s">
        <v>47</v>
      </c>
      <c r="E72" s="757" t="s">
        <v>55</v>
      </c>
      <c r="F72" s="762"/>
      <c r="G72" s="758"/>
    </row>
    <row r="73" spans="1:7" ht="30" customHeight="1" x14ac:dyDescent="0.25">
      <c r="B73" s="37" t="s">
        <v>27</v>
      </c>
      <c r="C73" s="74">
        <f>SUM(C56:D56, C45:D45, C34:D34, C23:D23, C12:D12, C67:D67)</f>
        <v>0</v>
      </c>
      <c r="D73" s="74">
        <f>SUM(E67:F67, E56:F56, E45:F45, E34:F34, E23:F23, E12:F12)</f>
        <v>0</v>
      </c>
      <c r="E73" s="759" t="s">
        <v>27</v>
      </c>
      <c r="F73" s="736"/>
      <c r="G73" s="96">
        <f>SUM(G12, G23, G34, G45, G56, G67)</f>
        <v>0</v>
      </c>
    </row>
    <row r="74" spans="1:7" ht="30" customHeight="1" x14ac:dyDescent="0.25">
      <c r="B74" s="37" t="s">
        <v>28</v>
      </c>
      <c r="C74" s="74">
        <f>SUM(C58:D58, C47:D47, C36:D36, C25:D25, C14:D14, C69:D69)</f>
        <v>0</v>
      </c>
      <c r="D74" s="74">
        <f>SUM(E69:F69, E58:F58, E47:F47, E36:F36, E25:F25, E14:F14)</f>
        <v>0</v>
      </c>
      <c r="E74" s="657" t="s">
        <v>28</v>
      </c>
      <c r="F74" s="657"/>
      <c r="G74" s="97">
        <f>SUM(G58, G47, G36, G25, G14, G69)</f>
        <v>0</v>
      </c>
    </row>
    <row r="75" spans="1:7" ht="30" customHeight="1" x14ac:dyDescent="0.25">
      <c r="E75" s="759" t="s">
        <v>56</v>
      </c>
      <c r="F75" s="736"/>
      <c r="G75" s="97">
        <f>AVERAGE(G12, G23, G34, G45, G56, G67)</f>
        <v>0</v>
      </c>
    </row>
    <row r="76" spans="1:7" ht="30" customHeight="1" x14ac:dyDescent="0.25">
      <c r="E76" s="657" t="s">
        <v>20</v>
      </c>
      <c r="F76" s="657"/>
      <c r="G76" s="96">
        <f>AVERAGE(G58, G47, G36, G25, G14, G69)</f>
        <v>0</v>
      </c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4"/>
  <sheetViews>
    <sheetView zoomScaleNormal="100" workbookViewId="0">
      <selection activeCell="G68" sqref="G68"/>
    </sheetView>
  </sheetViews>
  <sheetFormatPr defaultRowHeight="15" x14ac:dyDescent="0.25"/>
  <cols>
    <col min="2" max="2" width="22.42578125" bestFit="1" customWidth="1"/>
    <col min="3" max="3" width="18.140625" customWidth="1"/>
  </cols>
  <sheetData>
    <row r="1" spans="2:3" ht="15.75" thickBot="1" x14ac:dyDescent="0.3"/>
    <row r="2" spans="2:3" ht="15.75" thickBot="1" x14ac:dyDescent="0.3">
      <c r="B2" s="615" t="s">
        <v>113</v>
      </c>
      <c r="C2" s="616"/>
    </row>
    <row r="3" spans="2:3" ht="15.75" thickBot="1" x14ac:dyDescent="0.3">
      <c r="B3" s="617"/>
      <c r="C3" s="618"/>
    </row>
    <row r="4" spans="2:3" ht="15.75" thickBot="1" x14ac:dyDescent="0.3">
      <c r="B4" s="581" t="s">
        <v>41</v>
      </c>
      <c r="C4" s="619"/>
    </row>
    <row r="5" spans="2:3" ht="12.75" customHeight="1" x14ac:dyDescent="0.25">
      <c r="B5" s="558" t="s">
        <v>42</v>
      </c>
      <c r="C5" s="545">
        <f>'NY Waterway-(Port Imperial FC)'!Q63</f>
        <v>377712</v>
      </c>
    </row>
    <row r="6" spans="2:3" ht="13.5" customHeight="1" thickBot="1" x14ac:dyDescent="0.3">
      <c r="B6" s="559"/>
      <c r="C6" s="560"/>
    </row>
    <row r="7" spans="2:3" ht="12.75" customHeight="1" x14ac:dyDescent="0.25">
      <c r="B7" s="558" t="s">
        <v>43</v>
      </c>
      <c r="C7" s="545">
        <f>(SeaStreak!I63)</f>
        <v>58521</v>
      </c>
    </row>
    <row r="8" spans="2:3" ht="13.5" customHeight="1" thickBot="1" x14ac:dyDescent="0.3">
      <c r="B8" s="620"/>
      <c r="C8" s="560"/>
    </row>
    <row r="9" spans="2:3" ht="12.75" customHeight="1" x14ac:dyDescent="0.25">
      <c r="B9" s="547" t="s">
        <v>44</v>
      </c>
      <c r="C9" s="572">
        <f>'New York Water Taxi'!K74</f>
        <v>6226</v>
      </c>
    </row>
    <row r="10" spans="2:3" ht="13.5" customHeight="1" thickBot="1" x14ac:dyDescent="0.3">
      <c r="B10" s="621"/>
      <c r="C10" s="574"/>
    </row>
    <row r="11" spans="2:3" ht="12.75" customHeight="1" x14ac:dyDescent="0.25">
      <c r="B11" s="579" t="s">
        <v>31</v>
      </c>
      <c r="C11" s="572">
        <f>('Liberty Landing Ferry'!F74)</f>
        <v>15280</v>
      </c>
    </row>
    <row r="12" spans="2:3" ht="13.5" customHeight="1" thickBot="1" x14ac:dyDescent="0.3">
      <c r="B12" s="624"/>
      <c r="C12" s="574"/>
    </row>
    <row r="13" spans="2:3" ht="13.5" customHeight="1" x14ac:dyDescent="0.25">
      <c r="B13" s="579" t="s">
        <v>66</v>
      </c>
      <c r="C13" s="572">
        <f>'NYC Ferry'!E73</f>
        <v>513344</v>
      </c>
    </row>
    <row r="14" spans="2:3" ht="13.5" customHeight="1" thickBot="1" x14ac:dyDescent="0.3">
      <c r="B14" s="624"/>
      <c r="C14" s="574"/>
    </row>
    <row r="15" spans="2:3" ht="13.5" hidden="1" customHeight="1" x14ac:dyDescent="0.25">
      <c r="B15" s="579" t="s">
        <v>61</v>
      </c>
      <c r="C15" s="572">
        <f>'Water Tours'!F74</f>
        <v>0</v>
      </c>
    </row>
    <row r="16" spans="2:3" ht="13.5" hidden="1" customHeight="1" thickBot="1" x14ac:dyDescent="0.3">
      <c r="B16" s="624"/>
      <c r="C16" s="574"/>
    </row>
    <row r="17" spans="2:3" x14ac:dyDescent="0.25">
      <c r="B17" s="575" t="s">
        <v>17</v>
      </c>
      <c r="C17" s="577">
        <f>SUM(C5:C16)</f>
        <v>971083</v>
      </c>
    </row>
    <row r="18" spans="2:3" ht="15.75" thickBot="1" x14ac:dyDescent="0.3">
      <c r="B18" s="622"/>
      <c r="C18" s="623"/>
    </row>
    <row r="19" spans="2:3" ht="15.75" thickBot="1" x14ac:dyDescent="0.3">
      <c r="B19" s="38"/>
      <c r="C19" s="39"/>
    </row>
    <row r="20" spans="2:3" ht="15.75" thickBot="1" x14ac:dyDescent="0.3">
      <c r="B20" s="581" t="s">
        <v>45</v>
      </c>
      <c r="C20" s="619"/>
    </row>
    <row r="21" spans="2:3" x14ac:dyDescent="0.25">
      <c r="B21" s="558" t="s">
        <v>10</v>
      </c>
      <c r="C21" s="545">
        <f>SUM('NYC Ferry'!C68,'NY Waterway-(Port Imperial FC)'!D62,)</f>
        <v>171652</v>
      </c>
    </row>
    <row r="22" spans="2:3" ht="15.75" thickBot="1" x14ac:dyDescent="0.3">
      <c r="B22" s="559"/>
      <c r="C22" s="560"/>
    </row>
    <row r="23" spans="2:3" x14ac:dyDescent="0.25">
      <c r="B23" s="558" t="s">
        <v>62</v>
      </c>
      <c r="C23" s="545">
        <f>SeaStreak!B62</f>
        <v>29955</v>
      </c>
    </row>
    <row r="24" spans="2:3" ht="15.75" thickBot="1" x14ac:dyDescent="0.3">
      <c r="B24" s="559"/>
      <c r="C24" s="560"/>
    </row>
    <row r="25" spans="2:3" x14ac:dyDescent="0.25">
      <c r="B25" s="547" t="s">
        <v>8</v>
      </c>
      <c r="C25" s="572">
        <f>'NY Waterway-(Port Imperial FC)'!G62</f>
        <v>135263</v>
      </c>
    </row>
    <row r="26" spans="2:3" ht="15.75" thickBot="1" x14ac:dyDescent="0.3">
      <c r="B26" s="625"/>
      <c r="C26" s="574"/>
    </row>
    <row r="27" spans="2:3" x14ac:dyDescent="0.25">
      <c r="B27" s="558" t="s">
        <v>13</v>
      </c>
      <c r="C27" s="545">
        <f>SUM('NYC Ferry'!D68,SeaStreak!C62,'New York Water Taxi'!H73,)</f>
        <v>102068</v>
      </c>
    </row>
    <row r="28" spans="2:3" ht="15.75" thickBot="1" x14ac:dyDescent="0.3">
      <c r="B28" s="620"/>
      <c r="C28" s="560"/>
    </row>
    <row r="29" spans="2:3" ht="12.75" customHeight="1" x14ac:dyDescent="0.25">
      <c r="B29" s="558" t="s">
        <v>103</v>
      </c>
      <c r="C29" s="545">
        <f>SUM('NY Waterway-(Port Imperial FC)'!F62)</f>
        <v>85492</v>
      </c>
    </row>
    <row r="30" spans="2:3" ht="15.75" thickBot="1" x14ac:dyDescent="0.3">
      <c r="B30" s="620"/>
      <c r="C30" s="560"/>
    </row>
    <row r="31" spans="2:3" x14ac:dyDescent="0.25">
      <c r="B31" s="547" t="s">
        <v>7</v>
      </c>
      <c r="C31" s="551" t="s">
        <v>131</v>
      </c>
    </row>
    <row r="32" spans="2:3" ht="15.75" thickBot="1" x14ac:dyDescent="0.3">
      <c r="B32" s="621"/>
      <c r="C32" s="552"/>
    </row>
    <row r="33" spans="2:7" x14ac:dyDescent="0.25">
      <c r="B33" s="558" t="s">
        <v>89</v>
      </c>
      <c r="C33" s="551" t="s">
        <v>131</v>
      </c>
    </row>
    <row r="34" spans="2:7" ht="15.75" thickBot="1" x14ac:dyDescent="0.3">
      <c r="B34" s="620"/>
      <c r="C34" s="552"/>
    </row>
    <row r="35" spans="2:7" ht="13.5" customHeight="1" x14ac:dyDescent="0.25">
      <c r="B35" s="549" t="s">
        <v>57</v>
      </c>
      <c r="C35" s="551" t="s">
        <v>131</v>
      </c>
    </row>
    <row r="36" spans="2:7" ht="14.25" customHeight="1" thickBot="1" x14ac:dyDescent="0.3">
      <c r="B36" s="550"/>
      <c r="C36" s="552"/>
    </row>
    <row r="37" spans="2:7" ht="14.25" customHeight="1" x14ac:dyDescent="0.25">
      <c r="B37" s="549" t="s">
        <v>86</v>
      </c>
      <c r="C37" s="551" t="s">
        <v>131</v>
      </c>
    </row>
    <row r="38" spans="2:7" ht="14.25" customHeight="1" thickBot="1" x14ac:dyDescent="0.3">
      <c r="B38" s="550"/>
      <c r="C38" s="552"/>
    </row>
    <row r="39" spans="2:7" ht="14.25" customHeight="1" x14ac:dyDescent="0.25">
      <c r="B39" s="549" t="s">
        <v>12</v>
      </c>
      <c r="C39" s="551" t="s">
        <v>131</v>
      </c>
    </row>
    <row r="40" spans="2:7" ht="14.25" customHeight="1" thickBot="1" x14ac:dyDescent="0.3">
      <c r="B40" s="550"/>
      <c r="C40" s="552"/>
    </row>
    <row r="41" spans="2:7" ht="13.5" customHeight="1" x14ac:dyDescent="0.25">
      <c r="B41" s="549" t="s">
        <v>58</v>
      </c>
      <c r="C41" s="551">
        <f>SUM('NYC Ferry'!I68)</f>
        <v>1200</v>
      </c>
    </row>
    <row r="42" spans="2:7" ht="14.25" customHeight="1" thickBot="1" x14ac:dyDescent="0.3">
      <c r="B42" s="550"/>
      <c r="C42" s="552"/>
    </row>
    <row r="43" spans="2:7" ht="13.5" customHeight="1" x14ac:dyDescent="0.25">
      <c r="B43" s="549" t="s">
        <v>11</v>
      </c>
      <c r="C43" s="551">
        <f>SUM('NYC Ferry'!J68)</f>
        <v>37176</v>
      </c>
    </row>
    <row r="44" spans="2:7" ht="14.25" customHeight="1" thickBot="1" x14ac:dyDescent="0.3">
      <c r="B44" s="550"/>
      <c r="C44" s="552"/>
    </row>
    <row r="45" spans="2:7" ht="13.5" customHeight="1" x14ac:dyDescent="0.25">
      <c r="B45" s="549" t="s">
        <v>92</v>
      </c>
      <c r="C45" s="551">
        <f>SUM('NYC Ferry'!H68)</f>
        <v>17331</v>
      </c>
    </row>
    <row r="46" spans="2:7" ht="14.25" customHeight="1" thickBot="1" x14ac:dyDescent="0.3">
      <c r="B46" s="550"/>
      <c r="C46" s="552"/>
    </row>
    <row r="47" spans="2:7" ht="14.25" customHeight="1" x14ac:dyDescent="0.25">
      <c r="B47" s="549" t="s">
        <v>29</v>
      </c>
      <c r="C47" s="551">
        <f>SUM('NYC Ferry'!W68,'NY Waterway-(Port Imperial FC)'!H62)</f>
        <v>139344</v>
      </c>
      <c r="G47" s="6"/>
    </row>
    <row r="48" spans="2:7" ht="14.25" customHeight="1" thickBot="1" x14ac:dyDescent="0.3">
      <c r="B48" s="550"/>
      <c r="C48" s="552"/>
    </row>
    <row r="49" spans="2:3" ht="14.25" customHeight="1" x14ac:dyDescent="0.25">
      <c r="B49" s="549" t="s">
        <v>71</v>
      </c>
      <c r="C49" s="551">
        <f>SUM('NYC Ferry'!N68)</f>
        <v>6190</v>
      </c>
    </row>
    <row r="50" spans="2:3" ht="14.25" customHeight="1" thickBot="1" x14ac:dyDescent="0.3">
      <c r="B50" s="550"/>
      <c r="C50" s="552"/>
    </row>
    <row r="51" spans="2:3" ht="14.25" customHeight="1" x14ac:dyDescent="0.25">
      <c r="B51" s="549" t="s">
        <v>95</v>
      </c>
      <c r="C51" s="551">
        <f>'NY Waterway-(Port Imperial FC)'!J62</f>
        <v>8589</v>
      </c>
    </row>
    <row r="52" spans="2:3" ht="14.25" customHeight="1" thickBot="1" x14ac:dyDescent="0.3">
      <c r="B52" s="550"/>
      <c r="C52" s="552"/>
    </row>
    <row r="53" spans="2:3" ht="14.25" customHeight="1" x14ac:dyDescent="0.25">
      <c r="B53" s="586" t="s">
        <v>104</v>
      </c>
      <c r="C53" s="551">
        <f>SUM('NYC Ferry'!K68,'New York Water Taxi'!I73)</f>
        <v>18116</v>
      </c>
    </row>
    <row r="54" spans="2:3" ht="14.25" customHeight="1" thickBot="1" x14ac:dyDescent="0.3">
      <c r="B54" s="587"/>
      <c r="C54" s="552"/>
    </row>
    <row r="55" spans="2:3" ht="14.25" customHeight="1" x14ac:dyDescent="0.25">
      <c r="B55" s="549" t="s">
        <v>76</v>
      </c>
      <c r="C55" s="551">
        <f>SUM('NYC Ferry'!V68)</f>
        <v>6938</v>
      </c>
    </row>
    <row r="56" spans="2:3" ht="14.25" customHeight="1" thickBot="1" x14ac:dyDescent="0.3">
      <c r="B56" s="550"/>
      <c r="C56" s="552"/>
    </row>
    <row r="57" spans="2:3" ht="14.25" customHeight="1" x14ac:dyDescent="0.25">
      <c r="B57" s="549" t="s">
        <v>77</v>
      </c>
      <c r="C57" s="551">
        <f>SUM('NYC Ferry'!U68)</f>
        <v>5199</v>
      </c>
    </row>
    <row r="58" spans="2:3" ht="14.25" customHeight="1" thickBot="1" x14ac:dyDescent="0.3">
      <c r="B58" s="550"/>
      <c r="C58" s="552"/>
    </row>
    <row r="59" spans="2:3" ht="14.25" customHeight="1" x14ac:dyDescent="0.25">
      <c r="B59" s="549" t="s">
        <v>79</v>
      </c>
      <c r="C59" s="551">
        <f>SUM('NYC Ferry'!T68)</f>
        <v>22376</v>
      </c>
    </row>
    <row r="60" spans="2:3" ht="14.25" customHeight="1" thickBot="1" x14ac:dyDescent="0.3">
      <c r="B60" s="550"/>
      <c r="C60" s="552"/>
    </row>
    <row r="61" spans="2:3" ht="14.25" customHeight="1" x14ac:dyDescent="0.25">
      <c r="B61" s="549" t="s">
        <v>78</v>
      </c>
      <c r="C61" s="551">
        <f>SUM('NYC Ferry'!S68)</f>
        <v>33511</v>
      </c>
    </row>
    <row r="62" spans="2:3" ht="14.25" customHeight="1" thickBot="1" x14ac:dyDescent="0.3">
      <c r="B62" s="550"/>
      <c r="C62" s="552"/>
    </row>
    <row r="63" spans="2:3" ht="14.25" customHeight="1" x14ac:dyDescent="0.25">
      <c r="B63" s="626" t="s">
        <v>93</v>
      </c>
      <c r="C63" s="551">
        <f>SUM('NYC Ferry'!M68,'NY Waterway-(Port Imperial FC)'!I62)</f>
        <v>27530</v>
      </c>
    </row>
    <row r="64" spans="2:3" ht="14.25" customHeight="1" thickBot="1" x14ac:dyDescent="0.3">
      <c r="B64" s="627"/>
      <c r="C64" s="552"/>
    </row>
    <row r="65" spans="2:3" ht="14.25" customHeight="1" x14ac:dyDescent="0.25">
      <c r="B65" s="549" t="s">
        <v>106</v>
      </c>
      <c r="C65" s="551">
        <f>SUM('NYC Ferry'!O68)</f>
        <v>12643</v>
      </c>
    </row>
    <row r="66" spans="2:3" ht="14.25" customHeight="1" thickBot="1" x14ac:dyDescent="0.3">
      <c r="B66" s="550"/>
      <c r="C66" s="552"/>
    </row>
    <row r="67" spans="2:3" ht="14.25" customHeight="1" x14ac:dyDescent="0.25">
      <c r="B67" s="549" t="s">
        <v>65</v>
      </c>
      <c r="C67" s="551">
        <f>SUM('NYC Ferry'!L68)</f>
        <v>45981</v>
      </c>
    </row>
    <row r="68" spans="2:3" ht="14.25" customHeight="1" thickBot="1" x14ac:dyDescent="0.3">
      <c r="B68" s="550"/>
      <c r="C68" s="552"/>
    </row>
    <row r="69" spans="2:3" ht="14.25" customHeight="1" x14ac:dyDescent="0.25">
      <c r="B69" s="549" t="s">
        <v>72</v>
      </c>
      <c r="C69" s="551">
        <f>SUM('NYC Ferry'!R68)</f>
        <v>21045</v>
      </c>
    </row>
    <row r="70" spans="2:3" ht="14.25" customHeight="1" thickBot="1" x14ac:dyDescent="0.3">
      <c r="B70" s="550"/>
      <c r="C70" s="552"/>
    </row>
    <row r="71" spans="2:3" ht="14.25" customHeight="1" x14ac:dyDescent="0.25">
      <c r="B71" s="549" t="s">
        <v>73</v>
      </c>
      <c r="C71" s="551">
        <f>SUM('NYC Ferry'!Q68)</f>
        <v>15489</v>
      </c>
    </row>
    <row r="72" spans="2:3" ht="14.25" customHeight="1" thickBot="1" x14ac:dyDescent="0.3">
      <c r="B72" s="550"/>
      <c r="C72" s="552"/>
    </row>
    <row r="73" spans="2:3" ht="14.25" customHeight="1" x14ac:dyDescent="0.25">
      <c r="B73" s="549" t="s">
        <v>98</v>
      </c>
      <c r="C73" s="551">
        <f>SUM('NYC Ferry'!P68)</f>
        <v>8831</v>
      </c>
    </row>
    <row r="74" spans="2:3" ht="14.25" customHeight="1" thickBot="1" x14ac:dyDescent="0.3">
      <c r="B74" s="550"/>
      <c r="C74" s="552"/>
    </row>
    <row r="75" spans="2:3" ht="14.25" customHeight="1" x14ac:dyDescent="0.25">
      <c r="B75" s="549" t="s">
        <v>59</v>
      </c>
      <c r="C75" s="551">
        <f>SUM('NYC Ferry'!F68)</f>
        <v>22469</v>
      </c>
    </row>
    <row r="76" spans="2:3" ht="14.25" customHeight="1" thickBot="1" x14ac:dyDescent="0.3">
      <c r="B76" s="550"/>
      <c r="C76" s="552"/>
    </row>
    <row r="77" spans="2:3" x14ac:dyDescent="0.25">
      <c r="B77" s="590" t="s">
        <v>17</v>
      </c>
      <c r="C77" s="577">
        <f>SUM(C21:C30)+SUM(C41:C76)</f>
        <v>974388</v>
      </c>
    </row>
    <row r="78" spans="2:3" ht="15.75" thickBot="1" x14ac:dyDescent="0.3">
      <c r="B78" s="628"/>
      <c r="C78" s="623"/>
    </row>
    <row r="82" spans="10:11" x14ac:dyDescent="0.25">
      <c r="J82" s="6"/>
      <c r="K82" s="6"/>
    </row>
    <row r="83" spans="10:11" x14ac:dyDescent="0.25">
      <c r="J83" s="6"/>
      <c r="K83" s="6"/>
    </row>
    <row r="84" spans="10:11" x14ac:dyDescent="0.25">
      <c r="J84" s="6"/>
      <c r="K84" s="6"/>
    </row>
    <row r="85" spans="10:11" x14ac:dyDescent="0.25">
      <c r="J85" s="6"/>
      <c r="K85" s="6"/>
    </row>
    <row r="86" spans="10:11" x14ac:dyDescent="0.25">
      <c r="J86" s="6"/>
      <c r="K86" s="6"/>
    </row>
    <row r="87" spans="10:11" x14ac:dyDescent="0.25">
      <c r="J87" s="6"/>
      <c r="K87" s="6"/>
    </row>
    <row r="88" spans="10:11" x14ac:dyDescent="0.25">
      <c r="J88" s="6"/>
      <c r="K88" s="6"/>
    </row>
    <row r="89" spans="10:11" x14ac:dyDescent="0.25">
      <c r="J89" s="6"/>
      <c r="K89" s="6"/>
    </row>
    <row r="90" spans="10:11" x14ac:dyDescent="0.25">
      <c r="J90" s="6"/>
      <c r="K90" s="6"/>
    </row>
    <row r="91" spans="10:11" x14ac:dyDescent="0.25">
      <c r="J91" s="6"/>
      <c r="K91" s="6"/>
    </row>
    <row r="92" spans="10:11" x14ac:dyDescent="0.25">
      <c r="J92" s="6"/>
      <c r="K92" s="6"/>
    </row>
    <row r="93" spans="10:11" x14ac:dyDescent="0.25">
      <c r="K93" s="6"/>
    </row>
    <row r="94" spans="10:11" x14ac:dyDescent="0.25">
      <c r="K94" s="6"/>
    </row>
    <row r="95" spans="10:11" x14ac:dyDescent="0.25">
      <c r="J95" s="6"/>
      <c r="K95" s="6"/>
    </row>
    <row r="96" spans="10:11" x14ac:dyDescent="0.25">
      <c r="J96" s="6"/>
      <c r="K96" s="6"/>
    </row>
    <row r="97" spans="10:11" x14ac:dyDescent="0.25">
      <c r="J97" s="6"/>
      <c r="K97" s="6"/>
    </row>
    <row r="98" spans="10:11" x14ac:dyDescent="0.25">
      <c r="J98" s="6"/>
      <c r="K98" s="6"/>
    </row>
    <row r="99" spans="10:11" x14ac:dyDescent="0.25">
      <c r="J99" s="6"/>
      <c r="K99" s="6"/>
    </row>
    <row r="100" spans="10:11" x14ac:dyDescent="0.25">
      <c r="J100" s="6"/>
      <c r="K100" s="6"/>
    </row>
    <row r="101" spans="10:11" x14ac:dyDescent="0.25">
      <c r="J101" s="6"/>
      <c r="K101" s="6"/>
    </row>
    <row r="102" spans="10:11" x14ac:dyDescent="0.25">
      <c r="J102" s="6"/>
      <c r="K102" s="6"/>
    </row>
    <row r="103" spans="10:11" x14ac:dyDescent="0.25">
      <c r="J103" s="6"/>
      <c r="K103" s="6"/>
    </row>
    <row r="104" spans="10:11" x14ac:dyDescent="0.25">
      <c r="J104" s="6"/>
      <c r="K104" s="6"/>
    </row>
    <row r="105" spans="10:11" x14ac:dyDescent="0.25">
      <c r="J105" s="6"/>
      <c r="K105" s="6"/>
    </row>
    <row r="106" spans="10:11" x14ac:dyDescent="0.25">
      <c r="J106" s="6"/>
      <c r="K106" s="6"/>
    </row>
    <row r="107" spans="10:11" x14ac:dyDescent="0.25">
      <c r="J107" s="6"/>
      <c r="K107" s="6"/>
    </row>
    <row r="108" spans="10:11" x14ac:dyDescent="0.25">
      <c r="J108" s="6"/>
    </row>
    <row r="109" spans="10:11" x14ac:dyDescent="0.25">
      <c r="J109" s="6"/>
      <c r="K109" s="6"/>
    </row>
    <row r="110" spans="10:11" x14ac:dyDescent="0.25">
      <c r="J110" s="6"/>
    </row>
    <row r="111" spans="10:11" x14ac:dyDescent="0.25">
      <c r="J111" s="6"/>
      <c r="K111" s="6"/>
    </row>
    <row r="112" spans="10:11" x14ac:dyDescent="0.25">
      <c r="J112" s="6"/>
      <c r="K112" s="6"/>
    </row>
    <row r="113" spans="10:11" x14ac:dyDescent="0.25">
      <c r="J113" s="6"/>
      <c r="K113" s="6"/>
    </row>
    <row r="114" spans="10:11" x14ac:dyDescent="0.25">
      <c r="J114" s="6"/>
      <c r="K114" s="6"/>
    </row>
  </sheetData>
  <mergeCells count="76">
    <mergeCell ref="B43:B44"/>
    <mergeCell ref="C43:C44"/>
    <mergeCell ref="B39:B40"/>
    <mergeCell ref="C59:C60"/>
    <mergeCell ref="C61:C62"/>
    <mergeCell ref="B45:B46"/>
    <mergeCell ref="C45:C46"/>
    <mergeCell ref="B47:B48"/>
    <mergeCell ref="C47:C48"/>
    <mergeCell ref="B69:B70"/>
    <mergeCell ref="C69:C70"/>
    <mergeCell ref="B77:B78"/>
    <mergeCell ref="C77:C78"/>
    <mergeCell ref="B67:B68"/>
    <mergeCell ref="C67:C68"/>
    <mergeCell ref="B73:B74"/>
    <mergeCell ref="C73:C74"/>
    <mergeCell ref="B75:B76"/>
    <mergeCell ref="C75:C76"/>
    <mergeCell ref="B71:B72"/>
    <mergeCell ref="C71:C72"/>
    <mergeCell ref="B65:B66"/>
    <mergeCell ref="C65:C66"/>
    <mergeCell ref="B53:B54"/>
    <mergeCell ref="C53:C54"/>
    <mergeCell ref="B49:B50"/>
    <mergeCell ref="C49:C50"/>
    <mergeCell ref="C57:C58"/>
    <mergeCell ref="B59:B60"/>
    <mergeCell ref="B63:B64"/>
    <mergeCell ref="C63:C64"/>
    <mergeCell ref="B51:B52"/>
    <mergeCell ref="C51:C52"/>
    <mergeCell ref="B55:B56"/>
    <mergeCell ref="B57:B58"/>
    <mergeCell ref="C55:C56"/>
    <mergeCell ref="B61:B62"/>
    <mergeCell ref="B29:B30"/>
    <mergeCell ref="C29:C30"/>
    <mergeCell ref="B31:B32"/>
    <mergeCell ref="C31:C32"/>
    <mergeCell ref="B33:B34"/>
    <mergeCell ref="C33:C34"/>
    <mergeCell ref="B35:B36"/>
    <mergeCell ref="C35:C36"/>
    <mergeCell ref="B41:B42"/>
    <mergeCell ref="C41:C42"/>
    <mergeCell ref="B37:B38"/>
    <mergeCell ref="C37:C38"/>
    <mergeCell ref="C39:C40"/>
    <mergeCell ref="B25:B26"/>
    <mergeCell ref="C25:C26"/>
    <mergeCell ref="B27:B28"/>
    <mergeCell ref="C27:C28"/>
    <mergeCell ref="B23:B24"/>
    <mergeCell ref="C23:C24"/>
    <mergeCell ref="B7:B8"/>
    <mergeCell ref="C7:C8"/>
    <mergeCell ref="B9:B10"/>
    <mergeCell ref="C9:C10"/>
    <mergeCell ref="B21:B22"/>
    <mergeCell ref="C21:C22"/>
    <mergeCell ref="C11:C12"/>
    <mergeCell ref="B17:B18"/>
    <mergeCell ref="C17:C18"/>
    <mergeCell ref="B20:C20"/>
    <mergeCell ref="B13:B14"/>
    <mergeCell ref="C13:C14"/>
    <mergeCell ref="B15:B16"/>
    <mergeCell ref="C15:C16"/>
    <mergeCell ref="B11:B12"/>
    <mergeCell ref="B2:C2"/>
    <mergeCell ref="B3:C3"/>
    <mergeCell ref="B4:C4"/>
    <mergeCell ref="B5:B6"/>
    <mergeCell ref="C5:C6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zoomScaleNormal="100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U68" sqref="U68"/>
    </sheetView>
  </sheetViews>
  <sheetFormatPr defaultRowHeight="15" x14ac:dyDescent="0.25"/>
  <cols>
    <col min="1" max="1" width="18.7109375" style="1" bestFit="1" customWidth="1"/>
    <col min="2" max="2" width="10.7109375" style="117" bestFit="1" customWidth="1"/>
    <col min="3" max="3" width="17.5703125" style="117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07" customWidth="1"/>
    <col min="15" max="15" width="13.28515625" style="1" customWidth="1"/>
    <col min="16" max="16" width="11.7109375" style="1" customWidth="1"/>
    <col min="17" max="27" width="11.7109375" style="207" customWidth="1"/>
    <col min="28" max="28" width="13.42578125" customWidth="1"/>
    <col min="29" max="29" width="11" customWidth="1"/>
    <col min="30" max="30" width="10.85546875" style="239" bestFit="1" customWidth="1"/>
    <col min="31" max="31" width="10.85546875" style="209" customWidth="1"/>
    <col min="32" max="32" width="11.7109375" style="207" customWidth="1"/>
    <col min="33" max="33" width="14.28515625" customWidth="1"/>
    <col min="34" max="34" width="12.42578125" customWidth="1"/>
    <col min="35" max="35" width="10.85546875" customWidth="1"/>
    <col min="36" max="36" width="10.5703125" customWidth="1"/>
    <col min="37" max="37" width="9.140625" style="209"/>
    <col min="38" max="38" width="10.5703125" style="209" customWidth="1"/>
  </cols>
  <sheetData>
    <row r="1" spans="1:39" x14ac:dyDescent="0.25">
      <c r="A1" s="660" t="s">
        <v>48</v>
      </c>
      <c r="B1" s="663" t="s">
        <v>49</v>
      </c>
      <c r="C1" s="665" t="s">
        <v>64</v>
      </c>
      <c r="D1" s="666"/>
      <c r="E1" s="666"/>
      <c r="F1" s="666"/>
      <c r="G1" s="666"/>
      <c r="H1" s="666"/>
      <c r="I1" s="667"/>
      <c r="J1" s="629" t="s">
        <v>65</v>
      </c>
      <c r="K1" s="630"/>
      <c r="L1" s="631"/>
      <c r="M1" s="629" t="s">
        <v>69</v>
      </c>
      <c r="N1" s="630"/>
      <c r="O1" s="630"/>
      <c r="P1" s="630"/>
      <c r="Q1" s="630"/>
      <c r="R1" s="630"/>
      <c r="S1" s="631"/>
      <c r="T1" s="629" t="s">
        <v>72</v>
      </c>
      <c r="U1" s="630"/>
      <c r="V1" s="630"/>
      <c r="W1" s="630"/>
      <c r="X1" s="630"/>
      <c r="Y1" s="630"/>
      <c r="Z1" s="631"/>
      <c r="AA1" s="629" t="s">
        <v>79</v>
      </c>
      <c r="AB1" s="630"/>
      <c r="AC1" s="630"/>
      <c r="AD1" s="630"/>
      <c r="AE1" s="631"/>
      <c r="AF1" s="675" t="s">
        <v>75</v>
      </c>
      <c r="AG1" s="676"/>
      <c r="AH1" s="676"/>
      <c r="AI1" s="676"/>
      <c r="AJ1" s="677"/>
      <c r="AK1" s="687" t="s">
        <v>97</v>
      </c>
      <c r="AL1" s="688"/>
      <c r="AM1" s="682"/>
    </row>
    <row r="2" spans="1:39" ht="15.75" thickBot="1" x14ac:dyDescent="0.3">
      <c r="A2" s="661"/>
      <c r="B2" s="664"/>
      <c r="C2" s="668"/>
      <c r="D2" s="669"/>
      <c r="E2" s="669"/>
      <c r="F2" s="669"/>
      <c r="G2" s="669"/>
      <c r="H2" s="669"/>
      <c r="I2" s="670"/>
      <c r="J2" s="632"/>
      <c r="K2" s="633"/>
      <c r="L2" s="634"/>
      <c r="M2" s="646"/>
      <c r="N2" s="647"/>
      <c r="O2" s="647"/>
      <c r="P2" s="647"/>
      <c r="Q2" s="647"/>
      <c r="R2" s="647"/>
      <c r="S2" s="648"/>
      <c r="T2" s="632"/>
      <c r="U2" s="633"/>
      <c r="V2" s="633"/>
      <c r="W2" s="633"/>
      <c r="X2" s="633"/>
      <c r="Y2" s="633"/>
      <c r="Z2" s="634"/>
      <c r="AA2" s="632"/>
      <c r="AB2" s="633"/>
      <c r="AC2" s="633"/>
      <c r="AD2" s="633"/>
      <c r="AE2" s="634"/>
      <c r="AF2" s="678"/>
      <c r="AG2" s="679"/>
      <c r="AH2" s="679"/>
      <c r="AI2" s="679"/>
      <c r="AJ2" s="680"/>
      <c r="AK2" s="689"/>
      <c r="AL2" s="690"/>
      <c r="AM2" s="683"/>
    </row>
    <row r="3" spans="1:39" x14ac:dyDescent="0.25">
      <c r="A3" s="661"/>
      <c r="B3" s="664"/>
      <c r="C3" s="649" t="s">
        <v>10</v>
      </c>
      <c r="D3" s="635" t="s">
        <v>57</v>
      </c>
      <c r="E3" s="635" t="s">
        <v>58</v>
      </c>
      <c r="F3" s="635" t="s">
        <v>11</v>
      </c>
      <c r="G3" s="635" t="s">
        <v>12</v>
      </c>
      <c r="H3" s="635" t="s">
        <v>92</v>
      </c>
      <c r="I3" s="644" t="s">
        <v>13</v>
      </c>
      <c r="J3" s="649" t="s">
        <v>10</v>
      </c>
      <c r="K3" s="635" t="s">
        <v>100</v>
      </c>
      <c r="L3" s="644" t="s">
        <v>65</v>
      </c>
      <c r="M3" s="649" t="s">
        <v>10</v>
      </c>
      <c r="N3" s="635" t="s">
        <v>57</v>
      </c>
      <c r="O3" s="635" t="s">
        <v>107</v>
      </c>
      <c r="P3" s="635" t="s">
        <v>71</v>
      </c>
      <c r="Q3" s="635" t="s">
        <v>100</v>
      </c>
      <c r="R3" s="635" t="s">
        <v>70</v>
      </c>
      <c r="S3" s="644" t="s">
        <v>77</v>
      </c>
      <c r="T3" s="641" t="s">
        <v>10</v>
      </c>
      <c r="U3" s="635" t="s">
        <v>98</v>
      </c>
      <c r="V3" s="635" t="s">
        <v>13</v>
      </c>
      <c r="W3" s="635" t="s">
        <v>59</v>
      </c>
      <c r="X3" s="635" t="s">
        <v>73</v>
      </c>
      <c r="Y3" s="639" t="s">
        <v>72</v>
      </c>
      <c r="Z3" s="637" t="s">
        <v>78</v>
      </c>
      <c r="AA3" s="649" t="s">
        <v>10</v>
      </c>
      <c r="AB3" s="635" t="s">
        <v>13</v>
      </c>
      <c r="AC3" s="635" t="s">
        <v>78</v>
      </c>
      <c r="AD3" s="635" t="s">
        <v>79</v>
      </c>
      <c r="AE3" s="644" t="s">
        <v>76</v>
      </c>
      <c r="AF3" s="641" t="s">
        <v>10</v>
      </c>
      <c r="AG3" s="635" t="s">
        <v>77</v>
      </c>
      <c r="AH3" s="635" t="s">
        <v>76</v>
      </c>
      <c r="AI3" s="635" t="s">
        <v>13</v>
      </c>
      <c r="AJ3" s="644" t="s">
        <v>59</v>
      </c>
      <c r="AK3" s="649" t="s">
        <v>10</v>
      </c>
      <c r="AL3" s="644" t="s">
        <v>29</v>
      </c>
      <c r="AM3" s="683"/>
    </row>
    <row r="4" spans="1:39" ht="15" customHeight="1" thickBot="1" x14ac:dyDescent="0.3">
      <c r="A4" s="662"/>
      <c r="B4" s="664"/>
      <c r="C4" s="652"/>
      <c r="D4" s="655"/>
      <c r="E4" s="655"/>
      <c r="F4" s="655"/>
      <c r="G4" s="655"/>
      <c r="H4" s="655"/>
      <c r="I4" s="654"/>
      <c r="J4" s="652"/>
      <c r="K4" s="655"/>
      <c r="L4" s="654"/>
      <c r="M4" s="650"/>
      <c r="N4" s="636"/>
      <c r="O4" s="636"/>
      <c r="P4" s="636"/>
      <c r="Q4" s="636"/>
      <c r="R4" s="636"/>
      <c r="S4" s="645"/>
      <c r="T4" s="642"/>
      <c r="U4" s="643"/>
      <c r="V4" s="636"/>
      <c r="W4" s="636"/>
      <c r="X4" s="636"/>
      <c r="Y4" s="640"/>
      <c r="Z4" s="638"/>
      <c r="AA4" s="681"/>
      <c r="AB4" s="686"/>
      <c r="AC4" s="686"/>
      <c r="AD4" s="685"/>
      <c r="AE4" s="695"/>
      <c r="AF4" s="694"/>
      <c r="AG4" s="693"/>
      <c r="AH4" s="693"/>
      <c r="AI4" s="693"/>
      <c r="AJ4" s="692"/>
      <c r="AK4" s="691"/>
      <c r="AL4" s="654"/>
      <c r="AM4" s="684"/>
    </row>
    <row r="5" spans="1:39" s="315" customFormat="1" ht="17.25" hidden="1" thickBot="1" x14ac:dyDescent="0.35">
      <c r="A5" s="132" t="s">
        <v>1</v>
      </c>
      <c r="B5" s="382"/>
      <c r="C5" s="407"/>
      <c r="D5" s="384"/>
      <c r="E5" s="384"/>
      <c r="F5" s="384"/>
      <c r="G5" s="384"/>
      <c r="H5" s="384"/>
      <c r="I5" s="409"/>
      <c r="J5" s="411"/>
      <c r="K5" s="384"/>
      <c r="L5" s="404"/>
      <c r="M5" s="206"/>
      <c r="N5" s="188"/>
      <c r="O5" s="188"/>
      <c r="P5" s="188"/>
      <c r="Q5" s="231"/>
      <c r="R5" s="188"/>
      <c r="S5" s="200"/>
      <c r="T5" s="407"/>
      <c r="U5" s="384"/>
      <c r="V5" s="384"/>
      <c r="W5" s="384"/>
      <c r="X5" s="384"/>
      <c r="Y5" s="384"/>
      <c r="Z5" s="404"/>
      <c r="AA5" s="202"/>
      <c r="AB5" s="165"/>
      <c r="AC5" s="189"/>
      <c r="AD5" s="189"/>
      <c r="AE5" s="198"/>
      <c r="AF5" s="407"/>
      <c r="AG5" s="384"/>
      <c r="AH5" s="384"/>
      <c r="AI5" s="384"/>
      <c r="AJ5" s="404"/>
      <c r="AK5" s="383"/>
      <c r="AL5" s="385"/>
      <c r="AM5" s="169">
        <f>SUM(C5:AL5)</f>
        <v>0</v>
      </c>
    </row>
    <row r="6" spans="1:39" s="315" customFormat="1" ht="17.25" hidden="1" thickBot="1" x14ac:dyDescent="0.35">
      <c r="A6" s="132" t="s">
        <v>2</v>
      </c>
      <c r="B6" s="382"/>
      <c r="C6" s="408"/>
      <c r="D6" s="403"/>
      <c r="E6" s="403"/>
      <c r="F6" s="403"/>
      <c r="G6" s="403"/>
      <c r="H6" s="403"/>
      <c r="I6" s="410"/>
      <c r="J6" s="412"/>
      <c r="K6" s="403"/>
      <c r="L6" s="405"/>
      <c r="M6" s="402"/>
      <c r="N6" s="403"/>
      <c r="O6" s="403"/>
      <c r="P6" s="403"/>
      <c r="Q6" s="405"/>
      <c r="R6" s="189"/>
      <c r="S6" s="198"/>
      <c r="T6" s="408"/>
      <c r="U6" s="403"/>
      <c r="V6" s="403"/>
      <c r="W6" s="403"/>
      <c r="X6" s="403"/>
      <c r="Y6" s="403"/>
      <c r="Z6" s="405"/>
      <c r="AA6" s="202"/>
      <c r="AB6" s="165"/>
      <c r="AC6" s="189"/>
      <c r="AD6" s="189"/>
      <c r="AE6" s="198"/>
      <c r="AF6" s="408"/>
      <c r="AG6" s="403"/>
      <c r="AH6" s="403"/>
      <c r="AI6" s="403"/>
      <c r="AJ6" s="405"/>
      <c r="AK6" s="402"/>
      <c r="AL6" s="199"/>
      <c r="AM6" s="169">
        <f>SUM(C6:AL6)</f>
        <v>0</v>
      </c>
    </row>
    <row r="7" spans="1:39" ht="15.75" hidden="1" thickBot="1" x14ac:dyDescent="0.3">
      <c r="A7" s="140" t="s">
        <v>19</v>
      </c>
      <c r="B7" s="653" t="s">
        <v>114</v>
      </c>
      <c r="C7" s="406">
        <f>SUM(C5:C6)</f>
        <v>0</v>
      </c>
      <c r="D7" s="406">
        <f>SUM(D5:D6)</f>
        <v>0</v>
      </c>
      <c r="E7" s="406">
        <f t="shared" ref="E7:AJ7" si="0">SUM(E5:E6)</f>
        <v>0</v>
      </c>
      <c r="F7" s="406">
        <f>SUM(F5:F6)</f>
        <v>0</v>
      </c>
      <c r="G7" s="406">
        <f t="shared" si="0"/>
        <v>0</v>
      </c>
      <c r="H7" s="406">
        <f>SUM(H5:H6)</f>
        <v>0</v>
      </c>
      <c r="I7" s="406">
        <f t="shared" si="0"/>
        <v>0</v>
      </c>
      <c r="J7" s="406">
        <f t="shared" si="0"/>
        <v>0</v>
      </c>
      <c r="K7" s="406">
        <f t="shared" si="0"/>
        <v>0</v>
      </c>
      <c r="L7" s="406">
        <f t="shared" si="0"/>
        <v>0</v>
      </c>
      <c r="M7" s="406">
        <f t="shared" si="0"/>
        <v>0</v>
      </c>
      <c r="N7" s="406">
        <f t="shared" si="0"/>
        <v>0</v>
      </c>
      <c r="O7" s="406">
        <f t="shared" si="0"/>
        <v>0</v>
      </c>
      <c r="P7" s="406">
        <f t="shared" si="0"/>
        <v>0</v>
      </c>
      <c r="Q7" s="406">
        <f t="shared" si="0"/>
        <v>0</v>
      </c>
      <c r="R7" s="406">
        <f t="shared" si="0"/>
        <v>0</v>
      </c>
      <c r="S7" s="406">
        <f t="shared" si="0"/>
        <v>0</v>
      </c>
      <c r="T7" s="406">
        <f>SUM(T5:T6)</f>
        <v>0</v>
      </c>
      <c r="U7" s="406">
        <f>SUM(U5:U6)</f>
        <v>0</v>
      </c>
      <c r="V7" s="406">
        <f t="shared" si="0"/>
        <v>0</v>
      </c>
      <c r="W7" s="406">
        <f>SUM(W5:W6)</f>
        <v>0</v>
      </c>
      <c r="X7" s="406">
        <f t="shared" si="0"/>
        <v>0</v>
      </c>
      <c r="Y7" s="406">
        <f>SUM(Y5:Y6)</f>
        <v>0</v>
      </c>
      <c r="Z7" s="406">
        <f t="shared" si="0"/>
        <v>0</v>
      </c>
      <c r="AA7" s="406">
        <f>SUM(AA5:AA6)</f>
        <v>0</v>
      </c>
      <c r="AB7" s="406">
        <f>SUM(AB5:AB6)</f>
        <v>0</v>
      </c>
      <c r="AC7" s="406">
        <f>SUM(AC5:AC6)</f>
        <v>0</v>
      </c>
      <c r="AD7" s="406">
        <f t="shared" si="0"/>
        <v>0</v>
      </c>
      <c r="AE7" s="406">
        <f>SUM(AE5:AE6)</f>
        <v>0</v>
      </c>
      <c r="AF7" s="406">
        <f t="shared" si="0"/>
        <v>0</v>
      </c>
      <c r="AG7" s="406">
        <f t="shared" si="0"/>
        <v>0</v>
      </c>
      <c r="AH7" s="406">
        <f t="shared" si="0"/>
        <v>0</v>
      </c>
      <c r="AI7" s="406">
        <f t="shared" si="0"/>
        <v>0</v>
      </c>
      <c r="AJ7" s="406">
        <f t="shared" si="0"/>
        <v>0</v>
      </c>
      <c r="AK7" s="406">
        <f>SUM(AK5:AK6)</f>
        <v>0</v>
      </c>
      <c r="AL7" s="406">
        <f>SUM(AL5:AL6)</f>
        <v>0</v>
      </c>
      <c r="AM7" s="406">
        <f>SUM(AM5:AM6)</f>
        <v>0</v>
      </c>
    </row>
    <row r="8" spans="1:39" ht="15.75" hidden="1" thickBot="1" x14ac:dyDescent="0.3">
      <c r="A8" s="99" t="s">
        <v>21</v>
      </c>
      <c r="B8" s="651"/>
      <c r="C8" s="203" t="e">
        <f>AVERAGE(C5:C6)</f>
        <v>#DIV/0!</v>
      </c>
      <c r="D8" s="203" t="e">
        <f t="shared" ref="D8:AM8" si="1">AVERAGE(D5:D6)</f>
        <v>#DIV/0!</v>
      </c>
      <c r="E8" s="203" t="e">
        <f t="shared" si="1"/>
        <v>#DIV/0!</v>
      </c>
      <c r="F8" s="203" t="e">
        <f t="shared" si="1"/>
        <v>#DIV/0!</v>
      </c>
      <c r="G8" s="203" t="e">
        <f t="shared" si="1"/>
        <v>#DIV/0!</v>
      </c>
      <c r="H8" s="203" t="e">
        <f t="shared" si="1"/>
        <v>#DIV/0!</v>
      </c>
      <c r="I8" s="203" t="e">
        <f t="shared" si="1"/>
        <v>#DIV/0!</v>
      </c>
      <c r="J8" s="203" t="e">
        <f t="shared" si="1"/>
        <v>#DIV/0!</v>
      </c>
      <c r="K8" s="203" t="e">
        <f t="shared" si="1"/>
        <v>#DIV/0!</v>
      </c>
      <c r="L8" s="203" t="e">
        <f t="shared" si="1"/>
        <v>#DIV/0!</v>
      </c>
      <c r="M8" s="203" t="e">
        <f t="shared" si="1"/>
        <v>#DIV/0!</v>
      </c>
      <c r="N8" s="203" t="e">
        <f t="shared" si="1"/>
        <v>#DIV/0!</v>
      </c>
      <c r="O8" s="203" t="e">
        <f t="shared" si="1"/>
        <v>#DIV/0!</v>
      </c>
      <c r="P8" s="203" t="e">
        <f t="shared" si="1"/>
        <v>#DIV/0!</v>
      </c>
      <c r="Q8" s="203" t="e">
        <f t="shared" si="1"/>
        <v>#DIV/0!</v>
      </c>
      <c r="R8" s="203" t="e">
        <f t="shared" si="1"/>
        <v>#DIV/0!</v>
      </c>
      <c r="S8" s="203" t="e">
        <f t="shared" si="1"/>
        <v>#DIV/0!</v>
      </c>
      <c r="T8" s="203" t="e">
        <f t="shared" si="1"/>
        <v>#DIV/0!</v>
      </c>
      <c r="U8" s="203" t="e">
        <f t="shared" si="1"/>
        <v>#DIV/0!</v>
      </c>
      <c r="V8" s="203" t="e">
        <f t="shared" si="1"/>
        <v>#DIV/0!</v>
      </c>
      <c r="W8" s="203" t="e">
        <f t="shared" si="1"/>
        <v>#DIV/0!</v>
      </c>
      <c r="X8" s="203" t="e">
        <f t="shared" si="1"/>
        <v>#DIV/0!</v>
      </c>
      <c r="Y8" s="203" t="e">
        <f t="shared" si="1"/>
        <v>#DIV/0!</v>
      </c>
      <c r="Z8" s="203" t="e">
        <f t="shared" si="1"/>
        <v>#DIV/0!</v>
      </c>
      <c r="AA8" s="203" t="e">
        <f t="shared" si="1"/>
        <v>#DIV/0!</v>
      </c>
      <c r="AB8" s="203" t="e">
        <f t="shared" si="1"/>
        <v>#DIV/0!</v>
      </c>
      <c r="AC8" s="203" t="e">
        <f t="shared" si="1"/>
        <v>#DIV/0!</v>
      </c>
      <c r="AD8" s="203" t="e">
        <f t="shared" si="1"/>
        <v>#DIV/0!</v>
      </c>
      <c r="AE8" s="203" t="e">
        <f t="shared" si="1"/>
        <v>#DIV/0!</v>
      </c>
      <c r="AF8" s="203" t="e">
        <f t="shared" si="1"/>
        <v>#DIV/0!</v>
      </c>
      <c r="AG8" s="203" t="e">
        <f t="shared" si="1"/>
        <v>#DIV/0!</v>
      </c>
      <c r="AH8" s="203" t="e">
        <f t="shared" si="1"/>
        <v>#DIV/0!</v>
      </c>
      <c r="AI8" s="203" t="e">
        <f t="shared" si="1"/>
        <v>#DIV/0!</v>
      </c>
      <c r="AJ8" s="203" t="e">
        <f t="shared" si="1"/>
        <v>#DIV/0!</v>
      </c>
      <c r="AK8" s="203" t="e">
        <f t="shared" si="1"/>
        <v>#DIV/0!</v>
      </c>
      <c r="AL8" s="203" t="e">
        <f t="shared" si="1"/>
        <v>#DIV/0!</v>
      </c>
      <c r="AM8" s="203">
        <f t="shared" si="1"/>
        <v>0</v>
      </c>
    </row>
    <row r="9" spans="1:39" ht="15.75" hidden="1" thickBot="1" x14ac:dyDescent="0.3">
      <c r="A9" s="26" t="s">
        <v>18</v>
      </c>
      <c r="B9" s="651"/>
      <c r="C9" s="204" t="e">
        <f>SUM(#REF!)</f>
        <v>#REF!</v>
      </c>
      <c r="D9" s="204" t="e">
        <f>SUM(#REF!)</f>
        <v>#REF!</v>
      </c>
      <c r="E9" s="204" t="e">
        <f>SUM(#REF!)</f>
        <v>#REF!</v>
      </c>
      <c r="F9" s="204" t="e">
        <f>SUM(#REF!)</f>
        <v>#REF!</v>
      </c>
      <c r="G9" s="204" t="e">
        <f>SUM(#REF!)</f>
        <v>#REF!</v>
      </c>
      <c r="H9" s="204" t="e">
        <f>SUM(#REF!)</f>
        <v>#REF!</v>
      </c>
      <c r="I9" s="204" t="e">
        <f>SUM(#REF!)</f>
        <v>#REF!</v>
      </c>
      <c r="J9" s="204" t="e">
        <f>SUM(#REF!)</f>
        <v>#REF!</v>
      </c>
      <c r="K9" s="204" t="e">
        <f>SUM(#REF!)</f>
        <v>#REF!</v>
      </c>
      <c r="L9" s="204" t="e">
        <f>SUM(#REF!)</f>
        <v>#REF!</v>
      </c>
      <c r="M9" s="204" t="e">
        <f>SUM(#REF!)</f>
        <v>#REF!</v>
      </c>
      <c r="N9" s="204" t="e">
        <f>SUM(#REF!)</f>
        <v>#REF!</v>
      </c>
      <c r="O9" s="204" t="e">
        <f>SUM(#REF!)</f>
        <v>#REF!</v>
      </c>
      <c r="P9" s="204" t="e">
        <f>SUM(#REF!)</f>
        <v>#REF!</v>
      </c>
      <c r="Q9" s="204" t="e">
        <f>SUM(#REF!)</f>
        <v>#REF!</v>
      </c>
      <c r="R9" s="204" t="e">
        <f>SUM(#REF!)</f>
        <v>#REF!</v>
      </c>
      <c r="S9" s="204" t="e">
        <f>SUM(#REF!)</f>
        <v>#REF!</v>
      </c>
      <c r="T9" s="204" t="e">
        <f>SUM(#REF!)</f>
        <v>#REF!</v>
      </c>
      <c r="U9" s="204" t="e">
        <f>SUM(#REF!)</f>
        <v>#REF!</v>
      </c>
      <c r="V9" s="204" t="e">
        <f>SUM(#REF!)</f>
        <v>#REF!</v>
      </c>
      <c r="W9" s="204" t="e">
        <f>SUM(#REF!)</f>
        <v>#REF!</v>
      </c>
      <c r="X9" s="204" t="e">
        <f>SUM(#REF!)</f>
        <v>#REF!</v>
      </c>
      <c r="Y9" s="204" t="e">
        <f>SUM(#REF!)</f>
        <v>#REF!</v>
      </c>
      <c r="Z9" s="204" t="e">
        <f>SUM(#REF!)</f>
        <v>#REF!</v>
      </c>
      <c r="AA9" s="204" t="e">
        <f>SUM(#REF!)</f>
        <v>#REF!</v>
      </c>
      <c r="AB9" s="204" t="e">
        <f>SUM(#REF!)</f>
        <v>#REF!</v>
      </c>
      <c r="AC9" s="204" t="e">
        <f>SUM(#REF!)</f>
        <v>#REF!</v>
      </c>
      <c r="AD9" s="204" t="e">
        <f>SUM(#REF!)</f>
        <v>#REF!</v>
      </c>
      <c r="AE9" s="204" t="e">
        <f>SUM(#REF!)</f>
        <v>#REF!</v>
      </c>
      <c r="AF9" s="204" t="e">
        <f>SUM(#REF!)</f>
        <v>#REF!</v>
      </c>
      <c r="AG9" s="204" t="e">
        <f>SUM(#REF!)</f>
        <v>#REF!</v>
      </c>
      <c r="AH9" s="204" t="e">
        <f>SUM(#REF!)</f>
        <v>#REF!</v>
      </c>
      <c r="AI9" s="204" t="e">
        <f>SUM(#REF!)</f>
        <v>#REF!</v>
      </c>
      <c r="AJ9" s="204" t="e">
        <f>SUM(#REF!)</f>
        <v>#REF!</v>
      </c>
      <c r="AK9" s="204" t="e">
        <f>SUM(#REF!)</f>
        <v>#REF!</v>
      </c>
      <c r="AL9" s="204" t="e">
        <f>SUM(#REF!)</f>
        <v>#REF!</v>
      </c>
      <c r="AM9" s="204" t="e">
        <f>SUM(#REF!)</f>
        <v>#REF!</v>
      </c>
    </row>
    <row r="10" spans="1:39" ht="15.75" hidden="1" thickBot="1" x14ac:dyDescent="0.3">
      <c r="A10" s="26" t="s">
        <v>20</v>
      </c>
      <c r="B10" s="651"/>
      <c r="C10" s="204" t="e">
        <f>AVERAGE(#REF!)</f>
        <v>#REF!</v>
      </c>
      <c r="D10" s="204" t="e">
        <f>AVERAGE(#REF!)</f>
        <v>#REF!</v>
      </c>
      <c r="E10" s="204" t="e">
        <f>AVERAGE(#REF!)</f>
        <v>#REF!</v>
      </c>
      <c r="F10" s="204" t="e">
        <f>AVERAGE(#REF!)</f>
        <v>#REF!</v>
      </c>
      <c r="G10" s="204" t="e">
        <f>AVERAGE(#REF!)</f>
        <v>#REF!</v>
      </c>
      <c r="H10" s="204" t="e">
        <f>AVERAGE(#REF!)</f>
        <v>#REF!</v>
      </c>
      <c r="I10" s="204" t="e">
        <f>AVERAGE(#REF!)</f>
        <v>#REF!</v>
      </c>
      <c r="J10" s="204" t="e">
        <f>AVERAGE(#REF!)</f>
        <v>#REF!</v>
      </c>
      <c r="K10" s="204" t="e">
        <f>AVERAGE(#REF!)</f>
        <v>#REF!</v>
      </c>
      <c r="L10" s="204" t="e">
        <f>AVERAGE(#REF!)</f>
        <v>#REF!</v>
      </c>
      <c r="M10" s="204" t="e">
        <f>AVERAGE(#REF!)</f>
        <v>#REF!</v>
      </c>
      <c r="N10" s="204" t="e">
        <f>AVERAGE(#REF!)</f>
        <v>#REF!</v>
      </c>
      <c r="O10" s="204" t="e">
        <f>AVERAGE(#REF!)</f>
        <v>#REF!</v>
      </c>
      <c r="P10" s="204" t="e">
        <f>AVERAGE(#REF!)</f>
        <v>#REF!</v>
      </c>
      <c r="Q10" s="204" t="e">
        <f>AVERAGE(#REF!)</f>
        <v>#REF!</v>
      </c>
      <c r="R10" s="204" t="e">
        <f>AVERAGE(#REF!)</f>
        <v>#REF!</v>
      </c>
      <c r="S10" s="204" t="e">
        <f>AVERAGE(#REF!)</f>
        <v>#REF!</v>
      </c>
      <c r="T10" s="204" t="e">
        <f>AVERAGE(#REF!)</f>
        <v>#REF!</v>
      </c>
      <c r="U10" s="204" t="e">
        <f>AVERAGE(#REF!)</f>
        <v>#REF!</v>
      </c>
      <c r="V10" s="204" t="e">
        <f>AVERAGE(#REF!)</f>
        <v>#REF!</v>
      </c>
      <c r="W10" s="204" t="e">
        <f>AVERAGE(#REF!)</f>
        <v>#REF!</v>
      </c>
      <c r="X10" s="204" t="e">
        <f>AVERAGE(#REF!)</f>
        <v>#REF!</v>
      </c>
      <c r="Y10" s="204" t="e">
        <f>AVERAGE(#REF!)</f>
        <v>#REF!</v>
      </c>
      <c r="Z10" s="204" t="e">
        <f>AVERAGE(#REF!)</f>
        <v>#REF!</v>
      </c>
      <c r="AA10" s="204" t="e">
        <f>AVERAGE(#REF!)</f>
        <v>#REF!</v>
      </c>
      <c r="AB10" s="204" t="e">
        <f>AVERAGE(#REF!)</f>
        <v>#REF!</v>
      </c>
      <c r="AC10" s="204" t="e">
        <f>AVERAGE(#REF!)</f>
        <v>#REF!</v>
      </c>
      <c r="AD10" s="204" t="e">
        <f>AVERAGE(#REF!)</f>
        <v>#REF!</v>
      </c>
      <c r="AE10" s="204" t="e">
        <f>AVERAGE(#REF!)</f>
        <v>#REF!</v>
      </c>
      <c r="AF10" s="204" t="e">
        <f>AVERAGE(#REF!)</f>
        <v>#REF!</v>
      </c>
      <c r="AG10" s="204" t="e">
        <f>AVERAGE(#REF!)</f>
        <v>#REF!</v>
      </c>
      <c r="AH10" s="204" t="e">
        <f>AVERAGE(#REF!)</f>
        <v>#REF!</v>
      </c>
      <c r="AI10" s="204" t="e">
        <f>AVERAGE(#REF!)</f>
        <v>#REF!</v>
      </c>
      <c r="AJ10" s="204" t="e">
        <f>AVERAGE(#REF!)</f>
        <v>#REF!</v>
      </c>
      <c r="AK10" s="204" t="e">
        <f>AVERAGE(#REF!)</f>
        <v>#REF!</v>
      </c>
      <c r="AL10" s="204" t="e">
        <f>AVERAGE(#REF!)</f>
        <v>#REF!</v>
      </c>
      <c r="AM10" s="204" t="e">
        <f>AVERAGE(#REF!)</f>
        <v>#REF!</v>
      </c>
    </row>
    <row r="11" spans="1:39" ht="15.75" hidden="1" thickBot="1" x14ac:dyDescent="0.3">
      <c r="A11" s="132" t="s">
        <v>3</v>
      </c>
      <c r="B11" s="310"/>
      <c r="C11" s="206"/>
      <c r="D11" s="188"/>
      <c r="E11" s="188"/>
      <c r="F11" s="188"/>
      <c r="G11" s="188"/>
      <c r="H11" s="188"/>
      <c r="I11" s="200"/>
      <c r="J11" s="206"/>
      <c r="K11" s="188"/>
      <c r="L11" s="200"/>
      <c r="M11" s="206"/>
      <c r="N11" s="188"/>
      <c r="O11" s="188"/>
      <c r="P11" s="188"/>
      <c r="Q11" s="231"/>
      <c r="R11" s="189"/>
      <c r="S11" s="198"/>
      <c r="T11" s="284"/>
      <c r="U11" s="188"/>
      <c r="V11" s="188"/>
      <c r="W11" s="188"/>
      <c r="X11" s="283"/>
      <c r="Y11" s="231"/>
      <c r="Z11" s="197"/>
      <c r="AA11" s="202"/>
      <c r="AB11" s="416"/>
      <c r="AC11" s="189"/>
      <c r="AD11" s="189"/>
      <c r="AE11" s="198"/>
      <c r="AF11" s="284"/>
      <c r="AG11" s="313"/>
      <c r="AH11" s="188"/>
      <c r="AI11" s="188"/>
      <c r="AJ11" s="200"/>
      <c r="AK11" s="206"/>
      <c r="AL11" s="200"/>
      <c r="AM11" s="169">
        <f t="shared" ref="AM11:AM13" si="2">SUM(C11:AL11)</f>
        <v>0</v>
      </c>
    </row>
    <row r="12" spans="1:39" ht="15.75" hidden="1" thickBot="1" x14ac:dyDescent="0.3">
      <c r="A12" s="132" t="s">
        <v>4</v>
      </c>
      <c r="B12" s="310"/>
      <c r="C12" s="233"/>
      <c r="D12" s="234"/>
      <c r="E12" s="234"/>
      <c r="F12" s="234"/>
      <c r="G12" s="234"/>
      <c r="H12" s="234"/>
      <c r="I12" s="312"/>
      <c r="J12" s="233"/>
      <c r="K12" s="234"/>
      <c r="L12" s="198"/>
      <c r="M12" s="202"/>
      <c r="N12" s="189"/>
      <c r="O12" s="189"/>
      <c r="P12" s="189"/>
      <c r="Q12" s="197"/>
      <c r="R12" s="189"/>
      <c r="S12" s="198"/>
      <c r="T12" s="211"/>
      <c r="U12" s="189"/>
      <c r="V12" s="189"/>
      <c r="W12" s="189"/>
      <c r="X12" s="189"/>
      <c r="Y12" s="197"/>
      <c r="Z12" s="197"/>
      <c r="AA12" s="202"/>
      <c r="AB12" s="234"/>
      <c r="AC12" s="189"/>
      <c r="AD12" s="189"/>
      <c r="AE12" s="198"/>
      <c r="AF12" s="211"/>
      <c r="AG12" s="314"/>
      <c r="AH12" s="189"/>
      <c r="AI12" s="189"/>
      <c r="AJ12" s="198"/>
      <c r="AK12" s="202"/>
      <c r="AL12" s="198"/>
      <c r="AM12" s="169">
        <f t="shared" si="2"/>
        <v>0</v>
      </c>
    </row>
    <row r="13" spans="1:39" ht="15.75" hidden="1" thickBot="1" x14ac:dyDescent="0.3">
      <c r="A13" s="132" t="s">
        <v>5</v>
      </c>
      <c r="B13" s="310"/>
      <c r="C13" s="233"/>
      <c r="D13" s="234"/>
      <c r="E13" s="234"/>
      <c r="F13" s="234"/>
      <c r="G13" s="234"/>
      <c r="H13" s="234"/>
      <c r="I13" s="312"/>
      <c r="J13" s="233"/>
      <c r="K13" s="234"/>
      <c r="L13" s="198"/>
      <c r="M13" s="202"/>
      <c r="N13" s="189"/>
      <c r="O13" s="189"/>
      <c r="P13" s="189"/>
      <c r="Q13" s="197"/>
      <c r="R13" s="189"/>
      <c r="S13" s="198"/>
      <c r="T13" s="211"/>
      <c r="U13" s="189"/>
      <c r="V13" s="189"/>
      <c r="W13" s="189"/>
      <c r="X13" s="189"/>
      <c r="Y13" s="197"/>
      <c r="Z13" s="197"/>
      <c r="AA13" s="202"/>
      <c r="AB13" s="234"/>
      <c r="AC13" s="189"/>
      <c r="AD13" s="189"/>
      <c r="AE13" s="198"/>
      <c r="AF13" s="211"/>
      <c r="AG13" s="189"/>
      <c r="AH13" s="189"/>
      <c r="AI13" s="189"/>
      <c r="AJ13" s="198"/>
      <c r="AK13" s="202"/>
      <c r="AL13" s="198"/>
      <c r="AM13" s="169">
        <f t="shared" si="2"/>
        <v>0</v>
      </c>
    </row>
    <row r="14" spans="1:39" ht="15.75" thickBot="1" x14ac:dyDescent="0.3">
      <c r="A14" s="132" t="s">
        <v>6</v>
      </c>
      <c r="B14" s="310">
        <v>44378</v>
      </c>
      <c r="C14" s="233">
        <v>374</v>
      </c>
      <c r="D14" s="234">
        <v>469</v>
      </c>
      <c r="E14" s="234"/>
      <c r="F14" s="234">
        <v>728</v>
      </c>
      <c r="G14" s="234"/>
      <c r="H14" s="234">
        <v>335</v>
      </c>
      <c r="I14" s="312">
        <v>674</v>
      </c>
      <c r="J14" s="233">
        <v>476</v>
      </c>
      <c r="K14" s="234">
        <v>132</v>
      </c>
      <c r="L14" s="198">
        <v>500</v>
      </c>
      <c r="M14" s="202">
        <v>271</v>
      </c>
      <c r="N14" s="189">
        <v>112</v>
      </c>
      <c r="O14" s="189">
        <v>171</v>
      </c>
      <c r="P14" s="189">
        <v>82</v>
      </c>
      <c r="Q14" s="197">
        <v>84</v>
      </c>
      <c r="R14" s="189">
        <v>133</v>
      </c>
      <c r="S14" s="198">
        <v>68</v>
      </c>
      <c r="T14" s="211">
        <v>274</v>
      </c>
      <c r="U14" s="189">
        <v>241</v>
      </c>
      <c r="V14" s="189">
        <v>443</v>
      </c>
      <c r="W14" s="189">
        <v>402</v>
      </c>
      <c r="X14" s="189">
        <v>216</v>
      </c>
      <c r="Y14" s="197">
        <v>390</v>
      </c>
      <c r="Z14" s="197">
        <v>220</v>
      </c>
      <c r="AA14" s="202">
        <v>342</v>
      </c>
      <c r="AB14" s="234">
        <v>312</v>
      </c>
      <c r="AC14" s="189">
        <v>356</v>
      </c>
      <c r="AD14" s="189">
        <v>479</v>
      </c>
      <c r="AE14" s="198">
        <v>153</v>
      </c>
      <c r="AF14" s="211"/>
      <c r="AG14" s="189"/>
      <c r="AH14" s="189"/>
      <c r="AI14" s="189"/>
      <c r="AJ14" s="198"/>
      <c r="AK14" s="202"/>
      <c r="AL14" s="198"/>
      <c r="AM14" s="169">
        <f>SUM(C14:AL14)</f>
        <v>8437</v>
      </c>
    </row>
    <row r="15" spans="1:39" ht="15.75" thickBot="1" x14ac:dyDescent="0.3">
      <c r="A15" s="132" t="s">
        <v>0</v>
      </c>
      <c r="B15" s="310">
        <v>44379</v>
      </c>
      <c r="C15" s="233">
        <v>617</v>
      </c>
      <c r="D15" s="234">
        <v>716</v>
      </c>
      <c r="E15" s="234"/>
      <c r="F15" s="234">
        <v>808</v>
      </c>
      <c r="G15" s="234"/>
      <c r="H15" s="234">
        <v>501</v>
      </c>
      <c r="I15" s="312">
        <v>772</v>
      </c>
      <c r="J15" s="233">
        <v>575</v>
      </c>
      <c r="K15" s="234">
        <v>143</v>
      </c>
      <c r="L15" s="198">
        <v>526</v>
      </c>
      <c r="M15" s="202">
        <v>376</v>
      </c>
      <c r="N15" s="189">
        <v>178</v>
      </c>
      <c r="O15" s="189">
        <v>206</v>
      </c>
      <c r="P15" s="189">
        <v>144</v>
      </c>
      <c r="Q15" s="197">
        <v>67</v>
      </c>
      <c r="R15" s="189">
        <v>303</v>
      </c>
      <c r="S15" s="198">
        <v>115</v>
      </c>
      <c r="T15" s="211">
        <v>346</v>
      </c>
      <c r="U15" s="189">
        <v>211</v>
      </c>
      <c r="V15" s="189">
        <v>443</v>
      </c>
      <c r="W15" s="189">
        <v>462</v>
      </c>
      <c r="X15" s="189">
        <v>283</v>
      </c>
      <c r="Y15" s="197">
        <v>421</v>
      </c>
      <c r="Z15" s="197">
        <v>324</v>
      </c>
      <c r="AA15" s="202">
        <v>357</v>
      </c>
      <c r="AB15" s="234">
        <v>250</v>
      </c>
      <c r="AC15" s="189">
        <v>263</v>
      </c>
      <c r="AD15" s="189">
        <v>485</v>
      </c>
      <c r="AE15" s="198">
        <v>107</v>
      </c>
      <c r="AF15" s="211"/>
      <c r="AG15" s="189"/>
      <c r="AH15" s="189"/>
      <c r="AI15" s="189"/>
      <c r="AJ15" s="198"/>
      <c r="AK15" s="202"/>
      <c r="AL15" s="198"/>
      <c r="AM15" s="169">
        <f t="shared" ref="AM15:AM17" si="3">SUM(C15:AL15)</f>
        <v>9999</v>
      </c>
    </row>
    <row r="16" spans="1:39" ht="15.75" thickBot="1" x14ac:dyDescent="0.3">
      <c r="A16" s="132" t="s">
        <v>1</v>
      </c>
      <c r="B16" s="310">
        <v>44380</v>
      </c>
      <c r="C16" s="233">
        <v>652</v>
      </c>
      <c r="D16" s="234">
        <v>975</v>
      </c>
      <c r="E16" s="234"/>
      <c r="F16" s="234">
        <v>1102</v>
      </c>
      <c r="G16" s="234"/>
      <c r="H16" s="234">
        <v>487</v>
      </c>
      <c r="I16" s="312">
        <v>920</v>
      </c>
      <c r="J16" s="233">
        <v>486</v>
      </c>
      <c r="K16" s="234">
        <v>90</v>
      </c>
      <c r="L16" s="198">
        <v>366</v>
      </c>
      <c r="M16" s="202">
        <v>384</v>
      </c>
      <c r="N16" s="189">
        <v>381</v>
      </c>
      <c r="O16" s="189">
        <v>210</v>
      </c>
      <c r="P16" s="189">
        <v>107</v>
      </c>
      <c r="Q16" s="197">
        <v>102</v>
      </c>
      <c r="R16" s="189">
        <v>284</v>
      </c>
      <c r="S16" s="198">
        <v>121</v>
      </c>
      <c r="T16" s="211">
        <v>403</v>
      </c>
      <c r="U16" s="189">
        <v>98</v>
      </c>
      <c r="V16" s="189">
        <v>346</v>
      </c>
      <c r="W16" s="189">
        <v>516</v>
      </c>
      <c r="X16" s="189">
        <v>335</v>
      </c>
      <c r="Y16" s="197">
        <v>462</v>
      </c>
      <c r="Z16" s="197">
        <v>413</v>
      </c>
      <c r="AA16" s="202">
        <v>296</v>
      </c>
      <c r="AB16" s="234">
        <v>171</v>
      </c>
      <c r="AC16" s="189">
        <v>295</v>
      </c>
      <c r="AD16" s="189">
        <v>329</v>
      </c>
      <c r="AE16" s="198">
        <v>107</v>
      </c>
      <c r="AF16" s="211"/>
      <c r="AG16" s="189"/>
      <c r="AH16" s="189"/>
      <c r="AI16" s="189"/>
      <c r="AJ16" s="198"/>
      <c r="AK16" s="202">
        <v>85</v>
      </c>
      <c r="AL16" s="198">
        <v>62</v>
      </c>
      <c r="AM16" s="169">
        <f t="shared" si="3"/>
        <v>10585</v>
      </c>
    </row>
    <row r="17" spans="1:39" ht="15.75" thickBot="1" x14ac:dyDescent="0.3">
      <c r="A17" s="132" t="s">
        <v>2</v>
      </c>
      <c r="B17" s="310">
        <v>44381</v>
      </c>
      <c r="C17" s="233">
        <v>1023</v>
      </c>
      <c r="D17" s="234">
        <v>1510</v>
      </c>
      <c r="E17" s="234"/>
      <c r="F17" s="234">
        <v>1166</v>
      </c>
      <c r="G17" s="234"/>
      <c r="H17" s="234">
        <v>570</v>
      </c>
      <c r="I17" s="312">
        <v>1298</v>
      </c>
      <c r="J17" s="233">
        <v>1486</v>
      </c>
      <c r="K17" s="234">
        <v>469</v>
      </c>
      <c r="L17" s="198">
        <v>1085</v>
      </c>
      <c r="M17" s="202">
        <v>742</v>
      </c>
      <c r="N17" s="189">
        <v>497</v>
      </c>
      <c r="O17" s="189">
        <v>365</v>
      </c>
      <c r="P17" s="189">
        <v>166</v>
      </c>
      <c r="Q17" s="197">
        <v>199</v>
      </c>
      <c r="R17" s="189">
        <v>637</v>
      </c>
      <c r="S17" s="198">
        <v>224</v>
      </c>
      <c r="T17" s="211">
        <v>567</v>
      </c>
      <c r="U17" s="189">
        <v>225</v>
      </c>
      <c r="V17" s="189">
        <v>484</v>
      </c>
      <c r="W17" s="189">
        <v>822</v>
      </c>
      <c r="X17" s="189">
        <v>533</v>
      </c>
      <c r="Y17" s="197">
        <v>844</v>
      </c>
      <c r="Z17" s="197">
        <v>800</v>
      </c>
      <c r="AA17" s="202">
        <v>460</v>
      </c>
      <c r="AB17" s="234">
        <v>269</v>
      </c>
      <c r="AC17" s="189">
        <v>763</v>
      </c>
      <c r="AD17" s="189">
        <v>503</v>
      </c>
      <c r="AE17" s="198">
        <v>188</v>
      </c>
      <c r="AF17" s="211"/>
      <c r="AG17" s="189"/>
      <c r="AH17" s="189"/>
      <c r="AI17" s="189"/>
      <c r="AJ17" s="198"/>
      <c r="AK17" s="202">
        <v>700</v>
      </c>
      <c r="AL17" s="198">
        <v>314</v>
      </c>
      <c r="AM17" s="169">
        <f t="shared" si="3"/>
        <v>18909</v>
      </c>
    </row>
    <row r="18" spans="1:39" ht="15.75" thickBot="1" x14ac:dyDescent="0.3">
      <c r="A18" s="140" t="s">
        <v>19</v>
      </c>
      <c r="B18" s="651" t="s">
        <v>22</v>
      </c>
      <c r="C18" s="203">
        <f>SUM(C11:C17)</f>
        <v>2666</v>
      </c>
      <c r="D18" s="203">
        <f>SUM(D11:D17)</f>
        <v>3670</v>
      </c>
      <c r="E18" s="203">
        <f>SUM(E11:E17)</f>
        <v>0</v>
      </c>
      <c r="F18" s="203">
        <f t="shared" ref="F18:AL18" si="4">SUM(F11:F17)</f>
        <v>3804</v>
      </c>
      <c r="G18" s="203">
        <f t="shared" si="4"/>
        <v>0</v>
      </c>
      <c r="H18" s="203">
        <f t="shared" si="4"/>
        <v>1893</v>
      </c>
      <c r="I18" s="203">
        <f t="shared" si="4"/>
        <v>3664</v>
      </c>
      <c r="J18" s="203">
        <f t="shared" si="4"/>
        <v>3023</v>
      </c>
      <c r="K18" s="203">
        <f t="shared" si="4"/>
        <v>834</v>
      </c>
      <c r="L18" s="203">
        <f t="shared" si="4"/>
        <v>2477</v>
      </c>
      <c r="M18" s="203">
        <f t="shared" si="4"/>
        <v>1773</v>
      </c>
      <c r="N18" s="203">
        <f t="shared" si="4"/>
        <v>1168</v>
      </c>
      <c r="O18" s="203">
        <f t="shared" si="4"/>
        <v>952</v>
      </c>
      <c r="P18" s="203">
        <f t="shared" si="4"/>
        <v>499</v>
      </c>
      <c r="Q18" s="203">
        <f t="shared" si="4"/>
        <v>452</v>
      </c>
      <c r="R18" s="203">
        <f t="shared" si="4"/>
        <v>1357</v>
      </c>
      <c r="S18" s="203">
        <f t="shared" si="4"/>
        <v>528</v>
      </c>
      <c r="T18" s="203">
        <f t="shared" si="4"/>
        <v>1590</v>
      </c>
      <c r="U18" s="203">
        <f t="shared" si="4"/>
        <v>775</v>
      </c>
      <c r="V18" s="203">
        <f t="shared" si="4"/>
        <v>1716</v>
      </c>
      <c r="W18" s="203">
        <f t="shared" si="4"/>
        <v>2202</v>
      </c>
      <c r="X18" s="203">
        <f t="shared" si="4"/>
        <v>1367</v>
      </c>
      <c r="Y18" s="203">
        <f t="shared" si="4"/>
        <v>2117</v>
      </c>
      <c r="Z18" s="203">
        <f t="shared" si="4"/>
        <v>1757</v>
      </c>
      <c r="AA18" s="203">
        <f t="shared" si="4"/>
        <v>1455</v>
      </c>
      <c r="AB18" s="203">
        <f t="shared" si="4"/>
        <v>1002</v>
      </c>
      <c r="AC18" s="203">
        <f t="shared" si="4"/>
        <v>1677</v>
      </c>
      <c r="AD18" s="203">
        <f t="shared" si="4"/>
        <v>1796</v>
      </c>
      <c r="AE18" s="203">
        <f t="shared" si="4"/>
        <v>555</v>
      </c>
      <c r="AF18" s="203">
        <f t="shared" si="4"/>
        <v>0</v>
      </c>
      <c r="AG18" s="203">
        <f t="shared" si="4"/>
        <v>0</v>
      </c>
      <c r="AH18" s="203">
        <f t="shared" si="4"/>
        <v>0</v>
      </c>
      <c r="AI18" s="203">
        <f t="shared" si="4"/>
        <v>0</v>
      </c>
      <c r="AJ18" s="203">
        <f t="shared" si="4"/>
        <v>0</v>
      </c>
      <c r="AK18" s="203">
        <f t="shared" si="4"/>
        <v>785</v>
      </c>
      <c r="AL18" s="203">
        <f t="shared" si="4"/>
        <v>376</v>
      </c>
      <c r="AM18" s="203">
        <f>SUM(AM11:AM17)</f>
        <v>47930</v>
      </c>
    </row>
    <row r="19" spans="1:39" ht="15.75" thickBot="1" x14ac:dyDescent="0.3">
      <c r="A19" s="99" t="s">
        <v>21</v>
      </c>
      <c r="B19" s="651"/>
      <c r="C19" s="203">
        <f>AVERAGE(C11:C17)</f>
        <v>666.5</v>
      </c>
      <c r="D19" s="203">
        <f>AVERAGE(D11:D17)</f>
        <v>917.5</v>
      </c>
      <c r="E19" s="203" t="e">
        <f>AVERAGE(E11:E17)</f>
        <v>#DIV/0!</v>
      </c>
      <c r="F19" s="203">
        <f t="shared" ref="F19:AM19" si="5">AVERAGE(F11:F17)</f>
        <v>951</v>
      </c>
      <c r="G19" s="203" t="e">
        <f t="shared" si="5"/>
        <v>#DIV/0!</v>
      </c>
      <c r="H19" s="203">
        <f t="shared" si="5"/>
        <v>473.25</v>
      </c>
      <c r="I19" s="203">
        <f t="shared" si="5"/>
        <v>916</v>
      </c>
      <c r="J19" s="203">
        <f t="shared" si="5"/>
        <v>755.75</v>
      </c>
      <c r="K19" s="203">
        <f t="shared" si="5"/>
        <v>208.5</v>
      </c>
      <c r="L19" s="203">
        <f t="shared" si="5"/>
        <v>619.25</v>
      </c>
      <c r="M19" s="203">
        <f t="shared" si="5"/>
        <v>443.25</v>
      </c>
      <c r="N19" s="203">
        <f t="shared" si="5"/>
        <v>292</v>
      </c>
      <c r="O19" s="203">
        <f t="shared" si="5"/>
        <v>238</v>
      </c>
      <c r="P19" s="203">
        <f t="shared" si="5"/>
        <v>124.75</v>
      </c>
      <c r="Q19" s="203">
        <f t="shared" si="5"/>
        <v>113</v>
      </c>
      <c r="R19" s="203">
        <f t="shared" si="5"/>
        <v>339.25</v>
      </c>
      <c r="S19" s="203">
        <f t="shared" si="5"/>
        <v>132</v>
      </c>
      <c r="T19" s="203">
        <f t="shared" si="5"/>
        <v>397.5</v>
      </c>
      <c r="U19" s="203">
        <f t="shared" si="5"/>
        <v>193.75</v>
      </c>
      <c r="V19" s="203">
        <f t="shared" si="5"/>
        <v>429</v>
      </c>
      <c r="W19" s="203">
        <f t="shared" si="5"/>
        <v>550.5</v>
      </c>
      <c r="X19" s="203">
        <f t="shared" si="5"/>
        <v>341.75</v>
      </c>
      <c r="Y19" s="203">
        <f t="shared" si="5"/>
        <v>529.25</v>
      </c>
      <c r="Z19" s="203">
        <f t="shared" si="5"/>
        <v>439.25</v>
      </c>
      <c r="AA19" s="203">
        <f t="shared" si="5"/>
        <v>363.75</v>
      </c>
      <c r="AB19" s="203">
        <f t="shared" si="5"/>
        <v>250.5</v>
      </c>
      <c r="AC19" s="203">
        <f t="shared" si="5"/>
        <v>419.25</v>
      </c>
      <c r="AD19" s="203">
        <f t="shared" si="5"/>
        <v>449</v>
      </c>
      <c r="AE19" s="203">
        <f t="shared" si="5"/>
        <v>138.75</v>
      </c>
      <c r="AF19" s="203" t="e">
        <f t="shared" si="5"/>
        <v>#DIV/0!</v>
      </c>
      <c r="AG19" s="203" t="e">
        <f t="shared" si="5"/>
        <v>#DIV/0!</v>
      </c>
      <c r="AH19" s="203" t="e">
        <f t="shared" si="5"/>
        <v>#DIV/0!</v>
      </c>
      <c r="AI19" s="203" t="e">
        <f t="shared" si="5"/>
        <v>#DIV/0!</v>
      </c>
      <c r="AJ19" s="203" t="e">
        <f t="shared" si="5"/>
        <v>#DIV/0!</v>
      </c>
      <c r="AK19" s="203">
        <f t="shared" si="5"/>
        <v>392.5</v>
      </c>
      <c r="AL19" s="203">
        <f t="shared" si="5"/>
        <v>188</v>
      </c>
      <c r="AM19" s="203">
        <f t="shared" si="5"/>
        <v>6847.1428571428569</v>
      </c>
    </row>
    <row r="20" spans="1:39" ht="15.75" thickBot="1" x14ac:dyDescent="0.3">
      <c r="A20" s="26" t="s">
        <v>18</v>
      </c>
      <c r="B20" s="651"/>
      <c r="C20" s="204">
        <f>SUM(C11:C15)</f>
        <v>991</v>
      </c>
      <c r="D20" s="204">
        <f t="shared" ref="D20:AL20" si="6">SUM(D11:D15)</f>
        <v>1185</v>
      </c>
      <c r="E20" s="204">
        <f t="shared" si="6"/>
        <v>0</v>
      </c>
      <c r="F20" s="204">
        <f t="shared" si="6"/>
        <v>1536</v>
      </c>
      <c r="G20" s="204">
        <f t="shared" si="6"/>
        <v>0</v>
      </c>
      <c r="H20" s="204">
        <f t="shared" si="6"/>
        <v>836</v>
      </c>
      <c r="I20" s="204">
        <f t="shared" si="6"/>
        <v>1446</v>
      </c>
      <c r="J20" s="204">
        <f t="shared" si="6"/>
        <v>1051</v>
      </c>
      <c r="K20" s="204">
        <f t="shared" si="6"/>
        <v>275</v>
      </c>
      <c r="L20" s="204">
        <f t="shared" si="6"/>
        <v>1026</v>
      </c>
      <c r="M20" s="204">
        <f t="shared" si="6"/>
        <v>647</v>
      </c>
      <c r="N20" s="204">
        <f t="shared" si="6"/>
        <v>290</v>
      </c>
      <c r="O20" s="204">
        <f t="shared" si="6"/>
        <v>377</v>
      </c>
      <c r="P20" s="204">
        <f t="shared" si="6"/>
        <v>226</v>
      </c>
      <c r="Q20" s="204">
        <f t="shared" si="6"/>
        <v>151</v>
      </c>
      <c r="R20" s="204">
        <f t="shared" si="6"/>
        <v>436</v>
      </c>
      <c r="S20" s="204">
        <f t="shared" si="6"/>
        <v>183</v>
      </c>
      <c r="T20" s="204">
        <f t="shared" si="6"/>
        <v>620</v>
      </c>
      <c r="U20" s="204">
        <f t="shared" si="6"/>
        <v>452</v>
      </c>
      <c r="V20" s="204">
        <f t="shared" si="6"/>
        <v>886</v>
      </c>
      <c r="W20" s="204">
        <f t="shared" si="6"/>
        <v>864</v>
      </c>
      <c r="X20" s="204">
        <f t="shared" si="6"/>
        <v>499</v>
      </c>
      <c r="Y20" s="204">
        <f t="shared" si="6"/>
        <v>811</v>
      </c>
      <c r="Z20" s="204">
        <f t="shared" si="6"/>
        <v>544</v>
      </c>
      <c r="AA20" s="204">
        <f t="shared" si="6"/>
        <v>699</v>
      </c>
      <c r="AB20" s="204">
        <f t="shared" si="6"/>
        <v>562</v>
      </c>
      <c r="AC20" s="204">
        <f t="shared" si="6"/>
        <v>619</v>
      </c>
      <c r="AD20" s="204">
        <f t="shared" si="6"/>
        <v>964</v>
      </c>
      <c r="AE20" s="204">
        <f t="shared" si="6"/>
        <v>260</v>
      </c>
      <c r="AF20" s="204">
        <f t="shared" si="6"/>
        <v>0</v>
      </c>
      <c r="AG20" s="204">
        <f t="shared" si="6"/>
        <v>0</v>
      </c>
      <c r="AH20" s="204">
        <f t="shared" si="6"/>
        <v>0</v>
      </c>
      <c r="AI20" s="204">
        <f t="shared" si="6"/>
        <v>0</v>
      </c>
      <c r="AJ20" s="204">
        <f t="shared" si="6"/>
        <v>0</v>
      </c>
      <c r="AK20" s="204">
        <f t="shared" si="6"/>
        <v>0</v>
      </c>
      <c r="AL20" s="204">
        <f t="shared" si="6"/>
        <v>0</v>
      </c>
      <c r="AM20" s="204">
        <f>SUM(AM11:AM15)</f>
        <v>18436</v>
      </c>
    </row>
    <row r="21" spans="1:39" ht="15.75" thickBot="1" x14ac:dyDescent="0.3">
      <c r="A21" s="26" t="s">
        <v>20</v>
      </c>
      <c r="B21" s="651"/>
      <c r="C21" s="204">
        <f>AVERAGE(C11:C15)</f>
        <v>495.5</v>
      </c>
      <c r="D21" s="204">
        <f t="shared" ref="D21:AM21" si="7">AVERAGE(D11:D15)</f>
        <v>592.5</v>
      </c>
      <c r="E21" s="204" t="e">
        <f t="shared" si="7"/>
        <v>#DIV/0!</v>
      </c>
      <c r="F21" s="204">
        <f t="shared" si="7"/>
        <v>768</v>
      </c>
      <c r="G21" s="204" t="e">
        <f t="shared" si="7"/>
        <v>#DIV/0!</v>
      </c>
      <c r="H21" s="204">
        <f t="shared" si="7"/>
        <v>418</v>
      </c>
      <c r="I21" s="204">
        <f t="shared" si="7"/>
        <v>723</v>
      </c>
      <c r="J21" s="204">
        <f t="shared" si="7"/>
        <v>525.5</v>
      </c>
      <c r="K21" s="204">
        <f t="shared" si="7"/>
        <v>137.5</v>
      </c>
      <c r="L21" s="204">
        <f t="shared" si="7"/>
        <v>513</v>
      </c>
      <c r="M21" s="204">
        <f t="shared" si="7"/>
        <v>323.5</v>
      </c>
      <c r="N21" s="204">
        <f t="shared" si="7"/>
        <v>145</v>
      </c>
      <c r="O21" s="204">
        <f t="shared" si="7"/>
        <v>188.5</v>
      </c>
      <c r="P21" s="204">
        <f t="shared" si="7"/>
        <v>113</v>
      </c>
      <c r="Q21" s="204">
        <f t="shared" si="7"/>
        <v>75.5</v>
      </c>
      <c r="R21" s="204">
        <f t="shared" si="7"/>
        <v>218</v>
      </c>
      <c r="S21" s="204">
        <f t="shared" si="7"/>
        <v>91.5</v>
      </c>
      <c r="T21" s="204">
        <f t="shared" si="7"/>
        <v>310</v>
      </c>
      <c r="U21" s="204">
        <f t="shared" si="7"/>
        <v>226</v>
      </c>
      <c r="V21" s="204">
        <f t="shared" si="7"/>
        <v>443</v>
      </c>
      <c r="W21" s="204">
        <f t="shared" si="7"/>
        <v>432</v>
      </c>
      <c r="X21" s="204">
        <f t="shared" si="7"/>
        <v>249.5</v>
      </c>
      <c r="Y21" s="204">
        <f t="shared" si="7"/>
        <v>405.5</v>
      </c>
      <c r="Z21" s="204">
        <f t="shared" si="7"/>
        <v>272</v>
      </c>
      <c r="AA21" s="204">
        <f t="shared" si="7"/>
        <v>349.5</v>
      </c>
      <c r="AB21" s="204">
        <f t="shared" si="7"/>
        <v>281</v>
      </c>
      <c r="AC21" s="204">
        <f t="shared" si="7"/>
        <v>309.5</v>
      </c>
      <c r="AD21" s="204">
        <f t="shared" si="7"/>
        <v>482</v>
      </c>
      <c r="AE21" s="204">
        <f t="shared" si="7"/>
        <v>130</v>
      </c>
      <c r="AF21" s="204" t="e">
        <f t="shared" si="7"/>
        <v>#DIV/0!</v>
      </c>
      <c r="AG21" s="204" t="e">
        <f t="shared" si="7"/>
        <v>#DIV/0!</v>
      </c>
      <c r="AH21" s="204" t="e">
        <f t="shared" si="7"/>
        <v>#DIV/0!</v>
      </c>
      <c r="AI21" s="204" t="e">
        <f t="shared" si="7"/>
        <v>#DIV/0!</v>
      </c>
      <c r="AJ21" s="204" t="e">
        <f t="shared" si="7"/>
        <v>#DIV/0!</v>
      </c>
      <c r="AK21" s="204" t="e">
        <f t="shared" si="7"/>
        <v>#DIV/0!</v>
      </c>
      <c r="AL21" s="204" t="e">
        <f t="shared" si="7"/>
        <v>#DIV/0!</v>
      </c>
      <c r="AM21" s="204">
        <f t="shared" si="7"/>
        <v>3687.2</v>
      </c>
    </row>
    <row r="22" spans="1:39" ht="15.75" thickBot="1" x14ac:dyDescent="0.3">
      <c r="A22" s="132" t="s">
        <v>3</v>
      </c>
      <c r="B22" s="311">
        <f>B17+1</f>
        <v>44382</v>
      </c>
      <c r="C22" s="233">
        <v>1928</v>
      </c>
      <c r="D22" s="189">
        <v>2209</v>
      </c>
      <c r="E22" s="189"/>
      <c r="F22" s="189">
        <v>1801</v>
      </c>
      <c r="G22" s="189"/>
      <c r="H22" s="189">
        <v>1379</v>
      </c>
      <c r="I22" s="198">
        <v>1313</v>
      </c>
      <c r="J22" s="202">
        <v>3703</v>
      </c>
      <c r="K22" s="189">
        <v>739</v>
      </c>
      <c r="L22" s="198">
        <v>4320</v>
      </c>
      <c r="M22" s="202">
        <v>994</v>
      </c>
      <c r="N22" s="189">
        <v>780</v>
      </c>
      <c r="O22" s="189">
        <v>598</v>
      </c>
      <c r="P22" s="189">
        <v>319</v>
      </c>
      <c r="Q22" s="197">
        <v>292</v>
      </c>
      <c r="R22" s="189">
        <v>667</v>
      </c>
      <c r="S22" s="198">
        <v>312</v>
      </c>
      <c r="T22" s="211">
        <v>1430</v>
      </c>
      <c r="U22" s="189">
        <v>268</v>
      </c>
      <c r="V22" s="189">
        <v>650</v>
      </c>
      <c r="W22" s="189">
        <v>1170</v>
      </c>
      <c r="X22" s="189">
        <v>895</v>
      </c>
      <c r="Y22" s="197">
        <v>1037</v>
      </c>
      <c r="Z22" s="197">
        <v>762</v>
      </c>
      <c r="AA22" s="202">
        <v>1475</v>
      </c>
      <c r="AB22" s="165">
        <v>456</v>
      </c>
      <c r="AC22" s="189">
        <v>858</v>
      </c>
      <c r="AD22" s="189">
        <v>1088</v>
      </c>
      <c r="AE22" s="198">
        <v>344</v>
      </c>
      <c r="AF22" s="211"/>
      <c r="AG22" s="189"/>
      <c r="AH22" s="189"/>
      <c r="AI22" s="189"/>
      <c r="AJ22" s="198"/>
      <c r="AK22" s="202">
        <v>471</v>
      </c>
      <c r="AL22" s="198">
        <v>423</v>
      </c>
      <c r="AM22" s="169">
        <f>SUM(C22:AL22)</f>
        <v>32681</v>
      </c>
    </row>
    <row r="23" spans="1:39" ht="15.75" thickBot="1" x14ac:dyDescent="0.3">
      <c r="A23" s="132" t="s">
        <v>4</v>
      </c>
      <c r="B23" s="311">
        <f t="shared" ref="B23:B28" si="8">B22+1</f>
        <v>44383</v>
      </c>
      <c r="C23" s="233">
        <v>696</v>
      </c>
      <c r="D23" s="189">
        <v>659</v>
      </c>
      <c r="E23" s="189"/>
      <c r="F23" s="189">
        <v>957</v>
      </c>
      <c r="G23" s="189"/>
      <c r="H23" s="189">
        <v>431</v>
      </c>
      <c r="I23" s="198">
        <v>871</v>
      </c>
      <c r="J23" s="202">
        <v>1340</v>
      </c>
      <c r="K23" s="189">
        <v>341</v>
      </c>
      <c r="L23" s="198">
        <v>1455</v>
      </c>
      <c r="M23" s="202">
        <v>378</v>
      </c>
      <c r="N23" s="189">
        <v>189</v>
      </c>
      <c r="O23" s="189">
        <v>192</v>
      </c>
      <c r="P23" s="189">
        <v>164</v>
      </c>
      <c r="Q23" s="197">
        <v>96</v>
      </c>
      <c r="R23" s="189">
        <v>212</v>
      </c>
      <c r="S23" s="198">
        <v>142</v>
      </c>
      <c r="T23" s="211">
        <v>537</v>
      </c>
      <c r="U23" s="165">
        <v>265</v>
      </c>
      <c r="V23" s="189">
        <v>589</v>
      </c>
      <c r="W23" s="189">
        <v>599</v>
      </c>
      <c r="X23" s="189">
        <v>369</v>
      </c>
      <c r="Y23" s="197">
        <v>485</v>
      </c>
      <c r="Z23" s="197">
        <v>508</v>
      </c>
      <c r="AA23" s="202">
        <v>631</v>
      </c>
      <c r="AB23" s="165">
        <v>393</v>
      </c>
      <c r="AC23" s="189">
        <v>405</v>
      </c>
      <c r="AD23" s="189">
        <v>694</v>
      </c>
      <c r="AE23" s="198">
        <v>184</v>
      </c>
      <c r="AF23" s="211"/>
      <c r="AG23" s="165"/>
      <c r="AH23" s="189"/>
      <c r="AI23" s="189"/>
      <c r="AJ23" s="198"/>
      <c r="AK23" s="202"/>
      <c r="AL23" s="198"/>
      <c r="AM23" s="169">
        <f t="shared" ref="AM23:AM28" si="9">SUM(C23:AL23)</f>
        <v>13782</v>
      </c>
    </row>
    <row r="24" spans="1:39" ht="15.75" thickBot="1" x14ac:dyDescent="0.3">
      <c r="A24" s="132" t="s">
        <v>5</v>
      </c>
      <c r="B24" s="311">
        <f t="shared" si="8"/>
        <v>44384</v>
      </c>
      <c r="C24" s="233">
        <v>883</v>
      </c>
      <c r="D24" s="189">
        <v>941</v>
      </c>
      <c r="E24" s="189"/>
      <c r="F24" s="189">
        <v>1170</v>
      </c>
      <c r="G24" s="189"/>
      <c r="H24" s="189">
        <v>584</v>
      </c>
      <c r="I24" s="198">
        <v>1017</v>
      </c>
      <c r="J24" s="202">
        <v>1293</v>
      </c>
      <c r="K24" s="189">
        <v>339</v>
      </c>
      <c r="L24" s="198">
        <v>1353</v>
      </c>
      <c r="M24" s="202">
        <v>579</v>
      </c>
      <c r="N24" s="189">
        <v>236</v>
      </c>
      <c r="O24" s="189">
        <v>302</v>
      </c>
      <c r="P24" s="189">
        <v>189</v>
      </c>
      <c r="Q24" s="197">
        <v>99</v>
      </c>
      <c r="R24" s="189">
        <v>282</v>
      </c>
      <c r="S24" s="198">
        <v>124</v>
      </c>
      <c r="T24" s="211">
        <v>592</v>
      </c>
      <c r="U24" s="189">
        <v>391</v>
      </c>
      <c r="V24" s="189">
        <v>614</v>
      </c>
      <c r="W24" s="189">
        <v>733</v>
      </c>
      <c r="X24" s="189">
        <v>436</v>
      </c>
      <c r="Y24" s="197">
        <v>607</v>
      </c>
      <c r="Z24" s="197">
        <v>395</v>
      </c>
      <c r="AA24" s="202">
        <v>671</v>
      </c>
      <c r="AB24" s="165">
        <v>419</v>
      </c>
      <c r="AC24" s="189">
        <v>400</v>
      </c>
      <c r="AD24" s="189">
        <v>744</v>
      </c>
      <c r="AE24" s="198">
        <v>201</v>
      </c>
      <c r="AF24" s="211"/>
      <c r="AG24" s="189"/>
      <c r="AH24" s="189"/>
      <c r="AI24" s="189"/>
      <c r="AJ24" s="198"/>
      <c r="AK24" s="202"/>
      <c r="AL24" s="198"/>
      <c r="AM24" s="169">
        <f t="shared" si="9"/>
        <v>15594</v>
      </c>
    </row>
    <row r="25" spans="1:39" ht="15.75" thickBot="1" x14ac:dyDescent="0.3">
      <c r="A25" s="132" t="s">
        <v>6</v>
      </c>
      <c r="B25" s="311">
        <f t="shared" si="8"/>
        <v>44385</v>
      </c>
      <c r="C25" s="233">
        <v>452</v>
      </c>
      <c r="D25" s="189">
        <v>445</v>
      </c>
      <c r="E25" s="189"/>
      <c r="F25" s="189">
        <v>783</v>
      </c>
      <c r="G25" s="189"/>
      <c r="H25" s="189">
        <v>412</v>
      </c>
      <c r="I25" s="198">
        <v>622</v>
      </c>
      <c r="J25" s="202">
        <v>557</v>
      </c>
      <c r="K25" s="189">
        <v>180</v>
      </c>
      <c r="L25" s="198">
        <v>599</v>
      </c>
      <c r="M25" s="202">
        <v>303</v>
      </c>
      <c r="N25" s="189">
        <v>193</v>
      </c>
      <c r="O25" s="189">
        <v>189</v>
      </c>
      <c r="P25" s="189">
        <v>143</v>
      </c>
      <c r="Q25" s="197">
        <v>85</v>
      </c>
      <c r="R25" s="189">
        <v>161</v>
      </c>
      <c r="S25" s="198">
        <v>70</v>
      </c>
      <c r="T25" s="211">
        <v>380</v>
      </c>
      <c r="U25" s="189">
        <v>290</v>
      </c>
      <c r="V25" s="189">
        <v>482</v>
      </c>
      <c r="W25" s="189">
        <v>443</v>
      </c>
      <c r="X25" s="189">
        <v>289</v>
      </c>
      <c r="Y25" s="197">
        <v>396</v>
      </c>
      <c r="Z25" s="197">
        <v>277</v>
      </c>
      <c r="AA25" s="202">
        <v>375</v>
      </c>
      <c r="AB25" s="165">
        <v>293</v>
      </c>
      <c r="AC25" s="189">
        <v>286</v>
      </c>
      <c r="AD25" s="189">
        <v>491</v>
      </c>
      <c r="AE25" s="198">
        <v>144</v>
      </c>
      <c r="AF25" s="211"/>
      <c r="AG25" s="189"/>
      <c r="AH25" s="189"/>
      <c r="AI25" s="189"/>
      <c r="AJ25" s="198"/>
      <c r="AK25" s="202"/>
      <c r="AL25" s="198"/>
      <c r="AM25" s="169">
        <f t="shared" si="9"/>
        <v>9340</v>
      </c>
    </row>
    <row r="26" spans="1:39" ht="15.75" thickBot="1" x14ac:dyDescent="0.3">
      <c r="A26" s="132" t="s">
        <v>0</v>
      </c>
      <c r="B26" s="311">
        <f t="shared" si="8"/>
        <v>44386</v>
      </c>
      <c r="C26" s="233">
        <v>786</v>
      </c>
      <c r="D26" s="189">
        <v>997</v>
      </c>
      <c r="E26" s="189"/>
      <c r="F26" s="189">
        <v>1048</v>
      </c>
      <c r="G26" s="189"/>
      <c r="H26" s="189">
        <v>595</v>
      </c>
      <c r="I26" s="198">
        <v>1065</v>
      </c>
      <c r="J26" s="202">
        <v>527</v>
      </c>
      <c r="K26" s="189">
        <v>249</v>
      </c>
      <c r="L26" s="198">
        <v>538</v>
      </c>
      <c r="M26" s="202">
        <v>397</v>
      </c>
      <c r="N26" s="189">
        <v>230</v>
      </c>
      <c r="O26" s="189">
        <v>213</v>
      </c>
      <c r="P26" s="189">
        <v>157</v>
      </c>
      <c r="Q26" s="197">
        <v>67</v>
      </c>
      <c r="R26" s="189">
        <v>225</v>
      </c>
      <c r="S26" s="198">
        <v>126</v>
      </c>
      <c r="T26" s="211">
        <v>447</v>
      </c>
      <c r="U26" s="189">
        <v>221</v>
      </c>
      <c r="V26" s="189">
        <v>551</v>
      </c>
      <c r="W26" s="189">
        <v>545</v>
      </c>
      <c r="X26" s="189">
        <v>331</v>
      </c>
      <c r="Y26" s="197">
        <v>558</v>
      </c>
      <c r="Z26" s="197">
        <v>405</v>
      </c>
      <c r="AA26" s="202">
        <v>398</v>
      </c>
      <c r="AB26" s="165">
        <v>261</v>
      </c>
      <c r="AC26" s="189">
        <v>337</v>
      </c>
      <c r="AD26" s="189">
        <v>500</v>
      </c>
      <c r="AE26" s="198">
        <v>96</v>
      </c>
      <c r="AF26" s="211"/>
      <c r="AG26" s="189"/>
      <c r="AH26" s="189"/>
      <c r="AI26" s="189"/>
      <c r="AJ26" s="198"/>
      <c r="AK26" s="202"/>
      <c r="AL26" s="198"/>
      <c r="AM26" s="169">
        <f t="shared" si="9"/>
        <v>11870</v>
      </c>
    </row>
    <row r="27" spans="1:39" ht="15.75" thickBot="1" x14ac:dyDescent="0.3">
      <c r="A27" s="132" t="s">
        <v>1</v>
      </c>
      <c r="B27" s="311">
        <f t="shared" si="8"/>
        <v>44387</v>
      </c>
      <c r="C27" s="233">
        <v>1792</v>
      </c>
      <c r="D27" s="189">
        <v>2579</v>
      </c>
      <c r="E27" s="189"/>
      <c r="F27" s="189">
        <v>2444</v>
      </c>
      <c r="G27" s="189"/>
      <c r="H27" s="189">
        <v>1252</v>
      </c>
      <c r="I27" s="198">
        <v>1828</v>
      </c>
      <c r="J27" s="202">
        <v>2460</v>
      </c>
      <c r="K27" s="189">
        <v>503</v>
      </c>
      <c r="L27" s="198">
        <v>2593</v>
      </c>
      <c r="M27" s="202">
        <v>1084</v>
      </c>
      <c r="N27" s="189">
        <v>822</v>
      </c>
      <c r="O27" s="189">
        <v>544</v>
      </c>
      <c r="P27" s="189">
        <v>495</v>
      </c>
      <c r="Q27" s="197">
        <v>213</v>
      </c>
      <c r="R27" s="189">
        <v>785</v>
      </c>
      <c r="S27" s="198">
        <v>276</v>
      </c>
      <c r="T27" s="211">
        <v>1124</v>
      </c>
      <c r="U27" s="189">
        <v>353</v>
      </c>
      <c r="V27" s="189">
        <v>842</v>
      </c>
      <c r="W27" s="189">
        <v>1011</v>
      </c>
      <c r="X27" s="189">
        <v>937</v>
      </c>
      <c r="Y27" s="197">
        <v>1113</v>
      </c>
      <c r="Z27" s="197">
        <v>853</v>
      </c>
      <c r="AA27" s="202">
        <v>1043</v>
      </c>
      <c r="AB27" s="165">
        <v>428</v>
      </c>
      <c r="AC27" s="189">
        <v>926</v>
      </c>
      <c r="AD27" s="189">
        <v>911</v>
      </c>
      <c r="AE27" s="198">
        <v>327</v>
      </c>
      <c r="AF27" s="211"/>
      <c r="AG27" s="189"/>
      <c r="AH27" s="189"/>
      <c r="AI27" s="189"/>
      <c r="AJ27" s="198"/>
      <c r="AK27" s="202">
        <v>530</v>
      </c>
      <c r="AL27" s="198">
        <v>510</v>
      </c>
      <c r="AM27" s="169">
        <f t="shared" si="9"/>
        <v>30578</v>
      </c>
    </row>
    <row r="28" spans="1:39" s="418" customFormat="1" ht="15.75" thickBot="1" x14ac:dyDescent="0.3">
      <c r="A28" s="132" t="s">
        <v>2</v>
      </c>
      <c r="B28" s="210">
        <f t="shared" si="8"/>
        <v>44388</v>
      </c>
      <c r="C28" s="233">
        <v>1069</v>
      </c>
      <c r="D28" s="165">
        <v>1761</v>
      </c>
      <c r="E28" s="165"/>
      <c r="F28" s="165">
        <v>1463</v>
      </c>
      <c r="G28" s="165"/>
      <c r="H28" s="165">
        <v>1012</v>
      </c>
      <c r="I28" s="201">
        <v>1247</v>
      </c>
      <c r="J28" s="205">
        <v>860</v>
      </c>
      <c r="K28" s="165">
        <v>268</v>
      </c>
      <c r="L28" s="201">
        <v>1046</v>
      </c>
      <c r="M28" s="205">
        <v>727</v>
      </c>
      <c r="N28" s="165">
        <v>554</v>
      </c>
      <c r="O28" s="165">
        <v>407</v>
      </c>
      <c r="P28" s="165">
        <v>398</v>
      </c>
      <c r="Q28" s="167">
        <v>147</v>
      </c>
      <c r="R28" s="165">
        <v>458</v>
      </c>
      <c r="S28" s="201">
        <v>189</v>
      </c>
      <c r="T28" s="232">
        <v>814</v>
      </c>
      <c r="U28" s="165">
        <v>190</v>
      </c>
      <c r="V28" s="165">
        <v>533</v>
      </c>
      <c r="W28" s="165">
        <v>804</v>
      </c>
      <c r="X28" s="165">
        <v>635</v>
      </c>
      <c r="Y28" s="167">
        <v>845</v>
      </c>
      <c r="Z28" s="167">
        <v>744</v>
      </c>
      <c r="AA28" s="205">
        <v>783</v>
      </c>
      <c r="AB28" s="165">
        <v>333</v>
      </c>
      <c r="AC28" s="165">
        <v>497</v>
      </c>
      <c r="AD28" s="165">
        <v>593</v>
      </c>
      <c r="AE28" s="201">
        <v>231</v>
      </c>
      <c r="AF28" s="232"/>
      <c r="AG28" s="165"/>
      <c r="AH28" s="165"/>
      <c r="AI28" s="165"/>
      <c r="AJ28" s="201"/>
      <c r="AK28" s="205">
        <v>428</v>
      </c>
      <c r="AL28" s="201">
        <v>293</v>
      </c>
      <c r="AM28" s="169">
        <f t="shared" si="9"/>
        <v>19329</v>
      </c>
    </row>
    <row r="29" spans="1:39" ht="15.75" thickBot="1" x14ac:dyDescent="0.3">
      <c r="A29" s="140" t="s">
        <v>19</v>
      </c>
      <c r="B29" s="651" t="s">
        <v>23</v>
      </c>
      <c r="C29" s="203">
        <f t="shared" ref="C29:H29" si="10">SUM(C22:C28)</f>
        <v>7606</v>
      </c>
      <c r="D29" s="203">
        <f t="shared" si="10"/>
        <v>9591</v>
      </c>
      <c r="E29" s="203">
        <f t="shared" si="10"/>
        <v>0</v>
      </c>
      <c r="F29" s="203">
        <f t="shared" si="10"/>
        <v>9666</v>
      </c>
      <c r="G29" s="203">
        <f t="shared" si="10"/>
        <v>0</v>
      </c>
      <c r="H29" s="203">
        <f t="shared" si="10"/>
        <v>5665</v>
      </c>
      <c r="I29" s="203">
        <f t="shared" ref="I29:AL29" si="11">SUM(I22:I28)</f>
        <v>7963</v>
      </c>
      <c r="J29" s="203">
        <f t="shared" si="11"/>
        <v>10740</v>
      </c>
      <c r="K29" s="203">
        <f t="shared" si="11"/>
        <v>2619</v>
      </c>
      <c r="L29" s="203">
        <f t="shared" si="11"/>
        <v>11904</v>
      </c>
      <c r="M29" s="203">
        <f t="shared" si="11"/>
        <v>4462</v>
      </c>
      <c r="N29" s="203">
        <f t="shared" si="11"/>
        <v>3004</v>
      </c>
      <c r="O29" s="203">
        <f t="shared" si="11"/>
        <v>2445</v>
      </c>
      <c r="P29" s="203">
        <f t="shared" si="11"/>
        <v>1865</v>
      </c>
      <c r="Q29" s="203">
        <f t="shared" si="11"/>
        <v>999</v>
      </c>
      <c r="R29" s="203">
        <f t="shared" si="11"/>
        <v>2790</v>
      </c>
      <c r="S29" s="203">
        <f t="shared" si="11"/>
        <v>1239</v>
      </c>
      <c r="T29" s="203">
        <f t="shared" si="11"/>
        <v>5324</v>
      </c>
      <c r="U29" s="203">
        <f t="shared" si="11"/>
        <v>1978</v>
      </c>
      <c r="V29" s="203">
        <f t="shared" si="11"/>
        <v>4261</v>
      </c>
      <c r="W29" s="203">
        <f t="shared" si="11"/>
        <v>5305</v>
      </c>
      <c r="X29" s="203">
        <f t="shared" si="11"/>
        <v>3892</v>
      </c>
      <c r="Y29" s="203">
        <f t="shared" si="11"/>
        <v>5041</v>
      </c>
      <c r="Z29" s="203">
        <f t="shared" si="11"/>
        <v>3944</v>
      </c>
      <c r="AA29" s="203">
        <f t="shared" si="11"/>
        <v>5376</v>
      </c>
      <c r="AB29" s="203">
        <f t="shared" si="11"/>
        <v>2583</v>
      </c>
      <c r="AC29" s="203">
        <f t="shared" si="11"/>
        <v>3709</v>
      </c>
      <c r="AD29" s="203">
        <f t="shared" si="11"/>
        <v>5021</v>
      </c>
      <c r="AE29" s="203">
        <f t="shared" si="11"/>
        <v>1527</v>
      </c>
      <c r="AF29" s="203">
        <f t="shared" si="11"/>
        <v>0</v>
      </c>
      <c r="AG29" s="203">
        <f t="shared" si="11"/>
        <v>0</v>
      </c>
      <c r="AH29" s="203">
        <f t="shared" si="11"/>
        <v>0</v>
      </c>
      <c r="AI29" s="203">
        <f t="shared" si="11"/>
        <v>0</v>
      </c>
      <c r="AJ29" s="203">
        <f t="shared" si="11"/>
        <v>0</v>
      </c>
      <c r="AK29" s="203">
        <f t="shared" si="11"/>
        <v>1429</v>
      </c>
      <c r="AL29" s="203">
        <f t="shared" si="11"/>
        <v>1226</v>
      </c>
      <c r="AM29" s="203">
        <f>SUM(AM22:AM28)</f>
        <v>133174</v>
      </c>
    </row>
    <row r="30" spans="1:39" ht="15.75" thickBot="1" x14ac:dyDescent="0.3">
      <c r="A30" s="99" t="s">
        <v>21</v>
      </c>
      <c r="B30" s="651"/>
      <c r="C30" s="203">
        <f>AVERAGE(C22:C28)</f>
        <v>1086.5714285714287</v>
      </c>
      <c r="D30" s="203">
        <f t="shared" ref="D30:AM30" si="12">AVERAGE(D22:D28)</f>
        <v>1370.1428571428571</v>
      </c>
      <c r="E30" s="203" t="e">
        <f t="shared" si="12"/>
        <v>#DIV/0!</v>
      </c>
      <c r="F30" s="203">
        <f t="shared" si="12"/>
        <v>1380.8571428571429</v>
      </c>
      <c r="G30" s="203" t="e">
        <f t="shared" si="12"/>
        <v>#DIV/0!</v>
      </c>
      <c r="H30" s="203">
        <f t="shared" si="12"/>
        <v>809.28571428571433</v>
      </c>
      <c r="I30" s="203">
        <f t="shared" si="12"/>
        <v>1137.5714285714287</v>
      </c>
      <c r="J30" s="203">
        <f t="shared" si="12"/>
        <v>1534.2857142857142</v>
      </c>
      <c r="K30" s="203">
        <f t="shared" si="12"/>
        <v>374.14285714285717</v>
      </c>
      <c r="L30" s="203">
        <f t="shared" si="12"/>
        <v>1700.5714285714287</v>
      </c>
      <c r="M30" s="203">
        <f t="shared" si="12"/>
        <v>637.42857142857144</v>
      </c>
      <c r="N30" s="203">
        <f t="shared" si="12"/>
        <v>429.14285714285717</v>
      </c>
      <c r="O30" s="203">
        <f t="shared" si="12"/>
        <v>349.28571428571428</v>
      </c>
      <c r="P30" s="203">
        <f t="shared" si="12"/>
        <v>266.42857142857144</v>
      </c>
      <c r="Q30" s="203">
        <f t="shared" si="12"/>
        <v>142.71428571428572</v>
      </c>
      <c r="R30" s="203">
        <f t="shared" si="12"/>
        <v>398.57142857142856</v>
      </c>
      <c r="S30" s="203">
        <f t="shared" si="12"/>
        <v>177</v>
      </c>
      <c r="T30" s="203">
        <f t="shared" si="12"/>
        <v>760.57142857142856</v>
      </c>
      <c r="U30" s="203">
        <f t="shared" si="12"/>
        <v>282.57142857142856</v>
      </c>
      <c r="V30" s="203">
        <f t="shared" si="12"/>
        <v>608.71428571428567</v>
      </c>
      <c r="W30" s="203">
        <f t="shared" si="12"/>
        <v>757.85714285714289</v>
      </c>
      <c r="X30" s="203">
        <f t="shared" si="12"/>
        <v>556</v>
      </c>
      <c r="Y30" s="203">
        <f t="shared" si="12"/>
        <v>720.14285714285711</v>
      </c>
      <c r="Z30" s="203">
        <f t="shared" si="12"/>
        <v>563.42857142857144</v>
      </c>
      <c r="AA30" s="203">
        <f t="shared" si="12"/>
        <v>768</v>
      </c>
      <c r="AB30" s="203">
        <f t="shared" si="12"/>
        <v>369</v>
      </c>
      <c r="AC30" s="203">
        <f t="shared" si="12"/>
        <v>529.85714285714289</v>
      </c>
      <c r="AD30" s="203">
        <f t="shared" si="12"/>
        <v>717.28571428571433</v>
      </c>
      <c r="AE30" s="203">
        <f t="shared" si="12"/>
        <v>218.14285714285714</v>
      </c>
      <c r="AF30" s="203" t="e">
        <f t="shared" si="12"/>
        <v>#DIV/0!</v>
      </c>
      <c r="AG30" s="203" t="e">
        <f t="shared" si="12"/>
        <v>#DIV/0!</v>
      </c>
      <c r="AH30" s="203" t="e">
        <f t="shared" si="12"/>
        <v>#DIV/0!</v>
      </c>
      <c r="AI30" s="203" t="e">
        <f t="shared" si="12"/>
        <v>#DIV/0!</v>
      </c>
      <c r="AJ30" s="203" t="e">
        <f t="shared" si="12"/>
        <v>#DIV/0!</v>
      </c>
      <c r="AK30" s="203">
        <f t="shared" si="12"/>
        <v>476.33333333333331</v>
      </c>
      <c r="AL30" s="203">
        <f t="shared" si="12"/>
        <v>408.66666666666669</v>
      </c>
      <c r="AM30" s="203">
        <f t="shared" si="12"/>
        <v>19024.857142857141</v>
      </c>
    </row>
    <row r="31" spans="1:39" ht="15.75" thickBot="1" x14ac:dyDescent="0.3">
      <c r="A31" s="26" t="s">
        <v>18</v>
      </c>
      <c r="B31" s="651"/>
      <c r="C31" s="204">
        <f>SUM(C22:C26)</f>
        <v>4745</v>
      </c>
      <c r="D31" s="204">
        <f>SUM(D22:D26)</f>
        <v>5251</v>
      </c>
      <c r="E31" s="204">
        <f>SUM(E22:E26)</f>
        <v>0</v>
      </c>
      <c r="F31" s="204">
        <f t="shared" ref="F31:AM31" si="13">SUM(F22:F26)</f>
        <v>5759</v>
      </c>
      <c r="G31" s="204">
        <f t="shared" si="13"/>
        <v>0</v>
      </c>
      <c r="H31" s="204">
        <f t="shared" si="13"/>
        <v>3401</v>
      </c>
      <c r="I31" s="204">
        <f t="shared" si="13"/>
        <v>4888</v>
      </c>
      <c r="J31" s="204">
        <f t="shared" si="13"/>
        <v>7420</v>
      </c>
      <c r="K31" s="204">
        <f t="shared" si="13"/>
        <v>1848</v>
      </c>
      <c r="L31" s="204">
        <f t="shared" si="13"/>
        <v>8265</v>
      </c>
      <c r="M31" s="204">
        <f t="shared" si="13"/>
        <v>2651</v>
      </c>
      <c r="N31" s="204">
        <f t="shared" si="13"/>
        <v>1628</v>
      </c>
      <c r="O31" s="204">
        <f t="shared" si="13"/>
        <v>1494</v>
      </c>
      <c r="P31" s="204">
        <f t="shared" si="13"/>
        <v>972</v>
      </c>
      <c r="Q31" s="204">
        <f t="shared" si="13"/>
        <v>639</v>
      </c>
      <c r="R31" s="204">
        <f t="shared" si="13"/>
        <v>1547</v>
      </c>
      <c r="S31" s="204">
        <f t="shared" si="13"/>
        <v>774</v>
      </c>
      <c r="T31" s="204">
        <f t="shared" si="13"/>
        <v>3386</v>
      </c>
      <c r="U31" s="204">
        <f t="shared" si="13"/>
        <v>1435</v>
      </c>
      <c r="V31" s="204">
        <f t="shared" si="13"/>
        <v>2886</v>
      </c>
      <c r="W31" s="204">
        <f t="shared" si="13"/>
        <v>3490</v>
      </c>
      <c r="X31" s="204">
        <f t="shared" si="13"/>
        <v>2320</v>
      </c>
      <c r="Y31" s="204">
        <f t="shared" si="13"/>
        <v>3083</v>
      </c>
      <c r="Z31" s="204">
        <f t="shared" si="13"/>
        <v>2347</v>
      </c>
      <c r="AA31" s="204">
        <f t="shared" si="13"/>
        <v>3550</v>
      </c>
      <c r="AB31" s="204">
        <f t="shared" si="13"/>
        <v>1822</v>
      </c>
      <c r="AC31" s="204">
        <f t="shared" si="13"/>
        <v>2286</v>
      </c>
      <c r="AD31" s="204">
        <f t="shared" si="13"/>
        <v>3517</v>
      </c>
      <c r="AE31" s="204">
        <f t="shared" si="13"/>
        <v>969</v>
      </c>
      <c r="AF31" s="204">
        <f t="shared" si="13"/>
        <v>0</v>
      </c>
      <c r="AG31" s="204">
        <f t="shared" si="13"/>
        <v>0</v>
      </c>
      <c r="AH31" s="204">
        <f t="shared" si="13"/>
        <v>0</v>
      </c>
      <c r="AI31" s="204">
        <f t="shared" si="13"/>
        <v>0</v>
      </c>
      <c r="AJ31" s="204">
        <f t="shared" si="13"/>
        <v>0</v>
      </c>
      <c r="AK31" s="204">
        <f t="shared" si="13"/>
        <v>471</v>
      </c>
      <c r="AL31" s="204">
        <f t="shared" si="13"/>
        <v>423</v>
      </c>
      <c r="AM31" s="204">
        <f t="shared" si="13"/>
        <v>83267</v>
      </c>
    </row>
    <row r="32" spans="1:39" ht="15.75" thickBot="1" x14ac:dyDescent="0.3">
      <c r="A32" s="26" t="s">
        <v>20</v>
      </c>
      <c r="B32" s="651"/>
      <c r="C32" s="204">
        <f>AVERAGE(C22:CQ26)</f>
        <v>1172.7746478873239</v>
      </c>
      <c r="D32" s="204">
        <f>AVERAGE(D22:D26)</f>
        <v>1050.2</v>
      </c>
      <c r="E32" s="204" t="e">
        <f>AVERAGE(E22:E26)</f>
        <v>#DIV/0!</v>
      </c>
      <c r="F32" s="204">
        <f t="shared" ref="F32:AM32" si="14">AVERAGE(F22:F26)</f>
        <v>1151.8</v>
      </c>
      <c r="G32" s="204" t="e">
        <f t="shared" si="14"/>
        <v>#DIV/0!</v>
      </c>
      <c r="H32" s="204">
        <f t="shared" si="14"/>
        <v>680.2</v>
      </c>
      <c r="I32" s="204">
        <f t="shared" si="14"/>
        <v>977.6</v>
      </c>
      <c r="J32" s="204">
        <f t="shared" si="14"/>
        <v>1484</v>
      </c>
      <c r="K32" s="204">
        <f t="shared" si="14"/>
        <v>369.6</v>
      </c>
      <c r="L32" s="204">
        <f t="shared" si="14"/>
        <v>1653</v>
      </c>
      <c r="M32" s="204">
        <f t="shared" si="14"/>
        <v>530.20000000000005</v>
      </c>
      <c r="N32" s="204">
        <f t="shared" si="14"/>
        <v>325.60000000000002</v>
      </c>
      <c r="O32" s="204">
        <f t="shared" si="14"/>
        <v>298.8</v>
      </c>
      <c r="P32" s="204">
        <f t="shared" si="14"/>
        <v>194.4</v>
      </c>
      <c r="Q32" s="204">
        <f t="shared" si="14"/>
        <v>127.8</v>
      </c>
      <c r="R32" s="204">
        <f t="shared" si="14"/>
        <v>309.39999999999998</v>
      </c>
      <c r="S32" s="204">
        <f t="shared" si="14"/>
        <v>154.80000000000001</v>
      </c>
      <c r="T32" s="204">
        <f t="shared" si="14"/>
        <v>677.2</v>
      </c>
      <c r="U32" s="204">
        <f t="shared" si="14"/>
        <v>287</v>
      </c>
      <c r="V32" s="204">
        <f t="shared" si="14"/>
        <v>577.20000000000005</v>
      </c>
      <c r="W32" s="204">
        <f t="shared" si="14"/>
        <v>698</v>
      </c>
      <c r="X32" s="204">
        <f t="shared" si="14"/>
        <v>464</v>
      </c>
      <c r="Y32" s="204">
        <f t="shared" si="14"/>
        <v>616.6</v>
      </c>
      <c r="Z32" s="204">
        <f t="shared" si="14"/>
        <v>469.4</v>
      </c>
      <c r="AA32" s="204">
        <f t="shared" si="14"/>
        <v>710</v>
      </c>
      <c r="AB32" s="204">
        <f t="shared" si="14"/>
        <v>364.4</v>
      </c>
      <c r="AC32" s="204">
        <f t="shared" si="14"/>
        <v>457.2</v>
      </c>
      <c r="AD32" s="204">
        <f t="shared" si="14"/>
        <v>703.4</v>
      </c>
      <c r="AE32" s="204">
        <f t="shared" si="14"/>
        <v>193.8</v>
      </c>
      <c r="AF32" s="204" t="e">
        <f t="shared" si="14"/>
        <v>#DIV/0!</v>
      </c>
      <c r="AG32" s="204" t="e">
        <f t="shared" si="14"/>
        <v>#DIV/0!</v>
      </c>
      <c r="AH32" s="204" t="e">
        <f t="shared" si="14"/>
        <v>#DIV/0!</v>
      </c>
      <c r="AI32" s="204" t="e">
        <f t="shared" si="14"/>
        <v>#DIV/0!</v>
      </c>
      <c r="AJ32" s="204" t="e">
        <f t="shared" si="14"/>
        <v>#DIV/0!</v>
      </c>
      <c r="AK32" s="204">
        <f t="shared" si="14"/>
        <v>471</v>
      </c>
      <c r="AL32" s="204">
        <f t="shared" si="14"/>
        <v>423</v>
      </c>
      <c r="AM32" s="204">
        <f t="shared" si="14"/>
        <v>16653.400000000001</v>
      </c>
    </row>
    <row r="33" spans="1:39" ht="15.75" thickBot="1" x14ac:dyDescent="0.3">
      <c r="A33" s="132" t="s">
        <v>3</v>
      </c>
      <c r="B33" s="210">
        <f>B28+1</f>
        <v>44389</v>
      </c>
      <c r="C33" s="233">
        <v>537</v>
      </c>
      <c r="D33" s="234">
        <v>630</v>
      </c>
      <c r="E33" s="165"/>
      <c r="F33" s="165">
        <v>800</v>
      </c>
      <c r="G33" s="165"/>
      <c r="H33" s="165">
        <v>410</v>
      </c>
      <c r="I33" s="201">
        <v>767</v>
      </c>
      <c r="J33" s="205">
        <v>557</v>
      </c>
      <c r="K33" s="165">
        <v>196</v>
      </c>
      <c r="L33" s="201">
        <v>604</v>
      </c>
      <c r="M33" s="205">
        <v>377</v>
      </c>
      <c r="N33" s="165">
        <v>187</v>
      </c>
      <c r="O33" s="165">
        <v>184</v>
      </c>
      <c r="P33" s="165">
        <v>112</v>
      </c>
      <c r="Q33" s="167">
        <v>71</v>
      </c>
      <c r="R33" s="165">
        <v>154</v>
      </c>
      <c r="S33" s="201">
        <v>69</v>
      </c>
      <c r="T33" s="232">
        <v>382</v>
      </c>
      <c r="U33" s="165">
        <v>233</v>
      </c>
      <c r="V33" s="165">
        <v>486</v>
      </c>
      <c r="W33" s="165">
        <v>474</v>
      </c>
      <c r="X33" s="165">
        <v>349</v>
      </c>
      <c r="Y33" s="167">
        <v>413</v>
      </c>
      <c r="Z33" s="167">
        <v>300</v>
      </c>
      <c r="AA33" s="205">
        <v>421</v>
      </c>
      <c r="AB33" s="165">
        <v>275</v>
      </c>
      <c r="AC33" s="165">
        <v>277</v>
      </c>
      <c r="AD33" s="165">
        <v>510</v>
      </c>
      <c r="AE33" s="201">
        <v>146</v>
      </c>
      <c r="AF33" s="232"/>
      <c r="AG33" s="165"/>
      <c r="AH33" s="165"/>
      <c r="AI33" s="165"/>
      <c r="AJ33" s="201"/>
      <c r="AK33" s="202"/>
      <c r="AL33" s="198"/>
      <c r="AM33" s="169">
        <f t="shared" ref="AM33:AM39" si="15">SUM(C33:AL33)</f>
        <v>9921</v>
      </c>
    </row>
    <row r="34" spans="1:39" ht="15.75" thickBot="1" x14ac:dyDescent="0.3">
      <c r="A34" s="132" t="s">
        <v>4</v>
      </c>
      <c r="B34" s="210">
        <f t="shared" ref="B34:B39" si="16">B33+1</f>
        <v>44390</v>
      </c>
      <c r="C34" s="233">
        <v>857</v>
      </c>
      <c r="D34" s="234">
        <v>1008</v>
      </c>
      <c r="E34" s="165"/>
      <c r="F34" s="165">
        <v>1166</v>
      </c>
      <c r="G34" s="165"/>
      <c r="H34" s="165">
        <v>602</v>
      </c>
      <c r="I34" s="201">
        <v>1108</v>
      </c>
      <c r="J34" s="205">
        <v>839</v>
      </c>
      <c r="K34" s="165">
        <v>259</v>
      </c>
      <c r="L34" s="201">
        <v>793</v>
      </c>
      <c r="M34" s="205">
        <v>531</v>
      </c>
      <c r="N34" s="165">
        <v>262</v>
      </c>
      <c r="O34" s="165">
        <v>322</v>
      </c>
      <c r="P34" s="165">
        <v>136</v>
      </c>
      <c r="Q34" s="167">
        <v>212</v>
      </c>
      <c r="R34" s="165">
        <v>323</v>
      </c>
      <c r="S34" s="201">
        <v>139</v>
      </c>
      <c r="T34" s="232">
        <v>527</v>
      </c>
      <c r="U34" s="165">
        <v>294</v>
      </c>
      <c r="V34" s="165">
        <v>612</v>
      </c>
      <c r="W34" s="165">
        <v>632</v>
      </c>
      <c r="X34" s="165">
        <v>398</v>
      </c>
      <c r="Y34" s="167">
        <v>540</v>
      </c>
      <c r="Z34" s="167">
        <v>321</v>
      </c>
      <c r="AA34" s="205">
        <v>569</v>
      </c>
      <c r="AB34" s="165">
        <v>401</v>
      </c>
      <c r="AC34" s="165">
        <v>680</v>
      </c>
      <c r="AD34" s="165">
        <v>653</v>
      </c>
      <c r="AE34" s="201">
        <v>196</v>
      </c>
      <c r="AF34" s="232"/>
      <c r="AG34" s="165"/>
      <c r="AH34" s="165"/>
      <c r="AI34" s="165"/>
      <c r="AJ34" s="201"/>
      <c r="AK34" s="202"/>
      <c r="AL34" s="198"/>
      <c r="AM34" s="169">
        <f t="shared" si="15"/>
        <v>14380</v>
      </c>
    </row>
    <row r="35" spans="1:39" ht="15.75" thickBot="1" x14ac:dyDescent="0.3">
      <c r="A35" s="132" t="s">
        <v>5</v>
      </c>
      <c r="B35" s="210">
        <f t="shared" si="16"/>
        <v>44391</v>
      </c>
      <c r="C35" s="233">
        <v>878</v>
      </c>
      <c r="D35" s="234">
        <v>1228</v>
      </c>
      <c r="E35" s="165"/>
      <c r="F35" s="165">
        <v>1181</v>
      </c>
      <c r="G35" s="165"/>
      <c r="H35" s="165">
        <v>554</v>
      </c>
      <c r="I35" s="201">
        <v>1021</v>
      </c>
      <c r="J35" s="205">
        <v>793</v>
      </c>
      <c r="K35" s="165">
        <v>248</v>
      </c>
      <c r="L35" s="201">
        <v>873</v>
      </c>
      <c r="M35" s="205">
        <v>534</v>
      </c>
      <c r="N35" s="165">
        <v>216</v>
      </c>
      <c r="O35" s="165">
        <v>258</v>
      </c>
      <c r="P35" s="165">
        <v>157</v>
      </c>
      <c r="Q35" s="167">
        <v>97</v>
      </c>
      <c r="R35" s="165">
        <v>281</v>
      </c>
      <c r="S35" s="201">
        <v>111</v>
      </c>
      <c r="T35" s="232">
        <v>563</v>
      </c>
      <c r="U35" s="165">
        <v>318</v>
      </c>
      <c r="V35" s="165">
        <v>714</v>
      </c>
      <c r="W35" s="165">
        <v>679</v>
      </c>
      <c r="X35" s="165">
        <v>409</v>
      </c>
      <c r="Y35" s="167">
        <v>539</v>
      </c>
      <c r="Z35" s="167">
        <v>371</v>
      </c>
      <c r="AA35" s="205">
        <v>740</v>
      </c>
      <c r="AB35" s="165">
        <v>346</v>
      </c>
      <c r="AC35" s="165">
        <v>449</v>
      </c>
      <c r="AD35" s="165">
        <v>758</v>
      </c>
      <c r="AE35" s="201">
        <v>230</v>
      </c>
      <c r="AF35" s="232"/>
      <c r="AG35" s="165"/>
      <c r="AH35" s="165"/>
      <c r="AI35" s="165"/>
      <c r="AJ35" s="201"/>
      <c r="AK35" s="202"/>
      <c r="AL35" s="198"/>
      <c r="AM35" s="169">
        <f t="shared" si="15"/>
        <v>14546</v>
      </c>
    </row>
    <row r="36" spans="1:39" ht="15.75" thickBot="1" x14ac:dyDescent="0.3">
      <c r="A36" s="132" t="s">
        <v>6</v>
      </c>
      <c r="B36" s="210">
        <f t="shared" si="16"/>
        <v>44392</v>
      </c>
      <c r="C36" s="233">
        <v>1032</v>
      </c>
      <c r="D36" s="234">
        <v>1471</v>
      </c>
      <c r="E36" s="165"/>
      <c r="F36" s="165">
        <v>1278</v>
      </c>
      <c r="G36" s="165"/>
      <c r="H36" s="165">
        <v>635</v>
      </c>
      <c r="I36" s="201">
        <v>1639</v>
      </c>
      <c r="J36" s="205">
        <v>1693</v>
      </c>
      <c r="K36" s="165">
        <v>315</v>
      </c>
      <c r="L36" s="201">
        <v>1703</v>
      </c>
      <c r="M36" s="205">
        <v>559</v>
      </c>
      <c r="N36" s="165">
        <v>302</v>
      </c>
      <c r="O36" s="165">
        <v>323</v>
      </c>
      <c r="P36" s="165">
        <v>139</v>
      </c>
      <c r="Q36" s="167">
        <v>122</v>
      </c>
      <c r="R36" s="165">
        <v>314</v>
      </c>
      <c r="S36" s="201">
        <v>128</v>
      </c>
      <c r="T36" s="232">
        <v>712</v>
      </c>
      <c r="U36" s="165">
        <v>360</v>
      </c>
      <c r="V36" s="165">
        <v>709</v>
      </c>
      <c r="W36" s="165">
        <v>753</v>
      </c>
      <c r="X36" s="165">
        <v>413</v>
      </c>
      <c r="Y36" s="167">
        <v>713</v>
      </c>
      <c r="Z36" s="167">
        <v>457</v>
      </c>
      <c r="AA36" s="205">
        <v>727</v>
      </c>
      <c r="AB36" s="165">
        <v>464</v>
      </c>
      <c r="AC36" s="165">
        <v>547</v>
      </c>
      <c r="AD36" s="165">
        <v>880</v>
      </c>
      <c r="AE36" s="201">
        <v>223</v>
      </c>
      <c r="AF36" s="232"/>
      <c r="AG36" s="165"/>
      <c r="AH36" s="165"/>
      <c r="AI36" s="165"/>
      <c r="AJ36" s="201"/>
      <c r="AK36" s="202"/>
      <c r="AL36" s="198"/>
      <c r="AM36" s="169">
        <f t="shared" si="15"/>
        <v>18611</v>
      </c>
    </row>
    <row r="37" spans="1:39" ht="15.75" thickBot="1" x14ac:dyDescent="0.3">
      <c r="A37" s="132" t="s">
        <v>0</v>
      </c>
      <c r="B37" s="210">
        <f t="shared" si="16"/>
        <v>44393</v>
      </c>
      <c r="C37" s="233">
        <v>971</v>
      </c>
      <c r="D37" s="234">
        <v>1124</v>
      </c>
      <c r="E37" s="165"/>
      <c r="F37" s="165">
        <v>1216</v>
      </c>
      <c r="G37" s="165"/>
      <c r="H37" s="165">
        <v>687</v>
      </c>
      <c r="I37" s="201">
        <v>1301</v>
      </c>
      <c r="J37" s="205">
        <v>1859</v>
      </c>
      <c r="K37" s="165">
        <v>376</v>
      </c>
      <c r="L37" s="201">
        <v>1826</v>
      </c>
      <c r="M37" s="205">
        <v>581</v>
      </c>
      <c r="N37" s="165">
        <v>338</v>
      </c>
      <c r="O37" s="165">
        <v>314</v>
      </c>
      <c r="P37" s="165">
        <v>165</v>
      </c>
      <c r="Q37" s="167">
        <v>105</v>
      </c>
      <c r="R37" s="165">
        <v>338</v>
      </c>
      <c r="S37" s="201">
        <v>226</v>
      </c>
      <c r="T37" s="232">
        <v>621</v>
      </c>
      <c r="U37" s="189">
        <v>290</v>
      </c>
      <c r="V37" s="189">
        <v>612</v>
      </c>
      <c r="W37" s="189">
        <v>690</v>
      </c>
      <c r="X37" s="189">
        <v>502</v>
      </c>
      <c r="Y37" s="197">
        <v>570</v>
      </c>
      <c r="Z37" s="197">
        <v>478</v>
      </c>
      <c r="AA37" s="202">
        <v>644</v>
      </c>
      <c r="AB37" s="165">
        <v>409</v>
      </c>
      <c r="AC37" s="165">
        <v>544</v>
      </c>
      <c r="AD37" s="165">
        <v>763</v>
      </c>
      <c r="AE37" s="201">
        <v>213</v>
      </c>
      <c r="AF37" s="211"/>
      <c r="AG37" s="189"/>
      <c r="AH37" s="189"/>
      <c r="AI37" s="189"/>
      <c r="AJ37" s="198"/>
      <c r="AK37" s="202"/>
      <c r="AL37" s="198"/>
      <c r="AM37" s="169">
        <f t="shared" si="15"/>
        <v>17763</v>
      </c>
    </row>
    <row r="38" spans="1:39" ht="15.75" thickBot="1" x14ac:dyDescent="0.3">
      <c r="A38" s="132" t="s">
        <v>1</v>
      </c>
      <c r="B38" s="210">
        <f t="shared" si="16"/>
        <v>44394</v>
      </c>
      <c r="C38" s="233">
        <v>1139</v>
      </c>
      <c r="D38" s="234">
        <v>1540</v>
      </c>
      <c r="E38" s="165"/>
      <c r="F38" s="165">
        <v>1570</v>
      </c>
      <c r="G38" s="165"/>
      <c r="H38" s="165">
        <v>742</v>
      </c>
      <c r="I38" s="201">
        <v>1345</v>
      </c>
      <c r="J38" s="205">
        <v>1497</v>
      </c>
      <c r="K38" s="165">
        <v>285</v>
      </c>
      <c r="L38" s="201">
        <v>1608</v>
      </c>
      <c r="M38" s="205">
        <v>577</v>
      </c>
      <c r="N38" s="165">
        <v>357</v>
      </c>
      <c r="O38" s="165">
        <v>295</v>
      </c>
      <c r="P38" s="165">
        <v>156</v>
      </c>
      <c r="Q38" s="167">
        <v>118</v>
      </c>
      <c r="R38" s="165">
        <v>357</v>
      </c>
      <c r="S38" s="201">
        <v>143</v>
      </c>
      <c r="T38" s="232">
        <v>590</v>
      </c>
      <c r="U38" s="189">
        <v>148</v>
      </c>
      <c r="V38" s="189">
        <v>542</v>
      </c>
      <c r="W38" s="189">
        <v>706</v>
      </c>
      <c r="X38" s="189">
        <v>477</v>
      </c>
      <c r="Y38" s="197">
        <v>644</v>
      </c>
      <c r="Z38" s="197">
        <v>574</v>
      </c>
      <c r="AA38" s="202">
        <v>647</v>
      </c>
      <c r="AB38" s="165">
        <v>312</v>
      </c>
      <c r="AC38" s="189">
        <v>594</v>
      </c>
      <c r="AD38" s="189">
        <v>524</v>
      </c>
      <c r="AE38" s="198">
        <v>222</v>
      </c>
      <c r="AF38" s="211"/>
      <c r="AG38" s="189"/>
      <c r="AH38" s="189"/>
      <c r="AI38" s="189"/>
      <c r="AJ38" s="198"/>
      <c r="AK38" s="202">
        <v>373</v>
      </c>
      <c r="AL38" s="198">
        <v>302</v>
      </c>
      <c r="AM38" s="169">
        <f t="shared" si="15"/>
        <v>18384</v>
      </c>
    </row>
    <row r="39" spans="1:39" ht="15.75" thickBot="1" x14ac:dyDescent="0.3">
      <c r="A39" s="132" t="s">
        <v>2</v>
      </c>
      <c r="B39" s="210">
        <f t="shared" si="16"/>
        <v>44395</v>
      </c>
      <c r="C39" s="233">
        <v>1379</v>
      </c>
      <c r="D39" s="234">
        <v>2143</v>
      </c>
      <c r="E39" s="165"/>
      <c r="F39" s="165">
        <v>1847</v>
      </c>
      <c r="G39" s="165"/>
      <c r="H39" s="165">
        <v>1233</v>
      </c>
      <c r="I39" s="201">
        <v>1290</v>
      </c>
      <c r="J39" s="205">
        <v>1246</v>
      </c>
      <c r="K39" s="165">
        <v>316</v>
      </c>
      <c r="L39" s="201">
        <v>1461</v>
      </c>
      <c r="M39" s="205">
        <v>737</v>
      </c>
      <c r="N39" s="165">
        <v>717</v>
      </c>
      <c r="O39" s="165">
        <v>393</v>
      </c>
      <c r="P39" s="165">
        <v>273</v>
      </c>
      <c r="Q39" s="167">
        <v>196</v>
      </c>
      <c r="R39" s="165">
        <v>615</v>
      </c>
      <c r="S39" s="201">
        <v>224</v>
      </c>
      <c r="T39" s="232">
        <v>816</v>
      </c>
      <c r="U39" s="165">
        <v>142</v>
      </c>
      <c r="V39" s="165">
        <v>484</v>
      </c>
      <c r="W39" s="165">
        <v>774</v>
      </c>
      <c r="X39" s="165">
        <v>757</v>
      </c>
      <c r="Y39" s="167">
        <v>842</v>
      </c>
      <c r="Z39" s="167">
        <v>827</v>
      </c>
      <c r="AA39" s="205">
        <v>887</v>
      </c>
      <c r="AB39" s="165">
        <v>394</v>
      </c>
      <c r="AC39" s="165">
        <v>646</v>
      </c>
      <c r="AD39" s="165">
        <v>798</v>
      </c>
      <c r="AE39" s="201">
        <v>251</v>
      </c>
      <c r="AF39" s="232"/>
      <c r="AG39" s="165"/>
      <c r="AH39" s="165"/>
      <c r="AI39" s="165"/>
      <c r="AJ39" s="201"/>
      <c r="AK39" s="205">
        <v>525</v>
      </c>
      <c r="AL39" s="201">
        <v>429</v>
      </c>
      <c r="AM39" s="169">
        <f t="shared" si="15"/>
        <v>22642</v>
      </c>
    </row>
    <row r="40" spans="1:39" ht="15.75" thickBot="1" x14ac:dyDescent="0.3">
      <c r="A40" s="140" t="s">
        <v>19</v>
      </c>
      <c r="B40" s="651" t="s">
        <v>24</v>
      </c>
      <c r="C40" s="203">
        <f>SUM(C33:C39)</f>
        <v>6793</v>
      </c>
      <c r="D40" s="203">
        <f t="shared" ref="D40:AL40" si="17">SUM(D33:D39)</f>
        <v>9144</v>
      </c>
      <c r="E40" s="203">
        <f t="shared" si="17"/>
        <v>0</v>
      </c>
      <c r="F40" s="203">
        <f t="shared" si="17"/>
        <v>9058</v>
      </c>
      <c r="G40" s="203">
        <f t="shared" si="17"/>
        <v>0</v>
      </c>
      <c r="H40" s="203">
        <f t="shared" si="17"/>
        <v>4863</v>
      </c>
      <c r="I40" s="203">
        <f t="shared" si="17"/>
        <v>8471</v>
      </c>
      <c r="J40" s="203">
        <f t="shared" si="17"/>
        <v>8484</v>
      </c>
      <c r="K40" s="203">
        <f t="shared" si="17"/>
        <v>1995</v>
      </c>
      <c r="L40" s="203">
        <f t="shared" si="17"/>
        <v>8868</v>
      </c>
      <c r="M40" s="203">
        <f t="shared" si="17"/>
        <v>3896</v>
      </c>
      <c r="N40" s="203">
        <f t="shared" si="17"/>
        <v>2379</v>
      </c>
      <c r="O40" s="203">
        <f t="shared" si="17"/>
        <v>2089</v>
      </c>
      <c r="P40" s="203">
        <f t="shared" si="17"/>
        <v>1138</v>
      </c>
      <c r="Q40" s="203">
        <f t="shared" si="17"/>
        <v>921</v>
      </c>
      <c r="R40" s="203">
        <f t="shared" si="17"/>
        <v>2382</v>
      </c>
      <c r="S40" s="203">
        <f t="shared" si="17"/>
        <v>1040</v>
      </c>
      <c r="T40" s="203">
        <f t="shared" si="17"/>
        <v>4211</v>
      </c>
      <c r="U40" s="203">
        <f t="shared" si="17"/>
        <v>1785</v>
      </c>
      <c r="V40" s="203">
        <f t="shared" si="17"/>
        <v>4159</v>
      </c>
      <c r="W40" s="203">
        <f t="shared" si="17"/>
        <v>4708</v>
      </c>
      <c r="X40" s="203">
        <f t="shared" si="17"/>
        <v>3305</v>
      </c>
      <c r="Y40" s="203">
        <f t="shared" si="17"/>
        <v>4261</v>
      </c>
      <c r="Z40" s="203">
        <f>SUM(Z33:Z39)</f>
        <v>3328</v>
      </c>
      <c r="AA40" s="203">
        <f t="shared" si="17"/>
        <v>4635</v>
      </c>
      <c r="AB40" s="203">
        <f t="shared" si="17"/>
        <v>2601</v>
      </c>
      <c r="AC40" s="203">
        <f t="shared" si="17"/>
        <v>3737</v>
      </c>
      <c r="AD40" s="203">
        <f t="shared" si="17"/>
        <v>4886</v>
      </c>
      <c r="AE40" s="203">
        <f>SUM(AE33:AE39)</f>
        <v>1481</v>
      </c>
      <c r="AF40" s="203">
        <f t="shared" si="17"/>
        <v>0</v>
      </c>
      <c r="AG40" s="203">
        <f t="shared" si="17"/>
        <v>0</v>
      </c>
      <c r="AH40" s="203">
        <f t="shared" si="17"/>
        <v>0</v>
      </c>
      <c r="AI40" s="203">
        <f t="shared" si="17"/>
        <v>0</v>
      </c>
      <c r="AJ40" s="203">
        <f t="shared" si="17"/>
        <v>0</v>
      </c>
      <c r="AK40" s="203">
        <f t="shared" si="17"/>
        <v>898</v>
      </c>
      <c r="AL40" s="203">
        <f t="shared" si="17"/>
        <v>731</v>
      </c>
      <c r="AM40" s="203">
        <f>SUM(AM33:AM39)</f>
        <v>116247</v>
      </c>
    </row>
    <row r="41" spans="1:39" ht="15.75" thickBot="1" x14ac:dyDescent="0.3">
      <c r="A41" s="99" t="s">
        <v>21</v>
      </c>
      <c r="B41" s="651"/>
      <c r="C41" s="203">
        <f>AVERAGE(C33:C39)</f>
        <v>970.42857142857144</v>
      </c>
      <c r="D41" s="203">
        <f t="shared" ref="D41:AM41" si="18">AVERAGE(D33:D39)</f>
        <v>1306.2857142857142</v>
      </c>
      <c r="E41" s="203" t="e">
        <f t="shared" si="18"/>
        <v>#DIV/0!</v>
      </c>
      <c r="F41" s="203">
        <f t="shared" si="18"/>
        <v>1294</v>
      </c>
      <c r="G41" s="203" t="e">
        <f t="shared" si="18"/>
        <v>#DIV/0!</v>
      </c>
      <c r="H41" s="203">
        <f t="shared" si="18"/>
        <v>694.71428571428567</v>
      </c>
      <c r="I41" s="203">
        <f t="shared" si="18"/>
        <v>1210.1428571428571</v>
      </c>
      <c r="J41" s="203">
        <f t="shared" si="18"/>
        <v>1212</v>
      </c>
      <c r="K41" s="203">
        <f t="shared" si="18"/>
        <v>285</v>
      </c>
      <c r="L41" s="203">
        <f t="shared" si="18"/>
        <v>1266.8571428571429</v>
      </c>
      <c r="M41" s="203">
        <f t="shared" si="18"/>
        <v>556.57142857142856</v>
      </c>
      <c r="N41" s="203">
        <f t="shared" si="18"/>
        <v>339.85714285714283</v>
      </c>
      <c r="O41" s="203">
        <f t="shared" si="18"/>
        <v>298.42857142857144</v>
      </c>
      <c r="P41" s="203">
        <f t="shared" si="18"/>
        <v>162.57142857142858</v>
      </c>
      <c r="Q41" s="203">
        <f t="shared" si="18"/>
        <v>131.57142857142858</v>
      </c>
      <c r="R41" s="203">
        <f t="shared" si="18"/>
        <v>340.28571428571428</v>
      </c>
      <c r="S41" s="203">
        <f t="shared" si="18"/>
        <v>148.57142857142858</v>
      </c>
      <c r="T41" s="203">
        <f t="shared" si="18"/>
        <v>601.57142857142856</v>
      </c>
      <c r="U41" s="203">
        <f t="shared" si="18"/>
        <v>255</v>
      </c>
      <c r="V41" s="203">
        <f t="shared" si="18"/>
        <v>594.14285714285711</v>
      </c>
      <c r="W41" s="203">
        <f t="shared" si="18"/>
        <v>672.57142857142856</v>
      </c>
      <c r="X41" s="203">
        <f t="shared" si="18"/>
        <v>472.14285714285717</v>
      </c>
      <c r="Y41" s="203">
        <f t="shared" si="18"/>
        <v>608.71428571428567</v>
      </c>
      <c r="Z41" s="203">
        <f t="shared" si="18"/>
        <v>475.42857142857144</v>
      </c>
      <c r="AA41" s="203">
        <f t="shared" si="18"/>
        <v>662.14285714285711</v>
      </c>
      <c r="AB41" s="203">
        <f t="shared" si="18"/>
        <v>371.57142857142856</v>
      </c>
      <c r="AC41" s="203">
        <f t="shared" si="18"/>
        <v>533.85714285714289</v>
      </c>
      <c r="AD41" s="203">
        <f t="shared" si="18"/>
        <v>698</v>
      </c>
      <c r="AE41" s="203">
        <f t="shared" si="18"/>
        <v>211.57142857142858</v>
      </c>
      <c r="AF41" s="203" t="e">
        <f t="shared" si="18"/>
        <v>#DIV/0!</v>
      </c>
      <c r="AG41" s="203" t="e">
        <f t="shared" si="18"/>
        <v>#DIV/0!</v>
      </c>
      <c r="AH41" s="203" t="e">
        <f t="shared" si="18"/>
        <v>#DIV/0!</v>
      </c>
      <c r="AI41" s="203" t="e">
        <f t="shared" si="18"/>
        <v>#DIV/0!</v>
      </c>
      <c r="AJ41" s="203" t="e">
        <f t="shared" si="18"/>
        <v>#DIV/0!</v>
      </c>
      <c r="AK41" s="203">
        <f t="shared" si="18"/>
        <v>449</v>
      </c>
      <c r="AL41" s="203">
        <f t="shared" si="18"/>
        <v>365.5</v>
      </c>
      <c r="AM41" s="203">
        <f t="shared" si="18"/>
        <v>16606.714285714286</v>
      </c>
    </row>
    <row r="42" spans="1:39" ht="15.75" thickBot="1" x14ac:dyDescent="0.3">
      <c r="A42" s="26" t="s">
        <v>18</v>
      </c>
      <c r="B42" s="651"/>
      <c r="C42" s="204">
        <f>SUM(C33:C37)</f>
        <v>4275</v>
      </c>
      <c r="D42" s="204">
        <f>SUM(D33:D37)</f>
        <v>5461</v>
      </c>
      <c r="E42" s="204">
        <f>SUM(E33:E37)</f>
        <v>0</v>
      </c>
      <c r="F42" s="204">
        <f>SUM(F33:F37)</f>
        <v>5641</v>
      </c>
      <c r="G42" s="204">
        <f t="shared" ref="G42:AL42" si="19">SUM(G33:G37)</f>
        <v>0</v>
      </c>
      <c r="H42" s="204">
        <f t="shared" si="19"/>
        <v>2888</v>
      </c>
      <c r="I42" s="204">
        <f t="shared" si="19"/>
        <v>5836</v>
      </c>
      <c r="J42" s="204">
        <f t="shared" si="19"/>
        <v>5741</v>
      </c>
      <c r="K42" s="204">
        <f t="shared" si="19"/>
        <v>1394</v>
      </c>
      <c r="L42" s="204">
        <f t="shared" si="19"/>
        <v>5799</v>
      </c>
      <c r="M42" s="204">
        <f t="shared" si="19"/>
        <v>2582</v>
      </c>
      <c r="N42" s="204">
        <f t="shared" si="19"/>
        <v>1305</v>
      </c>
      <c r="O42" s="204">
        <f t="shared" si="19"/>
        <v>1401</v>
      </c>
      <c r="P42" s="204">
        <f t="shared" si="19"/>
        <v>709</v>
      </c>
      <c r="Q42" s="204">
        <f t="shared" si="19"/>
        <v>607</v>
      </c>
      <c r="R42" s="204">
        <f t="shared" si="19"/>
        <v>1410</v>
      </c>
      <c r="S42" s="204">
        <f t="shared" si="19"/>
        <v>673</v>
      </c>
      <c r="T42" s="204">
        <f t="shared" si="19"/>
        <v>2805</v>
      </c>
      <c r="U42" s="204">
        <f t="shared" si="19"/>
        <v>1495</v>
      </c>
      <c r="V42" s="204">
        <f t="shared" si="19"/>
        <v>3133</v>
      </c>
      <c r="W42" s="204">
        <f t="shared" si="19"/>
        <v>3228</v>
      </c>
      <c r="X42" s="204">
        <f t="shared" si="19"/>
        <v>2071</v>
      </c>
      <c r="Y42" s="204">
        <f t="shared" si="19"/>
        <v>2775</v>
      </c>
      <c r="Z42" s="204">
        <f>SUM(Z33:Z37)</f>
        <v>1927</v>
      </c>
      <c r="AA42" s="204">
        <f t="shared" si="19"/>
        <v>3101</v>
      </c>
      <c r="AB42" s="204">
        <f t="shared" si="19"/>
        <v>1895</v>
      </c>
      <c r="AC42" s="204">
        <f t="shared" si="19"/>
        <v>2497</v>
      </c>
      <c r="AD42" s="204">
        <f t="shared" si="19"/>
        <v>3564</v>
      </c>
      <c r="AE42" s="204">
        <f>SUM(AE33:AE37)</f>
        <v>1008</v>
      </c>
      <c r="AF42" s="204">
        <f t="shared" si="19"/>
        <v>0</v>
      </c>
      <c r="AG42" s="204">
        <f t="shared" si="19"/>
        <v>0</v>
      </c>
      <c r="AH42" s="204">
        <f t="shared" si="19"/>
        <v>0</v>
      </c>
      <c r="AI42" s="204">
        <f t="shared" si="19"/>
        <v>0</v>
      </c>
      <c r="AJ42" s="204">
        <f t="shared" si="19"/>
        <v>0</v>
      </c>
      <c r="AK42" s="204">
        <f t="shared" si="19"/>
        <v>0</v>
      </c>
      <c r="AL42" s="204">
        <f t="shared" si="19"/>
        <v>0</v>
      </c>
      <c r="AM42" s="204">
        <f>SUM(AM33:AM37)</f>
        <v>75221</v>
      </c>
    </row>
    <row r="43" spans="1:39" ht="15.75" thickBot="1" x14ac:dyDescent="0.3">
      <c r="A43" s="26" t="s">
        <v>20</v>
      </c>
      <c r="B43" s="651"/>
      <c r="C43" s="204">
        <f>AVERAGE(C33:C37)</f>
        <v>855</v>
      </c>
      <c r="D43" s="204">
        <f t="shared" ref="D43:AM43" si="20">AVERAGE(D33:D37)</f>
        <v>1092.2</v>
      </c>
      <c r="E43" s="204" t="e">
        <f t="shared" si="20"/>
        <v>#DIV/0!</v>
      </c>
      <c r="F43" s="204">
        <f t="shared" si="20"/>
        <v>1128.2</v>
      </c>
      <c r="G43" s="204" t="e">
        <f t="shared" si="20"/>
        <v>#DIV/0!</v>
      </c>
      <c r="H43" s="204">
        <f t="shared" si="20"/>
        <v>577.6</v>
      </c>
      <c r="I43" s="204">
        <v>917</v>
      </c>
      <c r="J43" s="204">
        <f t="shared" si="20"/>
        <v>1148.2</v>
      </c>
      <c r="K43" s="204">
        <f t="shared" si="20"/>
        <v>278.8</v>
      </c>
      <c r="L43" s="204">
        <f t="shared" si="20"/>
        <v>1159.8</v>
      </c>
      <c r="M43" s="204">
        <f t="shared" si="20"/>
        <v>516.4</v>
      </c>
      <c r="N43" s="204">
        <f t="shared" si="20"/>
        <v>261</v>
      </c>
      <c r="O43" s="204">
        <f t="shared" si="20"/>
        <v>280.2</v>
      </c>
      <c r="P43" s="204">
        <f t="shared" si="20"/>
        <v>141.80000000000001</v>
      </c>
      <c r="Q43" s="204">
        <f t="shared" si="20"/>
        <v>121.4</v>
      </c>
      <c r="R43" s="204">
        <f t="shared" si="20"/>
        <v>282</v>
      </c>
      <c r="S43" s="204">
        <f t="shared" si="20"/>
        <v>134.6</v>
      </c>
      <c r="T43" s="204">
        <f t="shared" si="20"/>
        <v>561</v>
      </c>
      <c r="U43" s="204">
        <f t="shared" si="20"/>
        <v>299</v>
      </c>
      <c r="V43" s="204">
        <f t="shared" si="20"/>
        <v>626.6</v>
      </c>
      <c r="W43" s="204">
        <f t="shared" si="20"/>
        <v>645.6</v>
      </c>
      <c r="X43" s="204">
        <f t="shared" si="20"/>
        <v>414.2</v>
      </c>
      <c r="Y43" s="204">
        <f t="shared" si="20"/>
        <v>555</v>
      </c>
      <c r="Z43" s="204">
        <f t="shared" si="20"/>
        <v>385.4</v>
      </c>
      <c r="AA43" s="204">
        <f t="shared" si="20"/>
        <v>620.20000000000005</v>
      </c>
      <c r="AB43" s="204">
        <f t="shared" si="20"/>
        <v>379</v>
      </c>
      <c r="AC43" s="204">
        <f t="shared" si="20"/>
        <v>499.4</v>
      </c>
      <c r="AD43" s="204">
        <f t="shared" si="20"/>
        <v>712.8</v>
      </c>
      <c r="AE43" s="204">
        <f t="shared" si="20"/>
        <v>201.6</v>
      </c>
      <c r="AF43" s="204" t="e">
        <f t="shared" si="20"/>
        <v>#DIV/0!</v>
      </c>
      <c r="AG43" s="204" t="e">
        <f t="shared" si="20"/>
        <v>#DIV/0!</v>
      </c>
      <c r="AH43" s="204" t="e">
        <f t="shared" si="20"/>
        <v>#DIV/0!</v>
      </c>
      <c r="AI43" s="204" t="e">
        <f t="shared" si="20"/>
        <v>#DIV/0!</v>
      </c>
      <c r="AJ43" s="204" t="e">
        <f t="shared" si="20"/>
        <v>#DIV/0!</v>
      </c>
      <c r="AK43" s="204" t="e">
        <f t="shared" si="20"/>
        <v>#DIV/0!</v>
      </c>
      <c r="AL43" s="204" t="e">
        <f t="shared" si="20"/>
        <v>#DIV/0!</v>
      </c>
      <c r="AM43" s="204">
        <f t="shared" si="20"/>
        <v>15044.2</v>
      </c>
    </row>
    <row r="44" spans="1:39" s="418" customFormat="1" ht="15.75" thickBot="1" x14ac:dyDescent="0.3">
      <c r="A44" s="132" t="s">
        <v>3</v>
      </c>
      <c r="B44" s="210">
        <f>B39+1</f>
        <v>44396</v>
      </c>
      <c r="C44" s="233">
        <v>756</v>
      </c>
      <c r="D44" s="165">
        <v>944</v>
      </c>
      <c r="E44" s="165"/>
      <c r="F44" s="483">
        <v>524</v>
      </c>
      <c r="G44" s="234"/>
      <c r="H44" s="165"/>
      <c r="I44" s="201">
        <v>917</v>
      </c>
      <c r="J44" s="205">
        <v>897</v>
      </c>
      <c r="K44" s="165">
        <v>249</v>
      </c>
      <c r="L44" s="201">
        <v>997</v>
      </c>
      <c r="M44" s="205">
        <v>477</v>
      </c>
      <c r="N44" s="165">
        <v>259</v>
      </c>
      <c r="O44" s="165">
        <v>251</v>
      </c>
      <c r="P44" s="165">
        <v>161</v>
      </c>
      <c r="Q44" s="167">
        <v>139</v>
      </c>
      <c r="R44" s="165">
        <v>256</v>
      </c>
      <c r="S44" s="201">
        <v>111</v>
      </c>
      <c r="T44" s="232">
        <v>552</v>
      </c>
      <c r="U44" s="165">
        <v>270</v>
      </c>
      <c r="V44" s="165">
        <v>598</v>
      </c>
      <c r="W44" s="165">
        <v>586</v>
      </c>
      <c r="X44" s="165">
        <v>379</v>
      </c>
      <c r="Y44" s="167">
        <v>589</v>
      </c>
      <c r="Z44" s="167">
        <v>360</v>
      </c>
      <c r="AA44" s="205">
        <v>600</v>
      </c>
      <c r="AB44" s="165">
        <v>384</v>
      </c>
      <c r="AC44" s="165">
        <v>441</v>
      </c>
      <c r="AD44" s="165">
        <v>613</v>
      </c>
      <c r="AE44" s="201">
        <v>185</v>
      </c>
      <c r="AF44" s="232"/>
      <c r="AG44" s="165"/>
      <c r="AH44" s="165"/>
      <c r="AI44" s="165"/>
      <c r="AJ44" s="201"/>
      <c r="AK44" s="205"/>
      <c r="AL44" s="201"/>
      <c r="AM44" s="417">
        <f t="shared" ref="AM44:AM50" si="21">SUM(C44:AL44)</f>
        <v>12495</v>
      </c>
    </row>
    <row r="45" spans="1:39" s="418" customFormat="1" ht="15.75" thickBot="1" x14ac:dyDescent="0.3">
      <c r="A45" s="132" t="s">
        <v>4</v>
      </c>
      <c r="B45" s="210">
        <f t="shared" ref="B45:B50" si="22">B44+1</f>
        <v>44397</v>
      </c>
      <c r="C45" s="233">
        <v>1080</v>
      </c>
      <c r="D45" s="165">
        <v>1152</v>
      </c>
      <c r="E45" s="165"/>
      <c r="F45" s="483">
        <v>789</v>
      </c>
      <c r="G45" s="234"/>
      <c r="H45" s="165"/>
      <c r="I45" s="201">
        <v>1050</v>
      </c>
      <c r="J45" s="205">
        <v>1866</v>
      </c>
      <c r="K45" s="165">
        <v>457</v>
      </c>
      <c r="L45" s="201">
        <v>1967</v>
      </c>
      <c r="M45" s="205">
        <v>608</v>
      </c>
      <c r="N45" s="165">
        <v>275</v>
      </c>
      <c r="O45" s="165">
        <v>413</v>
      </c>
      <c r="P45" s="165">
        <v>149</v>
      </c>
      <c r="Q45" s="167">
        <v>206</v>
      </c>
      <c r="R45" s="165">
        <v>472</v>
      </c>
      <c r="S45" s="201">
        <v>210</v>
      </c>
      <c r="T45" s="232">
        <v>917</v>
      </c>
      <c r="U45" s="165">
        <v>298</v>
      </c>
      <c r="V45" s="165">
        <v>701</v>
      </c>
      <c r="W45" s="165">
        <v>795</v>
      </c>
      <c r="X45" s="165">
        <v>495</v>
      </c>
      <c r="Y45" s="167">
        <v>666</v>
      </c>
      <c r="Z45" s="167">
        <v>476</v>
      </c>
      <c r="AA45" s="205">
        <v>812</v>
      </c>
      <c r="AB45" s="165">
        <v>431</v>
      </c>
      <c r="AC45" s="165">
        <v>581</v>
      </c>
      <c r="AD45" s="165">
        <v>883</v>
      </c>
      <c r="AE45" s="201">
        <v>254</v>
      </c>
      <c r="AF45" s="232"/>
      <c r="AG45" s="165"/>
      <c r="AH45" s="165"/>
      <c r="AI45" s="165"/>
      <c r="AJ45" s="201"/>
      <c r="AK45" s="205"/>
      <c r="AL45" s="201"/>
      <c r="AM45" s="417">
        <f t="shared" si="21"/>
        <v>18003</v>
      </c>
    </row>
    <row r="46" spans="1:39" s="418" customFormat="1" ht="15.75" thickBot="1" x14ac:dyDescent="0.3">
      <c r="A46" s="132" t="s">
        <v>5</v>
      </c>
      <c r="B46" s="210">
        <f t="shared" si="22"/>
        <v>44398</v>
      </c>
      <c r="C46" s="233">
        <v>720</v>
      </c>
      <c r="D46" s="165">
        <v>1158</v>
      </c>
      <c r="E46" s="165"/>
      <c r="F46" s="483">
        <v>536</v>
      </c>
      <c r="G46" s="234"/>
      <c r="H46" s="165"/>
      <c r="I46" s="201">
        <v>990</v>
      </c>
      <c r="J46" s="205">
        <v>660</v>
      </c>
      <c r="K46" s="165">
        <v>243</v>
      </c>
      <c r="L46" s="201">
        <v>714</v>
      </c>
      <c r="M46" s="205">
        <v>440</v>
      </c>
      <c r="N46" s="165">
        <v>198</v>
      </c>
      <c r="O46" s="165">
        <v>159</v>
      </c>
      <c r="P46" s="165">
        <v>223</v>
      </c>
      <c r="Q46" s="167">
        <v>88</v>
      </c>
      <c r="R46" s="165">
        <v>165</v>
      </c>
      <c r="S46" s="201">
        <v>103</v>
      </c>
      <c r="T46" s="232">
        <v>511</v>
      </c>
      <c r="U46" s="165">
        <v>295</v>
      </c>
      <c r="V46" s="165">
        <v>703</v>
      </c>
      <c r="W46" s="165">
        <v>598</v>
      </c>
      <c r="X46" s="165">
        <v>341</v>
      </c>
      <c r="Y46" s="167">
        <v>578</v>
      </c>
      <c r="Z46" s="167">
        <v>439</v>
      </c>
      <c r="AA46" s="205">
        <v>590</v>
      </c>
      <c r="AB46" s="165">
        <v>306</v>
      </c>
      <c r="AC46" s="165">
        <v>409</v>
      </c>
      <c r="AD46" s="165">
        <v>655</v>
      </c>
      <c r="AE46" s="201">
        <v>273</v>
      </c>
      <c r="AF46" s="232"/>
      <c r="AG46" s="165"/>
      <c r="AH46" s="165"/>
      <c r="AI46" s="165"/>
      <c r="AJ46" s="201"/>
      <c r="AK46" s="205"/>
      <c r="AL46" s="201"/>
      <c r="AM46" s="417">
        <f t="shared" si="21"/>
        <v>12095</v>
      </c>
    </row>
    <row r="47" spans="1:39" s="418" customFormat="1" ht="15.75" thickBot="1" x14ac:dyDescent="0.3">
      <c r="A47" s="132" t="s">
        <v>6</v>
      </c>
      <c r="B47" s="210">
        <f t="shared" si="22"/>
        <v>44399</v>
      </c>
      <c r="C47" s="233">
        <v>1124</v>
      </c>
      <c r="D47" s="165">
        <v>1278</v>
      </c>
      <c r="E47" s="165"/>
      <c r="F47" s="483">
        <v>758</v>
      </c>
      <c r="G47" s="234"/>
      <c r="H47" s="165"/>
      <c r="I47" s="201">
        <v>1217</v>
      </c>
      <c r="J47" s="205">
        <v>1279</v>
      </c>
      <c r="K47" s="165">
        <v>290</v>
      </c>
      <c r="L47" s="201">
        <v>1276</v>
      </c>
      <c r="M47" s="205">
        <v>647</v>
      </c>
      <c r="N47" s="165">
        <v>409</v>
      </c>
      <c r="O47" s="165">
        <v>394</v>
      </c>
      <c r="P47" s="165">
        <v>209</v>
      </c>
      <c r="Q47" s="167">
        <v>138</v>
      </c>
      <c r="R47" s="165">
        <v>555</v>
      </c>
      <c r="S47" s="201">
        <v>199</v>
      </c>
      <c r="T47" s="232">
        <v>806</v>
      </c>
      <c r="U47" s="165">
        <v>387</v>
      </c>
      <c r="V47" s="165">
        <v>718</v>
      </c>
      <c r="W47" s="165">
        <v>740</v>
      </c>
      <c r="X47" s="165">
        <v>529</v>
      </c>
      <c r="Y47" s="167">
        <v>721</v>
      </c>
      <c r="Z47" s="167">
        <v>542</v>
      </c>
      <c r="AA47" s="205">
        <v>702</v>
      </c>
      <c r="AB47" s="165">
        <v>367</v>
      </c>
      <c r="AC47" s="165">
        <v>549</v>
      </c>
      <c r="AD47" s="165">
        <v>771</v>
      </c>
      <c r="AE47" s="201">
        <v>230</v>
      </c>
      <c r="AF47" s="232"/>
      <c r="AG47" s="165"/>
      <c r="AH47" s="165"/>
      <c r="AI47" s="165"/>
      <c r="AJ47" s="201"/>
      <c r="AK47" s="205"/>
      <c r="AL47" s="201"/>
      <c r="AM47" s="417">
        <f t="shared" si="21"/>
        <v>16835</v>
      </c>
    </row>
    <row r="48" spans="1:39" s="418" customFormat="1" ht="15.75" thickBot="1" x14ac:dyDescent="0.3">
      <c r="A48" s="132" t="s">
        <v>0</v>
      </c>
      <c r="B48" s="210">
        <f t="shared" si="22"/>
        <v>44400</v>
      </c>
      <c r="C48" s="233">
        <v>1299</v>
      </c>
      <c r="D48" s="165">
        <v>1429</v>
      </c>
      <c r="E48" s="165"/>
      <c r="F48" s="483">
        <v>815</v>
      </c>
      <c r="G48" s="234"/>
      <c r="H48" s="165"/>
      <c r="I48" s="201">
        <v>1360</v>
      </c>
      <c r="J48" s="205">
        <v>1526</v>
      </c>
      <c r="K48" s="165">
        <v>355</v>
      </c>
      <c r="L48" s="201">
        <v>1541</v>
      </c>
      <c r="M48" s="205">
        <v>774</v>
      </c>
      <c r="N48" s="165">
        <v>376</v>
      </c>
      <c r="O48" s="165">
        <v>476</v>
      </c>
      <c r="P48" s="165">
        <v>203</v>
      </c>
      <c r="Q48" s="167">
        <v>205</v>
      </c>
      <c r="R48" s="165">
        <v>543</v>
      </c>
      <c r="S48" s="201">
        <v>185</v>
      </c>
      <c r="T48" s="232">
        <v>731</v>
      </c>
      <c r="U48" s="165">
        <v>377</v>
      </c>
      <c r="V48" s="165">
        <v>695</v>
      </c>
      <c r="W48" s="165">
        <v>885</v>
      </c>
      <c r="X48" s="165">
        <v>563</v>
      </c>
      <c r="Y48" s="167">
        <v>801</v>
      </c>
      <c r="Z48" s="167">
        <v>654</v>
      </c>
      <c r="AA48" s="205">
        <v>808</v>
      </c>
      <c r="AB48" s="165">
        <v>443</v>
      </c>
      <c r="AC48" s="165">
        <v>696</v>
      </c>
      <c r="AD48" s="165">
        <v>813</v>
      </c>
      <c r="AE48" s="201">
        <v>254</v>
      </c>
      <c r="AF48" s="232"/>
      <c r="AG48" s="165"/>
      <c r="AH48" s="165"/>
      <c r="AI48" s="165"/>
      <c r="AJ48" s="201"/>
      <c r="AK48" s="205"/>
      <c r="AL48" s="201"/>
      <c r="AM48" s="417">
        <f t="shared" si="21"/>
        <v>18807</v>
      </c>
    </row>
    <row r="49" spans="1:39" s="418" customFormat="1" ht="15.75" thickBot="1" x14ac:dyDescent="0.3">
      <c r="A49" s="132" t="s">
        <v>1</v>
      </c>
      <c r="B49" s="210">
        <f t="shared" si="22"/>
        <v>44401</v>
      </c>
      <c r="C49" s="233">
        <v>1989</v>
      </c>
      <c r="D49" s="165">
        <v>2970</v>
      </c>
      <c r="E49" s="165"/>
      <c r="F49" s="483">
        <v>1415</v>
      </c>
      <c r="G49" s="234"/>
      <c r="H49" s="165"/>
      <c r="I49" s="201">
        <v>2542</v>
      </c>
      <c r="J49" s="205">
        <v>4254</v>
      </c>
      <c r="K49" s="165">
        <v>693</v>
      </c>
      <c r="L49" s="201">
        <v>4363</v>
      </c>
      <c r="M49" s="205">
        <v>1129</v>
      </c>
      <c r="N49" s="165">
        <v>879</v>
      </c>
      <c r="O49" s="165">
        <v>611</v>
      </c>
      <c r="P49" s="165">
        <v>347</v>
      </c>
      <c r="Q49" s="167">
        <v>273</v>
      </c>
      <c r="R49" s="165">
        <v>901</v>
      </c>
      <c r="S49" s="201">
        <v>373</v>
      </c>
      <c r="T49" s="232">
        <v>1545</v>
      </c>
      <c r="U49" s="165">
        <v>528</v>
      </c>
      <c r="V49" s="165">
        <v>854</v>
      </c>
      <c r="W49" s="165">
        <v>1281</v>
      </c>
      <c r="X49" s="165">
        <v>897</v>
      </c>
      <c r="Y49" s="167">
        <v>1289</v>
      </c>
      <c r="Z49" s="167">
        <v>1004</v>
      </c>
      <c r="AA49" s="205">
        <v>1336</v>
      </c>
      <c r="AB49" s="165">
        <v>488</v>
      </c>
      <c r="AC49" s="165">
        <v>1153</v>
      </c>
      <c r="AD49" s="165">
        <v>1168</v>
      </c>
      <c r="AE49" s="201">
        <v>375</v>
      </c>
      <c r="AF49" s="232"/>
      <c r="AG49" s="165"/>
      <c r="AH49" s="165"/>
      <c r="AI49" s="165"/>
      <c r="AJ49" s="201"/>
      <c r="AK49" s="205">
        <v>1157</v>
      </c>
      <c r="AL49" s="201">
        <v>782</v>
      </c>
      <c r="AM49" s="417">
        <f t="shared" si="21"/>
        <v>36596</v>
      </c>
    </row>
    <row r="50" spans="1:39" s="418" customFormat="1" ht="15.75" thickBot="1" x14ac:dyDescent="0.3">
      <c r="A50" s="132" t="s">
        <v>2</v>
      </c>
      <c r="B50" s="210">
        <f t="shared" si="22"/>
        <v>44402</v>
      </c>
      <c r="C50" s="233">
        <v>1356</v>
      </c>
      <c r="D50" s="165">
        <v>2025</v>
      </c>
      <c r="E50" s="165"/>
      <c r="F50" s="483">
        <v>1078</v>
      </c>
      <c r="G50" s="234"/>
      <c r="H50" s="165"/>
      <c r="I50" s="201">
        <v>1217</v>
      </c>
      <c r="J50" s="205">
        <v>928</v>
      </c>
      <c r="K50" s="165">
        <v>384</v>
      </c>
      <c r="L50" s="201">
        <v>1126</v>
      </c>
      <c r="M50" s="205">
        <v>772</v>
      </c>
      <c r="N50" s="165">
        <v>752</v>
      </c>
      <c r="O50" s="165">
        <v>586</v>
      </c>
      <c r="P50" s="165">
        <v>212</v>
      </c>
      <c r="Q50" s="167">
        <v>285</v>
      </c>
      <c r="R50" s="165">
        <v>619</v>
      </c>
      <c r="S50" s="201">
        <v>266</v>
      </c>
      <c r="T50" s="232">
        <v>918</v>
      </c>
      <c r="U50" s="165">
        <v>180</v>
      </c>
      <c r="V50" s="165">
        <v>516</v>
      </c>
      <c r="W50" s="165">
        <v>889</v>
      </c>
      <c r="X50" s="165">
        <v>645</v>
      </c>
      <c r="Y50" s="167">
        <v>756</v>
      </c>
      <c r="Z50" s="167">
        <v>583</v>
      </c>
      <c r="AA50" s="205">
        <v>837</v>
      </c>
      <c r="AB50" s="165">
        <v>313</v>
      </c>
      <c r="AC50" s="165">
        <v>490</v>
      </c>
      <c r="AD50" s="165">
        <v>642</v>
      </c>
      <c r="AE50" s="201">
        <v>255</v>
      </c>
      <c r="AF50" s="232"/>
      <c r="AG50" s="165"/>
      <c r="AH50" s="165"/>
      <c r="AI50" s="165"/>
      <c r="AJ50" s="201"/>
      <c r="AK50" s="205">
        <v>516</v>
      </c>
      <c r="AL50" s="201">
        <v>399</v>
      </c>
      <c r="AM50" s="417">
        <f t="shared" si="21"/>
        <v>19545</v>
      </c>
    </row>
    <row r="51" spans="1:39" ht="15.75" thickBot="1" x14ac:dyDescent="0.3">
      <c r="A51" s="140" t="s">
        <v>19</v>
      </c>
      <c r="B51" s="651" t="s">
        <v>25</v>
      </c>
      <c r="C51" s="203">
        <f>SUM(C44:C50)</f>
        <v>8324</v>
      </c>
      <c r="D51" s="203">
        <f t="shared" ref="D51:AJ51" si="23">SUM(D44:D50)</f>
        <v>10956</v>
      </c>
      <c r="E51" s="203">
        <f t="shared" si="23"/>
        <v>0</v>
      </c>
      <c r="F51" s="203">
        <f t="shared" si="23"/>
        <v>5915</v>
      </c>
      <c r="G51" s="203">
        <f t="shared" si="23"/>
        <v>0</v>
      </c>
      <c r="H51" s="203">
        <f t="shared" si="23"/>
        <v>0</v>
      </c>
      <c r="I51" s="203">
        <f t="shared" si="23"/>
        <v>9293</v>
      </c>
      <c r="J51" s="203">
        <f t="shared" si="23"/>
        <v>11410</v>
      </c>
      <c r="K51" s="203">
        <f t="shared" si="23"/>
        <v>2671</v>
      </c>
      <c r="L51" s="203">
        <f t="shared" si="23"/>
        <v>11984</v>
      </c>
      <c r="M51" s="203">
        <f t="shared" si="23"/>
        <v>4847</v>
      </c>
      <c r="N51" s="203">
        <f>SUM(N44:N50)</f>
        <v>3148</v>
      </c>
      <c r="O51" s="203">
        <f t="shared" si="23"/>
        <v>2890</v>
      </c>
      <c r="P51" s="203">
        <f t="shared" si="23"/>
        <v>1504</v>
      </c>
      <c r="Q51" s="203">
        <f t="shared" si="23"/>
        <v>1334</v>
      </c>
      <c r="R51" s="203">
        <f t="shared" si="23"/>
        <v>3511</v>
      </c>
      <c r="S51" s="203">
        <f t="shared" si="23"/>
        <v>1447</v>
      </c>
      <c r="T51" s="203">
        <f t="shared" si="23"/>
        <v>5980</v>
      </c>
      <c r="U51" s="203">
        <f t="shared" si="23"/>
        <v>2335</v>
      </c>
      <c r="V51" s="203">
        <f t="shared" si="23"/>
        <v>4785</v>
      </c>
      <c r="W51" s="203">
        <f t="shared" si="23"/>
        <v>5774</v>
      </c>
      <c r="X51" s="203">
        <f t="shared" si="23"/>
        <v>3849</v>
      </c>
      <c r="Y51" s="203">
        <f t="shared" si="23"/>
        <v>5400</v>
      </c>
      <c r="Z51" s="203">
        <f>SUM(Z44:Z50)</f>
        <v>4058</v>
      </c>
      <c r="AA51" s="203">
        <f t="shared" si="23"/>
        <v>5685</v>
      </c>
      <c r="AB51" s="203">
        <f t="shared" si="23"/>
        <v>2732</v>
      </c>
      <c r="AC51" s="203">
        <f t="shared" si="23"/>
        <v>4319</v>
      </c>
      <c r="AD51" s="203">
        <f t="shared" si="23"/>
        <v>5545</v>
      </c>
      <c r="AE51" s="203">
        <f>SUM(AE44:AE50)</f>
        <v>1826</v>
      </c>
      <c r="AF51" s="203">
        <f t="shared" si="23"/>
        <v>0</v>
      </c>
      <c r="AG51" s="203">
        <f t="shared" si="23"/>
        <v>0</v>
      </c>
      <c r="AH51" s="203">
        <f t="shared" si="23"/>
        <v>0</v>
      </c>
      <c r="AI51" s="203">
        <f t="shared" si="23"/>
        <v>0</v>
      </c>
      <c r="AJ51" s="203">
        <f t="shared" si="23"/>
        <v>0</v>
      </c>
      <c r="AK51" s="203">
        <f>SUM(AK44:AK50)</f>
        <v>1673</v>
      </c>
      <c r="AL51" s="203">
        <f>SUM(AL44:AL50)</f>
        <v>1181</v>
      </c>
      <c r="AM51" s="203">
        <f>SUM(AM44:AM50)</f>
        <v>134376</v>
      </c>
    </row>
    <row r="52" spans="1:39" ht="15.75" thickBot="1" x14ac:dyDescent="0.3">
      <c r="A52" s="99" t="s">
        <v>21</v>
      </c>
      <c r="B52" s="651"/>
      <c r="C52" s="203">
        <f>AVERAGE(C44:C50)</f>
        <v>1189.1428571428571</v>
      </c>
      <c r="D52" s="203">
        <f>AVERAGE(D44:D50)</f>
        <v>1565.1428571428571</v>
      </c>
      <c r="E52" s="203" t="e">
        <f t="shared" ref="E52:AL52" si="24">AVERAGE(E44:E50)</f>
        <v>#DIV/0!</v>
      </c>
      <c r="F52" s="203">
        <f t="shared" si="24"/>
        <v>845</v>
      </c>
      <c r="G52" s="203" t="e">
        <f t="shared" si="24"/>
        <v>#DIV/0!</v>
      </c>
      <c r="H52" s="203" t="e">
        <f t="shared" si="24"/>
        <v>#DIV/0!</v>
      </c>
      <c r="I52" s="203">
        <f t="shared" si="24"/>
        <v>1327.5714285714287</v>
      </c>
      <c r="J52" s="203">
        <f t="shared" si="24"/>
        <v>1630</v>
      </c>
      <c r="K52" s="203">
        <f t="shared" si="24"/>
        <v>381.57142857142856</v>
      </c>
      <c r="L52" s="203">
        <f t="shared" si="24"/>
        <v>1712</v>
      </c>
      <c r="M52" s="203">
        <f t="shared" si="24"/>
        <v>692.42857142857144</v>
      </c>
      <c r="N52" s="203">
        <f t="shared" si="24"/>
        <v>449.71428571428572</v>
      </c>
      <c r="O52" s="203">
        <f t="shared" si="24"/>
        <v>412.85714285714283</v>
      </c>
      <c r="P52" s="203">
        <f t="shared" si="24"/>
        <v>214.85714285714286</v>
      </c>
      <c r="Q52" s="203">
        <f t="shared" si="24"/>
        <v>190.57142857142858</v>
      </c>
      <c r="R52" s="203">
        <f t="shared" si="24"/>
        <v>501.57142857142856</v>
      </c>
      <c r="S52" s="203">
        <f t="shared" si="24"/>
        <v>206.71428571428572</v>
      </c>
      <c r="T52" s="203">
        <f t="shared" si="24"/>
        <v>854.28571428571433</v>
      </c>
      <c r="U52" s="203">
        <f t="shared" si="24"/>
        <v>333.57142857142856</v>
      </c>
      <c r="V52" s="203">
        <f t="shared" si="24"/>
        <v>683.57142857142856</v>
      </c>
      <c r="W52" s="203">
        <f t="shared" si="24"/>
        <v>824.85714285714289</v>
      </c>
      <c r="X52" s="203">
        <f t="shared" si="24"/>
        <v>549.85714285714289</v>
      </c>
      <c r="Y52" s="203">
        <f t="shared" si="24"/>
        <v>771.42857142857144</v>
      </c>
      <c r="Z52" s="203">
        <f t="shared" si="24"/>
        <v>579.71428571428567</v>
      </c>
      <c r="AA52" s="203">
        <f t="shared" si="24"/>
        <v>812.14285714285711</v>
      </c>
      <c r="AB52" s="203">
        <f t="shared" si="24"/>
        <v>390.28571428571428</v>
      </c>
      <c r="AC52" s="203">
        <f t="shared" si="24"/>
        <v>617</v>
      </c>
      <c r="AD52" s="203">
        <f t="shared" si="24"/>
        <v>792.14285714285711</v>
      </c>
      <c r="AE52" s="203">
        <f t="shared" si="24"/>
        <v>260.85714285714283</v>
      </c>
      <c r="AF52" s="203" t="e">
        <f t="shared" si="24"/>
        <v>#DIV/0!</v>
      </c>
      <c r="AG52" s="203" t="e">
        <f t="shared" si="24"/>
        <v>#DIV/0!</v>
      </c>
      <c r="AH52" s="203" t="e">
        <f t="shared" si="24"/>
        <v>#DIV/0!</v>
      </c>
      <c r="AI52" s="203" t="e">
        <f t="shared" si="24"/>
        <v>#DIV/0!</v>
      </c>
      <c r="AJ52" s="203" t="e">
        <f t="shared" si="24"/>
        <v>#DIV/0!</v>
      </c>
      <c r="AK52" s="203">
        <f t="shared" si="24"/>
        <v>836.5</v>
      </c>
      <c r="AL52" s="203">
        <f t="shared" si="24"/>
        <v>590.5</v>
      </c>
      <c r="AM52" s="203">
        <f>AVERAGE(AM44:AM50)</f>
        <v>19196.571428571428</v>
      </c>
    </row>
    <row r="53" spans="1:39" ht="15.75" thickBot="1" x14ac:dyDescent="0.3">
      <c r="A53" s="26" t="s">
        <v>18</v>
      </c>
      <c r="B53" s="651"/>
      <c r="C53" s="204">
        <f t="shared" ref="C53:AE53" si="25">SUM(C44:C48)</f>
        <v>4979</v>
      </c>
      <c r="D53" s="204">
        <f t="shared" si="25"/>
        <v>5961</v>
      </c>
      <c r="E53" s="204">
        <f t="shared" si="25"/>
        <v>0</v>
      </c>
      <c r="F53" s="204">
        <f t="shared" si="25"/>
        <v>3422</v>
      </c>
      <c r="G53" s="204">
        <f t="shared" si="25"/>
        <v>0</v>
      </c>
      <c r="H53" s="204">
        <f t="shared" si="25"/>
        <v>0</v>
      </c>
      <c r="I53" s="204">
        <f t="shared" si="25"/>
        <v>5534</v>
      </c>
      <c r="J53" s="204">
        <f t="shared" si="25"/>
        <v>6228</v>
      </c>
      <c r="K53" s="204">
        <f t="shared" si="25"/>
        <v>1594</v>
      </c>
      <c r="L53" s="204">
        <f t="shared" si="25"/>
        <v>6495</v>
      </c>
      <c r="M53" s="204">
        <f t="shared" si="25"/>
        <v>2946</v>
      </c>
      <c r="N53" s="204">
        <f t="shared" si="25"/>
        <v>1517</v>
      </c>
      <c r="O53" s="204">
        <f t="shared" si="25"/>
        <v>1693</v>
      </c>
      <c r="P53" s="204">
        <f t="shared" si="25"/>
        <v>945</v>
      </c>
      <c r="Q53" s="204">
        <f t="shared" si="25"/>
        <v>776</v>
      </c>
      <c r="R53" s="204">
        <f t="shared" si="25"/>
        <v>1991</v>
      </c>
      <c r="S53" s="204">
        <f t="shared" si="25"/>
        <v>808</v>
      </c>
      <c r="T53" s="204">
        <f t="shared" si="25"/>
        <v>3517</v>
      </c>
      <c r="U53" s="204">
        <f t="shared" si="25"/>
        <v>1627</v>
      </c>
      <c r="V53" s="204">
        <f t="shared" si="25"/>
        <v>3415</v>
      </c>
      <c r="W53" s="204">
        <f t="shared" si="25"/>
        <v>3604</v>
      </c>
      <c r="X53" s="204">
        <f t="shared" si="25"/>
        <v>2307</v>
      </c>
      <c r="Y53" s="204">
        <f t="shared" si="25"/>
        <v>3355</v>
      </c>
      <c r="Z53" s="204">
        <f t="shared" si="25"/>
        <v>2471</v>
      </c>
      <c r="AA53" s="204">
        <f t="shared" si="25"/>
        <v>3512</v>
      </c>
      <c r="AB53" s="204">
        <f t="shared" si="25"/>
        <v>1931</v>
      </c>
      <c r="AC53" s="204">
        <f t="shared" si="25"/>
        <v>2676</v>
      </c>
      <c r="AD53" s="204">
        <f t="shared" si="25"/>
        <v>3735</v>
      </c>
      <c r="AE53" s="204">
        <f t="shared" si="25"/>
        <v>1196</v>
      </c>
      <c r="AF53" s="204">
        <f t="shared" ref="AF53:AL53" si="26">SUM(AF44:AF48)</f>
        <v>0</v>
      </c>
      <c r="AG53" s="204">
        <f t="shared" si="26"/>
        <v>0</v>
      </c>
      <c r="AH53" s="204">
        <f t="shared" si="26"/>
        <v>0</v>
      </c>
      <c r="AI53" s="204">
        <f t="shared" si="26"/>
        <v>0</v>
      </c>
      <c r="AJ53" s="204">
        <f t="shared" si="26"/>
        <v>0</v>
      </c>
      <c r="AK53" s="204">
        <f>SUM(AK44:AK48)</f>
        <v>0</v>
      </c>
      <c r="AL53" s="204">
        <f t="shared" si="26"/>
        <v>0</v>
      </c>
      <c r="AM53" s="204">
        <f>SUM(AM44:AM48)</f>
        <v>78235</v>
      </c>
    </row>
    <row r="54" spans="1:39" ht="15.75" thickBot="1" x14ac:dyDescent="0.3">
      <c r="A54" s="26" t="s">
        <v>20</v>
      </c>
      <c r="B54" s="651"/>
      <c r="C54" s="204">
        <f>AVERAGE(C44:C48)</f>
        <v>995.8</v>
      </c>
      <c r="D54" s="204">
        <f t="shared" ref="D54:AL54" si="27">AVERAGE(D44:D48)</f>
        <v>1192.2</v>
      </c>
      <c r="E54" s="204" t="e">
        <f t="shared" si="27"/>
        <v>#DIV/0!</v>
      </c>
      <c r="F54" s="204">
        <f t="shared" si="27"/>
        <v>684.4</v>
      </c>
      <c r="G54" s="204" t="e">
        <f t="shared" si="27"/>
        <v>#DIV/0!</v>
      </c>
      <c r="H54" s="204" t="e">
        <f t="shared" si="27"/>
        <v>#DIV/0!</v>
      </c>
      <c r="I54" s="204">
        <f t="shared" si="27"/>
        <v>1106.8</v>
      </c>
      <c r="J54" s="204">
        <f t="shared" si="27"/>
        <v>1245.5999999999999</v>
      </c>
      <c r="K54" s="204">
        <f t="shared" si="27"/>
        <v>318.8</v>
      </c>
      <c r="L54" s="204">
        <f t="shared" si="27"/>
        <v>1299</v>
      </c>
      <c r="M54" s="204">
        <f t="shared" si="27"/>
        <v>589.20000000000005</v>
      </c>
      <c r="N54" s="204">
        <f t="shared" si="27"/>
        <v>303.39999999999998</v>
      </c>
      <c r="O54" s="204">
        <f t="shared" si="27"/>
        <v>338.6</v>
      </c>
      <c r="P54" s="204">
        <f t="shared" si="27"/>
        <v>189</v>
      </c>
      <c r="Q54" s="204">
        <f t="shared" si="27"/>
        <v>155.19999999999999</v>
      </c>
      <c r="R54" s="204">
        <f t="shared" si="27"/>
        <v>398.2</v>
      </c>
      <c r="S54" s="204">
        <f t="shared" si="27"/>
        <v>161.6</v>
      </c>
      <c r="T54" s="204">
        <f t="shared" si="27"/>
        <v>703.4</v>
      </c>
      <c r="U54" s="204">
        <f t="shared" si="27"/>
        <v>325.39999999999998</v>
      </c>
      <c r="V54" s="204">
        <f t="shared" si="27"/>
        <v>683</v>
      </c>
      <c r="W54" s="204">
        <f t="shared" si="27"/>
        <v>720.8</v>
      </c>
      <c r="X54" s="204">
        <f t="shared" si="27"/>
        <v>461.4</v>
      </c>
      <c r="Y54" s="204">
        <f t="shared" si="27"/>
        <v>671</v>
      </c>
      <c r="Z54" s="204">
        <f t="shared" si="27"/>
        <v>494.2</v>
      </c>
      <c r="AA54" s="204">
        <f t="shared" si="27"/>
        <v>702.4</v>
      </c>
      <c r="AB54" s="204">
        <f t="shared" si="27"/>
        <v>386.2</v>
      </c>
      <c r="AC54" s="204">
        <f t="shared" si="27"/>
        <v>535.20000000000005</v>
      </c>
      <c r="AD54" s="204">
        <f t="shared" si="27"/>
        <v>747</v>
      </c>
      <c r="AE54" s="204">
        <f t="shared" si="27"/>
        <v>239.2</v>
      </c>
      <c r="AF54" s="204" t="e">
        <f t="shared" si="27"/>
        <v>#DIV/0!</v>
      </c>
      <c r="AG54" s="204" t="e">
        <f t="shared" si="27"/>
        <v>#DIV/0!</v>
      </c>
      <c r="AH54" s="204" t="e">
        <f t="shared" si="27"/>
        <v>#DIV/0!</v>
      </c>
      <c r="AI54" s="204" t="e">
        <f t="shared" si="27"/>
        <v>#DIV/0!</v>
      </c>
      <c r="AJ54" s="204" t="e">
        <f t="shared" si="27"/>
        <v>#DIV/0!</v>
      </c>
      <c r="AK54" s="204" t="e">
        <f t="shared" si="27"/>
        <v>#DIV/0!</v>
      </c>
      <c r="AL54" s="204" t="e">
        <f t="shared" si="27"/>
        <v>#DIV/0!</v>
      </c>
      <c r="AM54" s="204">
        <f>AVERAGE(AM44:AM48)</f>
        <v>15647</v>
      </c>
    </row>
    <row r="55" spans="1:39" s="418" customFormat="1" ht="15.75" thickBot="1" x14ac:dyDescent="0.3">
      <c r="A55" s="132" t="s">
        <v>3</v>
      </c>
      <c r="B55" s="210">
        <f>B50+1</f>
        <v>44403</v>
      </c>
      <c r="C55" s="233">
        <v>876</v>
      </c>
      <c r="D55" s="165">
        <v>1056</v>
      </c>
      <c r="E55" s="165"/>
      <c r="F55" s="165">
        <v>1011</v>
      </c>
      <c r="G55" s="234"/>
      <c r="H55" s="165">
        <v>563</v>
      </c>
      <c r="I55" s="201">
        <v>1018</v>
      </c>
      <c r="J55" s="205">
        <v>1202</v>
      </c>
      <c r="K55" s="165">
        <v>291</v>
      </c>
      <c r="L55" s="201">
        <v>1325</v>
      </c>
      <c r="M55" s="205">
        <v>525</v>
      </c>
      <c r="N55" s="165">
        <v>291</v>
      </c>
      <c r="O55" s="165">
        <v>317</v>
      </c>
      <c r="P55" s="165">
        <v>124</v>
      </c>
      <c r="Q55" s="167">
        <v>101</v>
      </c>
      <c r="R55" s="165">
        <v>334</v>
      </c>
      <c r="S55" s="201">
        <v>116</v>
      </c>
      <c r="T55" s="232">
        <v>545</v>
      </c>
      <c r="U55" s="165">
        <v>280</v>
      </c>
      <c r="V55" s="165">
        <v>589</v>
      </c>
      <c r="W55" s="165">
        <v>602</v>
      </c>
      <c r="X55" s="165">
        <v>460</v>
      </c>
      <c r="Y55" s="167">
        <v>544</v>
      </c>
      <c r="Z55" s="167">
        <v>437</v>
      </c>
      <c r="AA55" s="205">
        <v>692</v>
      </c>
      <c r="AB55" s="165">
        <v>355</v>
      </c>
      <c r="AC55" s="165">
        <v>396</v>
      </c>
      <c r="AD55" s="165">
        <v>790</v>
      </c>
      <c r="AE55" s="201">
        <v>232</v>
      </c>
      <c r="AF55" s="232"/>
      <c r="AG55" s="165"/>
      <c r="AH55" s="165"/>
      <c r="AI55" s="165"/>
      <c r="AJ55" s="201"/>
      <c r="AK55" s="205"/>
      <c r="AL55" s="201"/>
      <c r="AM55" s="417">
        <f t="shared" ref="AM55:AM59" si="28">SUM(C55:AL55)</f>
        <v>15072</v>
      </c>
    </row>
    <row r="56" spans="1:39" s="418" customFormat="1" ht="15.75" thickBot="1" x14ac:dyDescent="0.3">
      <c r="A56" s="132" t="s">
        <v>4</v>
      </c>
      <c r="B56" s="210">
        <f t="shared" ref="B56:B60" si="29">B55+1</f>
        <v>44404</v>
      </c>
      <c r="C56" s="233">
        <v>873</v>
      </c>
      <c r="D56" s="165">
        <v>1068</v>
      </c>
      <c r="E56" s="165"/>
      <c r="F56" s="165">
        <v>1252</v>
      </c>
      <c r="G56" s="234"/>
      <c r="H56" s="165">
        <v>636</v>
      </c>
      <c r="I56" s="201">
        <v>1168</v>
      </c>
      <c r="J56" s="205">
        <v>1749</v>
      </c>
      <c r="K56" s="165">
        <v>392</v>
      </c>
      <c r="L56" s="201">
        <v>1829</v>
      </c>
      <c r="M56" s="205">
        <v>681</v>
      </c>
      <c r="N56" s="165">
        <v>256</v>
      </c>
      <c r="O56" s="165">
        <v>375</v>
      </c>
      <c r="P56" s="165">
        <v>158</v>
      </c>
      <c r="Q56" s="167">
        <v>157</v>
      </c>
      <c r="R56" s="165">
        <v>254</v>
      </c>
      <c r="S56" s="201">
        <v>116</v>
      </c>
      <c r="T56" s="232">
        <v>679</v>
      </c>
      <c r="U56" s="165">
        <v>351</v>
      </c>
      <c r="V56" s="165">
        <v>652</v>
      </c>
      <c r="W56" s="165">
        <v>686</v>
      </c>
      <c r="X56" s="165">
        <v>397</v>
      </c>
      <c r="Y56" s="167">
        <v>589</v>
      </c>
      <c r="Z56" s="167">
        <v>428</v>
      </c>
      <c r="AA56" s="205">
        <v>732</v>
      </c>
      <c r="AB56" s="165">
        <v>411</v>
      </c>
      <c r="AC56" s="165">
        <v>524</v>
      </c>
      <c r="AD56" s="165">
        <v>882</v>
      </c>
      <c r="AE56" s="201">
        <v>234</v>
      </c>
      <c r="AF56" s="232"/>
      <c r="AG56" s="165"/>
      <c r="AH56" s="165"/>
      <c r="AI56" s="165"/>
      <c r="AJ56" s="201"/>
      <c r="AK56" s="205"/>
      <c r="AL56" s="201"/>
      <c r="AM56" s="417">
        <f t="shared" si="28"/>
        <v>17529</v>
      </c>
    </row>
    <row r="57" spans="1:39" s="418" customFormat="1" ht="15.75" thickBot="1" x14ac:dyDescent="0.3">
      <c r="A57" s="132" t="s">
        <v>5</v>
      </c>
      <c r="B57" s="210">
        <f t="shared" si="29"/>
        <v>44405</v>
      </c>
      <c r="C57" s="233">
        <v>908</v>
      </c>
      <c r="D57" s="165">
        <v>1133</v>
      </c>
      <c r="E57" s="165"/>
      <c r="F57" s="165">
        <v>1328</v>
      </c>
      <c r="G57" s="234"/>
      <c r="H57" s="165">
        <v>609</v>
      </c>
      <c r="I57" s="201">
        <v>1060</v>
      </c>
      <c r="J57" s="205">
        <v>1014</v>
      </c>
      <c r="K57" s="165">
        <v>295</v>
      </c>
      <c r="L57" s="201">
        <v>1103</v>
      </c>
      <c r="M57" s="205">
        <v>626</v>
      </c>
      <c r="N57" s="165">
        <v>256</v>
      </c>
      <c r="O57" s="165">
        <v>339</v>
      </c>
      <c r="P57" s="165">
        <v>180</v>
      </c>
      <c r="Q57" s="167">
        <v>140</v>
      </c>
      <c r="R57" s="165">
        <v>434</v>
      </c>
      <c r="S57" s="201">
        <v>171</v>
      </c>
      <c r="T57" s="232">
        <v>678</v>
      </c>
      <c r="U57" s="165">
        <v>352</v>
      </c>
      <c r="V57" s="165">
        <v>714</v>
      </c>
      <c r="W57" s="165">
        <v>776</v>
      </c>
      <c r="X57" s="165">
        <v>544</v>
      </c>
      <c r="Y57" s="167">
        <v>581</v>
      </c>
      <c r="Z57" s="167">
        <v>507</v>
      </c>
      <c r="AA57" s="205">
        <v>760</v>
      </c>
      <c r="AB57" s="165">
        <v>377</v>
      </c>
      <c r="AC57" s="165">
        <v>529</v>
      </c>
      <c r="AD57" s="165">
        <v>803</v>
      </c>
      <c r="AE57" s="201">
        <v>235</v>
      </c>
      <c r="AF57" s="232"/>
      <c r="AG57" s="165"/>
      <c r="AH57" s="165"/>
      <c r="AI57" s="165"/>
      <c r="AJ57" s="201"/>
      <c r="AK57" s="205"/>
      <c r="AL57" s="201"/>
      <c r="AM57" s="417">
        <f t="shared" si="28"/>
        <v>16452</v>
      </c>
    </row>
    <row r="58" spans="1:39" s="418" customFormat="1" ht="15.75" thickBot="1" x14ac:dyDescent="0.3">
      <c r="A58" s="132" t="s">
        <v>6</v>
      </c>
      <c r="B58" s="210">
        <f t="shared" si="29"/>
        <v>44406</v>
      </c>
      <c r="C58" s="233">
        <v>466</v>
      </c>
      <c r="D58" s="165">
        <v>541</v>
      </c>
      <c r="E58" s="165">
        <v>150</v>
      </c>
      <c r="F58" s="165">
        <v>781</v>
      </c>
      <c r="G58" s="234"/>
      <c r="H58" s="165">
        <v>451</v>
      </c>
      <c r="I58" s="201">
        <v>754</v>
      </c>
      <c r="J58" s="205">
        <v>533</v>
      </c>
      <c r="K58" s="165">
        <v>151</v>
      </c>
      <c r="L58" s="201">
        <v>545</v>
      </c>
      <c r="M58" s="205">
        <v>311</v>
      </c>
      <c r="N58" s="165">
        <v>128</v>
      </c>
      <c r="O58" s="165">
        <v>185</v>
      </c>
      <c r="P58" s="165">
        <v>82</v>
      </c>
      <c r="Q58" s="167">
        <v>59</v>
      </c>
      <c r="R58" s="165">
        <v>176</v>
      </c>
      <c r="S58" s="201">
        <v>58</v>
      </c>
      <c r="T58" s="232">
        <v>314</v>
      </c>
      <c r="U58" s="165">
        <v>287</v>
      </c>
      <c r="V58" s="165">
        <v>448</v>
      </c>
      <c r="W58" s="165">
        <v>412</v>
      </c>
      <c r="X58" s="165">
        <v>281</v>
      </c>
      <c r="Y58" s="167">
        <v>383</v>
      </c>
      <c r="Z58" s="167">
        <v>230</v>
      </c>
      <c r="AA58" s="205">
        <v>366</v>
      </c>
      <c r="AB58" s="165">
        <v>240</v>
      </c>
      <c r="AC58" s="165">
        <v>288</v>
      </c>
      <c r="AD58" s="165">
        <v>471</v>
      </c>
      <c r="AE58" s="201">
        <v>132</v>
      </c>
      <c r="AF58" s="232"/>
      <c r="AG58" s="165"/>
      <c r="AH58" s="165"/>
      <c r="AI58" s="165"/>
      <c r="AJ58" s="201"/>
      <c r="AK58" s="205"/>
      <c r="AL58" s="201"/>
      <c r="AM58" s="417">
        <f t="shared" si="28"/>
        <v>9223</v>
      </c>
    </row>
    <row r="59" spans="1:39" s="418" customFormat="1" ht="15.75" thickBot="1" x14ac:dyDescent="0.3">
      <c r="A59" s="132" t="s">
        <v>0</v>
      </c>
      <c r="B59" s="210">
        <f t="shared" si="29"/>
        <v>44407</v>
      </c>
      <c r="C59" s="484">
        <v>1385</v>
      </c>
      <c r="D59" s="165">
        <v>1669</v>
      </c>
      <c r="E59" s="165">
        <v>451</v>
      </c>
      <c r="F59" s="165">
        <v>1398</v>
      </c>
      <c r="G59" s="165"/>
      <c r="H59" s="165">
        <v>1009</v>
      </c>
      <c r="I59" s="201">
        <v>1412</v>
      </c>
      <c r="J59" s="205">
        <v>1763</v>
      </c>
      <c r="K59" s="165">
        <v>400</v>
      </c>
      <c r="L59" s="201">
        <v>1713</v>
      </c>
      <c r="M59" s="205">
        <v>701</v>
      </c>
      <c r="N59" s="165">
        <v>531</v>
      </c>
      <c r="O59" s="165">
        <v>553</v>
      </c>
      <c r="P59" s="165">
        <v>210</v>
      </c>
      <c r="Q59" s="167">
        <v>286</v>
      </c>
      <c r="R59" s="165">
        <v>464</v>
      </c>
      <c r="S59" s="201">
        <v>162</v>
      </c>
      <c r="T59" s="232">
        <v>719</v>
      </c>
      <c r="U59" s="165">
        <v>356</v>
      </c>
      <c r="V59" s="165">
        <v>745</v>
      </c>
      <c r="W59" s="165">
        <v>757</v>
      </c>
      <c r="X59" s="165">
        <v>491</v>
      </c>
      <c r="Y59" s="167">
        <v>826</v>
      </c>
      <c r="Z59" s="167">
        <v>519</v>
      </c>
      <c r="AA59" s="205">
        <v>829</v>
      </c>
      <c r="AB59" s="165">
        <v>424</v>
      </c>
      <c r="AC59" s="165">
        <v>584</v>
      </c>
      <c r="AD59" s="165">
        <v>1022</v>
      </c>
      <c r="AE59" s="201">
        <v>268</v>
      </c>
      <c r="AF59" s="232"/>
      <c r="AG59" s="165"/>
      <c r="AH59" s="165"/>
      <c r="AI59" s="165"/>
      <c r="AJ59" s="201"/>
      <c r="AK59" s="205">
        <v>1003</v>
      </c>
      <c r="AL59" s="201">
        <v>691</v>
      </c>
      <c r="AM59" s="417">
        <f t="shared" si="28"/>
        <v>23341</v>
      </c>
    </row>
    <row r="60" spans="1:39" s="418" customFormat="1" ht="15.75" thickBot="1" x14ac:dyDescent="0.3">
      <c r="A60" s="132" t="s">
        <v>1</v>
      </c>
      <c r="B60" s="210">
        <f t="shared" si="29"/>
        <v>44408</v>
      </c>
      <c r="C60" s="205">
        <v>2217</v>
      </c>
      <c r="D60" s="165">
        <v>2894</v>
      </c>
      <c r="E60" s="165">
        <v>599</v>
      </c>
      <c r="F60" s="165">
        <v>2963</v>
      </c>
      <c r="G60" s="165"/>
      <c r="H60" s="165">
        <v>1642</v>
      </c>
      <c r="I60" s="201">
        <v>2588</v>
      </c>
      <c r="J60" s="205">
        <v>4065</v>
      </c>
      <c r="K60" s="165">
        <v>672</v>
      </c>
      <c r="L60" s="201">
        <v>4233</v>
      </c>
      <c r="M60" s="205">
        <v>1351</v>
      </c>
      <c r="N60" s="165">
        <v>926</v>
      </c>
      <c r="O60" s="165">
        <v>755</v>
      </c>
      <c r="P60" s="165">
        <v>430</v>
      </c>
      <c r="Q60" s="167">
        <v>350</v>
      </c>
      <c r="R60" s="165">
        <v>941</v>
      </c>
      <c r="S60" s="201">
        <v>322</v>
      </c>
      <c r="T60" s="232">
        <v>1498</v>
      </c>
      <c r="U60" s="165">
        <v>332</v>
      </c>
      <c r="V60" s="165">
        <v>876</v>
      </c>
      <c r="W60" s="165">
        <v>1247</v>
      </c>
      <c r="X60" s="165">
        <v>903</v>
      </c>
      <c r="Y60" s="167">
        <v>1303</v>
      </c>
      <c r="Z60" s="167">
        <v>1158</v>
      </c>
      <c r="AA60" s="205">
        <v>1396</v>
      </c>
      <c r="AB60" s="165">
        <v>583</v>
      </c>
      <c r="AC60" s="165">
        <v>1382</v>
      </c>
      <c r="AD60" s="165">
        <v>1160</v>
      </c>
      <c r="AE60" s="201">
        <v>448</v>
      </c>
      <c r="AF60" s="232"/>
      <c r="AG60" s="165"/>
      <c r="AH60" s="165"/>
      <c r="AI60" s="165"/>
      <c r="AJ60" s="201"/>
      <c r="AK60" s="205">
        <v>485</v>
      </c>
      <c r="AL60" s="201">
        <v>432</v>
      </c>
      <c r="AM60" s="417"/>
    </row>
    <row r="61" spans="1:39" ht="15.75" hidden="1" thickBot="1" x14ac:dyDescent="0.3">
      <c r="A61" s="132" t="s">
        <v>2</v>
      </c>
      <c r="B61" s="210"/>
      <c r="C61" s="202">
        <v>1228</v>
      </c>
      <c r="D61" s="189">
        <v>1592</v>
      </c>
      <c r="E61" s="189">
        <v>738</v>
      </c>
      <c r="F61" s="189">
        <v>1336</v>
      </c>
      <c r="G61" s="189"/>
      <c r="H61" s="189">
        <v>1095</v>
      </c>
      <c r="I61" s="198">
        <v>1211</v>
      </c>
      <c r="J61" s="202">
        <v>1180</v>
      </c>
      <c r="K61" s="189">
        <v>428</v>
      </c>
      <c r="L61" s="198">
        <v>1327</v>
      </c>
      <c r="M61" s="202">
        <v>674</v>
      </c>
      <c r="N61" s="189">
        <v>842</v>
      </c>
      <c r="O61" s="189">
        <v>458</v>
      </c>
      <c r="P61" s="189">
        <v>256</v>
      </c>
      <c r="Q61" s="197">
        <v>312</v>
      </c>
      <c r="R61" s="189">
        <v>658</v>
      </c>
      <c r="S61" s="198">
        <v>239</v>
      </c>
      <c r="T61" s="211">
        <v>910</v>
      </c>
      <c r="U61" s="189">
        <v>204</v>
      </c>
      <c r="V61" s="189">
        <v>463</v>
      </c>
      <c r="W61" s="189">
        <v>909</v>
      </c>
      <c r="X61" s="189">
        <v>681</v>
      </c>
      <c r="Y61" s="197">
        <v>755</v>
      </c>
      <c r="Z61" s="197">
        <v>625</v>
      </c>
      <c r="AA61" s="202">
        <v>762</v>
      </c>
      <c r="AB61" s="165">
        <v>351</v>
      </c>
      <c r="AC61" s="189">
        <v>539</v>
      </c>
      <c r="AD61" s="189">
        <v>617</v>
      </c>
      <c r="AE61" s="198">
        <v>253</v>
      </c>
      <c r="AF61" s="211"/>
      <c r="AG61" s="189"/>
      <c r="AH61" s="189"/>
      <c r="AI61" s="189"/>
      <c r="AJ61" s="198"/>
      <c r="AK61" s="202"/>
      <c r="AL61" s="198"/>
      <c r="AM61" s="169"/>
    </row>
    <row r="62" spans="1:39" ht="15.75" thickBot="1" x14ac:dyDescent="0.3">
      <c r="A62" s="140" t="s">
        <v>19</v>
      </c>
      <c r="B62" s="651" t="s">
        <v>26</v>
      </c>
      <c r="C62" s="203">
        <f>SUM(C55:C60)</f>
        <v>6725</v>
      </c>
      <c r="D62" s="203">
        <f>SUM(D55:D60)</f>
        <v>8361</v>
      </c>
      <c r="E62" s="203">
        <f>SUM(E55:E60)</f>
        <v>1200</v>
      </c>
      <c r="F62" s="203">
        <f>SUM(F55:F60)</f>
        <v>8733</v>
      </c>
      <c r="G62" s="203">
        <f t="shared" ref="G62:AL62" si="30">SUM(G55:G60)</f>
        <v>0</v>
      </c>
      <c r="H62" s="203">
        <f t="shared" si="30"/>
        <v>4910</v>
      </c>
      <c r="I62" s="203">
        <f t="shared" si="30"/>
        <v>8000</v>
      </c>
      <c r="J62" s="203">
        <f t="shared" si="30"/>
        <v>10326</v>
      </c>
      <c r="K62" s="203">
        <f t="shared" si="30"/>
        <v>2201</v>
      </c>
      <c r="L62" s="203">
        <f t="shared" si="30"/>
        <v>10748</v>
      </c>
      <c r="M62" s="203">
        <f t="shared" si="30"/>
        <v>4195</v>
      </c>
      <c r="N62" s="203">
        <f t="shared" si="30"/>
        <v>2388</v>
      </c>
      <c r="O62" s="203">
        <f t="shared" si="30"/>
        <v>2524</v>
      </c>
      <c r="P62" s="203">
        <f t="shared" si="30"/>
        <v>1184</v>
      </c>
      <c r="Q62" s="203">
        <f t="shared" si="30"/>
        <v>1093</v>
      </c>
      <c r="R62" s="203">
        <f t="shared" si="30"/>
        <v>2603</v>
      </c>
      <c r="S62" s="203">
        <f t="shared" si="30"/>
        <v>945</v>
      </c>
      <c r="T62" s="203">
        <f t="shared" si="30"/>
        <v>4433</v>
      </c>
      <c r="U62" s="203">
        <f t="shared" si="30"/>
        <v>1958</v>
      </c>
      <c r="V62" s="203">
        <f t="shared" si="30"/>
        <v>4024</v>
      </c>
      <c r="W62" s="203">
        <f t="shared" si="30"/>
        <v>4480</v>
      </c>
      <c r="X62" s="203">
        <f t="shared" si="30"/>
        <v>3076</v>
      </c>
      <c r="Y62" s="203">
        <f t="shared" si="30"/>
        <v>4226</v>
      </c>
      <c r="Z62" s="203">
        <f t="shared" si="30"/>
        <v>3279</v>
      </c>
      <c r="AA62" s="203">
        <f t="shared" si="30"/>
        <v>4775</v>
      </c>
      <c r="AB62" s="203">
        <f t="shared" si="30"/>
        <v>2390</v>
      </c>
      <c r="AC62" s="203">
        <f t="shared" si="30"/>
        <v>3703</v>
      </c>
      <c r="AD62" s="203">
        <f t="shared" si="30"/>
        <v>5128</v>
      </c>
      <c r="AE62" s="203">
        <f>SUM(AE55:AE60)</f>
        <v>1549</v>
      </c>
      <c r="AF62" s="203">
        <f t="shared" si="30"/>
        <v>0</v>
      </c>
      <c r="AG62" s="203">
        <f t="shared" si="30"/>
        <v>0</v>
      </c>
      <c r="AH62" s="203">
        <f t="shared" si="30"/>
        <v>0</v>
      </c>
      <c r="AI62" s="203">
        <f t="shared" si="30"/>
        <v>0</v>
      </c>
      <c r="AJ62" s="203">
        <f t="shared" si="30"/>
        <v>0</v>
      </c>
      <c r="AK62" s="203">
        <f t="shared" si="30"/>
        <v>1488</v>
      </c>
      <c r="AL62" s="203">
        <f t="shared" si="30"/>
        <v>1123</v>
      </c>
      <c r="AM62" s="203">
        <f>SUM(AM55:AM60)</f>
        <v>81617</v>
      </c>
    </row>
    <row r="63" spans="1:39" ht="15.75" thickBot="1" x14ac:dyDescent="0.3">
      <c r="A63" s="99" t="s">
        <v>21</v>
      </c>
      <c r="B63" s="651"/>
      <c r="C63" s="203">
        <f>AVERAGE(C55:C60)</f>
        <v>1120.8333333333333</v>
      </c>
      <c r="D63" s="203">
        <f t="shared" ref="D63:E63" si="31">AVERAGE(D55:D60)</f>
        <v>1393.5</v>
      </c>
      <c r="E63" s="203">
        <f t="shared" si="31"/>
        <v>400</v>
      </c>
      <c r="F63" s="203">
        <f>AVERAGE(F55:F60)</f>
        <v>1455.5</v>
      </c>
      <c r="G63" s="203" t="e">
        <f>AVERAGE(G55:G60)</f>
        <v>#DIV/0!</v>
      </c>
      <c r="H63" s="203">
        <f t="shared" ref="H63:AL63" si="32">AVERAGE(H55:H60)</f>
        <v>818.33333333333337</v>
      </c>
      <c r="I63" s="203">
        <f t="shared" si="32"/>
        <v>1333.3333333333333</v>
      </c>
      <c r="J63" s="203">
        <f t="shared" si="32"/>
        <v>1721</v>
      </c>
      <c r="K63" s="203">
        <f t="shared" si="32"/>
        <v>366.83333333333331</v>
      </c>
      <c r="L63" s="203">
        <f t="shared" si="32"/>
        <v>1791.3333333333333</v>
      </c>
      <c r="M63" s="203">
        <f t="shared" si="32"/>
        <v>699.16666666666663</v>
      </c>
      <c r="N63" s="203">
        <f t="shared" si="32"/>
        <v>398</v>
      </c>
      <c r="O63" s="203">
        <f t="shared" si="32"/>
        <v>420.66666666666669</v>
      </c>
      <c r="P63" s="203">
        <f t="shared" si="32"/>
        <v>197.33333333333334</v>
      </c>
      <c r="Q63" s="203">
        <f t="shared" si="32"/>
        <v>182.16666666666666</v>
      </c>
      <c r="R63" s="203">
        <f t="shared" si="32"/>
        <v>433.83333333333331</v>
      </c>
      <c r="S63" s="203">
        <f t="shared" si="32"/>
        <v>157.5</v>
      </c>
      <c r="T63" s="203">
        <f t="shared" si="32"/>
        <v>738.83333333333337</v>
      </c>
      <c r="U63" s="203">
        <f t="shared" si="32"/>
        <v>326.33333333333331</v>
      </c>
      <c r="V63" s="203">
        <f t="shared" si="32"/>
        <v>670.66666666666663</v>
      </c>
      <c r="W63" s="203">
        <f t="shared" si="32"/>
        <v>746.66666666666663</v>
      </c>
      <c r="X63" s="203">
        <f t="shared" si="32"/>
        <v>512.66666666666663</v>
      </c>
      <c r="Y63" s="203">
        <f t="shared" si="32"/>
        <v>704.33333333333337</v>
      </c>
      <c r="Z63" s="203">
        <f t="shared" si="32"/>
        <v>546.5</v>
      </c>
      <c r="AA63" s="203">
        <f t="shared" si="32"/>
        <v>795.83333333333337</v>
      </c>
      <c r="AB63" s="203">
        <f t="shared" si="32"/>
        <v>398.33333333333331</v>
      </c>
      <c r="AC63" s="203">
        <f t="shared" si="32"/>
        <v>617.16666666666663</v>
      </c>
      <c r="AD63" s="203">
        <f t="shared" si="32"/>
        <v>854.66666666666663</v>
      </c>
      <c r="AE63" s="203">
        <f t="shared" si="32"/>
        <v>258.16666666666669</v>
      </c>
      <c r="AF63" s="203" t="e">
        <f t="shared" si="32"/>
        <v>#DIV/0!</v>
      </c>
      <c r="AG63" s="203" t="e">
        <f t="shared" si="32"/>
        <v>#DIV/0!</v>
      </c>
      <c r="AH63" s="203" t="e">
        <f t="shared" si="32"/>
        <v>#DIV/0!</v>
      </c>
      <c r="AI63" s="203" t="e">
        <f t="shared" si="32"/>
        <v>#DIV/0!</v>
      </c>
      <c r="AJ63" s="203" t="e">
        <f t="shared" si="32"/>
        <v>#DIV/0!</v>
      </c>
      <c r="AK63" s="203">
        <f t="shared" si="32"/>
        <v>744</v>
      </c>
      <c r="AL63" s="203">
        <f t="shared" si="32"/>
        <v>561.5</v>
      </c>
      <c r="AM63" s="203">
        <f>AVERAGE(AM55:AM60)</f>
        <v>16323.4</v>
      </c>
    </row>
    <row r="64" spans="1:39" ht="15.75" thickBot="1" x14ac:dyDescent="0.3">
      <c r="A64" s="26" t="s">
        <v>18</v>
      </c>
      <c r="B64" s="651"/>
      <c r="C64" s="203">
        <f t="shared" ref="C64:AF64" si="33">SUM(C55:C59)</f>
        <v>4508</v>
      </c>
      <c r="D64" s="203">
        <f t="shared" si="33"/>
        <v>5467</v>
      </c>
      <c r="E64" s="203">
        <f t="shared" si="33"/>
        <v>601</v>
      </c>
      <c r="F64" s="203">
        <f t="shared" si="33"/>
        <v>5770</v>
      </c>
      <c r="G64" s="203">
        <f t="shared" si="33"/>
        <v>0</v>
      </c>
      <c r="H64" s="203">
        <f t="shared" si="33"/>
        <v>3268</v>
      </c>
      <c r="I64" s="203">
        <f t="shared" si="33"/>
        <v>5412</v>
      </c>
      <c r="J64" s="203">
        <f t="shared" si="33"/>
        <v>6261</v>
      </c>
      <c r="K64" s="203">
        <f t="shared" si="33"/>
        <v>1529</v>
      </c>
      <c r="L64" s="203">
        <f t="shared" si="33"/>
        <v>6515</v>
      </c>
      <c r="M64" s="203">
        <f t="shared" si="33"/>
        <v>2844</v>
      </c>
      <c r="N64" s="203">
        <f t="shared" si="33"/>
        <v>1462</v>
      </c>
      <c r="O64" s="203">
        <f t="shared" si="33"/>
        <v>1769</v>
      </c>
      <c r="P64" s="203">
        <f t="shared" si="33"/>
        <v>754</v>
      </c>
      <c r="Q64" s="203">
        <f t="shared" si="33"/>
        <v>743</v>
      </c>
      <c r="R64" s="203">
        <f t="shared" si="33"/>
        <v>1662</v>
      </c>
      <c r="S64" s="203">
        <f t="shared" si="33"/>
        <v>623</v>
      </c>
      <c r="T64" s="203">
        <f t="shared" si="33"/>
        <v>2935</v>
      </c>
      <c r="U64" s="203">
        <f t="shared" si="33"/>
        <v>1626</v>
      </c>
      <c r="V64" s="203">
        <f t="shared" si="33"/>
        <v>3148</v>
      </c>
      <c r="W64" s="203">
        <f t="shared" si="33"/>
        <v>3233</v>
      </c>
      <c r="X64" s="203">
        <f t="shared" si="33"/>
        <v>2173</v>
      </c>
      <c r="Y64" s="203">
        <f t="shared" si="33"/>
        <v>2923</v>
      </c>
      <c r="Z64" s="203">
        <f t="shared" si="33"/>
        <v>2121</v>
      </c>
      <c r="AA64" s="203">
        <f t="shared" si="33"/>
        <v>3379</v>
      </c>
      <c r="AB64" s="203">
        <f t="shared" si="33"/>
        <v>1807</v>
      </c>
      <c r="AC64" s="203">
        <f t="shared" si="33"/>
        <v>2321</v>
      </c>
      <c r="AD64" s="203">
        <f t="shared" si="33"/>
        <v>3968</v>
      </c>
      <c r="AE64" s="203">
        <f t="shared" si="33"/>
        <v>1101</v>
      </c>
      <c r="AF64" s="203">
        <f t="shared" si="33"/>
        <v>0</v>
      </c>
      <c r="AG64" s="203">
        <f t="shared" ref="AG64:AL64" si="34">SUM(AG55:AG59)</f>
        <v>0</v>
      </c>
      <c r="AH64" s="203">
        <f t="shared" si="34"/>
        <v>0</v>
      </c>
      <c r="AI64" s="203">
        <f t="shared" si="34"/>
        <v>0</v>
      </c>
      <c r="AJ64" s="203">
        <f t="shared" si="34"/>
        <v>0</v>
      </c>
      <c r="AK64" s="203">
        <f t="shared" si="34"/>
        <v>1003</v>
      </c>
      <c r="AL64" s="203">
        <f t="shared" si="34"/>
        <v>691</v>
      </c>
      <c r="AM64" s="203">
        <f>SUM(AM55:AM59)</f>
        <v>81617</v>
      </c>
    </row>
    <row r="65" spans="1:39" ht="15.75" thickBot="1" x14ac:dyDescent="0.3">
      <c r="A65" s="26" t="s">
        <v>20</v>
      </c>
      <c r="B65" s="671"/>
      <c r="C65" s="36">
        <f>AVERAGE(C55:C59)</f>
        <v>901.6</v>
      </c>
      <c r="D65" s="36">
        <f t="shared" ref="D65:T65" si="35">AVERAGE(D55:D59)</f>
        <v>1093.4000000000001</v>
      </c>
      <c r="E65" s="36">
        <f t="shared" si="35"/>
        <v>300.5</v>
      </c>
      <c r="F65" s="36">
        <f t="shared" si="35"/>
        <v>1154</v>
      </c>
      <c r="G65" s="36" t="e">
        <f t="shared" si="35"/>
        <v>#DIV/0!</v>
      </c>
      <c r="H65" s="36">
        <f t="shared" si="35"/>
        <v>653.6</v>
      </c>
      <c r="I65" s="36">
        <f t="shared" si="35"/>
        <v>1082.4000000000001</v>
      </c>
      <c r="J65" s="36">
        <f t="shared" si="35"/>
        <v>1252.2</v>
      </c>
      <c r="K65" s="36">
        <f t="shared" si="35"/>
        <v>305.8</v>
      </c>
      <c r="L65" s="36">
        <f t="shared" si="35"/>
        <v>1303</v>
      </c>
      <c r="M65" s="36">
        <f t="shared" si="35"/>
        <v>568.79999999999995</v>
      </c>
      <c r="N65" s="36">
        <f t="shared" si="35"/>
        <v>292.39999999999998</v>
      </c>
      <c r="O65" s="36">
        <f t="shared" si="35"/>
        <v>353.8</v>
      </c>
      <c r="P65" s="36">
        <f t="shared" si="35"/>
        <v>150.80000000000001</v>
      </c>
      <c r="Q65" s="36">
        <f t="shared" si="35"/>
        <v>148.6</v>
      </c>
      <c r="R65" s="36">
        <f t="shared" si="35"/>
        <v>332.4</v>
      </c>
      <c r="S65" s="36">
        <f t="shared" si="35"/>
        <v>124.6</v>
      </c>
      <c r="T65" s="36">
        <f t="shared" si="35"/>
        <v>587</v>
      </c>
      <c r="U65" s="36">
        <f>AVERAGE(U55:U59)</f>
        <v>325.2</v>
      </c>
      <c r="V65" s="36">
        <f t="shared" ref="V65:AL65" si="36">AVERAGE(V55:V59)</f>
        <v>629.6</v>
      </c>
      <c r="W65" s="36">
        <f t="shared" si="36"/>
        <v>646.6</v>
      </c>
      <c r="X65" s="36">
        <f t="shared" si="36"/>
        <v>434.6</v>
      </c>
      <c r="Y65" s="36">
        <f t="shared" si="36"/>
        <v>584.6</v>
      </c>
      <c r="Z65" s="36">
        <f t="shared" si="36"/>
        <v>424.2</v>
      </c>
      <c r="AA65" s="36">
        <f t="shared" si="36"/>
        <v>675.8</v>
      </c>
      <c r="AB65" s="36">
        <f t="shared" si="36"/>
        <v>361.4</v>
      </c>
      <c r="AC65" s="36">
        <f t="shared" si="36"/>
        <v>464.2</v>
      </c>
      <c r="AD65" s="36">
        <f t="shared" si="36"/>
        <v>793.6</v>
      </c>
      <c r="AE65" s="36">
        <f t="shared" si="36"/>
        <v>220.2</v>
      </c>
      <c r="AF65" s="36" t="e">
        <f t="shared" si="36"/>
        <v>#DIV/0!</v>
      </c>
      <c r="AG65" s="36" t="e">
        <f t="shared" si="36"/>
        <v>#DIV/0!</v>
      </c>
      <c r="AH65" s="36" t="e">
        <f t="shared" si="36"/>
        <v>#DIV/0!</v>
      </c>
      <c r="AI65" s="36" t="e">
        <f t="shared" si="36"/>
        <v>#DIV/0!</v>
      </c>
      <c r="AJ65" s="36" t="e">
        <f t="shared" si="36"/>
        <v>#DIV/0!</v>
      </c>
      <c r="AK65" s="36">
        <f t="shared" si="36"/>
        <v>1003</v>
      </c>
      <c r="AL65" s="36">
        <f t="shared" si="36"/>
        <v>691</v>
      </c>
      <c r="AM65" s="36">
        <f>AVERAGE(AM55:AM59)</f>
        <v>16323.4</v>
      </c>
    </row>
    <row r="66" spans="1:39" x14ac:dyDescent="0.25">
      <c r="A66" s="4"/>
      <c r="B66" s="116"/>
      <c r="C66" s="116"/>
      <c r="D66" s="5"/>
      <c r="E66" s="5"/>
      <c r="F66" s="5"/>
      <c r="G66" s="5"/>
      <c r="H66" s="5"/>
      <c r="I66" s="5"/>
      <c r="J66" s="5"/>
      <c r="K66" s="5"/>
      <c r="L66" s="5"/>
      <c r="M66" s="5"/>
      <c r="N66" s="194"/>
      <c r="O66" s="5"/>
      <c r="P66" s="5"/>
      <c r="Q66" s="5"/>
      <c r="R66" s="5"/>
      <c r="S66" s="5"/>
      <c r="T66" s="5"/>
      <c r="U66" s="194"/>
      <c r="V66" s="5"/>
      <c r="W66" s="5"/>
      <c r="X66" s="5"/>
      <c r="Y66" s="5"/>
      <c r="Z66" s="5"/>
      <c r="AA66" s="5"/>
      <c r="AF66" s="5"/>
    </row>
    <row r="67" spans="1:39" ht="38.25" x14ac:dyDescent="0.25">
      <c r="A67" s="4"/>
      <c r="B67" s="165"/>
      <c r="C67" s="35" t="s">
        <v>10</v>
      </c>
      <c r="D67" s="35" t="s">
        <v>13</v>
      </c>
      <c r="E67" s="35" t="s">
        <v>57</v>
      </c>
      <c r="F67" s="35" t="s">
        <v>59</v>
      </c>
      <c r="G67" s="35" t="s">
        <v>12</v>
      </c>
      <c r="H67" s="35" t="s">
        <v>92</v>
      </c>
      <c r="I67" s="35" t="s">
        <v>58</v>
      </c>
      <c r="J67" s="35" t="s">
        <v>11</v>
      </c>
      <c r="K67" s="35" t="s">
        <v>100</v>
      </c>
      <c r="L67" s="35" t="s">
        <v>65</v>
      </c>
      <c r="M67" s="192" t="s">
        <v>108</v>
      </c>
      <c r="N67" s="192" t="s">
        <v>71</v>
      </c>
      <c r="O67" s="192" t="s">
        <v>70</v>
      </c>
      <c r="P67" s="35" t="s">
        <v>98</v>
      </c>
      <c r="Q67" s="35" t="s">
        <v>73</v>
      </c>
      <c r="R67" s="35" t="s">
        <v>72</v>
      </c>
      <c r="S67" s="35" t="s">
        <v>78</v>
      </c>
      <c r="T67" s="35" t="s">
        <v>79</v>
      </c>
      <c r="U67" s="35" t="s">
        <v>77</v>
      </c>
      <c r="V67" s="35" t="s">
        <v>76</v>
      </c>
      <c r="W67" s="35" t="s">
        <v>29</v>
      </c>
      <c r="X67" s="138"/>
      <c r="Y67" s="138"/>
      <c r="Z67" s="138"/>
      <c r="AA67"/>
      <c r="AC67" s="239"/>
      <c r="AD67" s="209"/>
      <c r="AE67" s="138"/>
      <c r="AF67" s="138"/>
      <c r="AG67" s="1"/>
      <c r="AJ67" s="209"/>
      <c r="AL67"/>
    </row>
    <row r="68" spans="1:39" ht="25.5" x14ac:dyDescent="0.25">
      <c r="B68" s="37" t="s">
        <v>109</v>
      </c>
      <c r="C68" s="166">
        <f>SUM(C7,C18,J7,J18,M7,M18,T7,T18,AA7,AA18,AF7,AF18,AK7,AK18,C29,J29,M29,T29,AA29,AF29,AK29,C40,J40,M40,T40,AA40,AF40,AK40,C51,J51,M51,T51,AA51,AF51,AK51,,C62,J62,M62,T62,AA62,AF62,AK62,)</f>
        <v>145007</v>
      </c>
      <c r="D68" s="166">
        <f>SUM(I7,I18,V7,V18,AB7,AB18,AI7,AI18,I29,V29,AB29,AI29,,I40,V40,AB40,AI40,I51,V51,AB51,AI51,I62,V62,AB62,AI62)</f>
        <v>67644</v>
      </c>
      <c r="E68" s="166">
        <f>SUM(D7,D18,D29,D40,D51,N18,N29,N40,N51,N7,D62,N62)</f>
        <v>53809</v>
      </c>
      <c r="F68" s="166">
        <f>SUM(W7,W18,W29,W40,W51,AJ7,AJ18,AJ29,AJ40,AJ51,W62,AJ62)</f>
        <v>22469</v>
      </c>
      <c r="G68" s="166">
        <f>SUM(G7,G18,G29,G40,G51,G62)</f>
        <v>0</v>
      </c>
      <c r="H68" s="166">
        <f>SUM(H7,H18,H29,H40,H51,H62)</f>
        <v>17331</v>
      </c>
      <c r="I68" s="166">
        <f>SUM(E7,E18,E29,E40,E51,E62)</f>
        <v>1200</v>
      </c>
      <c r="J68" s="166">
        <f>SUM(F7,F18,F29,F40,F51,F62)</f>
        <v>37176</v>
      </c>
      <c r="K68" s="166">
        <f>SUM(K7,K18,K29,K40,K51,Q7,Q18,Q29,Q40,Q51,K62,Q62)</f>
        <v>15119</v>
      </c>
      <c r="L68" s="166">
        <f>SUM(L7,L18,L29,L40,L51,L62)</f>
        <v>45981</v>
      </c>
      <c r="M68" s="193">
        <f>SUM(O7,O18,O29,O40,O51,O62)</f>
        <v>10900</v>
      </c>
      <c r="N68" s="193">
        <f>SUM(P7,P18,P29,P40,P51,P62)</f>
        <v>6190</v>
      </c>
      <c r="O68" s="166">
        <f>SUM(R7,R18,R29,R40,R51,R62)</f>
        <v>12643</v>
      </c>
      <c r="P68" s="166">
        <f>SUM(U7,U18,U29,U40,U51,U62)</f>
        <v>8831</v>
      </c>
      <c r="Q68" s="166">
        <f>SUM(X7,X18,X29,X40,X51,X62)</f>
        <v>15489</v>
      </c>
      <c r="R68" s="166">
        <f>SUM(Y7,Y18,Y29,Y40,Y51,Y62)</f>
        <v>21045</v>
      </c>
      <c r="S68" s="166">
        <f>SUM(AC7,AC18,AC29,AC40,AC51,AC62,Z7,Z18,Z29,Z40,Z51,Z62)</f>
        <v>33511</v>
      </c>
      <c r="T68" s="166">
        <f>SUM(AD7,AD18,AD29,AD40,AD51,AD62)</f>
        <v>22376</v>
      </c>
      <c r="U68" s="166">
        <f>SUM(AG7,AG18,AG29,AG40,AG51,AG62,S7,S18,S29,S40,S51,S62)</f>
        <v>5199</v>
      </c>
      <c r="V68" s="166">
        <f>SUM(AH7,AH18,AH29,AH40,AH51,AH62,AE7,AE18,AE29,AE40,AE51,AE62)</f>
        <v>6938</v>
      </c>
      <c r="W68" s="166">
        <f>SUM(AL7,AL18,AL29,AL40,AL51,AL62)</f>
        <v>4637</v>
      </c>
      <c r="X68" s="170"/>
      <c r="Y68" s="170"/>
      <c r="Z68" s="170"/>
      <c r="AA68"/>
      <c r="AC68" s="239"/>
      <c r="AD68" s="209"/>
      <c r="AE68" s="170"/>
      <c r="AF68" s="170"/>
      <c r="AG68" s="1"/>
      <c r="AJ68" s="209"/>
      <c r="AL68"/>
    </row>
    <row r="69" spans="1:39" ht="25.5" x14ac:dyDescent="0.25">
      <c r="B69" s="37" t="s">
        <v>28</v>
      </c>
      <c r="C69" s="166">
        <f>SUM(C20,J20,M20,T20,,AA20,AF20,AK20,C31,J31,M31,T31,AA31,AF31,AK31,C42,J42,M42,T42,AA42,AF42,AK42,C53,J53,M53,T53,AA53,AF53,AK53,C64,J64,M64,T64,AA64,AF64,AK64)</f>
        <v>86847</v>
      </c>
      <c r="D69" s="166">
        <f>SUM(I20,V20,AB20,AI20,I31,V31,,AB31,AI31,I42,V42,AB42,AI42,,I53,V53,AB53,AI53,I64,V64,AB64,AI64)</f>
        <v>44601</v>
      </c>
      <c r="E69" s="166">
        <f>SUM(D20,D31,D42,D53,N20,N31,N42,N53,D64,N64,)</f>
        <v>29527</v>
      </c>
      <c r="F69" s="166">
        <f>SUM(W20,W31,W42,W53,AJ20,AJ31,AJ42,AJ53,W64,AJ64)</f>
        <v>14419</v>
      </c>
      <c r="G69" s="166">
        <f>SUM(G20,G31,G42,G53,G64)</f>
        <v>0</v>
      </c>
      <c r="H69" s="166">
        <f>SUM(H20,H31,H42,H53,,H64)</f>
        <v>10393</v>
      </c>
      <c r="I69" s="166">
        <f>SUM(E20,E31,E42,E53,E64)</f>
        <v>601</v>
      </c>
      <c r="J69" s="166">
        <f>SUM(F20,F31,F42,F53,F64)</f>
        <v>22128</v>
      </c>
      <c r="K69" s="166">
        <f>SUM(K20,K31,K42,K53,K64,Q20,Q31,Q42,Q53,Q64)</f>
        <v>9556</v>
      </c>
      <c r="L69" s="166">
        <f>SUM(L20,L31,L42,L53,L64)</f>
        <v>28100</v>
      </c>
      <c r="M69" s="166">
        <f>SUM(O20,O31,O42,O53,O64)</f>
        <v>6734</v>
      </c>
      <c r="N69" s="166">
        <f>SUM(P20,P31,P42,P53,P64)</f>
        <v>3606</v>
      </c>
      <c r="O69" s="166">
        <f>SUM(R20,R31,R42,R53,R64)</f>
        <v>7046</v>
      </c>
      <c r="P69" s="166">
        <f>SUM(U20,U31,U42,U53,U64)</f>
        <v>6635</v>
      </c>
      <c r="Q69" s="166">
        <f>SUM(X20,X31,X42,X53,X64)</f>
        <v>9370</v>
      </c>
      <c r="R69" s="166">
        <f>SUM(Y20,Y31,Y42,Y53,Y64)</f>
        <v>12947</v>
      </c>
      <c r="S69" s="166">
        <f>SUM(AC20,AC31,AC42,AC53,AC64,Z20,Z31,Z42,Z53,Z64)</f>
        <v>19809</v>
      </c>
      <c r="T69" s="166">
        <f>SUM(AD20,AD31,AD42,AD53,AD64)</f>
        <v>15748</v>
      </c>
      <c r="U69" s="166">
        <f>SUM(AG20,AG31,AG42,AG53,AG64,S20,S31,S42,S53,S64)</f>
        <v>3061</v>
      </c>
      <c r="V69" s="166">
        <f>SUM(AH20,AH31,AH42,AH53,AH64,AE20,AE31,AE42,AE53,AE64)</f>
        <v>4534</v>
      </c>
      <c r="W69" s="166">
        <f>SUM(AL20,AL31,AL42,AL53,AL64)</f>
        <v>1114</v>
      </c>
      <c r="X69" s="191"/>
      <c r="Y69" s="191"/>
      <c r="Z69" s="191"/>
      <c r="AA69"/>
      <c r="AC69" s="239"/>
      <c r="AD69" s="209"/>
      <c r="AE69" s="191"/>
      <c r="AF69" s="191"/>
      <c r="AG69" s="1"/>
      <c r="AJ69" s="209"/>
      <c r="AL69"/>
    </row>
    <row r="70" spans="1:39" x14ac:dyDescent="0.25">
      <c r="B70" s="1"/>
      <c r="C70" s="1"/>
      <c r="E70" s="117"/>
    </row>
    <row r="71" spans="1:39" ht="15.75" thickBot="1" x14ac:dyDescent="0.3">
      <c r="B71" s="1"/>
      <c r="C71" s="1"/>
      <c r="E71" s="117"/>
      <c r="U71" s="208"/>
    </row>
    <row r="72" spans="1:39" x14ac:dyDescent="0.25">
      <c r="B72" s="1"/>
      <c r="C72" s="672" t="s">
        <v>67</v>
      </c>
      <c r="D72" s="673"/>
      <c r="E72" s="674"/>
      <c r="AG72" s="1"/>
      <c r="AH72" s="1"/>
    </row>
    <row r="73" spans="1:39" x14ac:dyDescent="0.25">
      <c r="C73" s="656" t="s">
        <v>17</v>
      </c>
      <c r="D73" s="657"/>
      <c r="E73" s="335">
        <f>SUM(AM7,AM18,AM29,AM40,AM51,AM62)</f>
        <v>513344</v>
      </c>
      <c r="Q73" s="209"/>
      <c r="R73" s="209"/>
      <c r="S73" s="209"/>
      <c r="T73" s="209"/>
      <c r="U73" s="209"/>
      <c r="V73" s="209"/>
    </row>
    <row r="74" spans="1:39" x14ac:dyDescent="0.25">
      <c r="C74" s="656" t="s">
        <v>28</v>
      </c>
      <c r="D74" s="657"/>
      <c r="E74" s="347">
        <f>SUM(,AM20, AM31, AM42, AM53, AM64)</f>
        <v>336776</v>
      </c>
      <c r="N74" s="208"/>
    </row>
    <row r="75" spans="1:39" x14ac:dyDescent="0.25">
      <c r="C75" s="656" t="s">
        <v>115</v>
      </c>
      <c r="D75" s="657"/>
      <c r="E75" s="335">
        <f>AVERAGE(,AM63, AM52, AM41, AM30, AM19)</f>
        <v>12999.780952380954</v>
      </c>
    </row>
    <row r="76" spans="1:39" ht="15.75" thickBot="1" x14ac:dyDescent="0.3">
      <c r="A76"/>
      <c r="B76"/>
      <c r="C76" s="658" t="s">
        <v>20</v>
      </c>
      <c r="D76" s="659"/>
      <c r="E76" s="273">
        <f>AVERAGE(AM21, AM32, AM43, AM54, AM65)</f>
        <v>13471.039999999999</v>
      </c>
      <c r="F76"/>
      <c r="G76"/>
      <c r="H76"/>
      <c r="I76"/>
      <c r="J76"/>
      <c r="K76"/>
      <c r="L76" s="209"/>
      <c r="M76" s="209"/>
      <c r="N76" s="209"/>
      <c r="O76"/>
      <c r="P76"/>
      <c r="W76" s="209"/>
      <c r="X76" s="209"/>
      <c r="Y76" s="209"/>
      <c r="Z76" s="209"/>
      <c r="AA76" s="209"/>
      <c r="AF76" s="209"/>
    </row>
  </sheetData>
  <mergeCells count="57"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77"/>
  <sheetViews>
    <sheetView zoomScaleNormal="100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K25" sqref="K25:N25"/>
    </sheetView>
  </sheetViews>
  <sheetFormatPr defaultColWidth="9.140625" defaultRowHeight="15" outlineLevelRow="1" x14ac:dyDescent="0.25"/>
  <cols>
    <col min="1" max="1" width="18.7109375" style="1" bestFit="1" customWidth="1"/>
    <col min="2" max="2" width="10.7109375" style="117" customWidth="1"/>
    <col min="3" max="4" width="10.7109375" style="1" customWidth="1"/>
    <col min="5" max="5" width="10.5703125" style="1" bestFit="1" customWidth="1"/>
    <col min="6" max="6" width="14.5703125" style="1" customWidth="1"/>
    <col min="7" max="7" width="10.7109375" style="1" customWidth="1"/>
    <col min="8" max="8" width="11.28515625" style="1" bestFit="1" customWidth="1"/>
    <col min="9" max="14" width="14" style="1" customWidth="1"/>
    <col min="15" max="15" width="15.42578125" style="1" customWidth="1"/>
    <col min="16" max="16" width="18.140625" style="1" customWidth="1"/>
    <col min="17" max="17" width="15.42578125" style="1" customWidth="1"/>
    <col min="18" max="25" width="15.7109375" style="11" customWidth="1"/>
    <col min="26" max="26" width="10.7109375" style="11" customWidth="1"/>
    <col min="27" max="16384" width="9.140625" style="1"/>
  </cols>
  <sheetData>
    <row r="1" spans="1:26" ht="14.45" customHeight="1" x14ac:dyDescent="0.25">
      <c r="A1" s="23"/>
      <c r="B1" s="147"/>
      <c r="C1" s="708" t="s">
        <v>10</v>
      </c>
      <c r="D1" s="709"/>
      <c r="E1" s="709"/>
      <c r="F1" s="709"/>
      <c r="G1" s="709"/>
      <c r="H1" s="710"/>
      <c r="I1" s="706" t="s">
        <v>117</v>
      </c>
      <c r="J1" s="706" t="s">
        <v>116</v>
      </c>
      <c r="K1" s="708" t="s">
        <v>88</v>
      </c>
      <c r="L1" s="709"/>
      <c r="M1" s="709"/>
      <c r="N1" s="710"/>
      <c r="O1" s="649" t="s">
        <v>74</v>
      </c>
      <c r="P1" s="635"/>
      <c r="Q1" s="644"/>
      <c r="R1" s="709" t="s">
        <v>8</v>
      </c>
      <c r="S1" s="709"/>
      <c r="T1" s="709"/>
      <c r="U1" s="709"/>
      <c r="V1" s="709"/>
      <c r="W1" s="709"/>
      <c r="X1" s="709"/>
      <c r="Y1" s="710"/>
      <c r="Z1" s="717" t="s">
        <v>17</v>
      </c>
    </row>
    <row r="2" spans="1:26" ht="30" customHeight="1" thickBot="1" x14ac:dyDescent="0.3">
      <c r="A2" s="24"/>
      <c r="B2" s="148"/>
      <c r="C2" s="711"/>
      <c r="D2" s="712"/>
      <c r="E2" s="712"/>
      <c r="F2" s="712"/>
      <c r="G2" s="712"/>
      <c r="H2" s="713"/>
      <c r="I2" s="707"/>
      <c r="J2" s="707"/>
      <c r="K2" s="714"/>
      <c r="L2" s="715"/>
      <c r="M2" s="715"/>
      <c r="N2" s="716"/>
      <c r="O2" s="702"/>
      <c r="P2" s="643"/>
      <c r="Q2" s="645"/>
      <c r="R2" s="715"/>
      <c r="S2" s="715"/>
      <c r="T2" s="715"/>
      <c r="U2" s="715"/>
      <c r="V2" s="715"/>
      <c r="W2" s="715"/>
      <c r="X2" s="715"/>
      <c r="Y2" s="716"/>
      <c r="Z2" s="718"/>
    </row>
    <row r="3" spans="1:26" x14ac:dyDescent="0.25">
      <c r="A3" s="629" t="s">
        <v>48</v>
      </c>
      <c r="B3" s="733" t="s">
        <v>49</v>
      </c>
      <c r="C3" s="675" t="s">
        <v>14</v>
      </c>
      <c r="D3" s="676" t="s">
        <v>16</v>
      </c>
      <c r="E3" s="676" t="s">
        <v>15</v>
      </c>
      <c r="F3" s="676" t="s">
        <v>37</v>
      </c>
      <c r="G3" s="676" t="s">
        <v>38</v>
      </c>
      <c r="H3" s="697" t="s">
        <v>125</v>
      </c>
      <c r="I3" s="660" t="s">
        <v>118</v>
      </c>
      <c r="J3" s="629" t="s">
        <v>29</v>
      </c>
      <c r="K3" s="660" t="s">
        <v>133</v>
      </c>
      <c r="L3" s="629" t="s">
        <v>134</v>
      </c>
      <c r="M3" s="629" t="s">
        <v>10</v>
      </c>
      <c r="N3" s="660" t="s">
        <v>132</v>
      </c>
      <c r="O3" s="704" t="s">
        <v>14</v>
      </c>
      <c r="P3" s="676" t="s">
        <v>15</v>
      </c>
      <c r="Q3" s="677" t="s">
        <v>36</v>
      </c>
      <c r="R3" s="630" t="s">
        <v>32</v>
      </c>
      <c r="S3" s="720" t="s">
        <v>33</v>
      </c>
      <c r="T3" s="630" t="s">
        <v>34</v>
      </c>
      <c r="U3" s="720" t="s">
        <v>35</v>
      </c>
      <c r="V3" s="722" t="s">
        <v>83</v>
      </c>
      <c r="W3" s="724" t="s">
        <v>14</v>
      </c>
      <c r="X3" s="726" t="s">
        <v>15</v>
      </c>
      <c r="Y3" s="728" t="s">
        <v>123</v>
      </c>
      <c r="Z3" s="718"/>
    </row>
    <row r="4" spans="1:26" ht="21.75" customHeight="1" thickBot="1" x14ac:dyDescent="0.3">
      <c r="A4" s="646"/>
      <c r="B4" s="734"/>
      <c r="C4" s="700"/>
      <c r="D4" s="699"/>
      <c r="E4" s="699"/>
      <c r="F4" s="699"/>
      <c r="G4" s="699"/>
      <c r="H4" s="698"/>
      <c r="I4" s="662"/>
      <c r="J4" s="646"/>
      <c r="K4" s="661"/>
      <c r="L4" s="632"/>
      <c r="M4" s="632"/>
      <c r="N4" s="661"/>
      <c r="O4" s="705"/>
      <c r="P4" s="703"/>
      <c r="Q4" s="701"/>
      <c r="R4" s="647"/>
      <c r="S4" s="721"/>
      <c r="T4" s="647"/>
      <c r="U4" s="721"/>
      <c r="V4" s="723"/>
      <c r="W4" s="725"/>
      <c r="X4" s="727"/>
      <c r="Y4" s="729"/>
      <c r="Z4" s="719"/>
    </row>
    <row r="5" spans="1:26" ht="15.75" hidden="1" customHeight="1" thickBot="1" x14ac:dyDescent="0.3">
      <c r="A5" s="25" t="s">
        <v>3</v>
      </c>
      <c r="B5" s="506"/>
      <c r="C5" s="402"/>
      <c r="D5" s="403"/>
      <c r="E5" s="403"/>
      <c r="F5" s="50"/>
      <c r="G5" s="50"/>
      <c r="H5" s="405"/>
      <c r="I5" s="517"/>
      <c r="J5" s="530"/>
      <c r="K5" s="662"/>
      <c r="L5" s="646"/>
      <c r="M5" s="646"/>
      <c r="N5" s="662"/>
      <c r="O5" s="531"/>
      <c r="P5" s="519"/>
      <c r="Q5" s="520"/>
      <c r="R5" s="521"/>
      <c r="S5" s="522"/>
      <c r="T5" s="522"/>
      <c r="U5" s="522"/>
      <c r="V5" s="520"/>
      <c r="W5" s="518"/>
      <c r="X5" s="519"/>
      <c r="Y5" s="523"/>
      <c r="Z5" s="16">
        <f t="shared" ref="Z5:Z11" si="0">SUM(C5:Y5)</f>
        <v>0</v>
      </c>
    </row>
    <row r="6" spans="1:26" s="3" customFormat="1" ht="15.75" hidden="1" outlineLevel="1" thickBot="1" x14ac:dyDescent="0.3">
      <c r="A6" s="25" t="s">
        <v>4</v>
      </c>
      <c r="B6" s="506"/>
      <c r="C6" s="284"/>
      <c r="D6" s="188"/>
      <c r="E6" s="188"/>
      <c r="F6" s="14"/>
      <c r="G6" s="14"/>
      <c r="H6" s="231"/>
      <c r="I6" s="494"/>
      <c r="J6" s="508"/>
      <c r="K6" s="532"/>
      <c r="L6" s="508"/>
      <c r="M6" s="508"/>
      <c r="N6" s="478"/>
      <c r="O6" s="284"/>
      <c r="P6" s="188"/>
      <c r="Q6" s="13"/>
      <c r="R6" s="123"/>
      <c r="S6" s="14"/>
      <c r="T6" s="14"/>
      <c r="U6" s="14"/>
      <c r="V6" s="13"/>
      <c r="W6" s="206"/>
      <c r="X6" s="188"/>
      <c r="Y6" s="231"/>
      <c r="Z6" s="240">
        <f t="shared" si="0"/>
        <v>0</v>
      </c>
    </row>
    <row r="7" spans="1:26" s="3" customFormat="1" ht="15.75" hidden="1" outlineLevel="1" thickBot="1" x14ac:dyDescent="0.3">
      <c r="A7" s="25" t="s">
        <v>5</v>
      </c>
      <c r="B7" s="506"/>
      <c r="C7" s="211"/>
      <c r="D7" s="189"/>
      <c r="E7" s="189"/>
      <c r="F7" s="229"/>
      <c r="G7" s="229"/>
      <c r="H7" s="197"/>
      <c r="I7" s="457"/>
      <c r="J7" s="509"/>
      <c r="K7" s="533"/>
      <c r="L7" s="510"/>
      <c r="M7" s="510"/>
      <c r="N7" s="477"/>
      <c r="O7" s="211"/>
      <c r="P7" s="189"/>
      <c r="Q7" s="230"/>
      <c r="R7" s="184"/>
      <c r="S7" s="229"/>
      <c r="T7" s="229"/>
      <c r="U7" s="229"/>
      <c r="V7" s="230"/>
      <c r="W7" s="202"/>
      <c r="X7" s="189"/>
      <c r="Y7" s="197"/>
      <c r="Z7" s="240">
        <f t="shared" si="0"/>
        <v>0</v>
      </c>
    </row>
    <row r="8" spans="1:26" s="3" customFormat="1" ht="15.75" collapsed="1" thickBot="1" x14ac:dyDescent="0.3">
      <c r="A8" s="25" t="s">
        <v>6</v>
      </c>
      <c r="B8" s="506">
        <v>44378</v>
      </c>
      <c r="C8" s="504">
        <v>153</v>
      </c>
      <c r="D8" s="452">
        <v>131</v>
      </c>
      <c r="E8" s="452">
        <v>110</v>
      </c>
      <c r="F8" s="452">
        <v>184</v>
      </c>
      <c r="G8" s="452">
        <v>550</v>
      </c>
      <c r="H8" s="486">
        <v>37</v>
      </c>
      <c r="I8" s="457">
        <v>1397</v>
      </c>
      <c r="J8" s="509">
        <v>0</v>
      </c>
      <c r="K8" s="383"/>
      <c r="L8" s="384"/>
      <c r="M8" s="384"/>
      <c r="N8" s="385"/>
      <c r="O8" s="504">
        <v>1691</v>
      </c>
      <c r="P8" s="452">
        <v>803</v>
      </c>
      <c r="Q8" s="502">
        <v>285</v>
      </c>
      <c r="R8" s="124">
        <v>2063</v>
      </c>
      <c r="S8" s="452">
        <v>406</v>
      </c>
      <c r="T8" s="486">
        <v>103</v>
      </c>
      <c r="U8" s="505">
        <v>728</v>
      </c>
      <c r="V8" s="485">
        <v>406</v>
      </c>
      <c r="W8" s="452">
        <v>86</v>
      </c>
      <c r="X8" s="485">
        <v>35</v>
      </c>
      <c r="Y8" s="197"/>
      <c r="Z8" s="240">
        <f t="shared" si="0"/>
        <v>9168</v>
      </c>
    </row>
    <row r="9" spans="1:26" s="3" customFormat="1" ht="15.75" thickBot="1" x14ac:dyDescent="0.3">
      <c r="A9" s="25" t="s">
        <v>0</v>
      </c>
      <c r="B9" s="506">
        <v>44379</v>
      </c>
      <c r="C9" s="504">
        <v>121</v>
      </c>
      <c r="D9" s="452">
        <v>98</v>
      </c>
      <c r="E9" s="452">
        <v>57</v>
      </c>
      <c r="F9" s="452">
        <v>78</v>
      </c>
      <c r="G9" s="452">
        <v>315</v>
      </c>
      <c r="H9" s="486">
        <v>16</v>
      </c>
      <c r="I9" s="457">
        <v>1817</v>
      </c>
      <c r="J9" s="509">
        <v>0</v>
      </c>
      <c r="K9" s="202"/>
      <c r="L9" s="189"/>
      <c r="M9" s="189"/>
      <c r="N9" s="198"/>
      <c r="O9" s="504">
        <v>1518</v>
      </c>
      <c r="P9" s="452">
        <v>562</v>
      </c>
      <c r="Q9" s="502">
        <v>157</v>
      </c>
      <c r="R9" s="124">
        <v>2081</v>
      </c>
      <c r="S9" s="452">
        <v>385</v>
      </c>
      <c r="T9" s="486">
        <v>90</v>
      </c>
      <c r="U9" s="505">
        <v>611</v>
      </c>
      <c r="V9" s="485">
        <v>385</v>
      </c>
      <c r="W9" s="452">
        <v>83</v>
      </c>
      <c r="X9" s="485">
        <v>45</v>
      </c>
      <c r="Y9" s="197"/>
      <c r="Z9" s="240">
        <f t="shared" si="0"/>
        <v>8419</v>
      </c>
    </row>
    <row r="10" spans="1:26" s="2" customFormat="1" ht="15.75" thickBot="1" x14ac:dyDescent="0.3">
      <c r="A10" s="25" t="s">
        <v>1</v>
      </c>
      <c r="B10" s="506">
        <v>44380</v>
      </c>
      <c r="C10" s="211"/>
      <c r="D10" s="189"/>
      <c r="E10" s="189"/>
      <c r="F10" s="20"/>
      <c r="G10" s="20"/>
      <c r="H10" s="197"/>
      <c r="I10" s="457">
        <v>9879</v>
      </c>
      <c r="J10" s="509">
        <v>251</v>
      </c>
      <c r="K10" s="202">
        <v>138</v>
      </c>
      <c r="L10" s="189">
        <v>43</v>
      </c>
      <c r="M10" s="189">
        <v>136</v>
      </c>
      <c r="N10" s="198">
        <v>170</v>
      </c>
      <c r="O10" s="504">
        <v>755</v>
      </c>
      <c r="P10" s="452">
        <v>353</v>
      </c>
      <c r="Q10" s="19"/>
      <c r="R10" s="2">
        <v>1427</v>
      </c>
      <c r="S10" s="212"/>
      <c r="T10" s="20"/>
      <c r="U10" s="505">
        <v>748</v>
      </c>
      <c r="V10" s="19"/>
      <c r="W10" s="202"/>
      <c r="X10" s="252"/>
      <c r="Y10" s="452">
        <v>79</v>
      </c>
      <c r="Z10" s="240">
        <f t="shared" si="0"/>
        <v>13979</v>
      </c>
    </row>
    <row r="11" spans="1:26" s="2" customFormat="1" ht="15.75" thickBot="1" x14ac:dyDescent="0.3">
      <c r="A11" s="25" t="s">
        <v>2</v>
      </c>
      <c r="B11" s="506">
        <v>44381</v>
      </c>
      <c r="C11" s="211"/>
      <c r="D11" s="189"/>
      <c r="E11" s="189"/>
      <c r="F11" s="20"/>
      <c r="G11" s="20"/>
      <c r="H11" s="197"/>
      <c r="I11" s="495">
        <v>10788</v>
      </c>
      <c r="J11" s="510">
        <v>2978</v>
      </c>
      <c r="K11" s="202"/>
      <c r="L11" s="189"/>
      <c r="M11" s="189"/>
      <c r="N11" s="198"/>
      <c r="O11" s="504">
        <v>1390</v>
      </c>
      <c r="P11" s="452">
        <v>698</v>
      </c>
      <c r="Q11" s="22"/>
      <c r="R11" s="124">
        <v>2794</v>
      </c>
      <c r="S11" s="399"/>
      <c r="T11" s="399"/>
      <c r="U11" s="505">
        <v>1160</v>
      </c>
      <c r="V11" s="400"/>
      <c r="W11" s="391"/>
      <c r="X11" s="392"/>
      <c r="Y11" s="452">
        <v>1371</v>
      </c>
      <c r="Z11" s="393">
        <f t="shared" si="0"/>
        <v>21179</v>
      </c>
    </row>
    <row r="12" spans="1:26" s="2" customFormat="1" ht="15.75" outlineLevel="1" thickBot="1" x14ac:dyDescent="0.3">
      <c r="A12" s="140" t="s">
        <v>19</v>
      </c>
      <c r="B12" s="730" t="s">
        <v>22</v>
      </c>
      <c r="C12" s="351">
        <f>SUM(C5:C11)</f>
        <v>274</v>
      </c>
      <c r="D12" s="195">
        <f>SUM(D5:D11)</f>
        <v>229</v>
      </c>
      <c r="E12" s="195">
        <f>SUM(E5:E11)</f>
        <v>167</v>
      </c>
      <c r="F12" s="195">
        <f>SUM(F5:F11)</f>
        <v>262</v>
      </c>
      <c r="G12" s="195">
        <f>SUM(G5:G11)</f>
        <v>865</v>
      </c>
      <c r="H12" s="487">
        <f t="shared" ref="H12:X12" si="1">SUM(H5:H11)</f>
        <v>53</v>
      </c>
      <c r="I12" s="390">
        <f>SUM(I5:I11)</f>
        <v>23881</v>
      </c>
      <c r="J12" s="389">
        <f t="shared" ref="J12:N12" si="2">SUM(J5:J11)</f>
        <v>3229</v>
      </c>
      <c r="K12" s="390">
        <f>SUM(K5:K11)</f>
        <v>138</v>
      </c>
      <c r="L12" s="390">
        <f>SUM(L5:L11)</f>
        <v>43</v>
      </c>
      <c r="M12" s="390">
        <f>SUM(M5:M11)</f>
        <v>136</v>
      </c>
      <c r="N12" s="390">
        <f t="shared" si="2"/>
        <v>170</v>
      </c>
      <c r="O12" s="141">
        <f>SUM(O5:O11)</f>
        <v>5354</v>
      </c>
      <c r="P12" s="451">
        <f>SUM(P5:P11)</f>
        <v>2416</v>
      </c>
      <c r="Q12" s="368">
        <f>SUM(Q5:Q11)</f>
        <v>442</v>
      </c>
      <c r="R12" s="141">
        <f>SUM(R5:R11)</f>
        <v>8365</v>
      </c>
      <c r="S12" s="366">
        <f>SUM(S5:S11)</f>
        <v>791</v>
      </c>
      <c r="T12" s="366">
        <f t="shared" si="1"/>
        <v>193</v>
      </c>
      <c r="U12" s="366">
        <f>SUM(U5:U11)</f>
        <v>3247</v>
      </c>
      <c r="V12" s="366">
        <f t="shared" si="1"/>
        <v>791</v>
      </c>
      <c r="W12" s="366">
        <f t="shared" si="1"/>
        <v>169</v>
      </c>
      <c r="X12" s="366">
        <f t="shared" si="1"/>
        <v>80</v>
      </c>
      <c r="Y12" s="389">
        <f>SUM(Y5:Y11)</f>
        <v>1450</v>
      </c>
      <c r="Z12" s="390">
        <f>SUM(Z5:Z11)</f>
        <v>52745</v>
      </c>
    </row>
    <row r="13" spans="1:26" s="2" customFormat="1" ht="15.75" outlineLevel="1" thickBot="1" x14ac:dyDescent="0.3">
      <c r="A13" s="99" t="s">
        <v>21</v>
      </c>
      <c r="B13" s="731"/>
      <c r="C13" s="351">
        <f t="shared" ref="C13:Z13" si="3">AVERAGE(C5:C11)</f>
        <v>137</v>
      </c>
      <c r="D13" s="195">
        <f t="shared" si="3"/>
        <v>114.5</v>
      </c>
      <c r="E13" s="195">
        <f t="shared" si="3"/>
        <v>83.5</v>
      </c>
      <c r="F13" s="195">
        <f>AVERAGE(F5:F11)</f>
        <v>131</v>
      </c>
      <c r="G13" s="195">
        <f t="shared" si="3"/>
        <v>432.5</v>
      </c>
      <c r="H13" s="487">
        <f t="shared" si="3"/>
        <v>26.5</v>
      </c>
      <c r="I13" s="354">
        <f t="shared" ref="I13:N13" si="4">AVERAGE(I5:I11)</f>
        <v>5970.25</v>
      </c>
      <c r="J13" s="487">
        <f t="shared" si="4"/>
        <v>807.25</v>
      </c>
      <c r="K13" s="350">
        <f t="shared" si="4"/>
        <v>138</v>
      </c>
      <c r="L13" s="487">
        <f t="shared" si="4"/>
        <v>43</v>
      </c>
      <c r="M13" s="487">
        <f t="shared" si="4"/>
        <v>136</v>
      </c>
      <c r="N13" s="353">
        <f t="shared" si="4"/>
        <v>170</v>
      </c>
      <c r="O13" s="351">
        <f t="shared" si="3"/>
        <v>1338.5</v>
      </c>
      <c r="P13" s="195">
        <f t="shared" si="3"/>
        <v>604</v>
      </c>
      <c r="Q13" s="353">
        <f t="shared" si="3"/>
        <v>221</v>
      </c>
      <c r="R13" s="351">
        <f>AVERAGE(R5:R11)</f>
        <v>2091.25</v>
      </c>
      <c r="S13" s="203">
        <f t="shared" si="3"/>
        <v>395.5</v>
      </c>
      <c r="T13" s="203">
        <f t="shared" si="3"/>
        <v>96.5</v>
      </c>
      <c r="U13" s="203">
        <f t="shared" si="3"/>
        <v>811.75</v>
      </c>
      <c r="V13" s="203">
        <f t="shared" si="3"/>
        <v>395.5</v>
      </c>
      <c r="W13" s="203">
        <f t="shared" si="3"/>
        <v>84.5</v>
      </c>
      <c r="X13" s="203">
        <f t="shared" si="3"/>
        <v>40</v>
      </c>
      <c r="Y13" s="350">
        <f>AVERAGE(Y5:Y11)</f>
        <v>725</v>
      </c>
      <c r="Z13" s="354">
        <f t="shared" si="3"/>
        <v>7535</v>
      </c>
    </row>
    <row r="14" spans="1:26" s="2" customFormat="1" ht="15.75" outlineLevel="1" thickBot="1" x14ac:dyDescent="0.3">
      <c r="A14" s="26" t="s">
        <v>18</v>
      </c>
      <c r="B14" s="731"/>
      <c r="C14" s="352">
        <f t="shared" ref="C14:Y14" si="5">SUM(C5:C9)</f>
        <v>274</v>
      </c>
      <c r="D14" s="196">
        <f>SUM(D5:D9)</f>
        <v>229</v>
      </c>
      <c r="E14" s="196">
        <f t="shared" si="5"/>
        <v>167</v>
      </c>
      <c r="F14" s="196">
        <f t="shared" si="5"/>
        <v>262</v>
      </c>
      <c r="G14" s="196">
        <f t="shared" si="5"/>
        <v>865</v>
      </c>
      <c r="H14" s="488">
        <f t="shared" si="5"/>
        <v>53</v>
      </c>
      <c r="I14" s="359">
        <f t="shared" ref="I14:N14" si="6">SUM(I5:I9)</f>
        <v>3214</v>
      </c>
      <c r="J14" s="488">
        <f t="shared" si="6"/>
        <v>0</v>
      </c>
      <c r="K14" s="357">
        <f t="shared" si="6"/>
        <v>0</v>
      </c>
      <c r="L14" s="488">
        <f t="shared" si="6"/>
        <v>0</v>
      </c>
      <c r="M14" s="488">
        <f t="shared" si="6"/>
        <v>0</v>
      </c>
      <c r="N14" s="355">
        <f t="shared" si="6"/>
        <v>0</v>
      </c>
      <c r="O14" s="352">
        <f t="shared" si="5"/>
        <v>3209</v>
      </c>
      <c r="P14" s="196">
        <f t="shared" si="5"/>
        <v>1365</v>
      </c>
      <c r="Q14" s="355">
        <f t="shared" si="5"/>
        <v>442</v>
      </c>
      <c r="R14" s="352">
        <f t="shared" si="5"/>
        <v>4144</v>
      </c>
      <c r="S14" s="204">
        <f t="shared" si="5"/>
        <v>791</v>
      </c>
      <c r="T14" s="204">
        <f t="shared" si="5"/>
        <v>193</v>
      </c>
      <c r="U14" s="204">
        <f t="shared" si="5"/>
        <v>1339</v>
      </c>
      <c r="V14" s="204">
        <f t="shared" si="5"/>
        <v>791</v>
      </c>
      <c r="W14" s="204">
        <f>SUM(W5:W9)</f>
        <v>169</v>
      </c>
      <c r="X14" s="204">
        <f t="shared" si="5"/>
        <v>80</v>
      </c>
      <c r="Y14" s="357">
        <f t="shared" si="5"/>
        <v>0</v>
      </c>
      <c r="Z14" s="359">
        <f>SUM(Z5:Z9)</f>
        <v>17587</v>
      </c>
    </row>
    <row r="15" spans="1:26" s="2" customFormat="1" ht="15.75" outlineLevel="1" thickBot="1" x14ac:dyDescent="0.3">
      <c r="A15" s="26" t="s">
        <v>20</v>
      </c>
      <c r="B15" s="732"/>
      <c r="C15" s="352">
        <f>AVERAGE(C5:C9)</f>
        <v>137</v>
      </c>
      <c r="D15" s="196">
        <f t="shared" ref="D15:Z15" si="7">AVERAGE(D5:D9)</f>
        <v>114.5</v>
      </c>
      <c r="E15" s="196">
        <f t="shared" si="7"/>
        <v>83.5</v>
      </c>
      <c r="F15" s="196">
        <f t="shared" si="7"/>
        <v>131</v>
      </c>
      <c r="G15" s="196">
        <f t="shared" si="7"/>
        <v>432.5</v>
      </c>
      <c r="H15" s="488">
        <f t="shared" si="7"/>
        <v>26.5</v>
      </c>
      <c r="I15" s="360">
        <f t="shared" ref="I15:N15" si="8">AVERAGE(I5:I9)</f>
        <v>1607</v>
      </c>
      <c r="J15" s="490">
        <f t="shared" si="8"/>
        <v>0</v>
      </c>
      <c r="K15" s="376" t="e">
        <f t="shared" si="8"/>
        <v>#DIV/0!</v>
      </c>
      <c r="L15" s="490" t="e">
        <f t="shared" si="8"/>
        <v>#DIV/0!</v>
      </c>
      <c r="M15" s="490" t="e">
        <f t="shared" si="8"/>
        <v>#DIV/0!</v>
      </c>
      <c r="N15" s="356" t="e">
        <f t="shared" si="8"/>
        <v>#DIV/0!</v>
      </c>
      <c r="O15" s="142">
        <f t="shared" si="7"/>
        <v>1604.5</v>
      </c>
      <c r="P15" s="190">
        <f t="shared" si="7"/>
        <v>682.5</v>
      </c>
      <c r="Q15" s="356">
        <f t="shared" si="7"/>
        <v>221</v>
      </c>
      <c r="R15" s="142">
        <f>R9</f>
        <v>2081</v>
      </c>
      <c r="S15" s="36">
        <f t="shared" si="7"/>
        <v>395.5</v>
      </c>
      <c r="T15" s="36">
        <f t="shared" si="7"/>
        <v>96.5</v>
      </c>
      <c r="U15" s="36">
        <f t="shared" si="7"/>
        <v>669.5</v>
      </c>
      <c r="V15" s="36">
        <f t="shared" si="7"/>
        <v>395.5</v>
      </c>
      <c r="W15" s="36">
        <f>AVERAGE(W5:W9)</f>
        <v>84.5</v>
      </c>
      <c r="X15" s="36">
        <f t="shared" si="7"/>
        <v>40</v>
      </c>
      <c r="Y15" s="376" t="e">
        <f>AVERAGE(Y5:Y9)</f>
        <v>#DIV/0!</v>
      </c>
      <c r="Z15" s="360">
        <f t="shared" si="7"/>
        <v>3517.4</v>
      </c>
    </row>
    <row r="16" spans="1:26" s="2" customFormat="1" outlineLevel="1" x14ac:dyDescent="0.25">
      <c r="A16" s="25" t="s">
        <v>3</v>
      </c>
      <c r="B16" s="152">
        <f>B11+1</f>
        <v>44382</v>
      </c>
      <c r="D16" s="452"/>
      <c r="E16" s="189"/>
      <c r="F16" s="173"/>
      <c r="G16" s="174"/>
      <c r="H16" s="197"/>
      <c r="I16" s="494">
        <v>7712</v>
      </c>
      <c r="J16" s="508">
        <v>1833</v>
      </c>
      <c r="K16" s="202"/>
      <c r="L16" s="189"/>
      <c r="M16" s="189"/>
      <c r="N16" s="198"/>
      <c r="O16" s="504">
        <v>1320</v>
      </c>
      <c r="P16" s="452">
        <v>584</v>
      </c>
      <c r="Q16" s="395"/>
      <c r="R16" s="396">
        <v>2004</v>
      </c>
      <c r="T16" s="397"/>
      <c r="U16" s="505">
        <v>816</v>
      </c>
      <c r="V16" s="504"/>
      <c r="W16" s="206"/>
      <c r="X16" s="188"/>
      <c r="Y16" s="231"/>
      <c r="Z16" s="16">
        <f t="shared" ref="Z16:Z22" si="9">SUM(C16:Y16)</f>
        <v>14269</v>
      </c>
    </row>
    <row r="17" spans="1:26" s="3" customFormat="1" outlineLevel="1" x14ac:dyDescent="0.25">
      <c r="A17" s="25" t="s">
        <v>4</v>
      </c>
      <c r="B17" s="153">
        <f t="shared" ref="B17:B22" si="10">B16+1</f>
        <v>44383</v>
      </c>
      <c r="C17" s="505">
        <v>164</v>
      </c>
      <c r="D17" s="452">
        <v>160</v>
      </c>
      <c r="E17" s="452">
        <v>198</v>
      </c>
      <c r="F17" s="452">
        <v>181</v>
      </c>
      <c r="G17" s="452">
        <v>598</v>
      </c>
      <c r="H17" s="486">
        <v>22</v>
      </c>
      <c r="I17" s="457">
        <v>2865</v>
      </c>
      <c r="J17" s="508">
        <v>0</v>
      </c>
      <c r="K17" s="202"/>
      <c r="L17" s="189"/>
      <c r="M17" s="189"/>
      <c r="N17" s="198"/>
      <c r="O17" s="504">
        <v>1942</v>
      </c>
      <c r="P17" s="452">
        <v>912</v>
      </c>
      <c r="Q17" s="502">
        <v>284</v>
      </c>
      <c r="R17" s="358">
        <v>2608</v>
      </c>
      <c r="S17" s="452">
        <v>477</v>
      </c>
      <c r="T17" s="486">
        <v>127</v>
      </c>
      <c r="U17" s="505">
        <v>857</v>
      </c>
      <c r="V17" s="485">
        <v>477</v>
      </c>
      <c r="W17" s="452">
        <v>135</v>
      </c>
      <c r="X17" s="485">
        <v>50</v>
      </c>
      <c r="Y17" s="197"/>
      <c r="Z17" s="240">
        <f t="shared" si="9"/>
        <v>12057</v>
      </c>
    </row>
    <row r="18" spans="1:26" s="3" customFormat="1" outlineLevel="1" x14ac:dyDescent="0.25">
      <c r="A18" s="25" t="s">
        <v>5</v>
      </c>
      <c r="B18" s="153">
        <f t="shared" si="10"/>
        <v>44384</v>
      </c>
      <c r="C18" s="505">
        <v>201</v>
      </c>
      <c r="D18" s="452">
        <v>192</v>
      </c>
      <c r="E18" s="452">
        <v>210</v>
      </c>
      <c r="F18" s="452">
        <v>234</v>
      </c>
      <c r="G18" s="452">
        <v>539</v>
      </c>
      <c r="H18" s="486">
        <v>38</v>
      </c>
      <c r="I18" s="457">
        <v>2862</v>
      </c>
      <c r="J18" s="508">
        <v>0</v>
      </c>
      <c r="K18" s="202"/>
      <c r="L18" s="189"/>
      <c r="M18" s="189"/>
      <c r="N18" s="198"/>
      <c r="O18" s="504">
        <v>2642</v>
      </c>
      <c r="P18" s="452">
        <v>948</v>
      </c>
      <c r="Q18" s="502">
        <v>370</v>
      </c>
      <c r="R18" s="358">
        <v>2571</v>
      </c>
      <c r="S18" s="452">
        <v>393</v>
      </c>
      <c r="T18" s="486">
        <v>127</v>
      </c>
      <c r="U18" s="505">
        <v>1013</v>
      </c>
      <c r="V18" s="485">
        <v>393</v>
      </c>
      <c r="W18" s="452">
        <v>117</v>
      </c>
      <c r="X18" s="485">
        <v>54</v>
      </c>
      <c r="Y18" s="197"/>
      <c r="Z18" s="240">
        <f t="shared" si="9"/>
        <v>12904</v>
      </c>
    </row>
    <row r="19" spans="1:26" s="3" customFormat="1" x14ac:dyDescent="0.25">
      <c r="A19" s="25" t="s">
        <v>6</v>
      </c>
      <c r="B19" s="153">
        <f t="shared" si="10"/>
        <v>44385</v>
      </c>
      <c r="C19" s="505">
        <v>191</v>
      </c>
      <c r="D19" s="452">
        <v>154</v>
      </c>
      <c r="E19" s="452">
        <v>166</v>
      </c>
      <c r="F19" s="452">
        <v>187</v>
      </c>
      <c r="G19" s="452">
        <v>526</v>
      </c>
      <c r="H19" s="486">
        <v>102</v>
      </c>
      <c r="I19" s="457">
        <v>2512</v>
      </c>
      <c r="J19" s="508">
        <v>0</v>
      </c>
      <c r="K19" s="202"/>
      <c r="L19" s="189"/>
      <c r="M19" s="189"/>
      <c r="N19" s="198"/>
      <c r="O19" s="504">
        <v>2029</v>
      </c>
      <c r="P19" s="452">
        <v>787</v>
      </c>
      <c r="Q19" s="502">
        <v>329</v>
      </c>
      <c r="R19" s="358">
        <v>2269</v>
      </c>
      <c r="S19" s="452">
        <v>412</v>
      </c>
      <c r="T19" s="486">
        <v>72</v>
      </c>
      <c r="U19" s="505">
        <v>865</v>
      </c>
      <c r="V19" s="485">
        <v>412</v>
      </c>
      <c r="W19" s="452">
        <v>88</v>
      </c>
      <c r="X19" s="485">
        <v>39</v>
      </c>
      <c r="Y19" s="197"/>
      <c r="Z19" s="240">
        <f t="shared" si="9"/>
        <v>11140</v>
      </c>
    </row>
    <row r="20" spans="1:26" s="3" customFormat="1" x14ac:dyDescent="0.25">
      <c r="A20" s="25" t="s">
        <v>0</v>
      </c>
      <c r="B20" s="153">
        <f t="shared" si="10"/>
        <v>44386</v>
      </c>
      <c r="C20" s="505">
        <v>136</v>
      </c>
      <c r="D20" s="452">
        <v>59</v>
      </c>
      <c r="E20" s="452">
        <v>70</v>
      </c>
      <c r="F20" s="452">
        <v>74</v>
      </c>
      <c r="G20" s="452">
        <v>230</v>
      </c>
      <c r="H20" s="486">
        <v>16</v>
      </c>
      <c r="I20" s="496">
        <v>2055</v>
      </c>
      <c r="J20" s="508">
        <v>0</v>
      </c>
      <c r="K20" s="202"/>
      <c r="L20" s="189"/>
      <c r="M20" s="189"/>
      <c r="N20" s="198"/>
      <c r="O20" s="504">
        <v>1694</v>
      </c>
      <c r="P20" s="452">
        <v>554</v>
      </c>
      <c r="Q20" s="502">
        <v>158</v>
      </c>
      <c r="R20" s="358">
        <v>2168</v>
      </c>
      <c r="S20" s="452">
        <v>410</v>
      </c>
      <c r="T20" s="486">
        <v>61</v>
      </c>
      <c r="U20" s="505">
        <v>814</v>
      </c>
      <c r="V20" s="485">
        <v>410</v>
      </c>
      <c r="W20" s="452">
        <v>90</v>
      </c>
      <c r="X20" s="485">
        <v>26</v>
      </c>
      <c r="Y20" s="197"/>
      <c r="Z20" s="240">
        <f t="shared" si="9"/>
        <v>9025</v>
      </c>
    </row>
    <row r="21" spans="1:26" s="458" customFormat="1" x14ac:dyDescent="0.25">
      <c r="A21" s="132" t="s">
        <v>1</v>
      </c>
      <c r="B21" s="153">
        <f t="shared" si="10"/>
        <v>44387</v>
      </c>
      <c r="C21" s="211"/>
      <c r="D21" s="189"/>
      <c r="E21" s="189"/>
      <c r="F21" s="455"/>
      <c r="G21" s="455"/>
      <c r="H21" s="197"/>
      <c r="I21" s="253">
        <v>7687</v>
      </c>
      <c r="J21" s="197">
        <v>2822</v>
      </c>
      <c r="K21" s="202">
        <v>324</v>
      </c>
      <c r="L21" s="189">
        <v>72</v>
      </c>
      <c r="M21" s="189">
        <v>282</v>
      </c>
      <c r="N21" s="198">
        <v>324</v>
      </c>
      <c r="O21" s="504">
        <v>1376</v>
      </c>
      <c r="P21" s="452">
        <v>768</v>
      </c>
      <c r="Q21" s="503"/>
      <c r="R21" s="479">
        <v>3082</v>
      </c>
      <c r="S21" s="456"/>
      <c r="T21" s="455"/>
      <c r="U21" s="505">
        <v>1351</v>
      </c>
      <c r="V21" s="504"/>
      <c r="W21" s="202"/>
      <c r="X21" s="189"/>
      <c r="Y21" s="197"/>
      <c r="Z21" s="457">
        <f t="shared" si="9"/>
        <v>18088</v>
      </c>
    </row>
    <row r="22" spans="1:26" s="3" customFormat="1" ht="15.75" thickBot="1" x14ac:dyDescent="0.3">
      <c r="A22" s="25" t="s">
        <v>2</v>
      </c>
      <c r="B22" s="153">
        <f t="shared" si="10"/>
        <v>44388</v>
      </c>
      <c r="C22" s="211"/>
      <c r="D22" s="189"/>
      <c r="E22" s="189"/>
      <c r="F22" s="174"/>
      <c r="G22" s="174"/>
      <c r="H22" s="197"/>
      <c r="I22" s="496">
        <v>4982</v>
      </c>
      <c r="J22" s="508">
        <v>1796</v>
      </c>
      <c r="K22" s="202">
        <v>185</v>
      </c>
      <c r="L22" s="189">
        <v>26</v>
      </c>
      <c r="M22" s="189">
        <v>191</v>
      </c>
      <c r="N22" s="198">
        <v>189</v>
      </c>
      <c r="O22" s="504">
        <v>1030</v>
      </c>
      <c r="P22" s="452">
        <v>640</v>
      </c>
      <c r="Q22" s="186"/>
      <c r="R22" s="358">
        <v>1837</v>
      </c>
      <c r="S22" s="174"/>
      <c r="T22" s="398"/>
      <c r="U22" s="505">
        <v>845</v>
      </c>
      <c r="V22" s="504"/>
      <c r="W22" s="391"/>
      <c r="X22" s="252"/>
      <c r="Y22" s="394"/>
      <c r="Z22" s="393">
        <f t="shared" si="9"/>
        <v>11721</v>
      </c>
    </row>
    <row r="23" spans="1:26" s="3" customFormat="1" ht="15.75" thickBot="1" x14ac:dyDescent="0.3">
      <c r="A23" s="140" t="s">
        <v>19</v>
      </c>
      <c r="B23" s="730" t="s">
        <v>23</v>
      </c>
      <c r="C23" s="351">
        <f>SUM(C17:C22)</f>
        <v>692</v>
      </c>
      <c r="D23" s="195">
        <f>SUM(D16:D22)</f>
        <v>565</v>
      </c>
      <c r="E23" s="195">
        <f t="shared" ref="E23:Y23" si="11">SUM(E16:E22)</f>
        <v>644</v>
      </c>
      <c r="F23" s="195">
        <f t="shared" si="11"/>
        <v>676</v>
      </c>
      <c r="G23" s="195">
        <f>SUM(G16:G22)</f>
        <v>1893</v>
      </c>
      <c r="H23" s="487">
        <f t="shared" si="11"/>
        <v>178</v>
      </c>
      <c r="I23" s="390">
        <f>SUM(I16:I22)</f>
        <v>30675</v>
      </c>
      <c r="J23" s="524">
        <f t="shared" ref="J23:N23" si="12">SUM(J16:J22)</f>
        <v>6451</v>
      </c>
      <c r="K23" s="389">
        <f t="shared" si="12"/>
        <v>509</v>
      </c>
      <c r="L23" s="524">
        <f t="shared" si="12"/>
        <v>98</v>
      </c>
      <c r="M23" s="524">
        <f t="shared" si="12"/>
        <v>473</v>
      </c>
      <c r="N23" s="368">
        <f t="shared" si="12"/>
        <v>513</v>
      </c>
      <c r="O23" s="141">
        <f t="shared" si="11"/>
        <v>12033</v>
      </c>
      <c r="P23" s="367">
        <f t="shared" si="11"/>
        <v>5193</v>
      </c>
      <c r="Q23" s="368">
        <f>SUM(Q16:Q22)</f>
        <v>1141</v>
      </c>
      <c r="R23" s="141">
        <f>SUM(R16:R22)</f>
        <v>16539</v>
      </c>
      <c r="S23" s="366">
        <f>SUM(S16:S22)</f>
        <v>1692</v>
      </c>
      <c r="T23" s="366">
        <f t="shared" si="11"/>
        <v>387</v>
      </c>
      <c r="U23" s="366">
        <f>SUM(U16:U22)</f>
        <v>6561</v>
      </c>
      <c r="V23" s="366">
        <f t="shared" si="11"/>
        <v>1692</v>
      </c>
      <c r="W23" s="366">
        <f t="shared" si="11"/>
        <v>430</v>
      </c>
      <c r="X23" s="366">
        <f t="shared" si="11"/>
        <v>169</v>
      </c>
      <c r="Y23" s="389">
        <f t="shared" si="11"/>
        <v>0</v>
      </c>
      <c r="Z23" s="390">
        <f>SUM(Z16:Z22)</f>
        <v>89204</v>
      </c>
    </row>
    <row r="24" spans="1:26" s="3" customFormat="1" ht="15.75" thickBot="1" x14ac:dyDescent="0.3">
      <c r="A24" s="99" t="s">
        <v>21</v>
      </c>
      <c r="B24" s="731"/>
      <c r="C24" s="351">
        <f>AVERAGE(C17:C22)</f>
        <v>173</v>
      </c>
      <c r="D24" s="195">
        <f>AVERAGE(D16:D22)</f>
        <v>141.25</v>
      </c>
      <c r="E24" s="195">
        <f t="shared" ref="E24:Y24" si="13">AVERAGE(E16:E22)</f>
        <v>161</v>
      </c>
      <c r="F24" s="195">
        <f t="shared" si="13"/>
        <v>169</v>
      </c>
      <c r="G24" s="195">
        <f>AVERAGE(G16:G22)</f>
        <v>473.25</v>
      </c>
      <c r="H24" s="487">
        <f t="shared" si="13"/>
        <v>44.5</v>
      </c>
      <c r="I24" s="354">
        <f>AVERAGE(I16:I22)</f>
        <v>4382.1428571428569</v>
      </c>
      <c r="J24" s="487">
        <f t="shared" ref="J24:N24" si="14">AVERAGE(J16:J22)</f>
        <v>921.57142857142856</v>
      </c>
      <c r="K24" s="350">
        <f t="shared" si="14"/>
        <v>254.5</v>
      </c>
      <c r="L24" s="487">
        <f t="shared" si="14"/>
        <v>49</v>
      </c>
      <c r="M24" s="487">
        <f t="shared" si="14"/>
        <v>236.5</v>
      </c>
      <c r="N24" s="353">
        <f t="shared" si="14"/>
        <v>256.5</v>
      </c>
      <c r="O24" s="351">
        <f t="shared" si="13"/>
        <v>1719</v>
      </c>
      <c r="P24" s="195">
        <f t="shared" si="13"/>
        <v>741.85714285714289</v>
      </c>
      <c r="Q24" s="353">
        <f>AVERAGE(Q16:Q22)</f>
        <v>285.25</v>
      </c>
      <c r="R24" s="351">
        <f>AVERAGE(R16:R22)</f>
        <v>2362.7142857142858</v>
      </c>
      <c r="S24" s="203">
        <f>AVERAGE(S16:S22)</f>
        <v>423</v>
      </c>
      <c r="T24" s="203">
        <f t="shared" si="13"/>
        <v>96.75</v>
      </c>
      <c r="U24" s="203">
        <f>AVERAGE(U16:U22)</f>
        <v>937.28571428571433</v>
      </c>
      <c r="V24" s="203">
        <f t="shared" si="13"/>
        <v>423</v>
      </c>
      <c r="W24" s="203">
        <f t="shared" si="13"/>
        <v>107.5</v>
      </c>
      <c r="X24" s="203">
        <f t="shared" si="13"/>
        <v>42.25</v>
      </c>
      <c r="Y24" s="350" t="e">
        <f t="shared" si="13"/>
        <v>#DIV/0!</v>
      </c>
      <c r="Z24" s="354">
        <f>AVERAGE(Z16:Z22)</f>
        <v>12743.428571428571</v>
      </c>
    </row>
    <row r="25" spans="1:26" s="3" customFormat="1" ht="15.75" thickBot="1" x14ac:dyDescent="0.3">
      <c r="A25" s="26" t="s">
        <v>18</v>
      </c>
      <c r="B25" s="731"/>
      <c r="C25" s="352">
        <f>SUM(C17:C20)</f>
        <v>692</v>
      </c>
      <c r="D25" s="196">
        <f>SUM(D16:D20)</f>
        <v>565</v>
      </c>
      <c r="E25" s="196">
        <f t="shared" ref="E25:Y25" si="15">SUM(E16:E20)</f>
        <v>644</v>
      </c>
      <c r="F25" s="196">
        <f t="shared" si="15"/>
        <v>676</v>
      </c>
      <c r="G25" s="196">
        <f t="shared" si="15"/>
        <v>1893</v>
      </c>
      <c r="H25" s="488">
        <f t="shared" si="15"/>
        <v>178</v>
      </c>
      <c r="I25" s="359">
        <f>SUM(I16:I20)</f>
        <v>18006</v>
      </c>
      <c r="J25" s="488">
        <f t="shared" ref="J25:N25" si="16">SUM(J16:J20)</f>
        <v>1833</v>
      </c>
      <c r="K25" s="357">
        <f t="shared" si="16"/>
        <v>0</v>
      </c>
      <c r="L25" s="488">
        <f t="shared" si="16"/>
        <v>0</v>
      </c>
      <c r="M25" s="488">
        <f t="shared" si="16"/>
        <v>0</v>
      </c>
      <c r="N25" s="355">
        <f t="shared" si="16"/>
        <v>0</v>
      </c>
      <c r="O25" s="352">
        <f t="shared" si="15"/>
        <v>9627</v>
      </c>
      <c r="P25" s="196">
        <f t="shared" si="15"/>
        <v>3785</v>
      </c>
      <c r="Q25" s="355">
        <f t="shared" si="15"/>
        <v>1141</v>
      </c>
      <c r="R25" s="352">
        <f t="shared" si="15"/>
        <v>11620</v>
      </c>
      <c r="S25" s="204">
        <f t="shared" si="15"/>
        <v>1692</v>
      </c>
      <c r="T25" s="204">
        <f t="shared" si="15"/>
        <v>387</v>
      </c>
      <c r="U25" s="204">
        <f t="shared" si="15"/>
        <v>4365</v>
      </c>
      <c r="V25" s="204">
        <f t="shared" si="15"/>
        <v>1692</v>
      </c>
      <c r="W25" s="204">
        <f>SUM(W16:W20)</f>
        <v>430</v>
      </c>
      <c r="X25" s="204">
        <f t="shared" si="15"/>
        <v>169</v>
      </c>
      <c r="Y25" s="357">
        <f t="shared" si="15"/>
        <v>0</v>
      </c>
      <c r="Z25" s="359">
        <f>SUM(Z16:Z20)</f>
        <v>59395</v>
      </c>
    </row>
    <row r="26" spans="1:26" s="3" customFormat="1" ht="15.75" outlineLevel="1" thickBot="1" x14ac:dyDescent="0.3">
      <c r="A26" s="26" t="s">
        <v>20</v>
      </c>
      <c r="B26" s="732"/>
      <c r="C26" s="352">
        <f>AVERAGE(C17:C20)</f>
        <v>173</v>
      </c>
      <c r="D26" s="196">
        <f>AVERAGE(D16:D20)</f>
        <v>141.25</v>
      </c>
      <c r="E26" s="196">
        <f t="shared" ref="E26:Y26" si="17">AVERAGE(E16:E20)</f>
        <v>161</v>
      </c>
      <c r="F26" s="196">
        <f t="shared" si="17"/>
        <v>169</v>
      </c>
      <c r="G26" s="196">
        <f t="shared" si="17"/>
        <v>473.25</v>
      </c>
      <c r="H26" s="488">
        <f t="shared" si="17"/>
        <v>44.5</v>
      </c>
      <c r="I26" s="360">
        <f t="shared" ref="I26:N26" si="18">AVERAGE(I16:I20)</f>
        <v>3601.2</v>
      </c>
      <c r="J26" s="490">
        <f t="shared" si="18"/>
        <v>366.6</v>
      </c>
      <c r="K26" s="376" t="e">
        <f t="shared" si="18"/>
        <v>#DIV/0!</v>
      </c>
      <c r="L26" s="490" t="e">
        <f t="shared" si="18"/>
        <v>#DIV/0!</v>
      </c>
      <c r="M26" s="490" t="e">
        <f t="shared" si="18"/>
        <v>#DIV/0!</v>
      </c>
      <c r="N26" s="356" t="e">
        <f t="shared" si="18"/>
        <v>#DIV/0!</v>
      </c>
      <c r="O26" s="142">
        <f t="shared" si="17"/>
        <v>1925.4</v>
      </c>
      <c r="P26" s="190">
        <f t="shared" si="17"/>
        <v>757</v>
      </c>
      <c r="Q26" s="356">
        <f t="shared" si="17"/>
        <v>285.25</v>
      </c>
      <c r="R26" s="142">
        <f t="shared" si="17"/>
        <v>2324</v>
      </c>
      <c r="S26" s="36">
        <f t="shared" si="17"/>
        <v>423</v>
      </c>
      <c r="T26" s="36">
        <f t="shared" si="17"/>
        <v>96.75</v>
      </c>
      <c r="U26" s="36">
        <f t="shared" si="17"/>
        <v>873</v>
      </c>
      <c r="V26" s="36">
        <f t="shared" si="17"/>
        <v>423</v>
      </c>
      <c r="W26" s="36">
        <f>AVERAGE(W16:W20)</f>
        <v>107.5</v>
      </c>
      <c r="X26" s="36">
        <f t="shared" si="17"/>
        <v>42.25</v>
      </c>
      <c r="Y26" s="376" t="e">
        <f t="shared" si="17"/>
        <v>#DIV/0!</v>
      </c>
      <c r="Z26" s="360">
        <f>AVERAGE(Z16:Z20)</f>
        <v>11879</v>
      </c>
    </row>
    <row r="27" spans="1:26" s="3" customFormat="1" outlineLevel="1" x14ac:dyDescent="0.25">
      <c r="A27" s="25" t="s">
        <v>3</v>
      </c>
      <c r="B27" s="154">
        <f>B22+1</f>
        <v>44389</v>
      </c>
      <c r="C27" s="504">
        <v>160</v>
      </c>
      <c r="D27" s="452">
        <v>118</v>
      </c>
      <c r="E27" s="452">
        <v>107</v>
      </c>
      <c r="F27" s="452">
        <v>220</v>
      </c>
      <c r="G27" s="452">
        <v>556</v>
      </c>
      <c r="H27" s="486">
        <v>42</v>
      </c>
      <c r="I27" s="494">
        <v>1890</v>
      </c>
      <c r="J27" s="508">
        <v>0</v>
      </c>
      <c r="K27" s="202"/>
      <c r="L27" s="189"/>
      <c r="M27" s="189"/>
      <c r="N27" s="198"/>
      <c r="O27" s="504">
        <v>1957</v>
      </c>
      <c r="P27" s="452">
        <v>794</v>
      </c>
      <c r="Q27" s="502">
        <v>360</v>
      </c>
      <c r="R27" s="123">
        <v>2034</v>
      </c>
      <c r="S27" s="452">
        <v>483</v>
      </c>
      <c r="T27" s="486">
        <v>134</v>
      </c>
      <c r="U27" s="505">
        <v>678</v>
      </c>
      <c r="V27" s="485">
        <v>483</v>
      </c>
      <c r="W27" s="452">
        <v>122</v>
      </c>
      <c r="X27" s="485">
        <v>52</v>
      </c>
      <c r="Y27" s="231"/>
      <c r="Z27" s="16">
        <f t="shared" ref="Z27:Z33" si="19">SUM(C27:Y27)</f>
        <v>10190</v>
      </c>
    </row>
    <row r="28" spans="1:26" s="3" customFormat="1" outlineLevel="1" x14ac:dyDescent="0.25">
      <c r="A28" s="25" t="s">
        <v>4</v>
      </c>
      <c r="B28" s="155">
        <f t="shared" ref="B28:B33" si="20">B27+1</f>
        <v>44390</v>
      </c>
      <c r="C28" s="504">
        <v>229</v>
      </c>
      <c r="D28" s="452">
        <v>161</v>
      </c>
      <c r="E28" s="452">
        <v>160</v>
      </c>
      <c r="F28" s="452">
        <v>175</v>
      </c>
      <c r="G28" s="452">
        <v>694</v>
      </c>
      <c r="H28" s="486">
        <v>48</v>
      </c>
      <c r="I28" s="457">
        <v>4052</v>
      </c>
      <c r="J28" s="508">
        <v>0</v>
      </c>
      <c r="K28" s="202"/>
      <c r="L28" s="189"/>
      <c r="M28" s="189"/>
      <c r="N28" s="198"/>
      <c r="O28" s="504">
        <v>2392</v>
      </c>
      <c r="P28" s="452">
        <v>925</v>
      </c>
      <c r="Q28" s="502">
        <v>347</v>
      </c>
      <c r="R28" s="124">
        <v>3038</v>
      </c>
      <c r="S28" s="452">
        <v>457</v>
      </c>
      <c r="T28" s="486">
        <v>127</v>
      </c>
      <c r="U28" s="505">
        <v>1225</v>
      </c>
      <c r="V28" s="485">
        <v>457</v>
      </c>
      <c r="W28" s="452">
        <v>157</v>
      </c>
      <c r="X28" s="485">
        <v>60</v>
      </c>
      <c r="Y28" s="197"/>
      <c r="Z28" s="240">
        <f t="shared" si="19"/>
        <v>14704</v>
      </c>
    </row>
    <row r="29" spans="1:26" s="3" customFormat="1" outlineLevel="1" x14ac:dyDescent="0.25">
      <c r="A29" s="25" t="s">
        <v>5</v>
      </c>
      <c r="B29" s="155">
        <f t="shared" si="20"/>
        <v>44391</v>
      </c>
      <c r="C29" s="504">
        <v>221</v>
      </c>
      <c r="D29" s="452">
        <v>170</v>
      </c>
      <c r="E29" s="452">
        <v>188</v>
      </c>
      <c r="F29" s="452">
        <v>198</v>
      </c>
      <c r="G29" s="452">
        <v>665</v>
      </c>
      <c r="H29" s="486">
        <v>71</v>
      </c>
      <c r="I29" s="457">
        <v>2536</v>
      </c>
      <c r="J29" s="508">
        <v>0</v>
      </c>
      <c r="K29" s="202"/>
      <c r="L29" s="189"/>
      <c r="M29" s="189"/>
      <c r="N29" s="198"/>
      <c r="O29" s="504">
        <v>2449</v>
      </c>
      <c r="P29" s="452">
        <v>1042</v>
      </c>
      <c r="Q29" s="502">
        <v>384</v>
      </c>
      <c r="R29" s="124">
        <v>2739</v>
      </c>
      <c r="S29" s="452">
        <v>679</v>
      </c>
      <c r="T29" s="486">
        <v>137</v>
      </c>
      <c r="U29" s="505">
        <v>1114</v>
      </c>
      <c r="V29" s="485">
        <v>679</v>
      </c>
      <c r="W29" s="452">
        <v>186</v>
      </c>
      <c r="X29" s="485">
        <v>46</v>
      </c>
      <c r="Y29" s="197"/>
      <c r="Z29" s="240">
        <f t="shared" si="19"/>
        <v>13504</v>
      </c>
    </row>
    <row r="30" spans="1:26" s="3" customFormat="1" x14ac:dyDescent="0.25">
      <c r="A30" s="25" t="s">
        <v>6</v>
      </c>
      <c r="B30" s="155">
        <f t="shared" si="20"/>
        <v>44392</v>
      </c>
      <c r="C30" s="504">
        <v>246</v>
      </c>
      <c r="D30" s="452">
        <v>146</v>
      </c>
      <c r="E30" s="452">
        <v>213</v>
      </c>
      <c r="F30" s="452">
        <v>213</v>
      </c>
      <c r="G30" s="452">
        <v>614</v>
      </c>
      <c r="H30" s="486">
        <v>60</v>
      </c>
      <c r="I30" s="457">
        <v>3433</v>
      </c>
      <c r="J30" s="508">
        <v>0</v>
      </c>
      <c r="K30" s="202"/>
      <c r="L30" s="189"/>
      <c r="M30" s="189"/>
      <c r="N30" s="198"/>
      <c r="O30" s="504">
        <v>2415</v>
      </c>
      <c r="P30" s="452">
        <v>1159</v>
      </c>
      <c r="Q30" s="502">
        <v>391</v>
      </c>
      <c r="R30" s="124">
        <v>2802</v>
      </c>
      <c r="S30" s="452">
        <v>572</v>
      </c>
      <c r="T30" s="486">
        <v>122</v>
      </c>
      <c r="U30" s="505">
        <v>1182</v>
      </c>
      <c r="V30" s="485">
        <v>572</v>
      </c>
      <c r="W30" s="452">
        <v>151</v>
      </c>
      <c r="X30" s="485">
        <v>50</v>
      </c>
      <c r="Y30" s="197"/>
      <c r="Z30" s="240">
        <f t="shared" si="19"/>
        <v>14341</v>
      </c>
    </row>
    <row r="31" spans="1:26" s="3" customFormat="1" x14ac:dyDescent="0.25">
      <c r="A31" s="25" t="s">
        <v>0</v>
      </c>
      <c r="B31" s="155">
        <f t="shared" si="20"/>
        <v>44393</v>
      </c>
      <c r="C31" s="504">
        <v>197</v>
      </c>
      <c r="D31" s="452">
        <v>175</v>
      </c>
      <c r="E31" s="452">
        <v>129</v>
      </c>
      <c r="F31" s="452">
        <v>114</v>
      </c>
      <c r="G31" s="452">
        <v>348</v>
      </c>
      <c r="H31" s="486">
        <v>39</v>
      </c>
      <c r="I31" s="457">
        <v>3912</v>
      </c>
      <c r="J31" s="508">
        <v>0</v>
      </c>
      <c r="K31" s="202"/>
      <c r="L31" s="189"/>
      <c r="M31" s="189"/>
      <c r="N31" s="198"/>
      <c r="O31" s="504">
        <v>1965</v>
      </c>
      <c r="P31" s="452">
        <v>1027</v>
      </c>
      <c r="Q31" s="502">
        <v>275</v>
      </c>
      <c r="R31" s="124">
        <v>2596</v>
      </c>
      <c r="S31" s="452">
        <v>502</v>
      </c>
      <c r="T31" s="486">
        <v>114</v>
      </c>
      <c r="U31" s="505">
        <v>936</v>
      </c>
      <c r="V31" s="485">
        <v>502</v>
      </c>
      <c r="W31" s="452">
        <v>183</v>
      </c>
      <c r="X31" s="485">
        <v>73</v>
      </c>
      <c r="Y31" s="197"/>
      <c r="Z31" s="240">
        <f t="shared" si="19"/>
        <v>13087</v>
      </c>
    </row>
    <row r="32" spans="1:26" s="3" customFormat="1" x14ac:dyDescent="0.25">
      <c r="A32" s="25" t="s">
        <v>1</v>
      </c>
      <c r="B32" s="155">
        <f t="shared" si="20"/>
        <v>44394</v>
      </c>
      <c r="C32" s="211"/>
      <c r="D32" s="189"/>
      <c r="E32" s="189"/>
      <c r="F32" s="20"/>
      <c r="G32" s="20"/>
      <c r="H32" s="197"/>
      <c r="I32" s="457"/>
      <c r="J32" s="508"/>
      <c r="K32" s="202">
        <v>270</v>
      </c>
      <c r="L32" s="189">
        <v>105</v>
      </c>
      <c r="M32" s="189">
        <v>334</v>
      </c>
      <c r="N32" s="198">
        <v>296</v>
      </c>
      <c r="O32" s="211"/>
      <c r="P32" s="189"/>
      <c r="Q32" s="19"/>
      <c r="R32" s="480">
        <v>1904</v>
      </c>
      <c r="S32" s="20"/>
      <c r="T32" s="20"/>
      <c r="U32" s="452"/>
      <c r="V32" s="504"/>
      <c r="W32" s="202"/>
      <c r="X32" s="189"/>
      <c r="Z32" s="240">
        <f t="shared" si="19"/>
        <v>2909</v>
      </c>
    </row>
    <row r="33" spans="1:26" s="3" customFormat="1" ht="15.75" thickBot="1" x14ac:dyDescent="0.3">
      <c r="A33" s="25" t="s">
        <v>2</v>
      </c>
      <c r="B33" s="155">
        <f t="shared" si="20"/>
        <v>44395</v>
      </c>
      <c r="C33" s="211"/>
      <c r="D33" s="189"/>
      <c r="E33" s="189"/>
      <c r="F33" s="20"/>
      <c r="G33" s="20"/>
      <c r="H33" s="197"/>
      <c r="I33" s="497">
        <v>5393</v>
      </c>
      <c r="J33" s="508">
        <v>1472</v>
      </c>
      <c r="K33" s="202">
        <v>361</v>
      </c>
      <c r="L33" s="189">
        <v>120</v>
      </c>
      <c r="M33" s="189">
        <v>344</v>
      </c>
      <c r="N33" s="198">
        <v>410</v>
      </c>
      <c r="O33" s="525"/>
      <c r="P33" s="392"/>
      <c r="Q33" s="22"/>
      <c r="R33" s="124">
        <v>1841</v>
      </c>
      <c r="S33" s="387"/>
      <c r="T33" s="387"/>
      <c r="U33" s="505">
        <v>1000</v>
      </c>
      <c r="V33" s="504"/>
      <c r="W33" s="391"/>
      <c r="X33" s="392"/>
      <c r="Y33" s="452">
        <v>775</v>
      </c>
      <c r="Z33" s="393">
        <f t="shared" si="19"/>
        <v>11716</v>
      </c>
    </row>
    <row r="34" spans="1:26" s="3" customFormat="1" ht="15.75" thickBot="1" x14ac:dyDescent="0.3">
      <c r="A34" s="140" t="s">
        <v>19</v>
      </c>
      <c r="B34" s="730" t="s">
        <v>24</v>
      </c>
      <c r="C34" s="351">
        <f t="shared" ref="C34:Y34" si="21">SUM(C27:C33)</f>
        <v>1053</v>
      </c>
      <c r="D34" s="195">
        <f t="shared" si="21"/>
        <v>770</v>
      </c>
      <c r="E34" s="195">
        <f t="shared" si="21"/>
        <v>797</v>
      </c>
      <c r="F34" s="195">
        <f t="shared" si="21"/>
        <v>920</v>
      </c>
      <c r="G34" s="195">
        <f t="shared" si="21"/>
        <v>2877</v>
      </c>
      <c r="H34" s="487">
        <f t="shared" si="21"/>
        <v>260</v>
      </c>
      <c r="I34" s="390">
        <f t="shared" si="21"/>
        <v>21216</v>
      </c>
      <c r="J34" s="524">
        <f t="shared" si="21"/>
        <v>1472</v>
      </c>
      <c r="K34" s="389">
        <f t="shared" si="21"/>
        <v>631</v>
      </c>
      <c r="L34" s="524">
        <f t="shared" si="21"/>
        <v>225</v>
      </c>
      <c r="M34" s="524">
        <f t="shared" si="21"/>
        <v>678</v>
      </c>
      <c r="N34" s="368">
        <f t="shared" si="21"/>
        <v>706</v>
      </c>
      <c r="O34" s="141">
        <f t="shared" si="21"/>
        <v>11178</v>
      </c>
      <c r="P34" s="367">
        <f t="shared" si="21"/>
        <v>4947</v>
      </c>
      <c r="Q34" s="368">
        <f t="shared" si="21"/>
        <v>1757</v>
      </c>
      <c r="R34" s="141">
        <f>SUM(R27:R33)</f>
        <v>16954</v>
      </c>
      <c r="S34" s="366">
        <f t="shared" si="21"/>
        <v>2693</v>
      </c>
      <c r="T34" s="366">
        <f t="shared" si="21"/>
        <v>634</v>
      </c>
      <c r="U34" s="366">
        <f t="shared" si="21"/>
        <v>6135</v>
      </c>
      <c r="V34" s="366">
        <f t="shared" si="21"/>
        <v>2693</v>
      </c>
      <c r="W34" s="366">
        <f>SUM(W27:W33)</f>
        <v>799</v>
      </c>
      <c r="X34" s="366">
        <f t="shared" si="21"/>
        <v>281</v>
      </c>
      <c r="Y34" s="389">
        <f t="shared" si="21"/>
        <v>775</v>
      </c>
      <c r="Z34" s="390">
        <f>SUM(Z27:Z33)</f>
        <v>80451</v>
      </c>
    </row>
    <row r="35" spans="1:26" s="3" customFormat="1" ht="15.75" thickBot="1" x14ac:dyDescent="0.3">
      <c r="A35" s="99" t="s">
        <v>21</v>
      </c>
      <c r="B35" s="731"/>
      <c r="C35" s="351">
        <f t="shared" ref="C35:Z35" si="22">AVERAGE(C27:C33)</f>
        <v>210.6</v>
      </c>
      <c r="D35" s="195">
        <f t="shared" si="22"/>
        <v>154</v>
      </c>
      <c r="E35" s="195">
        <f t="shared" si="22"/>
        <v>159.4</v>
      </c>
      <c r="F35" s="195">
        <f t="shared" si="22"/>
        <v>184</v>
      </c>
      <c r="G35" s="195">
        <f t="shared" si="22"/>
        <v>575.4</v>
      </c>
      <c r="H35" s="487">
        <f t="shared" si="22"/>
        <v>52</v>
      </c>
      <c r="I35" s="354">
        <f t="shared" si="22"/>
        <v>3536</v>
      </c>
      <c r="J35" s="487">
        <f t="shared" si="22"/>
        <v>245.33333333333334</v>
      </c>
      <c r="K35" s="350">
        <f t="shared" si="22"/>
        <v>315.5</v>
      </c>
      <c r="L35" s="487">
        <f t="shared" si="22"/>
        <v>112.5</v>
      </c>
      <c r="M35" s="487">
        <f t="shared" si="22"/>
        <v>339</v>
      </c>
      <c r="N35" s="353">
        <f t="shared" si="22"/>
        <v>353</v>
      </c>
      <c r="O35" s="351">
        <f t="shared" si="22"/>
        <v>2235.6</v>
      </c>
      <c r="P35" s="195">
        <f t="shared" si="22"/>
        <v>989.4</v>
      </c>
      <c r="Q35" s="353">
        <f t="shared" si="22"/>
        <v>351.4</v>
      </c>
      <c r="R35" s="351">
        <f>AVERAGE(R27:R33)</f>
        <v>2422</v>
      </c>
      <c r="S35" s="203">
        <f t="shared" si="22"/>
        <v>538.6</v>
      </c>
      <c r="T35" s="203">
        <f t="shared" si="22"/>
        <v>126.8</v>
      </c>
      <c r="U35" s="203">
        <f t="shared" si="22"/>
        <v>1022.5</v>
      </c>
      <c r="V35" s="203">
        <f t="shared" si="22"/>
        <v>538.6</v>
      </c>
      <c r="W35" s="203">
        <f>AVERAGE(W27:W33)</f>
        <v>159.80000000000001</v>
      </c>
      <c r="X35" s="203">
        <f t="shared" si="22"/>
        <v>56.2</v>
      </c>
      <c r="Y35" s="350">
        <f t="shared" si="22"/>
        <v>775</v>
      </c>
      <c r="Z35" s="354">
        <f t="shared" si="22"/>
        <v>11493</v>
      </c>
    </row>
    <row r="36" spans="1:26" s="3" customFormat="1" ht="15.75" thickBot="1" x14ac:dyDescent="0.3">
      <c r="A36" s="26" t="s">
        <v>18</v>
      </c>
      <c r="B36" s="731"/>
      <c r="C36" s="352">
        <f t="shared" ref="C36:Y36" si="23">SUM(C27:C31)</f>
        <v>1053</v>
      </c>
      <c r="D36" s="196">
        <f t="shared" si="23"/>
        <v>770</v>
      </c>
      <c r="E36" s="196">
        <f t="shared" si="23"/>
        <v>797</v>
      </c>
      <c r="F36" s="196">
        <f t="shared" si="23"/>
        <v>920</v>
      </c>
      <c r="G36" s="196">
        <f t="shared" si="23"/>
        <v>2877</v>
      </c>
      <c r="H36" s="488">
        <f t="shared" si="23"/>
        <v>260</v>
      </c>
      <c r="I36" s="359">
        <f>SUM(I27:I31)</f>
        <v>15823</v>
      </c>
      <c r="J36" s="488">
        <f>SUM(J27:J31)</f>
        <v>0</v>
      </c>
      <c r="K36" s="357">
        <f t="shared" ref="K36:N36" si="24">SUM(K27:K31)</f>
        <v>0</v>
      </c>
      <c r="L36" s="488">
        <f t="shared" si="24"/>
        <v>0</v>
      </c>
      <c r="M36" s="488">
        <f t="shared" si="24"/>
        <v>0</v>
      </c>
      <c r="N36" s="355">
        <f t="shared" si="24"/>
        <v>0</v>
      </c>
      <c r="O36" s="352">
        <f t="shared" si="23"/>
        <v>11178</v>
      </c>
      <c r="P36" s="196">
        <f t="shared" si="23"/>
        <v>4947</v>
      </c>
      <c r="Q36" s="355">
        <f t="shared" si="23"/>
        <v>1757</v>
      </c>
      <c r="R36" s="352">
        <f t="shared" si="23"/>
        <v>13209</v>
      </c>
      <c r="S36" s="204">
        <f t="shared" si="23"/>
        <v>2693</v>
      </c>
      <c r="T36" s="204">
        <f t="shared" si="23"/>
        <v>634</v>
      </c>
      <c r="U36" s="204">
        <f>SUM(W27:W31)</f>
        <v>799</v>
      </c>
      <c r="V36" s="204">
        <f t="shared" si="23"/>
        <v>2693</v>
      </c>
      <c r="W36" s="204">
        <f t="shared" si="23"/>
        <v>799</v>
      </c>
      <c r="X36" s="204">
        <f t="shared" si="23"/>
        <v>281</v>
      </c>
      <c r="Y36" s="357">
        <f t="shared" si="23"/>
        <v>0</v>
      </c>
      <c r="Z36" s="359">
        <f>SUM(Z27:Z31)</f>
        <v>65826</v>
      </c>
    </row>
    <row r="37" spans="1:26" s="3" customFormat="1" ht="15.75" outlineLevel="1" thickBot="1" x14ac:dyDescent="0.3">
      <c r="A37" s="26" t="s">
        <v>20</v>
      </c>
      <c r="B37" s="732"/>
      <c r="C37" s="352">
        <f>AVERAGE(C27:C31)</f>
        <v>210.6</v>
      </c>
      <c r="D37" s="196">
        <f t="shared" ref="D37:Y37" si="25">AVERAGE(D27:D31)</f>
        <v>154</v>
      </c>
      <c r="E37" s="196">
        <f t="shared" si="25"/>
        <v>159.4</v>
      </c>
      <c r="F37" s="196">
        <f t="shared" si="25"/>
        <v>184</v>
      </c>
      <c r="G37" s="196">
        <f t="shared" si="25"/>
        <v>575.4</v>
      </c>
      <c r="H37" s="488">
        <f t="shared" si="25"/>
        <v>52</v>
      </c>
      <c r="I37" s="360">
        <f t="shared" si="25"/>
        <v>3164.6</v>
      </c>
      <c r="J37" s="490">
        <f t="shared" si="25"/>
        <v>0</v>
      </c>
      <c r="K37" s="376" t="e">
        <f t="shared" si="25"/>
        <v>#DIV/0!</v>
      </c>
      <c r="L37" s="490" t="e">
        <f t="shared" si="25"/>
        <v>#DIV/0!</v>
      </c>
      <c r="M37" s="490" t="e">
        <f t="shared" si="25"/>
        <v>#DIV/0!</v>
      </c>
      <c r="N37" s="356" t="e">
        <f t="shared" si="25"/>
        <v>#DIV/0!</v>
      </c>
      <c r="O37" s="142">
        <f t="shared" si="25"/>
        <v>2235.6</v>
      </c>
      <c r="P37" s="190">
        <f t="shared" si="25"/>
        <v>989.4</v>
      </c>
      <c r="Q37" s="356">
        <f t="shared" si="25"/>
        <v>351.4</v>
      </c>
      <c r="R37" s="142">
        <f t="shared" si="25"/>
        <v>2641.8</v>
      </c>
      <c r="S37" s="36">
        <f t="shared" si="25"/>
        <v>538.6</v>
      </c>
      <c r="T37" s="36">
        <f t="shared" si="25"/>
        <v>126.8</v>
      </c>
      <c r="U37" s="36">
        <f>AVERAGE(W27:W31)</f>
        <v>159.80000000000001</v>
      </c>
      <c r="V37" s="36">
        <f t="shared" si="25"/>
        <v>538.6</v>
      </c>
      <c r="W37" s="36">
        <f t="shared" si="25"/>
        <v>159.80000000000001</v>
      </c>
      <c r="X37" s="36">
        <f t="shared" si="25"/>
        <v>56.2</v>
      </c>
      <c r="Y37" s="376" t="e">
        <f t="shared" si="25"/>
        <v>#DIV/0!</v>
      </c>
      <c r="Z37" s="360">
        <f>AVERAGE(Z27:Z31)</f>
        <v>13165.2</v>
      </c>
    </row>
    <row r="38" spans="1:26" s="3" customFormat="1" outlineLevel="1" x14ac:dyDescent="0.25">
      <c r="A38" s="25" t="s">
        <v>3</v>
      </c>
      <c r="B38" s="154">
        <f>B33+1</f>
        <v>44396</v>
      </c>
      <c r="C38" s="504">
        <v>169</v>
      </c>
      <c r="D38" s="452">
        <v>107</v>
      </c>
      <c r="E38" s="452">
        <v>173</v>
      </c>
      <c r="F38" s="452">
        <v>159</v>
      </c>
      <c r="G38" s="452">
        <v>499</v>
      </c>
      <c r="H38" s="486">
        <v>59</v>
      </c>
      <c r="I38" s="498">
        <v>3247</v>
      </c>
      <c r="J38" s="511">
        <v>0</v>
      </c>
      <c r="K38" s="424"/>
      <c r="L38" s="425"/>
      <c r="M38" s="425"/>
      <c r="N38" s="527"/>
      <c r="O38" s="504">
        <v>2209</v>
      </c>
      <c r="P38" s="452">
        <v>884</v>
      </c>
      <c r="Q38" s="502">
        <v>312</v>
      </c>
      <c r="R38" s="422">
        <v>2431</v>
      </c>
      <c r="S38" s="452">
        <v>420</v>
      </c>
      <c r="T38" s="486">
        <v>148</v>
      </c>
      <c r="U38" s="505">
        <v>1097</v>
      </c>
      <c r="V38" s="485">
        <v>420</v>
      </c>
      <c r="W38" s="452">
        <v>161</v>
      </c>
      <c r="X38" s="485">
        <v>76</v>
      </c>
      <c r="Y38" s="423"/>
      <c r="Z38" s="16">
        <f t="shared" ref="Z38:Z44" si="26">SUM(C38:Y38)</f>
        <v>12571</v>
      </c>
    </row>
    <row r="39" spans="1:26" s="3" customFormat="1" outlineLevel="1" x14ac:dyDescent="0.25">
      <c r="A39" s="132" t="s">
        <v>4</v>
      </c>
      <c r="B39" s="155">
        <f t="shared" ref="B39:B44" si="27">B38+1</f>
        <v>44397</v>
      </c>
      <c r="C39" s="504">
        <v>271</v>
      </c>
      <c r="D39" s="452">
        <v>195</v>
      </c>
      <c r="E39" s="452">
        <v>220</v>
      </c>
      <c r="F39" s="452">
        <v>201</v>
      </c>
      <c r="G39" s="452">
        <v>695</v>
      </c>
      <c r="H39" s="486">
        <v>50</v>
      </c>
      <c r="I39" s="499">
        <v>3928</v>
      </c>
      <c r="J39" s="512">
        <v>0</v>
      </c>
      <c r="K39" s="424"/>
      <c r="L39" s="425"/>
      <c r="M39" s="425"/>
      <c r="N39" s="527"/>
      <c r="O39" s="504">
        <v>2336</v>
      </c>
      <c r="P39" s="452">
        <v>1048</v>
      </c>
      <c r="Q39" s="502">
        <v>400</v>
      </c>
      <c r="R39" s="428">
        <v>2666</v>
      </c>
      <c r="S39" s="452">
        <v>581</v>
      </c>
      <c r="T39" s="486">
        <v>164</v>
      </c>
      <c r="U39" s="505">
        <v>1094</v>
      </c>
      <c r="V39" s="485">
        <v>581</v>
      </c>
      <c r="W39" s="452">
        <v>165</v>
      </c>
      <c r="X39" s="485">
        <v>101</v>
      </c>
      <c r="Y39" s="429"/>
      <c r="Z39" s="240">
        <f t="shared" si="26"/>
        <v>14696</v>
      </c>
    </row>
    <row r="40" spans="1:26" s="3" customFormat="1" outlineLevel="1" x14ac:dyDescent="0.25">
      <c r="A40" s="132" t="s">
        <v>5</v>
      </c>
      <c r="B40" s="155">
        <f t="shared" si="27"/>
        <v>44398</v>
      </c>
      <c r="C40" s="504">
        <v>253</v>
      </c>
      <c r="D40" s="452">
        <v>171</v>
      </c>
      <c r="E40" s="452">
        <v>227</v>
      </c>
      <c r="F40" s="452">
        <v>229</v>
      </c>
      <c r="G40" s="452">
        <v>605</v>
      </c>
      <c r="H40" s="486">
        <v>69</v>
      </c>
      <c r="I40" s="499">
        <v>2843</v>
      </c>
      <c r="J40" s="512">
        <v>0</v>
      </c>
      <c r="K40" s="424"/>
      <c r="L40" s="425"/>
      <c r="M40" s="425"/>
      <c r="N40" s="527"/>
      <c r="O40" s="504">
        <v>2356</v>
      </c>
      <c r="P40" s="452">
        <v>1076</v>
      </c>
      <c r="Q40" s="502">
        <v>417</v>
      </c>
      <c r="R40" s="428">
        <v>2835</v>
      </c>
      <c r="S40" s="452">
        <v>484</v>
      </c>
      <c r="T40" s="486">
        <v>145</v>
      </c>
      <c r="U40" s="505">
        <v>1171</v>
      </c>
      <c r="V40" s="485">
        <v>484</v>
      </c>
      <c r="W40" s="452">
        <v>159</v>
      </c>
      <c r="X40" s="485">
        <v>73</v>
      </c>
      <c r="Y40" s="429"/>
      <c r="Z40" s="240">
        <f t="shared" si="26"/>
        <v>13597</v>
      </c>
    </row>
    <row r="41" spans="1:26" s="3" customFormat="1" x14ac:dyDescent="0.25">
      <c r="A41" s="132" t="s">
        <v>6</v>
      </c>
      <c r="B41" s="155">
        <f t="shared" si="27"/>
        <v>44399</v>
      </c>
      <c r="C41" s="504">
        <v>215</v>
      </c>
      <c r="D41" s="452">
        <v>162</v>
      </c>
      <c r="E41" s="452">
        <v>208</v>
      </c>
      <c r="F41" s="452">
        <v>212</v>
      </c>
      <c r="G41" s="452">
        <v>606</v>
      </c>
      <c r="H41" s="486">
        <v>69</v>
      </c>
      <c r="I41" s="499">
        <v>4646</v>
      </c>
      <c r="J41" s="512">
        <v>0</v>
      </c>
      <c r="K41" s="424"/>
      <c r="L41" s="425"/>
      <c r="M41" s="425"/>
      <c r="N41" s="527"/>
      <c r="O41" s="504">
        <v>2371</v>
      </c>
      <c r="P41" s="452">
        <v>1131</v>
      </c>
      <c r="Q41" s="502">
        <v>375</v>
      </c>
      <c r="R41" s="428">
        <v>2903</v>
      </c>
      <c r="S41" s="452">
        <v>491</v>
      </c>
      <c r="T41" s="486">
        <v>188</v>
      </c>
      <c r="U41" s="505">
        <v>1354</v>
      </c>
      <c r="V41" s="485">
        <v>491</v>
      </c>
      <c r="W41" s="452">
        <v>182</v>
      </c>
      <c r="X41" s="485">
        <v>83</v>
      </c>
      <c r="Y41" s="429"/>
      <c r="Z41" s="240">
        <f t="shared" si="26"/>
        <v>15687</v>
      </c>
    </row>
    <row r="42" spans="1:26" s="3" customFormat="1" x14ac:dyDescent="0.25">
      <c r="A42" s="25" t="s">
        <v>0</v>
      </c>
      <c r="B42" s="157">
        <f t="shared" si="27"/>
        <v>44400</v>
      </c>
      <c r="C42" s="504">
        <v>177</v>
      </c>
      <c r="D42" s="452">
        <v>66</v>
      </c>
      <c r="E42" s="452">
        <v>128</v>
      </c>
      <c r="F42" s="452">
        <v>168</v>
      </c>
      <c r="G42" s="452">
        <v>361</v>
      </c>
      <c r="H42" s="486">
        <v>33</v>
      </c>
      <c r="I42" s="499">
        <v>5255</v>
      </c>
      <c r="J42" s="512">
        <v>0</v>
      </c>
      <c r="K42" s="424"/>
      <c r="L42" s="425"/>
      <c r="M42" s="425"/>
      <c r="N42" s="527"/>
      <c r="O42" s="504">
        <v>2273</v>
      </c>
      <c r="P42" s="452">
        <v>871</v>
      </c>
      <c r="Q42" s="502">
        <v>300</v>
      </c>
      <c r="R42" s="428">
        <v>2752</v>
      </c>
      <c r="S42" s="452">
        <v>584</v>
      </c>
      <c r="T42" s="486">
        <v>127</v>
      </c>
      <c r="U42" s="505">
        <v>894</v>
      </c>
      <c r="V42" s="485">
        <v>584</v>
      </c>
      <c r="W42" s="452">
        <v>176</v>
      </c>
      <c r="X42" s="485">
        <v>45</v>
      </c>
      <c r="Y42" s="429"/>
      <c r="Z42" s="240">
        <f t="shared" si="26"/>
        <v>14794</v>
      </c>
    </row>
    <row r="43" spans="1:26" s="3" customFormat="1" x14ac:dyDescent="0.25">
      <c r="A43" s="25" t="s">
        <v>1</v>
      </c>
      <c r="B43" s="157">
        <f t="shared" si="27"/>
        <v>44401</v>
      </c>
      <c r="C43" s="491"/>
      <c r="D43" s="425"/>
      <c r="E43" s="425"/>
      <c r="F43" s="426"/>
      <c r="G43" s="426"/>
      <c r="H43" s="489"/>
      <c r="I43" s="499">
        <v>12193</v>
      </c>
      <c r="J43" s="512">
        <v>3425</v>
      </c>
      <c r="K43" s="424">
        <v>486</v>
      </c>
      <c r="L43" s="425">
        <v>115</v>
      </c>
      <c r="M43" s="425">
        <v>409</v>
      </c>
      <c r="N43" s="527">
        <v>478</v>
      </c>
      <c r="O43" s="504">
        <v>1857</v>
      </c>
      <c r="P43" s="452">
        <v>1084</v>
      </c>
      <c r="Q43" s="427"/>
      <c r="R43" s="428">
        <v>3218</v>
      </c>
      <c r="S43" s="426"/>
      <c r="T43" s="426"/>
      <c r="U43" s="505">
        <v>1417</v>
      </c>
      <c r="V43" s="504"/>
      <c r="W43" s="424"/>
      <c r="X43" s="425"/>
      <c r="Y43" s="452">
        <v>1518</v>
      </c>
      <c r="Z43" s="240">
        <f t="shared" si="26"/>
        <v>26200</v>
      </c>
    </row>
    <row r="44" spans="1:26" s="3" customFormat="1" ht="15.75" thickBot="1" x14ac:dyDescent="0.3">
      <c r="A44" s="132" t="s">
        <v>2</v>
      </c>
      <c r="B44" s="157">
        <f t="shared" si="27"/>
        <v>44402</v>
      </c>
      <c r="C44" s="491"/>
      <c r="D44" s="425"/>
      <c r="E44" s="425"/>
      <c r="F44" s="426"/>
      <c r="G44" s="426"/>
      <c r="H44" s="489"/>
      <c r="I44" s="500">
        <v>5794</v>
      </c>
      <c r="J44" s="513">
        <v>2053</v>
      </c>
      <c r="K44" s="528">
        <v>463</v>
      </c>
      <c r="L44" s="526">
        <v>96</v>
      </c>
      <c r="M44" s="526">
        <v>438</v>
      </c>
      <c r="N44" s="529">
        <v>483</v>
      </c>
      <c r="O44" s="504">
        <v>1261</v>
      </c>
      <c r="P44" s="452">
        <v>534</v>
      </c>
      <c r="Q44" s="433"/>
      <c r="R44" s="434">
        <v>1940</v>
      </c>
      <c r="S44" s="432"/>
      <c r="T44" s="432"/>
      <c r="U44" s="505">
        <v>831</v>
      </c>
      <c r="V44" s="504"/>
      <c r="W44" s="430"/>
      <c r="X44" s="431"/>
      <c r="Y44" s="452">
        <v>652</v>
      </c>
      <c r="Z44" s="393">
        <f t="shared" si="26"/>
        <v>14545</v>
      </c>
    </row>
    <row r="45" spans="1:26" s="3" customFormat="1" ht="15.75" thickBot="1" x14ac:dyDescent="0.3">
      <c r="A45" s="140" t="s">
        <v>19</v>
      </c>
      <c r="B45" s="730" t="s">
        <v>25</v>
      </c>
      <c r="C45" s="351">
        <f t="shared" ref="C45:Y45" si="28">SUM(C38:C44)</f>
        <v>1085</v>
      </c>
      <c r="D45" s="195">
        <f t="shared" si="28"/>
        <v>701</v>
      </c>
      <c r="E45" s="195">
        <f t="shared" si="28"/>
        <v>956</v>
      </c>
      <c r="F45" s="195">
        <f t="shared" si="28"/>
        <v>969</v>
      </c>
      <c r="G45" s="195">
        <f t="shared" si="28"/>
        <v>2766</v>
      </c>
      <c r="H45" s="487">
        <f t="shared" si="28"/>
        <v>280</v>
      </c>
      <c r="I45" s="390">
        <f>SUM(I38:I44)</f>
        <v>37906</v>
      </c>
      <c r="J45" s="524">
        <f>SUM(J38:J44)</f>
        <v>5478</v>
      </c>
      <c r="K45" s="389">
        <f t="shared" ref="K45:N45" si="29">SUM(K38:K44)</f>
        <v>949</v>
      </c>
      <c r="L45" s="524">
        <f t="shared" si="29"/>
        <v>211</v>
      </c>
      <c r="M45" s="524">
        <f t="shared" si="29"/>
        <v>847</v>
      </c>
      <c r="N45" s="368">
        <f t="shared" si="29"/>
        <v>961</v>
      </c>
      <c r="O45" s="141">
        <f t="shared" si="28"/>
        <v>14663</v>
      </c>
      <c r="P45" s="367">
        <f t="shared" si="28"/>
        <v>6628</v>
      </c>
      <c r="Q45" s="368">
        <f t="shared" si="28"/>
        <v>1804</v>
      </c>
      <c r="R45" s="141">
        <f t="shared" si="28"/>
        <v>18745</v>
      </c>
      <c r="S45" s="366">
        <f t="shared" si="28"/>
        <v>2560</v>
      </c>
      <c r="T45" s="366">
        <f t="shared" si="28"/>
        <v>772</v>
      </c>
      <c r="U45" s="366">
        <f>SUM(U38:U44)</f>
        <v>7858</v>
      </c>
      <c r="V45" s="366">
        <f>SUM(V38:V44)</f>
        <v>2560</v>
      </c>
      <c r="W45" s="366">
        <f>SUM(W38:W44)</f>
        <v>843</v>
      </c>
      <c r="X45" s="366">
        <f t="shared" si="28"/>
        <v>378</v>
      </c>
      <c r="Y45" s="389">
        <f t="shared" si="28"/>
        <v>2170</v>
      </c>
      <c r="Z45" s="390">
        <f>SUM(Z38:Z44)</f>
        <v>112090</v>
      </c>
    </row>
    <row r="46" spans="1:26" s="3" customFormat="1" ht="15.75" thickBot="1" x14ac:dyDescent="0.3">
      <c r="A46" s="99" t="s">
        <v>21</v>
      </c>
      <c r="B46" s="731"/>
      <c r="C46" s="351">
        <f t="shared" ref="C46:Z46" si="30">AVERAGE(C38:C44)</f>
        <v>217</v>
      </c>
      <c r="D46" s="195">
        <f t="shared" si="30"/>
        <v>140.19999999999999</v>
      </c>
      <c r="E46" s="195">
        <f t="shared" si="30"/>
        <v>191.2</v>
      </c>
      <c r="F46" s="195">
        <f t="shared" si="30"/>
        <v>193.8</v>
      </c>
      <c r="G46" s="195">
        <f t="shared" si="30"/>
        <v>553.20000000000005</v>
      </c>
      <c r="H46" s="487">
        <f t="shared" si="30"/>
        <v>56</v>
      </c>
      <c r="I46" s="354">
        <f t="shared" si="30"/>
        <v>5415.1428571428569</v>
      </c>
      <c r="J46" s="487">
        <f t="shared" si="30"/>
        <v>782.57142857142856</v>
      </c>
      <c r="K46" s="350">
        <f t="shared" si="30"/>
        <v>474.5</v>
      </c>
      <c r="L46" s="487">
        <f t="shared" si="30"/>
        <v>105.5</v>
      </c>
      <c r="M46" s="487">
        <f t="shared" si="30"/>
        <v>423.5</v>
      </c>
      <c r="N46" s="353">
        <f t="shared" si="30"/>
        <v>480.5</v>
      </c>
      <c r="O46" s="351">
        <f t="shared" si="30"/>
        <v>2094.7142857142858</v>
      </c>
      <c r="P46" s="195">
        <f t="shared" si="30"/>
        <v>946.85714285714289</v>
      </c>
      <c r="Q46" s="353">
        <f t="shared" si="30"/>
        <v>360.8</v>
      </c>
      <c r="R46" s="351">
        <f t="shared" si="30"/>
        <v>2677.8571428571427</v>
      </c>
      <c r="S46" s="203">
        <f t="shared" si="30"/>
        <v>512</v>
      </c>
      <c r="T46" s="203">
        <f t="shared" si="30"/>
        <v>154.4</v>
      </c>
      <c r="U46" s="203">
        <f>AVERAGE(U38:U44)</f>
        <v>1122.5714285714287</v>
      </c>
      <c r="V46" s="203">
        <f>AVERAGE(V38:V44)</f>
        <v>512</v>
      </c>
      <c r="W46" s="203">
        <f>AVERAGE(W38:W44)</f>
        <v>168.6</v>
      </c>
      <c r="X46" s="203">
        <f t="shared" si="30"/>
        <v>75.599999999999994</v>
      </c>
      <c r="Y46" s="350">
        <f t="shared" si="30"/>
        <v>1085</v>
      </c>
      <c r="Z46" s="354">
        <f t="shared" si="30"/>
        <v>16012.857142857143</v>
      </c>
    </row>
    <row r="47" spans="1:26" s="3" customFormat="1" ht="15.75" thickBot="1" x14ac:dyDescent="0.3">
      <c r="A47" s="26" t="s">
        <v>18</v>
      </c>
      <c r="B47" s="731"/>
      <c r="C47" s="352">
        <f t="shared" ref="C47:Y47" si="31">SUM(C38:C42)</f>
        <v>1085</v>
      </c>
      <c r="D47" s="196">
        <f t="shared" si="31"/>
        <v>701</v>
      </c>
      <c r="E47" s="196">
        <f t="shared" si="31"/>
        <v>956</v>
      </c>
      <c r="F47" s="196">
        <f t="shared" si="31"/>
        <v>969</v>
      </c>
      <c r="G47" s="196">
        <f t="shared" si="31"/>
        <v>2766</v>
      </c>
      <c r="H47" s="488">
        <f t="shared" si="31"/>
        <v>280</v>
      </c>
      <c r="I47" s="359">
        <f t="shared" si="31"/>
        <v>19919</v>
      </c>
      <c r="J47" s="488">
        <f t="shared" si="31"/>
        <v>0</v>
      </c>
      <c r="K47" s="357">
        <f t="shared" si="31"/>
        <v>0</v>
      </c>
      <c r="L47" s="488">
        <f t="shared" si="31"/>
        <v>0</v>
      </c>
      <c r="M47" s="488">
        <f t="shared" si="31"/>
        <v>0</v>
      </c>
      <c r="N47" s="355">
        <f t="shared" si="31"/>
        <v>0</v>
      </c>
      <c r="O47" s="352">
        <f t="shared" si="31"/>
        <v>11545</v>
      </c>
      <c r="P47" s="196">
        <f t="shared" si="31"/>
        <v>5010</v>
      </c>
      <c r="Q47" s="355">
        <f t="shared" si="31"/>
        <v>1804</v>
      </c>
      <c r="R47" s="352">
        <f t="shared" si="31"/>
        <v>13587</v>
      </c>
      <c r="S47" s="204">
        <f t="shared" si="31"/>
        <v>2560</v>
      </c>
      <c r="T47" s="204">
        <f t="shared" si="31"/>
        <v>772</v>
      </c>
      <c r="U47" s="204">
        <f>SUM(W38:W42)</f>
        <v>843</v>
      </c>
      <c r="V47" s="204">
        <f>SUM(V38:V42)</f>
        <v>2560</v>
      </c>
      <c r="W47" s="204">
        <f>SUM(W38:W42)</f>
        <v>843</v>
      </c>
      <c r="X47" s="204">
        <f t="shared" si="31"/>
        <v>378</v>
      </c>
      <c r="Y47" s="357">
        <f t="shared" si="31"/>
        <v>0</v>
      </c>
      <c r="Z47" s="359">
        <f>SUM(Z38:Z42)</f>
        <v>71345</v>
      </c>
    </row>
    <row r="48" spans="1:26" s="3" customFormat="1" ht="15.75" outlineLevel="1" thickBot="1" x14ac:dyDescent="0.3">
      <c r="A48" s="26" t="s">
        <v>20</v>
      </c>
      <c r="B48" s="731"/>
      <c r="C48" s="352">
        <f t="shared" ref="C48:Z48" si="32">AVERAGE(C38:C42)</f>
        <v>217</v>
      </c>
      <c r="D48" s="196">
        <f t="shared" si="32"/>
        <v>140.19999999999999</v>
      </c>
      <c r="E48" s="196">
        <f t="shared" si="32"/>
        <v>191.2</v>
      </c>
      <c r="F48" s="196">
        <f t="shared" si="32"/>
        <v>193.8</v>
      </c>
      <c r="G48" s="196">
        <f t="shared" si="32"/>
        <v>553.20000000000005</v>
      </c>
      <c r="H48" s="488">
        <f t="shared" si="32"/>
        <v>56</v>
      </c>
      <c r="I48" s="360">
        <f t="shared" si="32"/>
        <v>3983.8</v>
      </c>
      <c r="J48" s="490">
        <f t="shared" si="32"/>
        <v>0</v>
      </c>
      <c r="K48" s="376" t="e">
        <f t="shared" si="32"/>
        <v>#DIV/0!</v>
      </c>
      <c r="L48" s="490" t="e">
        <f t="shared" si="32"/>
        <v>#DIV/0!</v>
      </c>
      <c r="M48" s="490" t="e">
        <f t="shared" si="32"/>
        <v>#DIV/0!</v>
      </c>
      <c r="N48" s="356" t="e">
        <f t="shared" si="32"/>
        <v>#DIV/0!</v>
      </c>
      <c r="O48" s="142">
        <f t="shared" si="32"/>
        <v>2309</v>
      </c>
      <c r="P48" s="190">
        <f t="shared" si="32"/>
        <v>1002</v>
      </c>
      <c r="Q48" s="356">
        <f t="shared" si="32"/>
        <v>360.8</v>
      </c>
      <c r="R48" s="142">
        <f t="shared" si="32"/>
        <v>2717.4</v>
      </c>
      <c r="S48" s="36">
        <f t="shared" si="32"/>
        <v>512</v>
      </c>
      <c r="T48" s="36">
        <f t="shared" si="32"/>
        <v>154.4</v>
      </c>
      <c r="U48" s="36">
        <f>AVERAGE(W38:W42)</f>
        <v>168.6</v>
      </c>
      <c r="V48" s="36">
        <f>AVERAGE(V38:V42)</f>
        <v>512</v>
      </c>
      <c r="W48" s="36">
        <f>AVERAGE(W38:W42)</f>
        <v>168.6</v>
      </c>
      <c r="X48" s="36">
        <f t="shared" si="32"/>
        <v>75.599999999999994</v>
      </c>
      <c r="Y48" s="376" t="e">
        <f t="shared" si="32"/>
        <v>#DIV/0!</v>
      </c>
      <c r="Z48" s="419">
        <f t="shared" si="32"/>
        <v>14269</v>
      </c>
    </row>
    <row r="49" spans="1:26" s="3" customFormat="1" outlineLevel="1" x14ac:dyDescent="0.25">
      <c r="A49" s="132" t="s">
        <v>3</v>
      </c>
      <c r="B49" s="507">
        <f>B44+1</f>
        <v>44403</v>
      </c>
      <c r="C49" s="504">
        <v>178</v>
      </c>
      <c r="D49" s="485">
        <v>136</v>
      </c>
      <c r="E49" s="452">
        <v>152</v>
      </c>
      <c r="F49" s="452">
        <v>202</v>
      </c>
      <c r="G49" s="452">
        <v>497</v>
      </c>
      <c r="H49" s="486">
        <v>36</v>
      </c>
      <c r="I49" s="16">
        <v>3100</v>
      </c>
      <c r="J49" s="514"/>
      <c r="K49" s="18"/>
      <c r="L49" s="20"/>
      <c r="M49" s="20"/>
      <c r="N49" s="19"/>
      <c r="O49" s="504">
        <v>2156</v>
      </c>
      <c r="P49" s="452">
        <v>840</v>
      </c>
      <c r="Q49" s="502">
        <v>367</v>
      </c>
      <c r="R49" s="123">
        <v>2529</v>
      </c>
      <c r="S49" s="452">
        <v>447</v>
      </c>
      <c r="T49" s="486">
        <v>129</v>
      </c>
      <c r="U49" s="505">
        <v>850</v>
      </c>
      <c r="V49" s="485">
        <v>447</v>
      </c>
      <c r="W49" s="452">
        <v>141</v>
      </c>
      <c r="X49" s="485">
        <v>21</v>
      </c>
      <c r="Y49" s="54"/>
      <c r="Z49" s="17">
        <f>SUM(C49:Y49)</f>
        <v>12228</v>
      </c>
    </row>
    <row r="50" spans="1:26" s="3" customFormat="1" outlineLevel="1" x14ac:dyDescent="0.25">
      <c r="A50" s="132" t="s">
        <v>4</v>
      </c>
      <c r="B50" s="155">
        <f>B49+1</f>
        <v>44404</v>
      </c>
      <c r="C50" s="504">
        <v>252</v>
      </c>
      <c r="D50" s="485">
        <v>152</v>
      </c>
      <c r="E50" s="452">
        <v>240</v>
      </c>
      <c r="F50" s="452">
        <v>207</v>
      </c>
      <c r="G50" s="452">
        <v>663</v>
      </c>
      <c r="H50" s="486">
        <v>48</v>
      </c>
      <c r="I50" s="240">
        <v>4574</v>
      </c>
      <c r="J50" s="514"/>
      <c r="K50" s="18"/>
      <c r="L50" s="20"/>
      <c r="M50" s="20"/>
      <c r="N50" s="19"/>
      <c r="O50" s="504">
        <v>2639</v>
      </c>
      <c r="P50" s="452">
        <v>1042</v>
      </c>
      <c r="Q50" s="502">
        <v>407</v>
      </c>
      <c r="R50" s="124">
        <v>2848</v>
      </c>
      <c r="S50" s="452">
        <v>490</v>
      </c>
      <c r="T50" s="486">
        <v>136</v>
      </c>
      <c r="U50" s="505">
        <v>1191</v>
      </c>
      <c r="V50" s="485">
        <v>490</v>
      </c>
      <c r="W50" s="452">
        <v>168</v>
      </c>
      <c r="X50" s="485">
        <v>109</v>
      </c>
      <c r="Y50" s="55"/>
      <c r="Z50" s="240">
        <f>SUM(C50:Y50)</f>
        <v>15656</v>
      </c>
    </row>
    <row r="51" spans="1:26" s="3" customFormat="1" outlineLevel="1" x14ac:dyDescent="0.25">
      <c r="A51" s="132" t="s">
        <v>5</v>
      </c>
      <c r="B51" s="155">
        <f t="shared" ref="B51:B54" si="33">B50+1</f>
        <v>44405</v>
      </c>
      <c r="C51" s="504">
        <v>253</v>
      </c>
      <c r="D51" s="485">
        <v>170</v>
      </c>
      <c r="E51" s="452">
        <v>239</v>
      </c>
      <c r="F51" s="452">
        <v>226</v>
      </c>
      <c r="G51" s="452">
        <v>614</v>
      </c>
      <c r="H51" s="486">
        <v>56</v>
      </c>
      <c r="I51" s="240">
        <v>3947</v>
      </c>
      <c r="J51" s="514"/>
      <c r="K51" s="18"/>
      <c r="L51" s="20"/>
      <c r="M51" s="20"/>
      <c r="N51" s="19"/>
      <c r="O51" s="504">
        <v>2445</v>
      </c>
      <c r="P51" s="452">
        <v>1106</v>
      </c>
      <c r="Q51" s="502">
        <v>425</v>
      </c>
      <c r="R51" s="124">
        <v>2937</v>
      </c>
      <c r="S51" s="452">
        <v>682</v>
      </c>
      <c r="T51" s="486">
        <v>145</v>
      </c>
      <c r="U51" s="505">
        <v>1167</v>
      </c>
      <c r="V51" s="485">
        <v>682</v>
      </c>
      <c r="W51" s="452">
        <v>177</v>
      </c>
      <c r="X51" s="485">
        <v>67</v>
      </c>
      <c r="Y51" s="55"/>
      <c r="Z51" s="240">
        <f>SUM(C51:Y51)</f>
        <v>15338</v>
      </c>
    </row>
    <row r="52" spans="1:26" s="3" customFormat="1" x14ac:dyDescent="0.25">
      <c r="A52" s="132" t="s">
        <v>6</v>
      </c>
      <c r="B52" s="155">
        <f t="shared" si="33"/>
        <v>44406</v>
      </c>
      <c r="C52" s="504">
        <v>213</v>
      </c>
      <c r="D52" s="485">
        <v>133</v>
      </c>
      <c r="E52" s="452">
        <v>209</v>
      </c>
      <c r="F52" s="452">
        <v>189</v>
      </c>
      <c r="G52" s="452">
        <v>582</v>
      </c>
      <c r="H52" s="486">
        <v>43</v>
      </c>
      <c r="I52" s="240">
        <v>2402</v>
      </c>
      <c r="J52" s="514"/>
      <c r="K52" s="18"/>
      <c r="L52" s="20"/>
      <c r="M52" s="20"/>
      <c r="N52" s="19"/>
      <c r="O52" s="504">
        <v>2009</v>
      </c>
      <c r="P52" s="452">
        <v>800</v>
      </c>
      <c r="Q52" s="502">
        <v>321</v>
      </c>
      <c r="R52" s="124">
        <v>2115</v>
      </c>
      <c r="S52" s="452">
        <v>350</v>
      </c>
      <c r="T52" s="486">
        <v>126</v>
      </c>
      <c r="U52" s="505">
        <v>930</v>
      </c>
      <c r="V52" s="485">
        <v>350</v>
      </c>
      <c r="W52" s="452">
        <v>105</v>
      </c>
      <c r="X52" s="485">
        <v>78</v>
      </c>
      <c r="Y52" s="55"/>
      <c r="Z52" s="240"/>
    </row>
    <row r="53" spans="1:26" s="3" customFormat="1" x14ac:dyDescent="0.25">
      <c r="A53" s="25" t="s">
        <v>0</v>
      </c>
      <c r="B53" s="155">
        <f t="shared" si="33"/>
        <v>44407</v>
      </c>
      <c r="C53" s="504">
        <v>225</v>
      </c>
      <c r="D53" s="485">
        <v>106</v>
      </c>
      <c r="E53" s="452">
        <v>124</v>
      </c>
      <c r="F53" s="452">
        <v>134</v>
      </c>
      <c r="G53" s="452">
        <v>375</v>
      </c>
      <c r="H53" s="486">
        <v>59</v>
      </c>
      <c r="I53" s="240">
        <v>7006</v>
      </c>
      <c r="J53" s="514"/>
      <c r="K53" s="18"/>
      <c r="L53" s="20"/>
      <c r="M53" s="20"/>
      <c r="N53" s="19"/>
      <c r="O53" s="504">
        <v>2242</v>
      </c>
      <c r="P53" s="452">
        <v>891</v>
      </c>
      <c r="Q53" s="502">
        <v>246</v>
      </c>
      <c r="R53" s="124">
        <v>2753</v>
      </c>
      <c r="S53" s="452">
        <v>491</v>
      </c>
      <c r="T53" s="486">
        <v>95</v>
      </c>
      <c r="U53" s="505">
        <v>1104</v>
      </c>
      <c r="V53" s="485">
        <v>491</v>
      </c>
      <c r="W53" s="452">
        <v>129</v>
      </c>
      <c r="X53" s="485">
        <v>56</v>
      </c>
      <c r="Y53" s="55"/>
      <c r="Z53" s="240"/>
    </row>
    <row r="54" spans="1:26" s="3" customFormat="1" ht="15.75" thickBot="1" x14ac:dyDescent="0.3">
      <c r="A54" s="25" t="s">
        <v>1</v>
      </c>
      <c r="B54" s="155">
        <f t="shared" si="33"/>
        <v>44408</v>
      </c>
      <c r="C54" s="124"/>
      <c r="D54" s="20"/>
      <c r="E54" s="20"/>
      <c r="F54" s="20"/>
      <c r="G54" s="20"/>
      <c r="H54" s="55"/>
      <c r="I54" s="240"/>
      <c r="J54" s="515"/>
      <c r="K54" s="18">
        <v>397</v>
      </c>
      <c r="L54" s="20">
        <v>161</v>
      </c>
      <c r="M54" s="20">
        <v>337</v>
      </c>
      <c r="N54" s="19">
        <v>406</v>
      </c>
      <c r="O54" s="124"/>
      <c r="P54" s="20"/>
      <c r="Q54" s="19"/>
      <c r="R54" s="124"/>
      <c r="S54" s="20"/>
      <c r="T54" s="20"/>
      <c r="U54" s="452"/>
      <c r="V54" s="504"/>
      <c r="W54" s="20"/>
      <c r="X54" s="20"/>
      <c r="Y54" s="55"/>
      <c r="Z54" s="386"/>
    </row>
    <row r="55" spans="1:26" s="3" customFormat="1" ht="15.75" hidden="1" thickBot="1" x14ac:dyDescent="0.3">
      <c r="A55" s="132" t="s">
        <v>2</v>
      </c>
      <c r="B55" s="155"/>
      <c r="C55" s="124"/>
      <c r="D55" s="20"/>
      <c r="E55" s="20"/>
      <c r="F55" s="20"/>
      <c r="G55" s="20"/>
      <c r="H55" s="55"/>
      <c r="I55" s="393"/>
      <c r="J55" s="516"/>
      <c r="K55" s="18"/>
      <c r="L55" s="20"/>
      <c r="M55" s="20"/>
      <c r="N55" s="19"/>
      <c r="O55" s="124"/>
      <c r="P55" s="20"/>
      <c r="Q55" s="22"/>
      <c r="R55" s="501"/>
      <c r="S55" s="387"/>
      <c r="T55" s="387"/>
      <c r="U55" s="452">
        <v>0</v>
      </c>
      <c r="V55" s="504">
        <v>831</v>
      </c>
      <c r="W55" s="387"/>
      <c r="X55" s="387"/>
      <c r="Y55" s="388"/>
      <c r="Z55" s="420"/>
    </row>
    <row r="56" spans="1:26" s="3" customFormat="1" ht="15.75" thickBot="1" x14ac:dyDescent="0.3">
      <c r="A56" s="140" t="s">
        <v>19</v>
      </c>
      <c r="B56" s="730" t="s">
        <v>26</v>
      </c>
      <c r="C56" s="351">
        <f>SUM(C49:C55)</f>
        <v>1121</v>
      </c>
      <c r="D56" s="195">
        <f t="shared" ref="D56:Q56" si="34">SUM(D49:D55)</f>
        <v>697</v>
      </c>
      <c r="E56" s="195">
        <f>SUM(E49:E55)</f>
        <v>964</v>
      </c>
      <c r="F56" s="195">
        <f t="shared" si="34"/>
        <v>958</v>
      </c>
      <c r="G56" s="195">
        <f t="shared" si="34"/>
        <v>2731</v>
      </c>
      <c r="H56" s="487">
        <f>SUM(H49:H55)</f>
        <v>242</v>
      </c>
      <c r="I56" s="390">
        <f>SUM(I49:I55)</f>
        <v>21029</v>
      </c>
      <c r="J56" s="524">
        <f>SUM(J49:J55)</f>
        <v>0</v>
      </c>
      <c r="K56" s="389">
        <f t="shared" ref="K56:N56" si="35">SUM(K49:K55)</f>
        <v>397</v>
      </c>
      <c r="L56" s="524">
        <f t="shared" si="35"/>
        <v>161</v>
      </c>
      <c r="M56" s="524">
        <f t="shared" si="35"/>
        <v>337</v>
      </c>
      <c r="N56" s="368">
        <f t="shared" si="35"/>
        <v>406</v>
      </c>
      <c r="O56" s="141">
        <f>SUM(O49:O55)</f>
        <v>11491</v>
      </c>
      <c r="P56" s="367">
        <f t="shared" si="34"/>
        <v>4679</v>
      </c>
      <c r="Q56" s="368">
        <f t="shared" si="34"/>
        <v>1766</v>
      </c>
      <c r="R56" s="141">
        <f>SUM(R49:R55)</f>
        <v>13182</v>
      </c>
      <c r="S56" s="366">
        <f t="shared" ref="S56:X56" si="36">SUM(S49:S55)</f>
        <v>2460</v>
      </c>
      <c r="T56" s="366">
        <f t="shared" si="36"/>
        <v>631</v>
      </c>
      <c r="U56" s="366">
        <f>SUM(U49:U55)</f>
        <v>5242</v>
      </c>
      <c r="V56" s="366">
        <f>SUM(V49:V55)</f>
        <v>3291</v>
      </c>
      <c r="W56" s="366">
        <f>SUM(W49:W55)</f>
        <v>720</v>
      </c>
      <c r="X56" s="366">
        <f t="shared" si="36"/>
        <v>331</v>
      </c>
      <c r="Y56" s="389">
        <f>SUM(Y49:Y55)</f>
        <v>0</v>
      </c>
      <c r="Z56" s="390">
        <f>SUM(Z49:Z55)</f>
        <v>43222</v>
      </c>
    </row>
    <row r="57" spans="1:26" s="3" customFormat="1" ht="15.75" thickBot="1" x14ac:dyDescent="0.3">
      <c r="A57" s="99" t="s">
        <v>21</v>
      </c>
      <c r="B57" s="731"/>
      <c r="C57" s="351">
        <f t="shared" ref="C57:Q57" si="37">AVERAGE(C49:C55)</f>
        <v>224.2</v>
      </c>
      <c r="D57" s="195">
        <f t="shared" si="37"/>
        <v>139.4</v>
      </c>
      <c r="E57" s="195">
        <f>AVERAGE(E49:E55)</f>
        <v>192.8</v>
      </c>
      <c r="F57" s="195">
        <f t="shared" si="37"/>
        <v>191.6</v>
      </c>
      <c r="G57" s="195">
        <f t="shared" si="37"/>
        <v>546.20000000000005</v>
      </c>
      <c r="H57" s="487">
        <f>AVERAGE(H49:H55)</f>
        <v>48.4</v>
      </c>
      <c r="I57" s="354">
        <f>AVERAGE(I49:I55)</f>
        <v>4205.8</v>
      </c>
      <c r="J57" s="487" t="e">
        <f>AVERAGE(J49:J55)</f>
        <v>#DIV/0!</v>
      </c>
      <c r="K57" s="350">
        <f t="shared" ref="K57:N57" si="38">AVERAGE(K49:K55)</f>
        <v>397</v>
      </c>
      <c r="L57" s="487">
        <f t="shared" si="38"/>
        <v>161</v>
      </c>
      <c r="M57" s="487">
        <f t="shared" si="38"/>
        <v>337</v>
      </c>
      <c r="N57" s="353">
        <f t="shared" si="38"/>
        <v>406</v>
      </c>
      <c r="O57" s="492">
        <f>AVERAGE(O49:O55)</f>
        <v>2298.1999999999998</v>
      </c>
      <c r="P57" s="370">
        <f t="shared" si="37"/>
        <v>935.8</v>
      </c>
      <c r="Q57" s="371">
        <f t="shared" si="37"/>
        <v>353.2</v>
      </c>
      <c r="R57" s="492">
        <f>AVERAGE(R49:R55)</f>
        <v>2636.4</v>
      </c>
      <c r="S57" s="369">
        <f t="shared" ref="S57:Z57" si="39">AVERAGE(S49:S55)</f>
        <v>492</v>
      </c>
      <c r="T57" s="369">
        <f t="shared" si="39"/>
        <v>126.2</v>
      </c>
      <c r="U57" s="369">
        <f>AVERAGE(U49:U55)</f>
        <v>873.66666666666663</v>
      </c>
      <c r="V57" s="369">
        <f>AVERAGE(V49:V55)</f>
        <v>548.5</v>
      </c>
      <c r="W57" s="369">
        <f>AVERAGE(W49:W55)</f>
        <v>144</v>
      </c>
      <c r="X57" s="369">
        <f t="shared" si="39"/>
        <v>66.2</v>
      </c>
      <c r="Y57" s="377" t="e">
        <f t="shared" si="39"/>
        <v>#DIV/0!</v>
      </c>
      <c r="Z57" s="379">
        <f t="shared" si="39"/>
        <v>14407.333333333334</v>
      </c>
    </row>
    <row r="58" spans="1:26" s="3" customFormat="1" ht="15.75" thickBot="1" x14ac:dyDescent="0.3">
      <c r="A58" s="26" t="s">
        <v>18</v>
      </c>
      <c r="B58" s="731"/>
      <c r="C58" s="352">
        <f>SUM(C49:C53)</f>
        <v>1121</v>
      </c>
      <c r="D58" s="196">
        <f t="shared" ref="D58:Q58" si="40">SUM(D49:D53)</f>
        <v>697</v>
      </c>
      <c r="E58" s="196">
        <f>SUM(E49:E53)</f>
        <v>964</v>
      </c>
      <c r="F58" s="196">
        <f t="shared" si="40"/>
        <v>958</v>
      </c>
      <c r="G58" s="196">
        <f t="shared" si="40"/>
        <v>2731</v>
      </c>
      <c r="H58" s="488">
        <f>SUM(H49:H53)</f>
        <v>242</v>
      </c>
      <c r="I58" s="359">
        <f>SUM(I49:I53)</f>
        <v>21029</v>
      </c>
      <c r="J58" s="488">
        <f>SUM(J49:J53)</f>
        <v>0</v>
      </c>
      <c r="K58" s="357">
        <f t="shared" ref="K58:N58" si="41">SUM(K49:K53)</f>
        <v>0</v>
      </c>
      <c r="L58" s="488">
        <f t="shared" si="41"/>
        <v>0</v>
      </c>
      <c r="M58" s="488">
        <f t="shared" si="41"/>
        <v>0</v>
      </c>
      <c r="N58" s="355">
        <f t="shared" si="41"/>
        <v>0</v>
      </c>
      <c r="O58" s="493">
        <f>SUM(O49:O53)</f>
        <v>11491</v>
      </c>
      <c r="P58" s="373">
        <f t="shared" si="40"/>
        <v>4679</v>
      </c>
      <c r="Q58" s="374">
        <f t="shared" si="40"/>
        <v>1766</v>
      </c>
      <c r="R58" s="493">
        <f>SUM(R49:R53)</f>
        <v>13182</v>
      </c>
      <c r="S58" s="372">
        <f t="shared" ref="S58:Y58" si="42">SUM(S49:S53)</f>
        <v>2460</v>
      </c>
      <c r="T58" s="372">
        <f t="shared" si="42"/>
        <v>631</v>
      </c>
      <c r="U58" s="372">
        <f>SUM(W49:W53)</f>
        <v>720</v>
      </c>
      <c r="V58" s="372">
        <f>SUM(V49:V53)</f>
        <v>2460</v>
      </c>
      <c r="W58" s="372">
        <f>SUM(W49:W53)</f>
        <v>720</v>
      </c>
      <c r="X58" s="372">
        <f t="shared" si="42"/>
        <v>331</v>
      </c>
      <c r="Y58" s="378">
        <f t="shared" si="42"/>
        <v>0</v>
      </c>
      <c r="Z58" s="380">
        <f>SUM(Z49:Z53)</f>
        <v>43222</v>
      </c>
    </row>
    <row r="59" spans="1:26" s="3" customFormat="1" ht="15.75" outlineLevel="1" thickBot="1" x14ac:dyDescent="0.3">
      <c r="A59" s="26" t="s">
        <v>20</v>
      </c>
      <c r="B59" s="732"/>
      <c r="C59" s="142">
        <f t="shared" ref="C59:Q59" si="43">AVERAGE(C49:C53)</f>
        <v>224.2</v>
      </c>
      <c r="D59" s="190">
        <f t="shared" si="43"/>
        <v>139.4</v>
      </c>
      <c r="E59" s="190">
        <f>AVERAGE(E49:E53)</f>
        <v>192.8</v>
      </c>
      <c r="F59" s="190">
        <f t="shared" si="43"/>
        <v>191.6</v>
      </c>
      <c r="G59" s="190">
        <f t="shared" si="43"/>
        <v>546.20000000000005</v>
      </c>
      <c r="H59" s="490">
        <f>AVERAGE(H49:H53)</f>
        <v>48.4</v>
      </c>
      <c r="I59" s="360">
        <f>AVERAGE(I49:I53)</f>
        <v>4205.8</v>
      </c>
      <c r="J59" s="490" t="e">
        <f>AVERAGE(J49:J53)</f>
        <v>#DIV/0!</v>
      </c>
      <c r="K59" s="376" t="e">
        <f t="shared" ref="K59:N59" si="44">AVERAGE(K49:K53)</f>
        <v>#DIV/0!</v>
      </c>
      <c r="L59" s="490" t="e">
        <f t="shared" si="44"/>
        <v>#DIV/0!</v>
      </c>
      <c r="M59" s="490" t="e">
        <f t="shared" si="44"/>
        <v>#DIV/0!</v>
      </c>
      <c r="N59" s="356" t="e">
        <f t="shared" si="44"/>
        <v>#DIV/0!</v>
      </c>
      <c r="O59" s="142">
        <f t="shared" si="43"/>
        <v>2298.1999999999998</v>
      </c>
      <c r="P59" s="190">
        <f t="shared" si="43"/>
        <v>935.8</v>
      </c>
      <c r="Q59" s="356">
        <f t="shared" si="43"/>
        <v>353.2</v>
      </c>
      <c r="R59" s="142">
        <f>AVERAGE(R49:R53)</f>
        <v>2636.4</v>
      </c>
      <c r="S59" s="36">
        <f t="shared" ref="S59:Z59" si="45">AVERAGE(S49:S53)</f>
        <v>492</v>
      </c>
      <c r="T59" s="36">
        <f t="shared" si="45"/>
        <v>126.2</v>
      </c>
      <c r="U59" s="36">
        <f>AVERAGE(W49:W53)</f>
        <v>144</v>
      </c>
      <c r="V59" s="36">
        <f>AVERAGE(V49:V53)</f>
        <v>492</v>
      </c>
      <c r="W59" s="36">
        <f>AVERAGE(W49:W53)</f>
        <v>144</v>
      </c>
      <c r="X59" s="36">
        <f t="shared" si="45"/>
        <v>66.2</v>
      </c>
      <c r="Y59" s="376" t="e">
        <f t="shared" si="45"/>
        <v>#DIV/0!</v>
      </c>
      <c r="Z59" s="360">
        <f t="shared" si="45"/>
        <v>14407.333333333334</v>
      </c>
    </row>
    <row r="60" spans="1:26" s="3" customFormat="1" ht="15.75" outlineLevel="1" thickBot="1" x14ac:dyDescent="0.3">
      <c r="A60" s="4"/>
      <c r="B60" s="11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45"/>
      <c r="S60" s="45"/>
      <c r="T60" s="45"/>
      <c r="U60" s="45"/>
      <c r="V60" s="45"/>
      <c r="W60" s="45"/>
      <c r="X60" s="45"/>
      <c r="Y60" s="45"/>
      <c r="Z60" s="45"/>
    </row>
    <row r="61" spans="1:26" s="3" customFormat="1" ht="39" outlineLevel="1" thickBot="1" x14ac:dyDescent="0.3">
      <c r="A61" s="4"/>
      <c r="B61" s="116"/>
      <c r="C61" s="401"/>
      <c r="D61" s="535" t="s">
        <v>10</v>
      </c>
      <c r="E61" s="536" t="s">
        <v>80</v>
      </c>
      <c r="F61" s="536" t="s">
        <v>9</v>
      </c>
      <c r="G61" s="537" t="s">
        <v>8</v>
      </c>
      <c r="H61" s="536" t="s">
        <v>29</v>
      </c>
      <c r="I61" s="538" t="s">
        <v>116</v>
      </c>
      <c r="J61" s="538" t="s">
        <v>135</v>
      </c>
      <c r="O61" s="52"/>
      <c r="P61" s="672" t="s">
        <v>53</v>
      </c>
      <c r="Q61" s="696"/>
      <c r="R61" s="52"/>
      <c r="S61" s="52"/>
      <c r="T61" s="52"/>
    </row>
    <row r="62" spans="1:26" s="3" customFormat="1" ht="25.5" outlineLevel="1" x14ac:dyDescent="0.25">
      <c r="A62" s="1"/>
      <c r="B62" s="117"/>
      <c r="C62" s="534" t="s">
        <v>109</v>
      </c>
      <c r="D62" s="539">
        <f>SUM(C12:H12,C23:H23,C34:H34,C45:H45,C56:H56)</f>
        <v>26645</v>
      </c>
      <c r="E62" s="540">
        <f>SUM(H45, H34, H23, H12, ,H56)</f>
        <v>1013</v>
      </c>
      <c r="F62" s="540">
        <f>SUM(,O45:Q45, O34:Q34, O23:Q23, O12:Q12, O56:Q56 )</f>
        <v>85492</v>
      </c>
      <c r="G62" s="540">
        <f xml:space="preserve"> SUM(R45:Y45, R34:Y34, R23:Y23, R12:Y12, R56:Y56 )</f>
        <v>135263</v>
      </c>
      <c r="H62" s="541">
        <f>SUM(I12,I23,I34,I45,I56)</f>
        <v>134707</v>
      </c>
      <c r="I62" s="541">
        <f>SUM(J12,J23,J34,J45,J56)</f>
        <v>16630</v>
      </c>
      <c r="J62" s="542">
        <f>SUM(K12:N12,K23:N23,K34:N34,K45:N45,K56:N56)</f>
        <v>8589</v>
      </c>
      <c r="K62" s="1"/>
      <c r="L62" s="1"/>
      <c r="M62" s="1"/>
      <c r="N62" s="1"/>
      <c r="O62" s="53"/>
      <c r="P62" s="481" t="s">
        <v>28</v>
      </c>
      <c r="Q62" s="347">
        <f>SUM(Z14,Z25,Z36,Z47,Z58)</f>
        <v>257375</v>
      </c>
      <c r="R62" s="53"/>
      <c r="S62" s="53"/>
      <c r="T62" s="53"/>
      <c r="U62" s="1"/>
      <c r="V62" s="1"/>
      <c r="W62" s="1"/>
      <c r="X62" s="1"/>
      <c r="Y62" s="1"/>
      <c r="Z62" s="1"/>
    </row>
    <row r="63" spans="1:26" s="3" customFormat="1" ht="26.25" thickBot="1" x14ac:dyDescent="0.3">
      <c r="A63" s="1"/>
      <c r="B63" s="117"/>
      <c r="C63" s="415" t="s">
        <v>28</v>
      </c>
      <c r="D63" s="543">
        <f>SUM(C47:H47, C36:H36, C25:H25, C14:H14,C58:H58)</f>
        <v>26645</v>
      </c>
      <c r="E63" s="345">
        <f>SUM(H47, H36, H25, H14, ,H58)</f>
        <v>1013</v>
      </c>
      <c r="F63" s="345">
        <f>SUM(O47:Q47, O36:Q36, O25:Q25, O14:Q14,, O58:Q58)</f>
        <v>73746</v>
      </c>
      <c r="G63" s="345">
        <f>SUM(R47:Y47, R36:Y36, R25:Y25, R14:Y14, R58:Y58 )</f>
        <v>91017</v>
      </c>
      <c r="H63" s="271">
        <f>SUM(,I14,I25,I36,I47,I58,)</f>
        <v>77991</v>
      </c>
      <c r="I63" s="271">
        <f>SUM(,J14,J25,J36,J47,J58,)</f>
        <v>1833</v>
      </c>
      <c r="J63" s="544" t="s">
        <v>131</v>
      </c>
      <c r="K63" s="1"/>
      <c r="L63" s="1"/>
      <c r="M63" s="1"/>
      <c r="N63" s="1"/>
      <c r="O63" s="53"/>
      <c r="P63" s="481" t="s">
        <v>109</v>
      </c>
      <c r="Q63" s="335">
        <f>SUM(Z12,Z23,Z34,Z45,Z56)</f>
        <v>377712</v>
      </c>
      <c r="R63" s="53"/>
      <c r="S63" s="53"/>
      <c r="T63" s="53"/>
      <c r="U63" s="1"/>
      <c r="V63" s="1"/>
      <c r="W63" s="1"/>
      <c r="X63" s="1"/>
      <c r="Y63" s="1"/>
      <c r="Z63" s="1"/>
    </row>
    <row r="64" spans="1:26" s="3" customFormat="1" x14ac:dyDescent="0.25">
      <c r="A64" s="1"/>
      <c r="B64" s="11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1"/>
      <c r="P64" s="481" t="s">
        <v>20</v>
      </c>
      <c r="Q64" s="335">
        <f>AVERAGE(Z15,Z26,Z48,Z37,Z59)</f>
        <v>11447.586666666668</v>
      </c>
      <c r="R64" s="11"/>
      <c r="S64" s="11"/>
      <c r="T64" s="11"/>
      <c r="U64" s="1"/>
      <c r="V64" s="1"/>
      <c r="W64" s="1"/>
      <c r="X64" s="1"/>
      <c r="Y64" s="1"/>
      <c r="Z64" s="1"/>
    </row>
    <row r="65" spans="1:26" s="3" customFormat="1" ht="24.6" customHeight="1" thickBot="1" x14ac:dyDescent="0.3">
      <c r="A65" s="1"/>
      <c r="B65" s="11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1"/>
      <c r="P65" s="482" t="s">
        <v>115</v>
      </c>
      <c r="Q65" s="273">
        <f>AVERAGE(Z13,Z24,Z35,Z46,Z57)</f>
        <v>12438.32380952381</v>
      </c>
      <c r="R65" s="11"/>
      <c r="S65" s="11"/>
      <c r="T65" s="11"/>
      <c r="U65" s="1"/>
      <c r="V65" s="1"/>
      <c r="W65" s="1"/>
      <c r="X65" s="1"/>
      <c r="Y65" s="1"/>
      <c r="Z65" s="1"/>
    </row>
    <row r="66" spans="1:26" s="3" customFormat="1" x14ac:dyDescent="0.25">
      <c r="A66" s="1"/>
      <c r="B66" s="11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1"/>
      <c r="S66" s="11"/>
      <c r="T66" s="11"/>
      <c r="U66" s="11"/>
      <c r="V66" s="11"/>
      <c r="W66" s="11"/>
      <c r="X66" s="11"/>
      <c r="Y66" s="11"/>
      <c r="Z66" s="11"/>
    </row>
    <row r="67" spans="1:26" s="3" customFormat="1" x14ac:dyDescent="0.25">
      <c r="A67" s="1"/>
      <c r="B67" s="11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1"/>
      <c r="S67" s="11"/>
      <c r="T67" s="11"/>
      <c r="U67" s="11"/>
      <c r="V67" s="11"/>
      <c r="W67" s="11"/>
      <c r="X67" s="11"/>
      <c r="Y67" s="11"/>
      <c r="Z67" s="11"/>
    </row>
    <row r="68" spans="1:26" s="3" customFormat="1" x14ac:dyDescent="0.25">
      <c r="A68" s="1"/>
      <c r="B68" s="11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1"/>
      <c r="S68" s="11"/>
      <c r="T68" s="11"/>
      <c r="U68" s="11"/>
      <c r="V68" s="11"/>
      <c r="W68" s="11"/>
      <c r="X68" s="11"/>
      <c r="Y68" s="11"/>
      <c r="Z68" s="11"/>
    </row>
    <row r="69" spans="1:26" s="3" customFormat="1" x14ac:dyDescent="0.25">
      <c r="A69" s="1"/>
      <c r="B69" s="11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1"/>
      <c r="S69" s="11"/>
      <c r="T69" s="11"/>
      <c r="U69" s="11"/>
      <c r="V69" s="11"/>
      <c r="W69" s="11"/>
      <c r="X69" s="11"/>
      <c r="Y69" s="11"/>
      <c r="Z69" s="11"/>
    </row>
    <row r="70" spans="1:26" s="3" customFormat="1" outlineLevel="1" x14ac:dyDescent="0.25">
      <c r="A70" s="1"/>
      <c r="B70" s="11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1"/>
      <c r="S70" s="11"/>
      <c r="T70" s="11"/>
      <c r="U70" s="11"/>
      <c r="V70" s="11"/>
      <c r="W70" s="11"/>
      <c r="X70" s="11"/>
      <c r="Y70" s="11"/>
      <c r="Z70" s="11"/>
    </row>
    <row r="71" spans="1:26" s="3" customFormat="1" outlineLevel="1" x14ac:dyDescent="0.25">
      <c r="A71" s="1"/>
      <c r="B71" s="11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1"/>
      <c r="S71" s="11"/>
      <c r="T71" s="11"/>
      <c r="U71" s="11"/>
      <c r="V71" s="11"/>
      <c r="W71" s="11"/>
      <c r="X71" s="11"/>
      <c r="Y71" s="11"/>
      <c r="Z71" s="11"/>
    </row>
    <row r="72" spans="1:26" s="3" customFormat="1" outlineLevel="1" x14ac:dyDescent="0.25">
      <c r="A72" s="1"/>
      <c r="B72" s="11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1"/>
      <c r="S72" s="11"/>
      <c r="T72" s="11"/>
      <c r="U72" s="11"/>
      <c r="V72" s="11"/>
      <c r="W72" s="11"/>
      <c r="X72" s="11"/>
      <c r="Y72" s="11"/>
      <c r="Z72" s="11"/>
    </row>
    <row r="73" spans="1:26" s="3" customFormat="1" outlineLevel="1" x14ac:dyDescent="0.25">
      <c r="A73" s="1"/>
      <c r="B73" s="11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1"/>
      <c r="S73" s="11"/>
      <c r="T73" s="11"/>
      <c r="U73" s="11"/>
      <c r="V73" s="11"/>
      <c r="W73" s="11"/>
      <c r="X73" s="11"/>
      <c r="Y73" s="11"/>
      <c r="Z73" s="11"/>
    </row>
    <row r="74" spans="1:26" s="3" customFormat="1" x14ac:dyDescent="0.25">
      <c r="A74" s="1"/>
      <c r="B74" s="11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1"/>
      <c r="S74" s="11"/>
      <c r="T74" s="11"/>
      <c r="U74" s="11"/>
      <c r="V74" s="11"/>
      <c r="W74" s="11"/>
      <c r="X74" s="11"/>
      <c r="Y74" s="11"/>
      <c r="Z74" s="11"/>
    </row>
    <row r="75" spans="1:26" s="3" customFormat="1" x14ac:dyDescent="0.25">
      <c r="A75" s="1"/>
      <c r="B75" s="11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1"/>
      <c r="S75" s="11"/>
      <c r="T75" s="11"/>
      <c r="U75" s="11"/>
      <c r="V75" s="11"/>
      <c r="W75" s="11"/>
      <c r="X75" s="11"/>
      <c r="Y75" s="11"/>
      <c r="Z75" s="11"/>
    </row>
    <row r="76" spans="1:26" s="3" customFormat="1" x14ac:dyDescent="0.25">
      <c r="A76" s="1"/>
      <c r="B76" s="11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1"/>
      <c r="S76" s="11"/>
      <c r="T76" s="11"/>
      <c r="U76" s="11"/>
      <c r="V76" s="11"/>
      <c r="W76" s="11"/>
      <c r="X76" s="11"/>
      <c r="Y76" s="11"/>
      <c r="Z76" s="11"/>
    </row>
    <row r="77" spans="1:26" s="3" customFormat="1" x14ac:dyDescent="0.25">
      <c r="A77" s="1"/>
      <c r="B77" s="11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1"/>
      <c r="S77" s="11"/>
      <c r="T77" s="11"/>
      <c r="U77" s="11"/>
      <c r="V77" s="11"/>
      <c r="W77" s="11"/>
      <c r="X77" s="11"/>
      <c r="Y77" s="11"/>
      <c r="Z77" s="11"/>
    </row>
  </sheetData>
  <mergeCells count="38">
    <mergeCell ref="B56:B59"/>
    <mergeCell ref="B34:B37"/>
    <mergeCell ref="B12:B15"/>
    <mergeCell ref="A3:A4"/>
    <mergeCell ref="B3:B4"/>
    <mergeCell ref="B23:B26"/>
    <mergeCell ref="B45:B48"/>
    <mergeCell ref="Z1:Z4"/>
    <mergeCell ref="R3:R4"/>
    <mergeCell ref="S3:S4"/>
    <mergeCell ref="T3:T4"/>
    <mergeCell ref="U3:U4"/>
    <mergeCell ref="V3:V4"/>
    <mergeCell ref="R1:Y2"/>
    <mergeCell ref="W3:W4"/>
    <mergeCell ref="X3:X4"/>
    <mergeCell ref="Y3:Y4"/>
    <mergeCell ref="O1:Q2"/>
    <mergeCell ref="P3:P4"/>
    <mergeCell ref="O3:O4"/>
    <mergeCell ref="I1:I2"/>
    <mergeCell ref="C1:H2"/>
    <mergeCell ref="J1:J2"/>
    <mergeCell ref="N3:N5"/>
    <mergeCell ref="K1:N2"/>
    <mergeCell ref="P61:Q61"/>
    <mergeCell ref="H3:H4"/>
    <mergeCell ref="D3:D4"/>
    <mergeCell ref="E3:E4"/>
    <mergeCell ref="C3:C4"/>
    <mergeCell ref="I3:I4"/>
    <mergeCell ref="Q3:Q4"/>
    <mergeCell ref="F3:F4"/>
    <mergeCell ref="G3:G4"/>
    <mergeCell ref="J3:J4"/>
    <mergeCell ref="K3:K5"/>
    <mergeCell ref="L3:L5"/>
    <mergeCell ref="M3:M5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6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63" sqref="M63"/>
    </sheetView>
  </sheetViews>
  <sheetFormatPr defaultColWidth="9.140625" defaultRowHeight="15" outlineLevelRow="1" x14ac:dyDescent="0.25"/>
  <cols>
    <col min="1" max="1" width="18.7109375" style="1" bestFit="1" customWidth="1"/>
    <col min="2" max="2" width="9.7109375" style="117" customWidth="1"/>
    <col min="3" max="7" width="15.7109375" style="11" customWidth="1"/>
    <col min="8" max="8" width="18.5703125" style="11" customWidth="1"/>
    <col min="9" max="9" width="16" style="11" customWidth="1"/>
    <col min="10" max="10" width="18.5703125" style="11" bestFit="1" customWidth="1"/>
    <col min="11" max="16384" width="9.140625" style="11"/>
  </cols>
  <sheetData>
    <row r="1" spans="1:10" ht="14.25" customHeight="1" x14ac:dyDescent="0.25">
      <c r="A1" s="23"/>
      <c r="B1" s="471"/>
      <c r="C1" s="708" t="s">
        <v>121</v>
      </c>
      <c r="D1" s="709"/>
      <c r="E1" s="710"/>
      <c r="F1" s="708" t="s">
        <v>13</v>
      </c>
      <c r="G1" s="709"/>
      <c r="H1" s="710"/>
      <c r="I1" s="682" t="s">
        <v>17</v>
      </c>
    </row>
    <row r="2" spans="1:10" ht="14.25" customHeight="1" thickBot="1" x14ac:dyDescent="0.3">
      <c r="A2" s="24"/>
      <c r="B2" s="472"/>
      <c r="C2" s="711"/>
      <c r="D2" s="712"/>
      <c r="E2" s="713"/>
      <c r="F2" s="711"/>
      <c r="G2" s="712"/>
      <c r="H2" s="713"/>
      <c r="I2" s="683"/>
    </row>
    <row r="3" spans="1:10" ht="14.25" customHeight="1" x14ac:dyDescent="0.25">
      <c r="A3" s="629" t="s">
        <v>48</v>
      </c>
      <c r="B3" s="663" t="s">
        <v>49</v>
      </c>
      <c r="C3" s="675" t="s">
        <v>50</v>
      </c>
      <c r="D3" s="676" t="s">
        <v>39</v>
      </c>
      <c r="E3" s="677" t="s">
        <v>124</v>
      </c>
      <c r="F3" s="675" t="s">
        <v>50</v>
      </c>
      <c r="G3" s="676" t="s">
        <v>39</v>
      </c>
      <c r="H3" s="677" t="s">
        <v>124</v>
      </c>
      <c r="I3" s="683"/>
    </row>
    <row r="4" spans="1:10" ht="13.5" customHeight="1" thickBot="1" x14ac:dyDescent="0.3">
      <c r="A4" s="646"/>
      <c r="B4" s="743"/>
      <c r="C4" s="700"/>
      <c r="D4" s="699"/>
      <c r="E4" s="744"/>
      <c r="F4" s="700"/>
      <c r="G4" s="699"/>
      <c r="H4" s="744"/>
      <c r="I4" s="684"/>
    </row>
    <row r="5" spans="1:10" s="41" customFormat="1" ht="14.25" thickBot="1" x14ac:dyDescent="0.3">
      <c r="A5" s="25" t="s">
        <v>3</v>
      </c>
      <c r="B5" s="289"/>
      <c r="C5" s="18"/>
      <c r="D5" s="20"/>
      <c r="E5" s="19"/>
      <c r="F5" s="18"/>
      <c r="G5" s="20"/>
      <c r="H5" s="19"/>
      <c r="I5" s="364">
        <f t="shared" ref="I5:I6" si="0">SUM(C5:H5)</f>
        <v>0</v>
      </c>
    </row>
    <row r="6" spans="1:10" s="41" customFormat="1" ht="14.25" thickBot="1" x14ac:dyDescent="0.3">
      <c r="A6" s="25" t="s">
        <v>4</v>
      </c>
      <c r="B6" s="289"/>
      <c r="C6" s="235"/>
      <c r="D6" s="467"/>
      <c r="E6" s="249"/>
      <c r="F6" s="235"/>
      <c r="G6" s="467"/>
      <c r="H6" s="249"/>
      <c r="I6" s="364">
        <f t="shared" si="0"/>
        <v>0</v>
      </c>
    </row>
    <row r="7" spans="1:10" s="41" customFormat="1" ht="14.25" thickBot="1" x14ac:dyDescent="0.3">
      <c r="A7" s="25" t="s">
        <v>5</v>
      </c>
      <c r="B7" s="289"/>
      <c r="C7" s="235"/>
      <c r="D7" s="467"/>
      <c r="E7" s="249"/>
      <c r="F7" s="235"/>
      <c r="G7" s="467"/>
      <c r="H7" s="249"/>
      <c r="I7" s="364">
        <f>SUM(C7:H7)</f>
        <v>0</v>
      </c>
    </row>
    <row r="8" spans="1:10" s="41" customFormat="1" ht="14.25" thickBot="1" x14ac:dyDescent="0.3">
      <c r="A8" s="25" t="s">
        <v>6</v>
      </c>
      <c r="B8" s="289">
        <v>44378</v>
      </c>
      <c r="C8" s="235">
        <v>412</v>
      </c>
      <c r="D8" s="467">
        <v>558</v>
      </c>
      <c r="E8" s="249">
        <v>0</v>
      </c>
      <c r="F8" s="235">
        <v>368</v>
      </c>
      <c r="G8" s="467">
        <v>537</v>
      </c>
      <c r="H8" s="249">
        <v>2</v>
      </c>
      <c r="I8" s="364">
        <f>SUM(C8:H8)</f>
        <v>1877</v>
      </c>
      <c r="J8" s="133"/>
    </row>
    <row r="9" spans="1:10" s="41" customFormat="1" ht="14.25" thickBot="1" x14ac:dyDescent="0.3">
      <c r="A9" s="25" t="s">
        <v>0</v>
      </c>
      <c r="B9" s="289">
        <v>44379</v>
      </c>
      <c r="C9" s="235">
        <v>339</v>
      </c>
      <c r="D9" s="467">
        <v>517</v>
      </c>
      <c r="E9" s="249">
        <v>2</v>
      </c>
      <c r="F9" s="235">
        <v>288</v>
      </c>
      <c r="G9" s="467">
        <v>585</v>
      </c>
      <c r="H9" s="249">
        <v>2</v>
      </c>
      <c r="I9" s="364">
        <f>SUM(C9:H9)</f>
        <v>1733</v>
      </c>
      <c r="J9" s="133"/>
    </row>
    <row r="10" spans="1:10" s="41" customFormat="1" ht="14.25" outlineLevel="1" thickBot="1" x14ac:dyDescent="0.3">
      <c r="A10" s="25" t="s">
        <v>1</v>
      </c>
      <c r="B10" s="289">
        <v>44380</v>
      </c>
      <c r="C10" s="235">
        <v>0</v>
      </c>
      <c r="D10" s="467">
        <v>353</v>
      </c>
      <c r="E10" s="249">
        <v>0</v>
      </c>
      <c r="F10" s="235">
        <v>0</v>
      </c>
      <c r="G10" s="467">
        <v>507</v>
      </c>
      <c r="H10" s="249">
        <v>0</v>
      </c>
      <c r="I10" s="364">
        <f>SUM(C10:H10)</f>
        <v>860</v>
      </c>
      <c r="J10" s="133"/>
    </row>
    <row r="11" spans="1:10" s="41" customFormat="1" ht="15" customHeight="1" outlineLevel="1" thickBot="1" x14ac:dyDescent="0.3">
      <c r="A11" s="132" t="s">
        <v>2</v>
      </c>
      <c r="B11" s="289">
        <v>44381</v>
      </c>
      <c r="C11" s="235">
        <v>0</v>
      </c>
      <c r="D11" s="467">
        <v>303</v>
      </c>
      <c r="E11" s="249">
        <v>109</v>
      </c>
      <c r="F11" s="235">
        <v>0</v>
      </c>
      <c r="G11" s="467">
        <v>350</v>
      </c>
      <c r="H11" s="249">
        <v>147</v>
      </c>
      <c r="I11" s="364">
        <f>SUM(C11:H11)</f>
        <v>909</v>
      </c>
      <c r="J11" s="133"/>
    </row>
    <row r="12" spans="1:10" s="42" customFormat="1" ht="15" customHeight="1" outlineLevel="1" thickBot="1" x14ac:dyDescent="0.3">
      <c r="A12" s="140" t="s">
        <v>19</v>
      </c>
      <c r="B12" s="651" t="s">
        <v>22</v>
      </c>
      <c r="C12" s="236">
        <f>SUM(C5:C11)</f>
        <v>751</v>
      </c>
      <c r="D12" s="465">
        <f>SUM(D5:D11)</f>
        <v>1731</v>
      </c>
      <c r="E12" s="248">
        <f t="shared" ref="E12" si="1">SUM(E5:E11)</f>
        <v>111</v>
      </c>
      <c r="F12" s="236">
        <f>SUM(F5:F11)</f>
        <v>656</v>
      </c>
      <c r="G12" s="465">
        <f>SUM(G5:G11)</f>
        <v>1979</v>
      </c>
      <c r="H12" s="248">
        <f>SUM(H5:H11)</f>
        <v>151</v>
      </c>
      <c r="I12" s="362">
        <f>SUM(I5:I11)</f>
        <v>5379</v>
      </c>
    </row>
    <row r="13" spans="1:10" s="42" customFormat="1" ht="15" customHeight="1" outlineLevel="1" thickBot="1" x14ac:dyDescent="0.3">
      <c r="A13" s="99" t="s">
        <v>21</v>
      </c>
      <c r="B13" s="651"/>
      <c r="C13" s="236">
        <f>AVERAGE(C5:C11)</f>
        <v>187.75</v>
      </c>
      <c r="D13" s="465">
        <f>AVERAGE(D5:D11)</f>
        <v>432.75</v>
      </c>
      <c r="E13" s="248">
        <f t="shared" ref="E13" si="2">AVERAGE(E5:E11)</f>
        <v>27.75</v>
      </c>
      <c r="F13" s="236">
        <f>AVERAGE(F5:F11)</f>
        <v>164</v>
      </c>
      <c r="G13" s="465">
        <f>AVERAGE(G5:G11)</f>
        <v>494.75</v>
      </c>
      <c r="H13" s="248">
        <f>AVERAGE(H5:H11)</f>
        <v>37.75</v>
      </c>
      <c r="I13" s="362">
        <f>AVERAGE(I5:I11)</f>
        <v>768.42857142857144</v>
      </c>
    </row>
    <row r="14" spans="1:10" s="42" customFormat="1" ht="15" customHeight="1" thickBot="1" x14ac:dyDescent="0.3">
      <c r="A14" s="26" t="s">
        <v>18</v>
      </c>
      <c r="B14" s="651"/>
      <c r="C14" s="237">
        <f>SUM(C5:C9)</f>
        <v>751</v>
      </c>
      <c r="D14" s="466">
        <f>SUM(D5:D9)</f>
        <v>1075</v>
      </c>
      <c r="E14" s="246">
        <f t="shared" ref="E14" si="3">SUM(E5:E9)</f>
        <v>2</v>
      </c>
      <c r="F14" s="237">
        <f>SUM(F5:F9)</f>
        <v>656</v>
      </c>
      <c r="G14" s="466">
        <f>SUM(G5:G9)</f>
        <v>1122</v>
      </c>
      <c r="H14" s="246">
        <f>SUM(H5:H9)</f>
        <v>4</v>
      </c>
      <c r="I14" s="363">
        <f>SUM(I5:I9)</f>
        <v>3610</v>
      </c>
    </row>
    <row r="15" spans="1:10" s="42" customFormat="1" ht="15" customHeight="1" thickBot="1" x14ac:dyDescent="0.3">
      <c r="A15" s="26" t="s">
        <v>20</v>
      </c>
      <c r="B15" s="651"/>
      <c r="C15" s="237">
        <f>AVERAGE(C5:C9)</f>
        <v>375.5</v>
      </c>
      <c r="D15" s="466">
        <f>AVERAGE(D5:D9)</f>
        <v>537.5</v>
      </c>
      <c r="E15" s="246">
        <f t="shared" ref="E15" si="4">AVERAGE(E5:E9)</f>
        <v>1</v>
      </c>
      <c r="F15" s="237">
        <f>AVERAGE(F5:F9)</f>
        <v>328</v>
      </c>
      <c r="G15" s="466">
        <f>AVERAGE(G5:G9)</f>
        <v>561</v>
      </c>
      <c r="H15" s="246">
        <f>AVERAGE(H5:H9)</f>
        <v>2</v>
      </c>
      <c r="I15" s="363">
        <f>AVERAGE(I5:I9)</f>
        <v>722</v>
      </c>
    </row>
    <row r="16" spans="1:10" s="42" customFormat="1" ht="15" customHeight="1" x14ac:dyDescent="0.25">
      <c r="A16" s="25" t="s">
        <v>3</v>
      </c>
      <c r="B16" s="213">
        <f>B11+1</f>
        <v>44382</v>
      </c>
      <c r="C16" s="228">
        <v>0</v>
      </c>
      <c r="D16" s="468">
        <v>624</v>
      </c>
      <c r="E16" s="247">
        <v>492</v>
      </c>
      <c r="F16" s="228">
        <v>0</v>
      </c>
      <c r="G16" s="468">
        <v>1018</v>
      </c>
      <c r="H16" s="247">
        <v>578</v>
      </c>
      <c r="I16" s="364">
        <f>SUM(C16:H16)</f>
        <v>2712</v>
      </c>
    </row>
    <row r="17" spans="1:10" s="42" customFormat="1" ht="15" customHeight="1" x14ac:dyDescent="0.25">
      <c r="A17" s="25" t="s">
        <v>4</v>
      </c>
      <c r="B17" s="213">
        <f t="shared" ref="B17:B22" si="5">B16+1</f>
        <v>44383</v>
      </c>
      <c r="C17" s="228">
        <v>351</v>
      </c>
      <c r="D17" s="468">
        <v>657</v>
      </c>
      <c r="E17" s="247">
        <v>46</v>
      </c>
      <c r="F17" s="228">
        <v>370</v>
      </c>
      <c r="G17" s="468">
        <v>651</v>
      </c>
      <c r="H17" s="247">
        <v>86</v>
      </c>
      <c r="I17" s="364">
        <f t="shared" ref="I17:I22" si="6">SUM(C17:H17)</f>
        <v>2161</v>
      </c>
    </row>
    <row r="18" spans="1:10" s="42" customFormat="1" ht="15" customHeight="1" x14ac:dyDescent="0.25">
      <c r="A18" s="25" t="s">
        <v>5</v>
      </c>
      <c r="B18" s="213">
        <f t="shared" si="5"/>
        <v>44384</v>
      </c>
      <c r="C18" s="228">
        <v>381</v>
      </c>
      <c r="D18" s="468">
        <v>612</v>
      </c>
      <c r="E18" s="247">
        <v>54</v>
      </c>
      <c r="F18" s="228">
        <v>374</v>
      </c>
      <c r="G18" s="468">
        <v>676</v>
      </c>
      <c r="H18" s="247">
        <v>52</v>
      </c>
      <c r="I18" s="364">
        <f t="shared" si="6"/>
        <v>2149</v>
      </c>
    </row>
    <row r="19" spans="1:10" s="42" customFormat="1" ht="15" customHeight="1" x14ac:dyDescent="0.25">
      <c r="A19" s="25" t="s">
        <v>6</v>
      </c>
      <c r="B19" s="213">
        <f t="shared" si="5"/>
        <v>44385</v>
      </c>
      <c r="C19" s="228">
        <v>405</v>
      </c>
      <c r="D19" s="468">
        <v>607</v>
      </c>
      <c r="E19" s="247">
        <v>0</v>
      </c>
      <c r="F19" s="228">
        <v>331</v>
      </c>
      <c r="G19" s="468">
        <v>609</v>
      </c>
      <c r="H19" s="247">
        <v>0</v>
      </c>
      <c r="I19" s="364">
        <f>SUM(C19:H19)</f>
        <v>1952</v>
      </c>
    </row>
    <row r="20" spans="1:10" s="42" customFormat="1" ht="15" customHeight="1" x14ac:dyDescent="0.25">
      <c r="A20" s="25" t="s">
        <v>0</v>
      </c>
      <c r="B20" s="213">
        <f t="shared" si="5"/>
        <v>44386</v>
      </c>
      <c r="C20" s="228">
        <v>180</v>
      </c>
      <c r="D20" s="468">
        <v>450</v>
      </c>
      <c r="E20" s="247">
        <v>0</v>
      </c>
      <c r="F20" s="228">
        <v>171</v>
      </c>
      <c r="G20" s="468">
        <v>496</v>
      </c>
      <c r="H20" s="247">
        <v>0</v>
      </c>
      <c r="I20" s="364">
        <f t="shared" si="6"/>
        <v>1297</v>
      </c>
    </row>
    <row r="21" spans="1:10" s="42" customFormat="1" ht="15" customHeight="1" outlineLevel="1" x14ac:dyDescent="0.25">
      <c r="A21" s="25" t="s">
        <v>1</v>
      </c>
      <c r="B21" s="213">
        <f t="shared" si="5"/>
        <v>44387</v>
      </c>
      <c r="C21" s="228">
        <v>0</v>
      </c>
      <c r="D21" s="468">
        <v>418</v>
      </c>
      <c r="E21" s="247">
        <v>277</v>
      </c>
      <c r="F21" s="228">
        <v>0</v>
      </c>
      <c r="G21" s="468">
        <v>659</v>
      </c>
      <c r="H21" s="247">
        <v>350</v>
      </c>
      <c r="I21" s="364">
        <f t="shared" si="6"/>
        <v>1704</v>
      </c>
      <c r="J21" s="136"/>
    </row>
    <row r="22" spans="1:10" s="42" customFormat="1" ht="15" customHeight="1" outlineLevel="1" thickBot="1" x14ac:dyDescent="0.3">
      <c r="A22" s="25" t="s">
        <v>2</v>
      </c>
      <c r="B22" s="213">
        <f t="shared" si="5"/>
        <v>44388</v>
      </c>
      <c r="C22" s="228">
        <v>0</v>
      </c>
      <c r="D22" s="468">
        <v>464</v>
      </c>
      <c r="E22" s="247">
        <v>32</v>
      </c>
      <c r="F22" s="228">
        <v>0</v>
      </c>
      <c r="G22" s="468">
        <v>724</v>
      </c>
      <c r="H22" s="247">
        <v>46</v>
      </c>
      <c r="I22" s="364">
        <f t="shared" si="6"/>
        <v>1266</v>
      </c>
    </row>
    <row r="23" spans="1:10" s="42" customFormat="1" ht="15" customHeight="1" outlineLevel="1" thickBot="1" x14ac:dyDescent="0.3">
      <c r="A23" s="140" t="s">
        <v>19</v>
      </c>
      <c r="B23" s="651" t="s">
        <v>23</v>
      </c>
      <c r="C23" s="236">
        <f>SUM(C16:C22)</f>
        <v>1317</v>
      </c>
      <c r="D23" s="465">
        <f>SUM(D16:D22)</f>
        <v>3832</v>
      </c>
      <c r="E23" s="248">
        <f t="shared" ref="E23" si="7">SUM(E16:E22)</f>
        <v>901</v>
      </c>
      <c r="F23" s="236">
        <f>SUM(F16:F22)</f>
        <v>1246</v>
      </c>
      <c r="G23" s="465">
        <f>SUM(G16:G22)</f>
        <v>4833</v>
      </c>
      <c r="H23" s="248">
        <f>SUM(H16:H22)</f>
        <v>1112</v>
      </c>
      <c r="I23" s="362">
        <f>SUM(I16:I22)</f>
        <v>13241</v>
      </c>
    </row>
    <row r="24" spans="1:10" s="42" customFormat="1" ht="15" customHeight="1" outlineLevel="1" thickBot="1" x14ac:dyDescent="0.3">
      <c r="A24" s="99" t="s">
        <v>21</v>
      </c>
      <c r="B24" s="651"/>
      <c r="C24" s="236">
        <f>AVERAGE(C16:C22)</f>
        <v>188.14285714285714</v>
      </c>
      <c r="D24" s="465">
        <f>AVERAGE(D16:D22)</f>
        <v>547.42857142857144</v>
      </c>
      <c r="E24" s="248">
        <f t="shared" ref="E24:F24" si="8">AVERAGE(E16:E22)</f>
        <v>128.71428571428572</v>
      </c>
      <c r="F24" s="236">
        <f t="shared" si="8"/>
        <v>178</v>
      </c>
      <c r="G24" s="465">
        <f>AVERAGE(G16:G22)</f>
        <v>690.42857142857144</v>
      </c>
      <c r="H24" s="248">
        <f>AVERAGE(H16:H22)</f>
        <v>158.85714285714286</v>
      </c>
      <c r="I24" s="362">
        <f>AVERAGE(I16:I22)</f>
        <v>1891.5714285714287</v>
      </c>
    </row>
    <row r="25" spans="1:10" s="42" customFormat="1" ht="15" customHeight="1" thickBot="1" x14ac:dyDescent="0.3">
      <c r="A25" s="26" t="s">
        <v>18</v>
      </c>
      <c r="B25" s="651"/>
      <c r="C25" s="237">
        <f>SUM(C16:C20)</f>
        <v>1317</v>
      </c>
      <c r="D25" s="466">
        <f>SUM(D16:D20)</f>
        <v>2950</v>
      </c>
      <c r="E25" s="246">
        <f t="shared" ref="E25" si="9">SUM(E16:E20)</f>
        <v>592</v>
      </c>
      <c r="F25" s="237">
        <f>SUM(F16:F20)</f>
        <v>1246</v>
      </c>
      <c r="G25" s="466">
        <f>SUM(G16:G20)</f>
        <v>3450</v>
      </c>
      <c r="H25" s="246">
        <f>SUM(H16:H20)</f>
        <v>716</v>
      </c>
      <c r="I25" s="363">
        <f>SUM(I16:I20)</f>
        <v>10271</v>
      </c>
    </row>
    <row r="26" spans="1:10" s="42" customFormat="1" ht="15" customHeight="1" thickBot="1" x14ac:dyDescent="0.3">
      <c r="A26" s="26" t="s">
        <v>20</v>
      </c>
      <c r="B26" s="651"/>
      <c r="C26" s="237">
        <f>AVERAGE(C16:C20)</f>
        <v>263.39999999999998</v>
      </c>
      <c r="D26" s="466">
        <f>AVERAGE(D16:D20)</f>
        <v>590</v>
      </c>
      <c r="E26" s="246">
        <f t="shared" ref="E26:F26" si="10">AVERAGE(E16:E20)</f>
        <v>118.4</v>
      </c>
      <c r="F26" s="237">
        <f t="shared" si="10"/>
        <v>249.2</v>
      </c>
      <c r="G26" s="466">
        <f>AVERAGE(G16:G20)</f>
        <v>690</v>
      </c>
      <c r="H26" s="246">
        <f>AVERAGE(H16:H20)</f>
        <v>143.19999999999999</v>
      </c>
      <c r="I26" s="363">
        <f>AVERAGE(I16:I20)</f>
        <v>2054.1999999999998</v>
      </c>
    </row>
    <row r="27" spans="1:10" s="42" customFormat="1" ht="15" customHeight="1" x14ac:dyDescent="0.25">
      <c r="A27" s="25" t="s">
        <v>3</v>
      </c>
      <c r="B27" s="210">
        <f>B22+1</f>
        <v>44389</v>
      </c>
      <c r="C27" s="228">
        <v>342</v>
      </c>
      <c r="D27" s="468">
        <v>551</v>
      </c>
      <c r="E27" s="247">
        <v>0</v>
      </c>
      <c r="F27" s="228">
        <v>296</v>
      </c>
      <c r="G27" s="468">
        <v>594</v>
      </c>
      <c r="H27" s="247">
        <v>0</v>
      </c>
      <c r="I27" s="364">
        <f t="shared" ref="I27:I33" si="11">SUM(C27:H27)</f>
        <v>1783</v>
      </c>
    </row>
    <row r="28" spans="1:10" s="42" customFormat="1" ht="15" customHeight="1" x14ac:dyDescent="0.25">
      <c r="A28" s="25" t="s">
        <v>4</v>
      </c>
      <c r="B28" s="210">
        <f t="shared" ref="B28:B33" si="12">B27+1</f>
        <v>44390</v>
      </c>
      <c r="C28" s="228">
        <v>472</v>
      </c>
      <c r="D28" s="468">
        <v>732</v>
      </c>
      <c r="E28" s="247">
        <v>0</v>
      </c>
      <c r="F28" s="228">
        <v>410</v>
      </c>
      <c r="G28" s="468">
        <v>688</v>
      </c>
      <c r="H28" s="247">
        <v>0</v>
      </c>
      <c r="I28" s="364">
        <f t="shared" si="11"/>
        <v>2302</v>
      </c>
    </row>
    <row r="29" spans="1:10" s="42" customFormat="1" ht="15" customHeight="1" x14ac:dyDescent="0.25">
      <c r="A29" s="25" t="s">
        <v>5</v>
      </c>
      <c r="B29" s="210">
        <f t="shared" si="12"/>
        <v>44391</v>
      </c>
      <c r="C29" s="228">
        <v>471</v>
      </c>
      <c r="D29" s="468">
        <v>675</v>
      </c>
      <c r="E29" s="247">
        <v>0</v>
      </c>
      <c r="F29" s="228">
        <v>387</v>
      </c>
      <c r="G29" s="468">
        <v>626</v>
      </c>
      <c r="H29" s="247">
        <v>0</v>
      </c>
      <c r="I29" s="364">
        <f t="shared" si="11"/>
        <v>2159</v>
      </c>
    </row>
    <row r="30" spans="1:10" s="42" customFormat="1" ht="15" customHeight="1" x14ac:dyDescent="0.25">
      <c r="A30" s="25" t="s">
        <v>6</v>
      </c>
      <c r="B30" s="210">
        <f t="shared" si="12"/>
        <v>44392</v>
      </c>
      <c r="C30" s="235">
        <v>453</v>
      </c>
      <c r="D30" s="468">
        <v>667</v>
      </c>
      <c r="E30" s="247">
        <v>38</v>
      </c>
      <c r="F30" s="228">
        <v>441</v>
      </c>
      <c r="G30" s="470">
        <v>749</v>
      </c>
      <c r="H30" s="247">
        <v>109</v>
      </c>
      <c r="I30" s="364">
        <f t="shared" si="11"/>
        <v>2457</v>
      </c>
    </row>
    <row r="31" spans="1:10" s="42" customFormat="1" ht="15" customHeight="1" x14ac:dyDescent="0.25">
      <c r="A31" s="25" t="s">
        <v>0</v>
      </c>
      <c r="B31" s="210">
        <f t="shared" si="12"/>
        <v>44393</v>
      </c>
      <c r="C31" s="235">
        <v>313</v>
      </c>
      <c r="D31" s="468">
        <v>555</v>
      </c>
      <c r="E31" s="247">
        <v>64</v>
      </c>
      <c r="F31" s="228">
        <v>299</v>
      </c>
      <c r="G31" s="467">
        <v>621</v>
      </c>
      <c r="H31" s="247">
        <v>106</v>
      </c>
      <c r="I31" s="364">
        <f t="shared" si="11"/>
        <v>1958</v>
      </c>
    </row>
    <row r="32" spans="1:10" s="42" customFormat="1" ht="15" customHeight="1" outlineLevel="1" x14ac:dyDescent="0.25">
      <c r="A32" s="25" t="s">
        <v>1</v>
      </c>
      <c r="B32" s="210">
        <f t="shared" si="12"/>
        <v>44394</v>
      </c>
      <c r="C32" s="235">
        <v>0</v>
      </c>
      <c r="D32" s="468">
        <v>482</v>
      </c>
      <c r="E32" s="247">
        <v>113</v>
      </c>
      <c r="F32" s="228">
        <v>0</v>
      </c>
      <c r="G32" s="467">
        <v>496</v>
      </c>
      <c r="H32" s="247">
        <v>210</v>
      </c>
      <c r="I32" s="364">
        <f t="shared" si="11"/>
        <v>1301</v>
      </c>
    </row>
    <row r="33" spans="1:10" s="42" customFormat="1" ht="15" customHeight="1" outlineLevel="1" thickBot="1" x14ac:dyDescent="0.3">
      <c r="A33" s="25" t="s">
        <v>2</v>
      </c>
      <c r="B33" s="210">
        <f t="shared" si="12"/>
        <v>44395</v>
      </c>
      <c r="C33" s="235">
        <v>0</v>
      </c>
      <c r="D33" s="468">
        <v>589</v>
      </c>
      <c r="E33" s="247">
        <v>80</v>
      </c>
      <c r="F33" s="228">
        <v>0</v>
      </c>
      <c r="G33" s="467">
        <v>713</v>
      </c>
      <c r="H33" s="247">
        <v>109</v>
      </c>
      <c r="I33" s="364">
        <f t="shared" si="11"/>
        <v>1491</v>
      </c>
      <c r="J33" s="136"/>
    </row>
    <row r="34" spans="1:10" s="42" customFormat="1" ht="15" customHeight="1" outlineLevel="1" thickBot="1" x14ac:dyDescent="0.3">
      <c r="A34" s="140" t="s">
        <v>19</v>
      </c>
      <c r="B34" s="651" t="s">
        <v>24</v>
      </c>
      <c r="C34" s="236">
        <f>SUM(C27:C33)</f>
        <v>2051</v>
      </c>
      <c r="D34" s="465">
        <f>SUM(D27:D33)</f>
        <v>4251</v>
      </c>
      <c r="E34" s="248">
        <f t="shared" ref="E34" si="13">SUM(E27:E33)</f>
        <v>295</v>
      </c>
      <c r="F34" s="236">
        <f>SUM(F27:F33)</f>
        <v>1833</v>
      </c>
      <c r="G34" s="465">
        <f>SUM(G27:G33)</f>
        <v>4487</v>
      </c>
      <c r="H34" s="248">
        <f>SUM(H27:H33)</f>
        <v>534</v>
      </c>
      <c r="I34" s="362">
        <f>SUM(I27:I33)</f>
        <v>13451</v>
      </c>
    </row>
    <row r="35" spans="1:10" s="42" customFormat="1" ht="15" customHeight="1" outlineLevel="1" thickBot="1" x14ac:dyDescent="0.3">
      <c r="A35" s="99" t="s">
        <v>21</v>
      </c>
      <c r="B35" s="651"/>
      <c r="C35" s="236">
        <f>AVERAGE(C27:C33)</f>
        <v>293</v>
      </c>
      <c r="D35" s="465">
        <f>AVERAGE(D27:D33)</f>
        <v>607.28571428571433</v>
      </c>
      <c r="E35" s="248">
        <f t="shared" ref="E35:F35" si="14">AVERAGE(E27:E33)</f>
        <v>42.142857142857146</v>
      </c>
      <c r="F35" s="236">
        <f t="shared" si="14"/>
        <v>261.85714285714283</v>
      </c>
      <c r="G35" s="465">
        <f>AVERAGE(G27:G33)</f>
        <v>641</v>
      </c>
      <c r="H35" s="248">
        <f>AVERAGE(H27:H33)</f>
        <v>76.285714285714292</v>
      </c>
      <c r="I35" s="362">
        <f>AVERAGE(I27:I33)</f>
        <v>1921.5714285714287</v>
      </c>
    </row>
    <row r="36" spans="1:10" s="42" customFormat="1" ht="15" customHeight="1" thickBot="1" x14ac:dyDescent="0.3">
      <c r="A36" s="26" t="s">
        <v>18</v>
      </c>
      <c r="B36" s="651"/>
      <c r="C36" s="237">
        <f>SUM(C27:C31)</f>
        <v>2051</v>
      </c>
      <c r="D36" s="466">
        <f>SUM(D27:D31)</f>
        <v>3180</v>
      </c>
      <c r="E36" s="246">
        <f t="shared" ref="E36" si="15">SUM(E27:E31)</f>
        <v>102</v>
      </c>
      <c r="F36" s="237">
        <f>SUM(F27:F31)</f>
        <v>1833</v>
      </c>
      <c r="G36" s="466">
        <f>SUM(G27:G31)</f>
        <v>3278</v>
      </c>
      <c r="H36" s="246">
        <f>SUM(H27:H31)</f>
        <v>215</v>
      </c>
      <c r="I36" s="363">
        <f>SUM(I27:I31)</f>
        <v>10659</v>
      </c>
    </row>
    <row r="37" spans="1:10" s="42" customFormat="1" ht="15" customHeight="1" thickBot="1" x14ac:dyDescent="0.3">
      <c r="A37" s="26" t="s">
        <v>20</v>
      </c>
      <c r="B37" s="651"/>
      <c r="C37" s="237">
        <f>AVERAGE(C27:C31)</f>
        <v>410.2</v>
      </c>
      <c r="D37" s="466">
        <f>AVERAGE(D27:D31)</f>
        <v>636</v>
      </c>
      <c r="E37" s="246">
        <f t="shared" ref="E37:F37" si="16">AVERAGE(E27:E31)</f>
        <v>20.399999999999999</v>
      </c>
      <c r="F37" s="237">
        <f t="shared" si="16"/>
        <v>366.6</v>
      </c>
      <c r="G37" s="466">
        <f>AVERAGE(G27:G31)</f>
        <v>655.6</v>
      </c>
      <c r="H37" s="246">
        <f>AVERAGE(H27:H31)</f>
        <v>43</v>
      </c>
      <c r="I37" s="363">
        <f>AVERAGE(I27:I31)</f>
        <v>2131.8000000000002</v>
      </c>
    </row>
    <row r="38" spans="1:10" s="42" customFormat="1" ht="15" customHeight="1" x14ac:dyDescent="0.25">
      <c r="A38" s="25" t="s">
        <v>3</v>
      </c>
      <c r="B38" s="215">
        <f>B33+1</f>
        <v>44396</v>
      </c>
      <c r="C38" s="235">
        <v>394</v>
      </c>
      <c r="D38" s="468">
        <v>633</v>
      </c>
      <c r="E38" s="247">
        <v>24</v>
      </c>
      <c r="F38" s="228">
        <v>365</v>
      </c>
      <c r="G38" s="467">
        <v>657</v>
      </c>
      <c r="H38" s="247">
        <v>24</v>
      </c>
      <c r="I38" s="364">
        <f t="shared" ref="I38:I44" si="17">SUM(C38:H38)</f>
        <v>2097</v>
      </c>
      <c r="J38" s="136"/>
    </row>
    <row r="39" spans="1:10" s="42" customFormat="1" ht="15" customHeight="1" x14ac:dyDescent="0.25">
      <c r="A39" s="25" t="s">
        <v>4</v>
      </c>
      <c r="B39" s="215">
        <f t="shared" ref="B39:B44" si="18">B38+1</f>
        <v>44397</v>
      </c>
      <c r="C39" s="235">
        <v>537</v>
      </c>
      <c r="D39" s="468">
        <v>729</v>
      </c>
      <c r="E39" s="247">
        <v>56</v>
      </c>
      <c r="F39" s="228">
        <v>438</v>
      </c>
      <c r="G39" s="467">
        <v>632</v>
      </c>
      <c r="H39" s="247">
        <v>141</v>
      </c>
      <c r="I39" s="364">
        <f t="shared" si="17"/>
        <v>2533</v>
      </c>
      <c r="J39" s="136"/>
    </row>
    <row r="40" spans="1:10" s="42" customFormat="1" ht="15" customHeight="1" x14ac:dyDescent="0.25">
      <c r="A40" s="25" t="s">
        <v>5</v>
      </c>
      <c r="B40" s="215">
        <f t="shared" si="18"/>
        <v>44398</v>
      </c>
      <c r="C40" s="235">
        <v>463</v>
      </c>
      <c r="D40" s="468">
        <v>718</v>
      </c>
      <c r="E40" s="247">
        <v>3</v>
      </c>
      <c r="F40" s="228">
        <v>434</v>
      </c>
      <c r="G40" s="467">
        <v>689</v>
      </c>
      <c r="H40" s="247">
        <v>12</v>
      </c>
      <c r="I40" s="364">
        <f>SUM(C40:H40)</f>
        <v>2319</v>
      </c>
      <c r="J40" s="136"/>
    </row>
    <row r="41" spans="1:10" s="42" customFormat="1" ht="15" customHeight="1" x14ac:dyDescent="0.25">
      <c r="A41" s="25" t="s">
        <v>6</v>
      </c>
      <c r="B41" s="215">
        <f t="shared" si="18"/>
        <v>44399</v>
      </c>
      <c r="C41" s="235">
        <v>469</v>
      </c>
      <c r="D41" s="468">
        <v>756</v>
      </c>
      <c r="E41" s="247">
        <v>40</v>
      </c>
      <c r="F41" s="228">
        <v>442</v>
      </c>
      <c r="G41" s="468">
        <v>715</v>
      </c>
      <c r="H41" s="247">
        <v>61</v>
      </c>
      <c r="I41" s="364">
        <f t="shared" si="17"/>
        <v>2483</v>
      </c>
      <c r="J41" s="136"/>
    </row>
    <row r="42" spans="1:10" s="42" customFormat="1" ht="15" customHeight="1" x14ac:dyDescent="0.25">
      <c r="A42" s="25" t="s">
        <v>0</v>
      </c>
      <c r="B42" s="215">
        <f t="shared" si="18"/>
        <v>44400</v>
      </c>
      <c r="C42" s="235">
        <v>311</v>
      </c>
      <c r="D42" s="468">
        <v>591</v>
      </c>
      <c r="E42" s="247">
        <v>52</v>
      </c>
      <c r="F42" s="228">
        <v>299</v>
      </c>
      <c r="G42" s="468">
        <v>673</v>
      </c>
      <c r="H42" s="247">
        <v>170</v>
      </c>
      <c r="I42" s="364">
        <f t="shared" si="17"/>
        <v>2096</v>
      </c>
      <c r="J42" s="136"/>
    </row>
    <row r="43" spans="1:10" s="42" customFormat="1" ht="15" customHeight="1" outlineLevel="1" x14ac:dyDescent="0.25">
      <c r="A43" s="25" t="s">
        <v>1</v>
      </c>
      <c r="B43" s="215">
        <f t="shared" si="18"/>
        <v>44401</v>
      </c>
      <c r="C43" s="235">
        <v>0</v>
      </c>
      <c r="D43" s="468">
        <v>743</v>
      </c>
      <c r="E43" s="247">
        <v>590</v>
      </c>
      <c r="F43" s="228">
        <v>0</v>
      </c>
      <c r="G43" s="467">
        <v>575</v>
      </c>
      <c r="H43" s="247">
        <v>728</v>
      </c>
      <c r="I43" s="364">
        <f t="shared" si="17"/>
        <v>2636</v>
      </c>
      <c r="J43" s="136"/>
    </row>
    <row r="44" spans="1:10" s="42" customFormat="1" ht="15" customHeight="1" outlineLevel="1" thickBot="1" x14ac:dyDescent="0.3">
      <c r="A44" s="25" t="s">
        <v>2</v>
      </c>
      <c r="B44" s="215">
        <f t="shared" si="18"/>
        <v>44402</v>
      </c>
      <c r="C44" s="235">
        <v>0</v>
      </c>
      <c r="D44" s="468">
        <v>595</v>
      </c>
      <c r="E44" s="247">
        <v>73</v>
      </c>
      <c r="F44" s="228">
        <v>0</v>
      </c>
      <c r="G44" s="467">
        <v>697</v>
      </c>
      <c r="H44" s="247">
        <v>110</v>
      </c>
      <c r="I44" s="364">
        <f t="shared" si="17"/>
        <v>1475</v>
      </c>
      <c r="J44" s="136"/>
    </row>
    <row r="45" spans="1:10" s="42" customFormat="1" ht="15" customHeight="1" outlineLevel="1" thickBot="1" x14ac:dyDescent="0.3">
      <c r="A45" s="140" t="s">
        <v>19</v>
      </c>
      <c r="B45" s="651" t="s">
        <v>25</v>
      </c>
      <c r="C45" s="236">
        <f>SUM(C38:C44)</f>
        <v>2174</v>
      </c>
      <c r="D45" s="465">
        <f>SUM(D38:D44)</f>
        <v>4765</v>
      </c>
      <c r="E45" s="248">
        <f t="shared" ref="E45:F45" si="19">SUM(E38:E44)</f>
        <v>838</v>
      </c>
      <c r="F45" s="236">
        <f t="shared" si="19"/>
        <v>1978</v>
      </c>
      <c r="G45" s="465">
        <f>SUM(G38:G44)</f>
        <v>4638</v>
      </c>
      <c r="H45" s="248">
        <f>SUM(H38:H44)</f>
        <v>1246</v>
      </c>
      <c r="I45" s="362">
        <f>SUM(I38:I44)</f>
        <v>15639</v>
      </c>
    </row>
    <row r="46" spans="1:10" s="42" customFormat="1" ht="15" customHeight="1" outlineLevel="1" thickBot="1" x14ac:dyDescent="0.3">
      <c r="A46" s="99" t="s">
        <v>21</v>
      </c>
      <c r="B46" s="651"/>
      <c r="C46" s="236">
        <f>AVERAGE(C38:C44)</f>
        <v>310.57142857142856</v>
      </c>
      <c r="D46" s="465">
        <f>AVERAGE(D38:D44)</f>
        <v>680.71428571428567</v>
      </c>
      <c r="E46" s="248">
        <f t="shared" ref="E46" si="20">AVERAGE(E38:E44)</f>
        <v>119.71428571428571</v>
      </c>
      <c r="F46" s="236">
        <f>AVERAGE(F38:F44)</f>
        <v>282.57142857142856</v>
      </c>
      <c r="G46" s="465">
        <f>AVERAGE(G38:G44)</f>
        <v>662.57142857142856</v>
      </c>
      <c r="H46" s="248">
        <f>AVERAGE(H38:H44)</f>
        <v>178</v>
      </c>
      <c r="I46" s="362">
        <f>AVERAGE(I38:I44)</f>
        <v>2234.1428571428573</v>
      </c>
    </row>
    <row r="47" spans="1:10" s="42" customFormat="1" ht="15" customHeight="1" thickBot="1" x14ac:dyDescent="0.3">
      <c r="A47" s="26" t="s">
        <v>18</v>
      </c>
      <c r="B47" s="651"/>
      <c r="C47" s="237">
        <f>SUM(C38:C42)</f>
        <v>2174</v>
      </c>
      <c r="D47" s="466">
        <f>SUM(D38:D42)</f>
        <v>3427</v>
      </c>
      <c r="E47" s="246">
        <f t="shared" ref="E47" si="21">SUM(E38:E42)</f>
        <v>175</v>
      </c>
      <c r="F47" s="237">
        <f>SUM(F38:F42)</f>
        <v>1978</v>
      </c>
      <c r="G47" s="466">
        <f>SUM(G38:G42)</f>
        <v>3366</v>
      </c>
      <c r="H47" s="246">
        <f>SUM(H38:H42)</f>
        <v>408</v>
      </c>
      <c r="I47" s="363">
        <f>SUM(I38:I42)</f>
        <v>11528</v>
      </c>
    </row>
    <row r="48" spans="1:10" s="42" customFormat="1" ht="15" customHeight="1" thickBot="1" x14ac:dyDescent="0.3">
      <c r="A48" s="26" t="s">
        <v>20</v>
      </c>
      <c r="B48" s="651"/>
      <c r="C48" s="237">
        <f>AVERAGE(C38:C42)</f>
        <v>434.8</v>
      </c>
      <c r="D48" s="466">
        <f>AVERAGE(D38:D42)</f>
        <v>685.4</v>
      </c>
      <c r="E48" s="246">
        <f t="shared" ref="E48:F48" si="22">AVERAGE(E38:E42)</f>
        <v>35</v>
      </c>
      <c r="F48" s="237">
        <f t="shared" si="22"/>
        <v>395.6</v>
      </c>
      <c r="G48" s="466">
        <f>AVERAGE(G38:G42)</f>
        <v>673.2</v>
      </c>
      <c r="H48" s="246">
        <f>AVERAGE(H38:H42)</f>
        <v>81.599999999999994</v>
      </c>
      <c r="I48" s="363">
        <f>AVERAGE(I38:I42)</f>
        <v>2305.6</v>
      </c>
    </row>
    <row r="49" spans="1:10" s="42" customFormat="1" ht="15" customHeight="1" x14ac:dyDescent="0.25">
      <c r="A49" s="25" t="s">
        <v>3</v>
      </c>
      <c r="B49" s="215">
        <f>B44+1</f>
        <v>44403</v>
      </c>
      <c r="C49" s="228">
        <v>423</v>
      </c>
      <c r="D49" s="468">
        <v>647</v>
      </c>
      <c r="E49" s="247">
        <v>18</v>
      </c>
      <c r="F49" s="228">
        <v>282</v>
      </c>
      <c r="G49" s="468">
        <v>595</v>
      </c>
      <c r="H49" s="247">
        <v>12</v>
      </c>
      <c r="I49" s="364">
        <f>SUM(C49:H49)</f>
        <v>1977</v>
      </c>
      <c r="J49" s="136"/>
    </row>
    <row r="50" spans="1:10" s="42" customFormat="1" ht="13.5" x14ac:dyDescent="0.25">
      <c r="A50" s="132" t="s">
        <v>4</v>
      </c>
      <c r="B50" s="215">
        <f t="shared" ref="B50:B54" si="23">B49+1</f>
        <v>44404</v>
      </c>
      <c r="C50" s="228">
        <v>469</v>
      </c>
      <c r="D50" s="468">
        <v>711</v>
      </c>
      <c r="E50" s="247">
        <v>60</v>
      </c>
      <c r="F50" s="228">
        <v>440</v>
      </c>
      <c r="G50" s="468">
        <v>671</v>
      </c>
      <c r="H50" s="247">
        <v>88</v>
      </c>
      <c r="I50" s="364">
        <f t="shared" ref="I50:I53" si="24">SUM(C50:H50)</f>
        <v>2439</v>
      </c>
      <c r="J50" s="136"/>
    </row>
    <row r="51" spans="1:10" s="42" customFormat="1" ht="13.5" x14ac:dyDescent="0.25">
      <c r="A51" s="132" t="s">
        <v>5</v>
      </c>
      <c r="B51" s="215">
        <f t="shared" si="23"/>
        <v>44405</v>
      </c>
      <c r="C51" s="228">
        <v>439</v>
      </c>
      <c r="D51" s="468">
        <v>695</v>
      </c>
      <c r="E51" s="247">
        <v>17</v>
      </c>
      <c r="F51" s="228">
        <v>395</v>
      </c>
      <c r="G51" s="468">
        <v>675</v>
      </c>
      <c r="H51" s="247">
        <v>21</v>
      </c>
      <c r="I51" s="364">
        <f t="shared" si="24"/>
        <v>2242</v>
      </c>
      <c r="J51" s="136"/>
    </row>
    <row r="52" spans="1:10" s="42" customFormat="1" ht="13.5" x14ac:dyDescent="0.25">
      <c r="A52" s="25" t="s">
        <v>6</v>
      </c>
      <c r="B52" s="215">
        <f t="shared" si="23"/>
        <v>44406</v>
      </c>
      <c r="C52" s="235">
        <v>411</v>
      </c>
      <c r="D52" s="467">
        <v>726</v>
      </c>
      <c r="E52" s="249">
        <v>0</v>
      </c>
      <c r="F52" s="235">
        <v>384</v>
      </c>
      <c r="G52" s="467">
        <v>593</v>
      </c>
      <c r="H52" s="249">
        <v>0</v>
      </c>
      <c r="I52" s="364">
        <f t="shared" si="24"/>
        <v>2114</v>
      </c>
      <c r="J52" s="136"/>
    </row>
    <row r="53" spans="1:10" s="42" customFormat="1" ht="13.5" x14ac:dyDescent="0.25">
      <c r="A53" s="25" t="s">
        <v>0</v>
      </c>
      <c r="B53" s="215">
        <f t="shared" si="23"/>
        <v>44407</v>
      </c>
      <c r="C53" s="235">
        <v>350</v>
      </c>
      <c r="D53" s="467">
        <v>618</v>
      </c>
      <c r="E53" s="249">
        <v>59</v>
      </c>
      <c r="F53" s="235">
        <v>334</v>
      </c>
      <c r="G53" s="467">
        <v>578</v>
      </c>
      <c r="H53" s="249">
        <v>100</v>
      </c>
      <c r="I53" s="364">
        <f t="shared" si="24"/>
        <v>2039</v>
      </c>
      <c r="J53" s="136"/>
    </row>
    <row r="54" spans="1:10" s="42" customFormat="1" ht="14.25" outlineLevel="1" thickBot="1" x14ac:dyDescent="0.3">
      <c r="A54" s="25" t="s">
        <v>1</v>
      </c>
      <c r="B54" s="215">
        <f t="shared" si="23"/>
        <v>44408</v>
      </c>
      <c r="C54" s="235">
        <v>0</v>
      </c>
      <c r="D54" s="467">
        <v>642</v>
      </c>
      <c r="E54" s="249">
        <v>653</v>
      </c>
      <c r="F54" s="235">
        <v>0</v>
      </c>
      <c r="G54" s="467">
        <v>672</v>
      </c>
      <c r="H54" s="249">
        <v>662</v>
      </c>
      <c r="I54" s="364"/>
      <c r="J54" s="136"/>
    </row>
    <row r="55" spans="1:10" s="42" customFormat="1" ht="14.25" hidden="1" outlineLevel="1" thickBot="1" x14ac:dyDescent="0.3">
      <c r="A55" s="25" t="s">
        <v>2</v>
      </c>
      <c r="B55" s="215"/>
      <c r="C55" s="235"/>
      <c r="D55" s="467"/>
      <c r="E55" s="249"/>
      <c r="F55" s="235"/>
      <c r="G55" s="467"/>
      <c r="H55" s="249"/>
      <c r="I55" s="364"/>
    </row>
    <row r="56" spans="1:10" s="42" customFormat="1" ht="15" customHeight="1" outlineLevel="1" thickBot="1" x14ac:dyDescent="0.3">
      <c r="A56" s="140" t="s">
        <v>19</v>
      </c>
      <c r="B56" s="739" t="s">
        <v>26</v>
      </c>
      <c r="C56" s="236">
        <f>SUM(C49:C55)</f>
        <v>2092</v>
      </c>
      <c r="D56" s="465">
        <f>SUM(D49:D55)</f>
        <v>4039</v>
      </c>
      <c r="E56" s="248">
        <f t="shared" ref="E56:F56" si="25">SUM(E49:E55)</f>
        <v>807</v>
      </c>
      <c r="F56" s="236">
        <f t="shared" si="25"/>
        <v>1835</v>
      </c>
      <c r="G56" s="465">
        <f>SUM(G49:G55)</f>
        <v>3784</v>
      </c>
      <c r="H56" s="248">
        <f>SUM(H49:H55)</f>
        <v>883</v>
      </c>
      <c r="I56" s="362">
        <f>SUM(I49:I55)</f>
        <v>10811</v>
      </c>
    </row>
    <row r="57" spans="1:10" s="42" customFormat="1" ht="15" customHeight="1" outlineLevel="1" thickBot="1" x14ac:dyDescent="0.3">
      <c r="A57" s="99" t="s">
        <v>21</v>
      </c>
      <c r="B57" s="739"/>
      <c r="C57" s="236">
        <f>AVERAGE(C49:C55)</f>
        <v>348.66666666666669</v>
      </c>
      <c r="D57" s="465">
        <f>AVERAGE(D49:D55)</f>
        <v>673.16666666666663</v>
      </c>
      <c r="E57" s="248">
        <f t="shared" ref="E57:F57" si="26">AVERAGE(E49:E55)</f>
        <v>134.5</v>
      </c>
      <c r="F57" s="236">
        <f t="shared" si="26"/>
        <v>305.83333333333331</v>
      </c>
      <c r="G57" s="465">
        <f>AVERAGE(G49:G55)</f>
        <v>630.66666666666663</v>
      </c>
      <c r="H57" s="248">
        <f>AVERAGE(H49:H55)</f>
        <v>147.16666666666666</v>
      </c>
      <c r="I57" s="362">
        <f>AVERAGE(I49:I55)</f>
        <v>2162.1999999999998</v>
      </c>
    </row>
    <row r="58" spans="1:10" s="42" customFormat="1" ht="15" customHeight="1" thickBot="1" x14ac:dyDescent="0.3">
      <c r="A58" s="26" t="s">
        <v>18</v>
      </c>
      <c r="B58" s="739"/>
      <c r="C58" s="237">
        <f>SUM(C49:C53)</f>
        <v>2092</v>
      </c>
      <c r="D58" s="466">
        <f>SUM(D49:D53)</f>
        <v>3397</v>
      </c>
      <c r="E58" s="246">
        <f t="shared" ref="E58:F58" si="27">SUM(E49:E53)</f>
        <v>154</v>
      </c>
      <c r="F58" s="237">
        <f t="shared" si="27"/>
        <v>1835</v>
      </c>
      <c r="G58" s="466">
        <f>SUM(G49:G53)</f>
        <v>3112</v>
      </c>
      <c r="H58" s="246">
        <f>SUM(H49:H53)</f>
        <v>221</v>
      </c>
      <c r="I58" s="363">
        <f>SUM(I49:I53)</f>
        <v>10811</v>
      </c>
    </row>
    <row r="59" spans="1:10" s="42" customFormat="1" ht="14.25" thickBot="1" x14ac:dyDescent="0.3">
      <c r="A59" s="26" t="s">
        <v>20</v>
      </c>
      <c r="B59" s="740"/>
      <c r="C59" s="227">
        <f>AVERAGE(C49:C53)</f>
        <v>418.4</v>
      </c>
      <c r="D59" s="469">
        <f>AVERAGE(D49:D53)</f>
        <v>679.4</v>
      </c>
      <c r="E59" s="250">
        <f t="shared" ref="E59:F59" si="28">AVERAGE(E49:E53)</f>
        <v>30.8</v>
      </c>
      <c r="F59" s="227">
        <f t="shared" si="28"/>
        <v>367</v>
      </c>
      <c r="G59" s="469">
        <f>AVERAGE(G49:G53)</f>
        <v>622.4</v>
      </c>
      <c r="H59" s="250">
        <f>AVERAGE(H49:H53)</f>
        <v>44.2</v>
      </c>
      <c r="I59" s="365">
        <f>AVERAGE(I49:I53)</f>
        <v>2162.1999999999998</v>
      </c>
    </row>
    <row r="60" spans="1:10" s="42" customFormat="1" ht="15" customHeight="1" thickBot="1" x14ac:dyDescent="0.3">
      <c r="A60" s="4"/>
      <c r="B60" s="116"/>
      <c r="C60" s="45"/>
      <c r="D60" s="45"/>
      <c r="E60" s="45"/>
      <c r="F60" s="45"/>
      <c r="G60" s="45"/>
      <c r="H60" s="45"/>
      <c r="I60" s="45"/>
    </row>
    <row r="61" spans="1:10" s="42" customFormat="1" ht="30" customHeight="1" thickBot="1" x14ac:dyDescent="0.3">
      <c r="A61" s="413"/>
      <c r="B61" s="267" t="s">
        <v>121</v>
      </c>
      <c r="C61" s="361" t="s">
        <v>13</v>
      </c>
      <c r="E61" s="45"/>
      <c r="F61" s="45"/>
      <c r="G61" s="745" t="s">
        <v>54</v>
      </c>
      <c r="H61" s="746"/>
      <c r="I61" s="747"/>
    </row>
    <row r="62" spans="1:10" ht="30" customHeight="1" x14ac:dyDescent="0.25">
      <c r="A62" s="414" t="s">
        <v>109</v>
      </c>
      <c r="B62" s="166">
        <f>SUM(C12:E12,C23:E23,C34:E34,C45:E45,C56:E56,)</f>
        <v>29955</v>
      </c>
      <c r="C62" s="344">
        <f>SUM(F56:H56, F45:H45, F34:H34, F23:H23, F12:H12)</f>
        <v>31195</v>
      </c>
      <c r="E62" s="104"/>
      <c r="F62" s="104"/>
      <c r="G62" s="741" t="s">
        <v>28</v>
      </c>
      <c r="H62" s="742"/>
      <c r="I62" s="334">
        <f xml:space="preserve"> SUM(I14, I25, I36, I47, I58,)</f>
        <v>46879</v>
      </c>
    </row>
    <row r="63" spans="1:10" ht="30" customHeight="1" thickBot="1" x14ac:dyDescent="0.3">
      <c r="A63" s="415" t="s">
        <v>28</v>
      </c>
      <c r="B63" s="271">
        <f>SUM(C14:E14,C25:E25,C36:E36,C47:E47,C58:E58)</f>
        <v>23439</v>
      </c>
      <c r="C63" s="346">
        <f>SUM( F58:H58, F47:H47, F36:H36, F25:H25, F14:H14)</f>
        <v>23440</v>
      </c>
      <c r="E63" s="104"/>
      <c r="F63" s="104"/>
      <c r="G63" s="735" t="s">
        <v>109</v>
      </c>
      <c r="H63" s="736"/>
      <c r="I63" s="335">
        <f xml:space="preserve"> SUM(I56, I45, I34, I23, I12,)</f>
        <v>58521</v>
      </c>
    </row>
    <row r="64" spans="1:10" ht="30" customHeight="1" x14ac:dyDescent="0.25">
      <c r="G64" s="735" t="s">
        <v>20</v>
      </c>
      <c r="H64" s="736"/>
      <c r="I64" s="335">
        <f>AVERAGE(I15,I26,I37,I48,I59)</f>
        <v>1875.1599999999999</v>
      </c>
    </row>
    <row r="65" spans="3:9" ht="26.25" customHeight="1" thickBot="1" x14ac:dyDescent="0.3">
      <c r="G65" s="737" t="s">
        <v>115</v>
      </c>
      <c r="H65" s="738"/>
      <c r="I65" s="273">
        <f>AVERAGE(I13,I24,I35,I46,I57)</f>
        <v>1795.5828571428574</v>
      </c>
    </row>
    <row r="66" spans="3:9" x14ac:dyDescent="0.25">
      <c r="C66" s="134"/>
    </row>
  </sheetData>
  <mergeCells count="21">
    <mergeCell ref="I1:I4"/>
    <mergeCell ref="G61:I61"/>
    <mergeCell ref="E3:E4"/>
    <mergeCell ref="F3:F4"/>
    <mergeCell ref="C1:E2"/>
    <mergeCell ref="F1:H2"/>
    <mergeCell ref="A3:A4"/>
    <mergeCell ref="B3:B4"/>
    <mergeCell ref="G3:G4"/>
    <mergeCell ref="H3:H4"/>
    <mergeCell ref="C3:C4"/>
    <mergeCell ref="D3:D4"/>
    <mergeCell ref="G64:H64"/>
    <mergeCell ref="G65:H65"/>
    <mergeCell ref="B12:B15"/>
    <mergeCell ref="B23:B26"/>
    <mergeCell ref="B34:B37"/>
    <mergeCell ref="B45:B48"/>
    <mergeCell ref="B56:B59"/>
    <mergeCell ref="G63:H63"/>
    <mergeCell ref="G62:H62"/>
  </mergeCells>
  <pageMargins left="0.7" right="0.7" top="0.75" bottom="0.75" header="0.3" footer="0.3"/>
  <pageSetup scale="73" orientation="portrait" r:id="rId1"/>
  <ignoredErrors>
    <ignoredError sqref="C24" emptyCellReference="1"/>
    <ignoredError sqref="C13 G13:H13" evalError="1" emptyCellReference="1"/>
    <ignoredError sqref="G34 I24 I26 C34:D34" formulaRange="1" emptyCellReference="1"/>
    <ignoredError sqref="I59 H26" formulaRange="1"/>
    <ignoredError sqref="G59:H59 G35:I35 G57:H57 D15 I13 G46:I46 C59 I15 G37:I37 G48:I48 C48:D48 C37:D37 C57:D57 C46:D46 C35:D35" evalError="1" formulaRange="1" emptyCellReference="1"/>
    <ignoredError sqref="I57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L76"/>
  <sheetViews>
    <sheetView zoomScaleNormal="100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E18" sqref="E18"/>
    </sheetView>
  </sheetViews>
  <sheetFormatPr defaultColWidth="9.140625" defaultRowHeight="15" outlineLevelRow="1" x14ac:dyDescent="0.25"/>
  <cols>
    <col min="1" max="1" width="18.7109375" style="1" bestFit="1" customWidth="1"/>
    <col min="2" max="2" width="8.5703125" style="117" bestFit="1" customWidth="1"/>
    <col min="3" max="3" width="27.85546875" style="260" customWidth="1"/>
    <col min="4" max="4" width="12.28515625" style="11" customWidth="1"/>
    <col min="5" max="5" width="23.85546875" style="11" customWidth="1"/>
    <col min="6" max="6" width="28" style="11" customWidth="1"/>
    <col min="7" max="7" width="7.7109375" style="11" customWidth="1"/>
    <col min="8" max="8" width="15.7109375" style="11" customWidth="1"/>
    <col min="9" max="9" width="14.85546875" style="11" bestFit="1" customWidth="1"/>
    <col min="10" max="10" width="35.28515625" style="11" bestFit="1" customWidth="1"/>
    <col min="11" max="11" width="31.5703125" style="11" customWidth="1"/>
    <col min="12" max="16384" width="9.140625" style="11"/>
  </cols>
  <sheetData>
    <row r="1" spans="1:11" ht="15" customHeight="1" x14ac:dyDescent="0.25">
      <c r="A1" s="23"/>
      <c r="B1" s="147"/>
      <c r="C1" s="708" t="s">
        <v>90</v>
      </c>
      <c r="D1" s="709"/>
      <c r="E1" s="709"/>
      <c r="F1" s="709"/>
      <c r="G1" s="709"/>
      <c r="H1" s="708" t="s">
        <v>87</v>
      </c>
      <c r="I1" s="710"/>
      <c r="J1" s="717" t="s">
        <v>17</v>
      </c>
    </row>
    <row r="2" spans="1:11" ht="15" customHeight="1" thickBot="1" x14ac:dyDescent="0.3">
      <c r="A2" s="24"/>
      <c r="B2" s="148"/>
      <c r="C2" s="711"/>
      <c r="D2" s="712"/>
      <c r="E2" s="712"/>
      <c r="F2" s="712"/>
      <c r="G2" s="712"/>
      <c r="H2" s="711"/>
      <c r="I2" s="713"/>
      <c r="J2" s="718"/>
    </row>
    <row r="3" spans="1:11" ht="13.5" customHeight="1" x14ac:dyDescent="0.25">
      <c r="A3" s="629" t="s">
        <v>48</v>
      </c>
      <c r="B3" s="733" t="s">
        <v>49</v>
      </c>
      <c r="C3" s="751" t="s">
        <v>96</v>
      </c>
      <c r="D3" s="676" t="s">
        <v>7</v>
      </c>
      <c r="E3" s="676" t="s">
        <v>84</v>
      </c>
      <c r="F3" s="676" t="s">
        <v>85</v>
      </c>
      <c r="G3" s="697" t="s">
        <v>86</v>
      </c>
      <c r="H3" s="629" t="s">
        <v>81</v>
      </c>
      <c r="I3" s="342" t="s">
        <v>99</v>
      </c>
      <c r="J3" s="683"/>
    </row>
    <row r="4" spans="1:11" ht="15" customHeight="1" thickBot="1" x14ac:dyDescent="0.3">
      <c r="A4" s="646"/>
      <c r="B4" s="734"/>
      <c r="C4" s="752"/>
      <c r="D4" s="679"/>
      <c r="E4" s="679"/>
      <c r="F4" s="679"/>
      <c r="G4" s="750"/>
      <c r="H4" s="632"/>
      <c r="I4" s="381" t="s">
        <v>94</v>
      </c>
      <c r="J4" s="684"/>
    </row>
    <row r="5" spans="1:11" s="41" customFormat="1" ht="14.25" hidden="1" thickBot="1" x14ac:dyDescent="0.3">
      <c r="A5" s="25" t="s">
        <v>3</v>
      </c>
      <c r="B5" s="450"/>
      <c r="C5" s="421"/>
      <c r="D5" s="316"/>
      <c r="E5" s="316"/>
      <c r="F5" s="14"/>
      <c r="G5" s="54"/>
      <c r="H5" s="318"/>
      <c r="I5" s="319"/>
      <c r="J5" s="48">
        <f t="shared" ref="J5:J11" si="0">SUM(C5:I5)</f>
        <v>0</v>
      </c>
    </row>
    <row r="6" spans="1:11" s="41" customFormat="1" ht="14.25" hidden="1" thickBot="1" x14ac:dyDescent="0.3">
      <c r="A6" s="25" t="s">
        <v>4</v>
      </c>
      <c r="B6" s="450"/>
      <c r="C6" s="428"/>
      <c r="D6" s="218"/>
      <c r="E6" s="218"/>
      <c r="F6" s="189"/>
      <c r="G6" s="197"/>
      <c r="H6" s="292"/>
      <c r="I6" s="226"/>
      <c r="J6" s="48">
        <f t="shared" si="0"/>
        <v>0</v>
      </c>
    </row>
    <row r="7" spans="1:11" s="41" customFormat="1" ht="14.25" hidden="1" thickBot="1" x14ac:dyDescent="0.3">
      <c r="A7" s="25" t="s">
        <v>5</v>
      </c>
      <c r="B7" s="450"/>
      <c r="C7" s="428"/>
      <c r="D7" s="338"/>
      <c r="E7" s="218"/>
      <c r="F7" s="189"/>
      <c r="G7" s="197"/>
      <c r="H7" s="292"/>
      <c r="I7" s="226"/>
      <c r="J7" s="48">
        <f t="shared" si="0"/>
        <v>0</v>
      </c>
    </row>
    <row r="8" spans="1:11" s="41" customFormat="1" ht="14.25" thickBot="1" x14ac:dyDescent="0.3">
      <c r="A8" s="25" t="s">
        <v>6</v>
      </c>
      <c r="B8" s="450">
        <v>44378</v>
      </c>
      <c r="C8" s="428"/>
      <c r="D8" s="218"/>
      <c r="E8" s="217"/>
      <c r="F8" s="20"/>
      <c r="G8" s="55"/>
      <c r="H8" s="292">
        <v>153</v>
      </c>
      <c r="I8" s="226">
        <v>134</v>
      </c>
      <c r="J8" s="48">
        <f t="shared" si="0"/>
        <v>287</v>
      </c>
      <c r="K8" s="133"/>
    </row>
    <row r="9" spans="1:11" s="41" customFormat="1" ht="14.25" thickBot="1" x14ac:dyDescent="0.3">
      <c r="A9" s="25" t="s">
        <v>0</v>
      </c>
      <c r="B9" s="450">
        <v>44379</v>
      </c>
      <c r="C9" s="428"/>
      <c r="D9" s="216"/>
      <c r="E9" s="217"/>
      <c r="F9" s="20"/>
      <c r="G9" s="55"/>
      <c r="H9" s="292">
        <v>118</v>
      </c>
      <c r="I9" s="226">
        <v>101</v>
      </c>
      <c r="J9" s="48">
        <f t="shared" si="0"/>
        <v>219</v>
      </c>
      <c r="K9" s="133"/>
    </row>
    <row r="10" spans="1:11" s="41" customFormat="1" ht="14.25" outlineLevel="1" thickBot="1" x14ac:dyDescent="0.3">
      <c r="A10" s="25" t="s">
        <v>1</v>
      </c>
      <c r="B10" s="450">
        <v>44380</v>
      </c>
      <c r="C10" s="428"/>
      <c r="D10" s="216"/>
      <c r="E10" s="217"/>
      <c r="F10" s="20"/>
      <c r="G10" s="55"/>
      <c r="H10" s="339"/>
      <c r="I10" s="336"/>
      <c r="J10" s="48">
        <f t="shared" si="0"/>
        <v>0</v>
      </c>
      <c r="K10" s="133"/>
    </row>
    <row r="11" spans="1:11" s="41" customFormat="1" ht="15" customHeight="1" outlineLevel="1" thickBot="1" x14ac:dyDescent="0.3">
      <c r="A11" s="25" t="s">
        <v>2</v>
      </c>
      <c r="B11" s="450">
        <v>44381</v>
      </c>
      <c r="C11" s="439"/>
      <c r="D11" s="295"/>
      <c r="E11" s="296"/>
      <c r="F11" s="50"/>
      <c r="G11" s="242"/>
      <c r="H11" s="340"/>
      <c r="I11" s="337"/>
      <c r="J11" s="48">
        <f t="shared" si="0"/>
        <v>0</v>
      </c>
      <c r="K11" s="133"/>
    </row>
    <row r="12" spans="1:11" s="42" customFormat="1" ht="15" customHeight="1" outlineLevel="1" thickBot="1" x14ac:dyDescent="0.3">
      <c r="A12" s="140" t="s">
        <v>19</v>
      </c>
      <c r="B12" s="730" t="s">
        <v>22</v>
      </c>
      <c r="C12" s="435">
        <f t="shared" ref="C12:I12" si="1">SUM(C5:C11)</f>
        <v>0</v>
      </c>
      <c r="D12" s="293">
        <f t="shared" si="1"/>
        <v>0</v>
      </c>
      <c r="E12" s="293">
        <f t="shared" si="1"/>
        <v>0</v>
      </c>
      <c r="F12" s="293">
        <f t="shared" si="1"/>
        <v>0</v>
      </c>
      <c r="G12" s="294">
        <f t="shared" si="1"/>
        <v>0</v>
      </c>
      <c r="H12" s="238">
        <f t="shared" si="1"/>
        <v>271</v>
      </c>
      <c r="I12" s="244">
        <f t="shared" si="1"/>
        <v>235</v>
      </c>
      <c r="J12" s="103">
        <f>SUM(J5:J11)</f>
        <v>506</v>
      </c>
    </row>
    <row r="13" spans="1:11" s="42" customFormat="1" ht="15" customHeight="1" outlineLevel="1" thickBot="1" x14ac:dyDescent="0.3">
      <c r="A13" s="99" t="s">
        <v>21</v>
      </c>
      <c r="B13" s="731"/>
      <c r="C13" s="436" t="e">
        <f>AVERAGE(C5:C11)</f>
        <v>#DIV/0!</v>
      </c>
      <c r="D13" s="219" t="e">
        <f t="shared" ref="D13:H13" si="2">AVERAGE(D5:D11)</f>
        <v>#DIV/0!</v>
      </c>
      <c r="E13" s="219" t="e">
        <f t="shared" si="2"/>
        <v>#DIV/0!</v>
      </c>
      <c r="F13" s="219" t="e">
        <f t="shared" si="2"/>
        <v>#DIV/0!</v>
      </c>
      <c r="G13" s="285" t="e">
        <f t="shared" si="2"/>
        <v>#DIV/0!</v>
      </c>
      <c r="H13" s="222">
        <f t="shared" si="2"/>
        <v>135.5</v>
      </c>
      <c r="I13" s="223">
        <f>AVERAGE(I9:I11)</f>
        <v>101</v>
      </c>
      <c r="J13" s="101">
        <f>AVERAGE(J5:J11)</f>
        <v>72.285714285714292</v>
      </c>
    </row>
    <row r="14" spans="1:11" s="42" customFormat="1" ht="15" customHeight="1" thickBot="1" x14ac:dyDescent="0.3">
      <c r="A14" s="26" t="s">
        <v>18</v>
      </c>
      <c r="B14" s="731"/>
      <c r="C14" s="437">
        <f t="shared" ref="C14:G14" si="3">SUM(C5:C9)</f>
        <v>0</v>
      </c>
      <c r="D14" s="220">
        <f t="shared" si="3"/>
        <v>0</v>
      </c>
      <c r="E14" s="220">
        <f t="shared" si="3"/>
        <v>0</v>
      </c>
      <c r="F14" s="220">
        <f t="shared" si="3"/>
        <v>0</v>
      </c>
      <c r="G14" s="286">
        <f t="shared" si="3"/>
        <v>0</v>
      </c>
      <c r="H14" s="224">
        <f>SUM(H5:H9)</f>
        <v>271</v>
      </c>
      <c r="I14" s="225">
        <f>SUM(I5:I9)</f>
        <v>235</v>
      </c>
      <c r="J14" s="28">
        <f>SUM(J5:J9)</f>
        <v>506</v>
      </c>
    </row>
    <row r="15" spans="1:11" s="42" customFormat="1" ht="15" customHeight="1" thickBot="1" x14ac:dyDescent="0.3">
      <c r="A15" s="26" t="s">
        <v>20</v>
      </c>
      <c r="B15" s="731"/>
      <c r="C15" s="440" t="e">
        <f>AVERAGE(C5:C9)</f>
        <v>#DIV/0!</v>
      </c>
      <c r="D15" s="299" t="e">
        <f t="shared" ref="D15:G15" si="4">AVERAGE(D5:D9)</f>
        <v>#DIV/0!</v>
      </c>
      <c r="E15" s="299" t="e">
        <f t="shared" si="4"/>
        <v>#DIV/0!</v>
      </c>
      <c r="F15" s="299" t="e">
        <f t="shared" si="4"/>
        <v>#DIV/0!</v>
      </c>
      <c r="G15" s="300" t="e">
        <f t="shared" si="4"/>
        <v>#DIV/0!</v>
      </c>
      <c r="H15" s="301">
        <f>AVERAGE(H5:H9)</f>
        <v>135.5</v>
      </c>
      <c r="I15" s="302">
        <f>AVERAGE(I9)</f>
        <v>101</v>
      </c>
      <c r="J15" s="32">
        <f>AVERAGE(J5:J9)</f>
        <v>101.2</v>
      </c>
    </row>
    <row r="16" spans="1:11" s="42" customFormat="1" ht="15" customHeight="1" thickBot="1" x14ac:dyDescent="0.3">
      <c r="A16" s="25" t="s">
        <v>3</v>
      </c>
      <c r="B16" s="149">
        <f>B11+1</f>
        <v>44382</v>
      </c>
      <c r="C16" s="441"/>
      <c r="D16" s="221"/>
      <c r="E16" s="221"/>
      <c r="F16" s="303"/>
      <c r="G16" s="304"/>
      <c r="H16" s="290">
        <v>0</v>
      </c>
      <c r="I16" s="291">
        <v>0</v>
      </c>
      <c r="J16" s="16">
        <f t="shared" ref="J16:J22" si="5">SUM(C16:I16)</f>
        <v>0</v>
      </c>
    </row>
    <row r="17" spans="1:10" s="42" customFormat="1" ht="15" customHeight="1" thickBot="1" x14ac:dyDescent="0.3">
      <c r="A17" s="25" t="s">
        <v>4</v>
      </c>
      <c r="B17" s="150">
        <f t="shared" ref="B17:B22" si="6">B16+1</f>
        <v>44383</v>
      </c>
      <c r="C17" s="428"/>
      <c r="D17" s="218"/>
      <c r="E17" s="218"/>
      <c r="F17" s="165"/>
      <c r="G17" s="167"/>
      <c r="H17" s="292">
        <v>141</v>
      </c>
      <c r="I17" s="226">
        <v>147</v>
      </c>
      <c r="J17" s="17">
        <f t="shared" si="5"/>
        <v>288</v>
      </c>
    </row>
    <row r="18" spans="1:10" s="42" customFormat="1" ht="15" customHeight="1" thickBot="1" x14ac:dyDescent="0.3">
      <c r="A18" s="25" t="s">
        <v>5</v>
      </c>
      <c r="B18" s="150">
        <f t="shared" si="6"/>
        <v>44384</v>
      </c>
      <c r="C18" s="428"/>
      <c r="D18" s="218"/>
      <c r="E18" s="218"/>
      <c r="F18" s="165"/>
      <c r="G18" s="167"/>
      <c r="H18" s="317">
        <v>191</v>
      </c>
      <c r="I18" s="251">
        <v>177</v>
      </c>
      <c r="J18" s="17">
        <f t="shared" si="5"/>
        <v>368</v>
      </c>
    </row>
    <row r="19" spans="1:10" s="42" customFormat="1" ht="15" customHeight="1" thickBot="1" x14ac:dyDescent="0.3">
      <c r="A19" s="25" t="s">
        <v>6</v>
      </c>
      <c r="B19" s="151">
        <f t="shared" si="6"/>
        <v>44385</v>
      </c>
      <c r="C19" s="428"/>
      <c r="D19" s="216"/>
      <c r="E19" s="216"/>
      <c r="F19" s="212"/>
      <c r="G19" s="55"/>
      <c r="H19" s="317">
        <v>161</v>
      </c>
      <c r="I19" s="251">
        <v>151</v>
      </c>
      <c r="J19" s="17">
        <f t="shared" si="5"/>
        <v>312</v>
      </c>
    </row>
    <row r="20" spans="1:10" s="42" customFormat="1" ht="15" customHeight="1" thickBot="1" x14ac:dyDescent="0.3">
      <c r="A20" s="25" t="s">
        <v>0</v>
      </c>
      <c r="B20" s="151">
        <f t="shared" si="6"/>
        <v>44386</v>
      </c>
      <c r="C20" s="428"/>
      <c r="D20" s="216"/>
      <c r="E20" s="216"/>
      <c r="F20" s="212"/>
      <c r="G20" s="55"/>
      <c r="H20" s="317">
        <v>105</v>
      </c>
      <c r="I20" s="251">
        <v>93</v>
      </c>
      <c r="J20" s="17">
        <f t="shared" si="5"/>
        <v>198</v>
      </c>
    </row>
    <row r="21" spans="1:10" s="42" customFormat="1" ht="15" customHeight="1" outlineLevel="1" thickBot="1" x14ac:dyDescent="0.3">
      <c r="A21" s="25" t="s">
        <v>1</v>
      </c>
      <c r="B21" s="163">
        <f t="shared" si="6"/>
        <v>44387</v>
      </c>
      <c r="C21" s="428"/>
      <c r="D21" s="218"/>
      <c r="E21" s="216"/>
      <c r="F21" s="212"/>
      <c r="G21" s="55"/>
      <c r="H21" s="205"/>
      <c r="I21" s="201"/>
      <c r="J21" s="17">
        <f t="shared" si="5"/>
        <v>0</v>
      </c>
    </row>
    <row r="22" spans="1:10" s="42" customFormat="1" ht="15" customHeight="1" outlineLevel="1" thickBot="1" x14ac:dyDescent="0.3">
      <c r="A22" s="25" t="s">
        <v>2</v>
      </c>
      <c r="B22" s="150">
        <f t="shared" si="6"/>
        <v>44388</v>
      </c>
      <c r="C22" s="439"/>
      <c r="D22" s="295"/>
      <c r="E22" s="295"/>
      <c r="F22" s="306"/>
      <c r="G22" s="242"/>
      <c r="H22" s="340"/>
      <c r="I22" s="337"/>
      <c r="J22" s="17">
        <f t="shared" si="5"/>
        <v>0</v>
      </c>
    </row>
    <row r="23" spans="1:10" s="42" customFormat="1" ht="15" customHeight="1" outlineLevel="1" thickBot="1" x14ac:dyDescent="0.3">
      <c r="A23" s="140" t="s">
        <v>19</v>
      </c>
      <c r="B23" s="730" t="s">
        <v>23</v>
      </c>
      <c r="C23" s="435">
        <f t="shared" ref="C23:J23" si="7">SUM(C16:C22)</f>
        <v>0</v>
      </c>
      <c r="D23" s="293">
        <f t="shared" si="7"/>
        <v>0</v>
      </c>
      <c r="E23" s="293">
        <f t="shared" si="7"/>
        <v>0</v>
      </c>
      <c r="F23" s="293">
        <f t="shared" si="7"/>
        <v>0</v>
      </c>
      <c r="G23" s="294">
        <f t="shared" si="7"/>
        <v>0</v>
      </c>
      <c r="H23" s="238">
        <f>SUM(H16:H22)</f>
        <v>598</v>
      </c>
      <c r="I23" s="244">
        <f>SUM(I16:I22)</f>
        <v>568</v>
      </c>
      <c r="J23" s="103">
        <f t="shared" si="7"/>
        <v>1166</v>
      </c>
    </row>
    <row r="24" spans="1:10" s="42" customFormat="1" ht="15" customHeight="1" outlineLevel="1" thickBot="1" x14ac:dyDescent="0.3">
      <c r="A24" s="99" t="s">
        <v>21</v>
      </c>
      <c r="B24" s="731"/>
      <c r="C24" s="436" t="e">
        <f>AVERAGE(C16:C22)</f>
        <v>#DIV/0!</v>
      </c>
      <c r="D24" s="219" t="e">
        <f>AVERAGE(D16:D22)</f>
        <v>#DIV/0!</v>
      </c>
      <c r="E24" s="219" t="e">
        <f t="shared" ref="E24" si="8">AVERAGE(E16:E22)</f>
        <v>#DIV/0!</v>
      </c>
      <c r="F24" s="219" t="e">
        <f>AVERAGE(F16:F22)</f>
        <v>#DIV/0!</v>
      </c>
      <c r="G24" s="285" t="e">
        <f>AVERAGE(G16:G22)</f>
        <v>#DIV/0!</v>
      </c>
      <c r="H24" s="222">
        <f>AVERAGE(H16:H22)</f>
        <v>119.6</v>
      </c>
      <c r="I24" s="223">
        <f>AVERAGE(I16:I22)</f>
        <v>113.6</v>
      </c>
      <c r="J24" s="101">
        <f>AVERAGE(J16:J22)</f>
        <v>166.57142857142858</v>
      </c>
    </row>
    <row r="25" spans="1:10" s="42" customFormat="1" ht="15" customHeight="1" thickBot="1" x14ac:dyDescent="0.3">
      <c r="A25" s="26" t="s">
        <v>18</v>
      </c>
      <c r="B25" s="731"/>
      <c r="C25" s="437">
        <f>SUM(C16:C20)</f>
        <v>0</v>
      </c>
      <c r="D25" s="220">
        <f t="shared" ref="D25:G25" si="9">SUM(D16:D20)</f>
        <v>0</v>
      </c>
      <c r="E25" s="220">
        <f t="shared" si="9"/>
        <v>0</v>
      </c>
      <c r="F25" s="220">
        <f t="shared" si="9"/>
        <v>0</v>
      </c>
      <c r="G25" s="286">
        <f t="shared" si="9"/>
        <v>0</v>
      </c>
      <c r="H25" s="224">
        <f>SUM(H16:H20)</f>
        <v>598</v>
      </c>
      <c r="I25" s="225">
        <f>SUM(I16:I20)</f>
        <v>568</v>
      </c>
      <c r="J25" s="28">
        <f>SUM(J16:J20)</f>
        <v>1166</v>
      </c>
    </row>
    <row r="26" spans="1:10" s="42" customFormat="1" ht="15" customHeight="1" thickBot="1" x14ac:dyDescent="0.3">
      <c r="A26" s="26" t="s">
        <v>20</v>
      </c>
      <c r="B26" s="732"/>
      <c r="C26" s="440" t="e">
        <f>AVERAGE(C16:C20)</f>
        <v>#DIV/0!</v>
      </c>
      <c r="D26" s="299" t="e">
        <f t="shared" ref="D26:G26" si="10">AVERAGE(D16:D20)</f>
        <v>#DIV/0!</v>
      </c>
      <c r="E26" s="299" t="e">
        <f t="shared" si="10"/>
        <v>#DIV/0!</v>
      </c>
      <c r="F26" s="299" t="e">
        <f t="shared" si="10"/>
        <v>#DIV/0!</v>
      </c>
      <c r="G26" s="300" t="e">
        <f t="shared" si="10"/>
        <v>#DIV/0!</v>
      </c>
      <c r="H26" s="301">
        <f>AVERAGE(H16:H20)</f>
        <v>119.6</v>
      </c>
      <c r="I26" s="302">
        <f>AVERAGE(I16:I20)</f>
        <v>113.6</v>
      </c>
      <c r="J26" s="243">
        <f>AVERAGE(J16:J20)</f>
        <v>233.2</v>
      </c>
    </row>
    <row r="27" spans="1:10" s="42" customFormat="1" ht="15" customHeight="1" thickBot="1" x14ac:dyDescent="0.3">
      <c r="A27" s="25" t="s">
        <v>3</v>
      </c>
      <c r="B27" s="152">
        <f>B22+1</f>
        <v>44389</v>
      </c>
      <c r="C27" s="442"/>
      <c r="D27" s="221"/>
      <c r="E27" s="221"/>
      <c r="F27" s="303"/>
      <c r="G27" s="305"/>
      <c r="H27" s="290">
        <v>163</v>
      </c>
      <c r="I27" s="291">
        <v>144</v>
      </c>
      <c r="J27" s="16">
        <f t="shared" ref="J27:J33" si="11">SUM(C27:I27)</f>
        <v>307</v>
      </c>
    </row>
    <row r="28" spans="1:10" s="42" customFormat="1" ht="15" customHeight="1" thickBot="1" x14ac:dyDescent="0.3">
      <c r="A28" s="25" t="s">
        <v>4</v>
      </c>
      <c r="B28" s="153">
        <f t="shared" ref="B28:B33" si="12">B27+1</f>
        <v>44390</v>
      </c>
      <c r="C28" s="443"/>
      <c r="D28" s="218"/>
      <c r="E28" s="218"/>
      <c r="F28" s="218"/>
      <c r="G28" s="336"/>
      <c r="H28" s="292">
        <v>170</v>
      </c>
      <c r="I28" s="226">
        <v>150</v>
      </c>
      <c r="J28" s="17">
        <f t="shared" si="11"/>
        <v>320</v>
      </c>
    </row>
    <row r="29" spans="1:10" s="42" customFormat="1" ht="15" customHeight="1" thickBot="1" x14ac:dyDescent="0.3">
      <c r="A29" s="25" t="s">
        <v>5</v>
      </c>
      <c r="B29" s="153">
        <f t="shared" si="12"/>
        <v>44391</v>
      </c>
      <c r="C29" s="443"/>
      <c r="D29" s="218"/>
      <c r="E29" s="218"/>
      <c r="F29" s="218"/>
      <c r="G29" s="336"/>
      <c r="H29" s="292">
        <v>180</v>
      </c>
      <c r="I29" s="226">
        <v>166</v>
      </c>
      <c r="J29" s="17">
        <f t="shared" si="11"/>
        <v>346</v>
      </c>
    </row>
    <row r="30" spans="1:10" s="42" customFormat="1" ht="15" customHeight="1" thickBot="1" x14ac:dyDescent="0.3">
      <c r="A30" s="25" t="s">
        <v>6</v>
      </c>
      <c r="B30" s="153">
        <f t="shared" si="12"/>
        <v>44392</v>
      </c>
      <c r="C30" s="443"/>
      <c r="D30" s="218"/>
      <c r="E30" s="218"/>
      <c r="F30" s="218"/>
      <c r="G30" s="336"/>
      <c r="H30" s="317">
        <v>173</v>
      </c>
      <c r="I30" s="251">
        <v>158</v>
      </c>
      <c r="J30" s="17">
        <f t="shared" si="11"/>
        <v>331</v>
      </c>
    </row>
    <row r="31" spans="1:10" s="42" customFormat="1" ht="15" customHeight="1" thickBot="1" x14ac:dyDescent="0.3">
      <c r="A31" s="25" t="s">
        <v>0</v>
      </c>
      <c r="B31" s="153">
        <f t="shared" si="12"/>
        <v>44393</v>
      </c>
      <c r="C31" s="443"/>
      <c r="D31" s="218"/>
      <c r="E31" s="218"/>
      <c r="F31" s="218"/>
      <c r="G31" s="336"/>
      <c r="H31" s="317">
        <v>148</v>
      </c>
      <c r="I31" s="251">
        <v>131</v>
      </c>
      <c r="J31" s="17">
        <f t="shared" si="11"/>
        <v>279</v>
      </c>
    </row>
    <row r="32" spans="1:10" s="42" customFormat="1" ht="15" customHeight="1" outlineLevel="1" thickBot="1" x14ac:dyDescent="0.3">
      <c r="A32" s="25" t="s">
        <v>1</v>
      </c>
      <c r="B32" s="153">
        <f t="shared" si="12"/>
        <v>44394</v>
      </c>
      <c r="C32" s="443"/>
      <c r="D32" s="218"/>
      <c r="E32" s="218"/>
      <c r="F32" s="218"/>
      <c r="G32" s="336"/>
      <c r="H32" s="317"/>
      <c r="I32" s="251"/>
      <c r="J32" s="17">
        <f t="shared" si="11"/>
        <v>0</v>
      </c>
    </row>
    <row r="33" spans="1:11" s="42" customFormat="1" ht="15" customHeight="1" outlineLevel="1" thickBot="1" x14ac:dyDescent="0.3">
      <c r="A33" s="25" t="s">
        <v>2</v>
      </c>
      <c r="B33" s="153">
        <f t="shared" si="12"/>
        <v>44395</v>
      </c>
      <c r="C33" s="444"/>
      <c r="D33" s="375"/>
      <c r="E33" s="375"/>
      <c r="F33" s="375"/>
      <c r="G33" s="337"/>
      <c r="H33" s="297"/>
      <c r="I33" s="298"/>
      <c r="J33" s="56">
        <f t="shared" si="11"/>
        <v>0</v>
      </c>
    </row>
    <row r="34" spans="1:11" s="42" customFormat="1" ht="15" customHeight="1" outlineLevel="1" thickBot="1" x14ac:dyDescent="0.3">
      <c r="A34" s="140" t="s">
        <v>19</v>
      </c>
      <c r="B34" s="730" t="s">
        <v>24</v>
      </c>
      <c r="C34" s="435">
        <f t="shared" ref="C34:J34" si="13">SUM(C27:C33)</f>
        <v>0</v>
      </c>
      <c r="D34" s="293">
        <f>SUM(D27:D33)</f>
        <v>0</v>
      </c>
      <c r="E34" s="293">
        <f>SUM(E27:E33)</f>
        <v>0</v>
      </c>
      <c r="F34" s="293">
        <f>SUM(F27:F33)</f>
        <v>0</v>
      </c>
      <c r="G34" s="294">
        <f>SUM(G27:G33)</f>
        <v>0</v>
      </c>
      <c r="H34" s="238">
        <f t="shared" si="13"/>
        <v>834</v>
      </c>
      <c r="I34" s="244">
        <f t="shared" si="13"/>
        <v>749</v>
      </c>
      <c r="J34" s="103">
        <f t="shared" si="13"/>
        <v>1583</v>
      </c>
    </row>
    <row r="35" spans="1:11" s="42" customFormat="1" ht="15" customHeight="1" outlineLevel="1" thickBot="1" x14ac:dyDescent="0.3">
      <c r="A35" s="99" t="s">
        <v>21</v>
      </c>
      <c r="B35" s="731"/>
      <c r="C35" s="436" t="e">
        <f t="shared" ref="C35:J35" si="14">AVERAGE(C27:C33)</f>
        <v>#DIV/0!</v>
      </c>
      <c r="D35" s="219" t="e">
        <f t="shared" si="14"/>
        <v>#DIV/0!</v>
      </c>
      <c r="E35" s="219" t="e">
        <f t="shared" si="14"/>
        <v>#DIV/0!</v>
      </c>
      <c r="F35" s="219" t="e">
        <f>AVERAGE(F27:F33)</f>
        <v>#DIV/0!</v>
      </c>
      <c r="G35" s="285" t="e">
        <f t="shared" si="14"/>
        <v>#DIV/0!</v>
      </c>
      <c r="H35" s="222">
        <f t="shared" si="14"/>
        <v>166.8</v>
      </c>
      <c r="I35" s="223">
        <f t="shared" si="14"/>
        <v>149.80000000000001</v>
      </c>
      <c r="J35" s="101">
        <f t="shared" si="14"/>
        <v>226.14285714285714</v>
      </c>
    </row>
    <row r="36" spans="1:11" s="42" customFormat="1" ht="15" customHeight="1" thickBot="1" x14ac:dyDescent="0.3">
      <c r="A36" s="26" t="s">
        <v>18</v>
      </c>
      <c r="B36" s="731"/>
      <c r="C36" s="437">
        <f t="shared" ref="C36:D36" si="15">SUM(C27:C31)</f>
        <v>0</v>
      </c>
      <c r="D36" s="220">
        <f t="shared" si="15"/>
        <v>0</v>
      </c>
      <c r="E36" s="220">
        <f t="shared" ref="E36:J36" si="16">SUM(E27:E31)</f>
        <v>0</v>
      </c>
      <c r="F36" s="220">
        <f t="shared" si="16"/>
        <v>0</v>
      </c>
      <c r="G36" s="286">
        <f t="shared" si="16"/>
        <v>0</v>
      </c>
      <c r="H36" s="224">
        <f t="shared" si="16"/>
        <v>834</v>
      </c>
      <c r="I36" s="225">
        <f t="shared" si="16"/>
        <v>749</v>
      </c>
      <c r="J36" s="28">
        <f t="shared" si="16"/>
        <v>1583</v>
      </c>
    </row>
    <row r="37" spans="1:11" s="42" customFormat="1" ht="15" customHeight="1" thickBot="1" x14ac:dyDescent="0.3">
      <c r="A37" s="26" t="s">
        <v>20</v>
      </c>
      <c r="B37" s="732"/>
      <c r="C37" s="440" t="e">
        <f t="shared" ref="C37:J37" si="17">AVERAGE(C27:C31)</f>
        <v>#DIV/0!</v>
      </c>
      <c r="D37" s="299" t="e">
        <f t="shared" si="17"/>
        <v>#DIV/0!</v>
      </c>
      <c r="E37" s="299" t="e">
        <f t="shared" si="17"/>
        <v>#DIV/0!</v>
      </c>
      <c r="F37" s="299" t="e">
        <f t="shared" si="17"/>
        <v>#DIV/0!</v>
      </c>
      <c r="G37" s="300" t="e">
        <f t="shared" si="17"/>
        <v>#DIV/0!</v>
      </c>
      <c r="H37" s="301">
        <f t="shared" si="17"/>
        <v>166.8</v>
      </c>
      <c r="I37" s="302">
        <f t="shared" si="17"/>
        <v>149.80000000000001</v>
      </c>
      <c r="J37" s="32">
        <f t="shared" si="17"/>
        <v>316.60000000000002</v>
      </c>
    </row>
    <row r="38" spans="1:11" s="42" customFormat="1" ht="15" customHeight="1" thickBot="1" x14ac:dyDescent="0.3">
      <c r="A38" s="25" t="s">
        <v>3</v>
      </c>
      <c r="B38" s="154">
        <f>B33+1</f>
        <v>44396</v>
      </c>
      <c r="C38" s="445"/>
      <c r="D38" s="221"/>
      <c r="E38" s="221"/>
      <c r="F38" s="221"/>
      <c r="G38" s="343"/>
      <c r="H38" s="290">
        <v>172</v>
      </c>
      <c r="I38" s="291">
        <v>160</v>
      </c>
      <c r="J38" s="16">
        <f t="shared" ref="J38:J44" si="18">SUM(C38:I38)</f>
        <v>332</v>
      </c>
    </row>
    <row r="39" spans="1:11" s="42" customFormat="1" ht="15" customHeight="1" thickBot="1" x14ac:dyDescent="0.3">
      <c r="A39" s="25" t="s">
        <v>4</v>
      </c>
      <c r="B39" s="155">
        <f t="shared" ref="B39:B44" si="19">B38+1</f>
        <v>44397</v>
      </c>
      <c r="C39" s="446"/>
      <c r="D39" s="216"/>
      <c r="E39" s="216"/>
      <c r="F39" s="216"/>
      <c r="G39" s="241"/>
      <c r="H39" s="292">
        <v>179</v>
      </c>
      <c r="I39" s="226">
        <v>174</v>
      </c>
      <c r="J39" s="17">
        <f t="shared" si="18"/>
        <v>353</v>
      </c>
    </row>
    <row r="40" spans="1:11" s="42" customFormat="1" ht="15" customHeight="1" thickBot="1" x14ac:dyDescent="0.3">
      <c r="A40" s="25" t="s">
        <v>5</v>
      </c>
      <c r="B40" s="155">
        <f t="shared" si="19"/>
        <v>44398</v>
      </c>
      <c r="C40" s="446"/>
      <c r="D40" s="216"/>
      <c r="E40" s="216"/>
      <c r="F40" s="216"/>
      <c r="G40" s="241"/>
      <c r="H40" s="292">
        <v>170</v>
      </c>
      <c r="I40" s="226">
        <v>151</v>
      </c>
      <c r="J40" s="17">
        <f t="shared" si="18"/>
        <v>321</v>
      </c>
    </row>
    <row r="41" spans="1:11" s="42" customFormat="1" ht="15" customHeight="1" thickBot="1" x14ac:dyDescent="0.3">
      <c r="A41" s="25" t="s">
        <v>6</v>
      </c>
      <c r="B41" s="155">
        <f t="shared" si="19"/>
        <v>44399</v>
      </c>
      <c r="C41" s="446"/>
      <c r="D41" s="216"/>
      <c r="E41" s="216"/>
      <c r="F41" s="218"/>
      <c r="G41" s="241"/>
      <c r="H41" s="317">
        <v>158</v>
      </c>
      <c r="I41" s="251">
        <v>148</v>
      </c>
      <c r="J41" s="17">
        <f t="shared" si="18"/>
        <v>306</v>
      </c>
    </row>
    <row r="42" spans="1:11" s="42" customFormat="1" ht="15" customHeight="1" thickBot="1" x14ac:dyDescent="0.3">
      <c r="A42" s="25" t="s">
        <v>0</v>
      </c>
      <c r="B42" s="155">
        <f t="shared" si="19"/>
        <v>44400</v>
      </c>
      <c r="C42" s="446"/>
      <c r="D42" s="216"/>
      <c r="E42" s="216"/>
      <c r="F42" s="216"/>
      <c r="G42" s="241"/>
      <c r="H42" s="317">
        <v>144</v>
      </c>
      <c r="I42" s="251">
        <v>129</v>
      </c>
      <c r="J42" s="17">
        <f t="shared" si="18"/>
        <v>273</v>
      </c>
    </row>
    <row r="43" spans="1:11" s="42" customFormat="1" ht="15" customHeight="1" outlineLevel="1" thickBot="1" x14ac:dyDescent="0.3">
      <c r="A43" s="25" t="s">
        <v>1</v>
      </c>
      <c r="B43" s="155">
        <f t="shared" si="19"/>
        <v>44401</v>
      </c>
      <c r="C43" s="446"/>
      <c r="D43" s="218"/>
      <c r="E43" s="216"/>
      <c r="F43" s="216"/>
      <c r="G43" s="241"/>
      <c r="H43" s="292"/>
      <c r="I43" s="226"/>
      <c r="J43" s="17">
        <f t="shared" si="18"/>
        <v>0</v>
      </c>
      <c r="K43" s="107"/>
    </row>
    <row r="44" spans="1:11" s="42" customFormat="1" ht="15" customHeight="1" outlineLevel="1" thickBot="1" x14ac:dyDescent="0.3">
      <c r="A44" s="25" t="s">
        <v>2</v>
      </c>
      <c r="B44" s="341">
        <f t="shared" si="19"/>
        <v>44402</v>
      </c>
      <c r="C44" s="447"/>
      <c r="D44" s="295"/>
      <c r="E44" s="295"/>
      <c r="F44" s="295"/>
      <c r="G44" s="245"/>
      <c r="H44" s="297"/>
      <c r="I44" s="298"/>
      <c r="J44" s="56">
        <f t="shared" si="18"/>
        <v>0</v>
      </c>
      <c r="K44" s="107"/>
    </row>
    <row r="45" spans="1:11" s="42" customFormat="1" ht="15" customHeight="1" outlineLevel="1" thickBot="1" x14ac:dyDescent="0.3">
      <c r="A45" s="140" t="s">
        <v>19</v>
      </c>
      <c r="B45" s="730" t="s">
        <v>25</v>
      </c>
      <c r="C45" s="435">
        <f>SUM(C38:C44)</f>
        <v>0</v>
      </c>
      <c r="D45" s="293">
        <f t="shared" ref="D45" si="20">SUM(D38:D44)</f>
        <v>0</v>
      </c>
      <c r="E45" s="293">
        <f t="shared" ref="E45:G45" si="21">SUM(E38:E44)</f>
        <v>0</v>
      </c>
      <c r="F45" s="293">
        <f t="shared" si="21"/>
        <v>0</v>
      </c>
      <c r="G45" s="294">
        <f t="shared" si="21"/>
        <v>0</v>
      </c>
      <c r="H45" s="238">
        <f>SUM(H38:H44)</f>
        <v>823</v>
      </c>
      <c r="I45" s="244">
        <f>SUM(I38:I44)</f>
        <v>762</v>
      </c>
      <c r="J45" s="103">
        <f>SUM(J38:J44)</f>
        <v>1585</v>
      </c>
    </row>
    <row r="46" spans="1:11" s="42" customFormat="1" ht="15" customHeight="1" outlineLevel="1" thickBot="1" x14ac:dyDescent="0.3">
      <c r="A46" s="99" t="s">
        <v>21</v>
      </c>
      <c r="B46" s="731"/>
      <c r="C46" s="436" t="e">
        <f>AVERAGE(C38:C44)</f>
        <v>#DIV/0!</v>
      </c>
      <c r="D46" s="219" t="e">
        <f t="shared" ref="D46:J46" si="22">AVERAGE(D38:D44)</f>
        <v>#DIV/0!</v>
      </c>
      <c r="E46" s="219" t="e">
        <f t="shared" si="22"/>
        <v>#DIV/0!</v>
      </c>
      <c r="F46" s="219" t="e">
        <f t="shared" si="22"/>
        <v>#DIV/0!</v>
      </c>
      <c r="G46" s="285" t="e">
        <f t="shared" si="22"/>
        <v>#DIV/0!</v>
      </c>
      <c r="H46" s="222">
        <f>AVERAGE(H38:H44)</f>
        <v>164.6</v>
      </c>
      <c r="I46" s="223">
        <f>AVERAGE(I38:I44)</f>
        <v>152.4</v>
      </c>
      <c r="J46" s="101">
        <f t="shared" si="22"/>
        <v>226.42857142857142</v>
      </c>
    </row>
    <row r="47" spans="1:11" s="42" customFormat="1" ht="15" customHeight="1" thickBot="1" x14ac:dyDescent="0.3">
      <c r="A47" s="26" t="s">
        <v>18</v>
      </c>
      <c r="B47" s="731"/>
      <c r="C47" s="437">
        <f t="shared" ref="C47:G47" si="23">SUM(C38:C42)</f>
        <v>0</v>
      </c>
      <c r="D47" s="220">
        <f t="shared" si="23"/>
        <v>0</v>
      </c>
      <c r="E47" s="220">
        <f t="shared" si="23"/>
        <v>0</v>
      </c>
      <c r="F47" s="220">
        <f t="shared" si="23"/>
        <v>0</v>
      </c>
      <c r="G47" s="286">
        <f t="shared" si="23"/>
        <v>0</v>
      </c>
      <c r="H47" s="224">
        <f>SUM(H38:H42)</f>
        <v>823</v>
      </c>
      <c r="I47" s="225">
        <f>SUM(I38:I42)</f>
        <v>762</v>
      </c>
      <c r="J47" s="28">
        <f>SUM(J38:J42)</f>
        <v>1585</v>
      </c>
    </row>
    <row r="48" spans="1:11" s="42" customFormat="1" ht="15" customHeight="1" thickBot="1" x14ac:dyDescent="0.3">
      <c r="A48" s="26" t="s">
        <v>20</v>
      </c>
      <c r="B48" s="732"/>
      <c r="C48" s="440" t="e">
        <f t="shared" ref="C48:J48" si="24">AVERAGE(C38:C42)</f>
        <v>#DIV/0!</v>
      </c>
      <c r="D48" s="299" t="e">
        <f t="shared" si="24"/>
        <v>#DIV/0!</v>
      </c>
      <c r="E48" s="299" t="e">
        <f t="shared" si="24"/>
        <v>#DIV/0!</v>
      </c>
      <c r="F48" s="299" t="e">
        <f t="shared" si="24"/>
        <v>#DIV/0!</v>
      </c>
      <c r="G48" s="300" t="e">
        <f t="shared" si="24"/>
        <v>#DIV/0!</v>
      </c>
      <c r="H48" s="301">
        <f>AVERAGE(H38:H42)</f>
        <v>164.6</v>
      </c>
      <c r="I48" s="302">
        <f>AVERAGE(I38:I42)</f>
        <v>152.4</v>
      </c>
      <c r="J48" s="32">
        <f t="shared" si="24"/>
        <v>317</v>
      </c>
    </row>
    <row r="49" spans="1:11" s="42" customFormat="1" ht="14.25" thickBot="1" x14ac:dyDescent="0.3">
      <c r="A49" s="25" t="s">
        <v>3</v>
      </c>
      <c r="B49" s="154">
        <f>B44+1</f>
        <v>44403</v>
      </c>
      <c r="C49" s="445"/>
      <c r="D49" s="221"/>
      <c r="E49" s="221"/>
      <c r="F49" s="307"/>
      <c r="G49" s="308"/>
      <c r="H49" s="459">
        <v>160</v>
      </c>
      <c r="I49" s="305">
        <v>145</v>
      </c>
      <c r="J49" s="51">
        <f>SUM(C49:I49)</f>
        <v>305</v>
      </c>
      <c r="K49" s="136"/>
    </row>
    <row r="50" spans="1:11" s="42" customFormat="1" ht="14.25" thickBot="1" x14ac:dyDescent="0.3">
      <c r="A50" s="132" t="s">
        <v>4</v>
      </c>
      <c r="B50" s="155">
        <f t="shared" ref="B50:B54" si="25">B49+1</f>
        <v>44404</v>
      </c>
      <c r="C50" s="446"/>
      <c r="D50" s="216"/>
      <c r="E50" s="216"/>
      <c r="F50" s="216"/>
      <c r="G50" s="241"/>
      <c r="H50" s="317">
        <v>171</v>
      </c>
      <c r="I50" s="251">
        <v>176</v>
      </c>
      <c r="J50" s="51">
        <f>SUM(C50:I50)</f>
        <v>347</v>
      </c>
      <c r="K50" s="136"/>
    </row>
    <row r="51" spans="1:11" s="42" customFormat="1" ht="14.25" thickBot="1" x14ac:dyDescent="0.3">
      <c r="A51" s="132" t="s">
        <v>5</v>
      </c>
      <c r="B51" s="155">
        <f t="shared" si="25"/>
        <v>44405</v>
      </c>
      <c r="C51" s="446"/>
      <c r="D51" s="216"/>
      <c r="E51" s="216"/>
      <c r="F51" s="216"/>
      <c r="G51" s="241"/>
      <c r="H51" s="317">
        <v>186</v>
      </c>
      <c r="I51" s="251">
        <v>181</v>
      </c>
      <c r="J51" s="51">
        <f>SUM(C51:I51)</f>
        <v>367</v>
      </c>
      <c r="K51" s="136"/>
    </row>
    <row r="52" spans="1:11" s="42" customFormat="1" ht="14.25" thickBot="1" x14ac:dyDescent="0.3">
      <c r="A52" s="25" t="s">
        <v>6</v>
      </c>
      <c r="B52" s="155">
        <f t="shared" si="25"/>
        <v>44406</v>
      </c>
      <c r="C52" s="446"/>
      <c r="D52" s="216"/>
      <c r="E52" s="216"/>
      <c r="F52" s="216"/>
      <c r="G52" s="241"/>
      <c r="H52" s="292">
        <v>186</v>
      </c>
      <c r="I52" s="226">
        <v>181</v>
      </c>
      <c r="J52" s="51"/>
      <c r="K52" s="136"/>
    </row>
    <row r="53" spans="1:11" s="42" customFormat="1" ht="14.25" thickBot="1" x14ac:dyDescent="0.3">
      <c r="A53" s="25" t="s">
        <v>0</v>
      </c>
      <c r="B53" s="155">
        <f t="shared" si="25"/>
        <v>44407</v>
      </c>
      <c r="C53" s="448"/>
      <c r="D53" s="33"/>
      <c r="E53" s="216"/>
      <c r="F53" s="216"/>
      <c r="G53" s="241"/>
      <c r="H53" s="317"/>
      <c r="I53" s="251"/>
      <c r="J53" s="51"/>
      <c r="K53" s="136"/>
    </row>
    <row r="54" spans="1:11" s="42" customFormat="1" ht="14.25" outlineLevel="1" thickBot="1" x14ac:dyDescent="0.3">
      <c r="A54" s="25" t="s">
        <v>1</v>
      </c>
      <c r="B54" s="155">
        <f t="shared" si="25"/>
        <v>44408</v>
      </c>
      <c r="C54" s="448"/>
      <c r="D54" s="33"/>
      <c r="E54" s="216"/>
      <c r="F54" s="216"/>
      <c r="G54" s="241"/>
      <c r="H54" s="292"/>
      <c r="I54" s="226"/>
      <c r="J54" s="51"/>
      <c r="K54" s="136"/>
    </row>
    <row r="55" spans="1:11" s="42" customFormat="1" ht="14.25" hidden="1" outlineLevel="1" thickBot="1" x14ac:dyDescent="0.3">
      <c r="A55" s="25" t="s">
        <v>2</v>
      </c>
      <c r="B55" s="155"/>
      <c r="C55" s="449"/>
      <c r="D55" s="309"/>
      <c r="E55" s="295"/>
      <c r="F55" s="295"/>
      <c r="G55" s="245"/>
      <c r="H55" s="297"/>
      <c r="I55" s="298"/>
      <c r="J55" s="51"/>
    </row>
    <row r="56" spans="1:11" s="42" customFormat="1" ht="14.25" outlineLevel="1" thickBot="1" x14ac:dyDescent="0.3">
      <c r="A56" s="140" t="s">
        <v>19</v>
      </c>
      <c r="B56" s="730" t="s">
        <v>26</v>
      </c>
      <c r="C56" s="435">
        <f>SUM(C49:C55)</f>
        <v>0</v>
      </c>
      <c r="D56" s="293">
        <f t="shared" ref="D56:G56" si="26">SUM(D49:D55)</f>
        <v>0</v>
      </c>
      <c r="E56" s="293">
        <f t="shared" si="26"/>
        <v>0</v>
      </c>
      <c r="F56" s="293">
        <f t="shared" si="26"/>
        <v>0</v>
      </c>
      <c r="G56" s="294">
        <f t="shared" si="26"/>
        <v>0</v>
      </c>
      <c r="H56" s="238">
        <f>SUM(H49:H55)</f>
        <v>703</v>
      </c>
      <c r="I56" s="244">
        <f>SUM(I49:I55)</f>
        <v>683</v>
      </c>
      <c r="J56" s="103">
        <f>SUM(J49:J55)</f>
        <v>1019</v>
      </c>
    </row>
    <row r="57" spans="1:11" s="42" customFormat="1" ht="14.25" outlineLevel="1" thickBot="1" x14ac:dyDescent="0.3">
      <c r="A57" s="99" t="s">
        <v>21</v>
      </c>
      <c r="B57" s="731"/>
      <c r="C57" s="436" t="e">
        <f>AVERAGE(C49:C55)</f>
        <v>#DIV/0!</v>
      </c>
      <c r="D57" s="219" t="e">
        <f t="shared" ref="D57:I57" si="27">AVERAGE(D49:D55)</f>
        <v>#DIV/0!</v>
      </c>
      <c r="E57" s="219" t="e">
        <f t="shared" si="27"/>
        <v>#DIV/0!</v>
      </c>
      <c r="F57" s="219" t="e">
        <f t="shared" si="27"/>
        <v>#DIV/0!</v>
      </c>
      <c r="G57" s="285" t="e">
        <f t="shared" si="27"/>
        <v>#DIV/0!</v>
      </c>
      <c r="H57" s="222">
        <f t="shared" si="27"/>
        <v>175.75</v>
      </c>
      <c r="I57" s="223">
        <f t="shared" si="27"/>
        <v>170.75</v>
      </c>
      <c r="J57" s="101">
        <f>AVERAGE(J49:J55)</f>
        <v>339.66666666666669</v>
      </c>
    </row>
    <row r="58" spans="1:11" s="42" customFormat="1" ht="14.25" thickBot="1" x14ac:dyDescent="0.3">
      <c r="A58" s="26" t="s">
        <v>18</v>
      </c>
      <c r="B58" s="731"/>
      <c r="C58" s="437">
        <f>SUM(C49:C53)</f>
        <v>0</v>
      </c>
      <c r="D58" s="220">
        <f t="shared" ref="D58:G58" si="28">SUM(D49:D53)</f>
        <v>0</v>
      </c>
      <c r="E58" s="220">
        <f t="shared" si="28"/>
        <v>0</v>
      </c>
      <c r="F58" s="220">
        <f t="shared" si="28"/>
        <v>0</v>
      </c>
      <c r="G58" s="286">
        <f t="shared" si="28"/>
        <v>0</v>
      </c>
      <c r="H58" s="224">
        <f>SUM(H49:H53)</f>
        <v>703</v>
      </c>
      <c r="I58" s="225">
        <f>SUM(I49:I53)</f>
        <v>683</v>
      </c>
      <c r="J58" s="28">
        <f>SUM(J49:J53)</f>
        <v>1019</v>
      </c>
    </row>
    <row r="59" spans="1:11" s="42" customFormat="1" ht="14.25" thickBot="1" x14ac:dyDescent="0.3">
      <c r="A59" s="26" t="s">
        <v>20</v>
      </c>
      <c r="B59" s="732"/>
      <c r="C59" s="438" t="e">
        <f>AVERAGE(C49:C53)</f>
        <v>#DIV/0!</v>
      </c>
      <c r="D59" s="31" t="e">
        <f t="shared" ref="D59:J59" si="29">AVERAGE(D49:D53)</f>
        <v>#DIV/0!</v>
      </c>
      <c r="E59" s="31" t="e">
        <f t="shared" si="29"/>
        <v>#DIV/0!</v>
      </c>
      <c r="F59" s="31" t="e">
        <f t="shared" si="29"/>
        <v>#DIV/0!</v>
      </c>
      <c r="G59" s="287" t="e">
        <f t="shared" si="29"/>
        <v>#DIV/0!</v>
      </c>
      <c r="H59" s="29">
        <f t="shared" si="29"/>
        <v>175.75</v>
      </c>
      <c r="I59" s="30">
        <f t="shared" si="29"/>
        <v>170.75</v>
      </c>
      <c r="J59" s="32">
        <f t="shared" si="29"/>
        <v>339.66666666666669</v>
      </c>
    </row>
    <row r="60" spans="1:11" s="42" customFormat="1" ht="14.25" hidden="1" thickBot="1" x14ac:dyDescent="0.3">
      <c r="A60" s="132"/>
      <c r="B60" s="214"/>
      <c r="C60" s="254"/>
      <c r="D60" s="12"/>
      <c r="E60" s="14"/>
      <c r="F60" s="14"/>
      <c r="G60" s="14"/>
      <c r="H60" s="14"/>
      <c r="I60" s="54"/>
      <c r="J60" s="164"/>
    </row>
    <row r="61" spans="1:11" s="42" customFormat="1" ht="14.25" hidden="1" thickBot="1" x14ac:dyDescent="0.3">
      <c r="A61" s="132"/>
      <c r="B61" s="215"/>
      <c r="C61" s="255"/>
      <c r="D61" s="18"/>
      <c r="E61" s="20"/>
      <c r="F61" s="20"/>
      <c r="G61" s="20"/>
      <c r="H61" s="20"/>
      <c r="I61" s="55"/>
      <c r="J61" s="164"/>
    </row>
    <row r="62" spans="1:11" s="42" customFormat="1" ht="13.5" hidden="1" x14ac:dyDescent="0.25">
      <c r="A62" s="132"/>
      <c r="B62" s="215"/>
      <c r="C62" s="255"/>
      <c r="D62" s="18"/>
      <c r="E62" s="20"/>
      <c r="F62" s="20"/>
      <c r="G62" s="20"/>
      <c r="H62" s="20"/>
      <c r="I62" s="55"/>
      <c r="J62" s="48"/>
    </row>
    <row r="63" spans="1:11" s="42" customFormat="1" ht="13.5" hidden="1" x14ac:dyDescent="0.25">
      <c r="A63" s="132"/>
      <c r="B63" s="215"/>
      <c r="C63" s="255"/>
      <c r="D63" s="18"/>
      <c r="E63" s="20"/>
      <c r="F63" s="20"/>
      <c r="G63" s="20"/>
      <c r="H63" s="20"/>
      <c r="I63" s="55"/>
      <c r="J63" s="48"/>
    </row>
    <row r="64" spans="1:11" s="42" customFormat="1" ht="13.5" hidden="1" x14ac:dyDescent="0.25">
      <c r="A64" s="25"/>
      <c r="B64" s="215"/>
      <c r="C64" s="255"/>
      <c r="D64" s="18"/>
      <c r="E64" s="20"/>
      <c r="F64" s="20"/>
      <c r="G64" s="20"/>
      <c r="H64" s="20"/>
      <c r="I64" s="55"/>
      <c r="J64" s="48"/>
    </row>
    <row r="65" spans="1:12" s="42" customFormat="1" ht="13.5" hidden="1" outlineLevel="1" x14ac:dyDescent="0.25">
      <c r="A65" s="25"/>
      <c r="B65" s="215"/>
      <c r="C65" s="255"/>
      <c r="D65" s="18"/>
      <c r="E65" s="20"/>
      <c r="F65" s="20"/>
      <c r="G65" s="20"/>
      <c r="H65" s="20"/>
      <c r="I65" s="55"/>
      <c r="J65" s="48"/>
    </row>
    <row r="66" spans="1:12" s="42" customFormat="1" ht="14.25" hidden="1" outlineLevel="1" thickBot="1" x14ac:dyDescent="0.3">
      <c r="A66" s="25"/>
      <c r="B66" s="215"/>
      <c r="C66" s="256"/>
      <c r="D66" s="49"/>
      <c r="E66" s="50"/>
      <c r="F66" s="50"/>
      <c r="G66" s="50"/>
      <c r="H66" s="50"/>
      <c r="I66" s="242"/>
      <c r="J66" s="120"/>
    </row>
    <row r="67" spans="1:12" s="42" customFormat="1" ht="14.25" hidden="1" outlineLevel="1" thickBot="1" x14ac:dyDescent="0.3">
      <c r="A67" s="140" t="s">
        <v>19</v>
      </c>
      <c r="B67" s="730" t="s">
        <v>30</v>
      </c>
      <c r="C67" s="257"/>
      <c r="D67" s="238">
        <f>SUM(D60:D66)</f>
        <v>0</v>
      </c>
      <c r="E67" s="238">
        <f t="shared" ref="E67:J67" si="30">SUM(E60:E66)</f>
        <v>0</v>
      </c>
      <c r="F67" s="238">
        <f t="shared" si="30"/>
        <v>0</v>
      </c>
      <c r="G67" s="238"/>
      <c r="H67" s="238">
        <f t="shared" si="30"/>
        <v>0</v>
      </c>
      <c r="I67" s="238">
        <f>SUM(I60:I66)</f>
        <v>0</v>
      </c>
      <c r="J67" s="143">
        <f t="shared" si="30"/>
        <v>0</v>
      </c>
    </row>
    <row r="68" spans="1:12" s="42" customFormat="1" ht="14.25" hidden="1" outlineLevel="1" thickBot="1" x14ac:dyDescent="0.3">
      <c r="A68" s="99" t="s">
        <v>21</v>
      </c>
      <c r="B68" s="731"/>
      <c r="C68" s="257"/>
      <c r="D68" s="100" t="e">
        <f>AVERAGE(D60:D66)</f>
        <v>#DIV/0!</v>
      </c>
      <c r="E68" s="100" t="e">
        <f t="shared" ref="E68:J68" si="31">AVERAGE(E60:E66)</f>
        <v>#DIV/0!</v>
      </c>
      <c r="F68" s="100" t="e">
        <f t="shared" si="31"/>
        <v>#DIV/0!</v>
      </c>
      <c r="G68" s="100"/>
      <c r="H68" s="100" t="e">
        <f t="shared" si="31"/>
        <v>#DIV/0!</v>
      </c>
      <c r="I68" s="100" t="e">
        <f>AVERAGE(I60:I66)</f>
        <v>#DIV/0!</v>
      </c>
      <c r="J68" s="144" t="e">
        <f t="shared" si="31"/>
        <v>#DIV/0!</v>
      </c>
    </row>
    <row r="69" spans="1:12" s="42" customFormat="1" ht="14.25" hidden="1" thickBot="1" x14ac:dyDescent="0.3">
      <c r="A69" s="26" t="s">
        <v>18</v>
      </c>
      <c r="B69" s="731"/>
      <c r="C69" s="257"/>
      <c r="D69" s="27">
        <f>SUM(D60:D64)</f>
        <v>0</v>
      </c>
      <c r="E69" s="27">
        <f t="shared" ref="E69:J69" si="32">SUM(E60:E64)</f>
        <v>0</v>
      </c>
      <c r="F69" s="27">
        <f t="shared" si="32"/>
        <v>0</v>
      </c>
      <c r="G69" s="27"/>
      <c r="H69" s="27">
        <f t="shared" si="32"/>
        <v>0</v>
      </c>
      <c r="I69" s="27">
        <f>SUM(I60:I64)</f>
        <v>0</v>
      </c>
      <c r="J69" s="145">
        <f t="shared" si="32"/>
        <v>0</v>
      </c>
    </row>
    <row r="70" spans="1:12" s="42" customFormat="1" ht="14.25" hidden="1" thickBot="1" x14ac:dyDescent="0.3">
      <c r="A70" s="26" t="s">
        <v>20</v>
      </c>
      <c r="B70" s="732"/>
      <c r="C70" s="258"/>
      <c r="D70" s="29" t="e">
        <f>AVERAGE(D60:D64)</f>
        <v>#DIV/0!</v>
      </c>
      <c r="E70" s="29" t="e">
        <f t="shared" ref="E70:J70" si="33">AVERAGE(E60:E64)</f>
        <v>#DIV/0!</v>
      </c>
      <c r="F70" s="29" t="e">
        <f t="shared" si="33"/>
        <v>#DIV/0!</v>
      </c>
      <c r="G70" s="29"/>
      <c r="H70" s="29" t="e">
        <f t="shared" si="33"/>
        <v>#DIV/0!</v>
      </c>
      <c r="I70" s="29" t="e">
        <f>AVERAGE(I60:I64)</f>
        <v>#DIV/0!</v>
      </c>
      <c r="J70" s="146" t="e">
        <f t="shared" si="33"/>
        <v>#DIV/0!</v>
      </c>
    </row>
    <row r="71" spans="1:12" s="42" customFormat="1" ht="15.75" thickBot="1" x14ac:dyDescent="0.3">
      <c r="A71" s="4"/>
      <c r="B71" s="116"/>
      <c r="C71" s="259"/>
      <c r="D71" s="45"/>
      <c r="E71" s="45"/>
      <c r="F71" s="45"/>
      <c r="G71" s="45"/>
      <c r="H71" s="45"/>
      <c r="I71" s="45"/>
      <c r="J71" s="45"/>
    </row>
    <row r="72" spans="1:12" s="42" customFormat="1" ht="39" thickBot="1" x14ac:dyDescent="0.3">
      <c r="A72" s="265"/>
      <c r="B72" s="261"/>
      <c r="C72" s="266" t="s">
        <v>96</v>
      </c>
      <c r="D72" s="267" t="s">
        <v>7</v>
      </c>
      <c r="E72" s="267" t="s">
        <v>84</v>
      </c>
      <c r="F72" s="267" t="s">
        <v>85</v>
      </c>
      <c r="G72" s="267" t="s">
        <v>86</v>
      </c>
      <c r="H72" s="267" t="s">
        <v>91</v>
      </c>
      <c r="I72" s="267" t="s">
        <v>105</v>
      </c>
      <c r="J72" s="748" t="s">
        <v>52</v>
      </c>
      <c r="K72" s="749"/>
    </row>
    <row r="73" spans="1:12" ht="14.25" thickBot="1" x14ac:dyDescent="0.3">
      <c r="A73" s="269" t="s">
        <v>109</v>
      </c>
      <c r="B73" s="276">
        <f>SUM(J56+J45+J34+J23+J12)</f>
        <v>5859</v>
      </c>
      <c r="C73" s="270">
        <f>C12+C23+C34+C45+C56</f>
        <v>0</v>
      </c>
      <c r="D73" s="271" t="e">
        <f>SUM(#REF!,D12+D23+D34+D45+D56)</f>
        <v>#REF!</v>
      </c>
      <c r="E73" s="271" t="e">
        <f>SUM(#REF!,E12+E23+E34+E45+E56)</f>
        <v>#REF!</v>
      </c>
      <c r="F73" s="271" t="e">
        <f>SUM(#REF!, F12+F23+F34+F45+F56)</f>
        <v>#REF!</v>
      </c>
      <c r="G73" s="271" t="e">
        <f>SUM(#REF!,G12+G23+G34+G45+G56)</f>
        <v>#REF!</v>
      </c>
      <c r="H73" s="271">
        <f>SUM(H12+H23+H34+H45+H56)</f>
        <v>3229</v>
      </c>
      <c r="I73" s="271">
        <f>SUM(I56,I45,I23,I34,I12,)</f>
        <v>2997</v>
      </c>
      <c r="J73" s="263" t="s">
        <v>28</v>
      </c>
      <c r="K73" s="274">
        <f>SUM(C74:I74)</f>
        <v>6226</v>
      </c>
    </row>
    <row r="74" spans="1:12" ht="14.25" thickBot="1" x14ac:dyDescent="0.3">
      <c r="A74" s="268" t="s">
        <v>28</v>
      </c>
      <c r="B74" s="35">
        <f>J58+J47+J36+J25+J14</f>
        <v>5859</v>
      </c>
      <c r="C74" s="262">
        <f>C58+C47+C36+C25+C14</f>
        <v>0</v>
      </c>
      <c r="D74" s="166">
        <f>SUM(D14+D25+D36+D47+D58)</f>
        <v>0</v>
      </c>
      <c r="E74" s="166">
        <f>SUM(E14+E25+E36+E47+E58)</f>
        <v>0</v>
      </c>
      <c r="F74" s="166">
        <f>SUM(F14+F25+F36+F47+F58)</f>
        <v>0</v>
      </c>
      <c r="G74" s="166">
        <f>SUM(G14+G25+G36+G47+G58)</f>
        <v>0</v>
      </c>
      <c r="H74" s="166">
        <f>SUM(H14+H25+H36+H47+H58)</f>
        <v>3229</v>
      </c>
      <c r="I74" s="166">
        <f>SUM(I58,I47,I36,I25,I14)</f>
        <v>2997</v>
      </c>
      <c r="J74" s="264" t="s">
        <v>109</v>
      </c>
      <c r="K74" s="275">
        <f>SUM(H73:I73)</f>
        <v>6226</v>
      </c>
      <c r="L74" s="104"/>
    </row>
    <row r="75" spans="1:12" x14ac:dyDescent="0.25">
      <c r="J75" s="348" t="s">
        <v>20</v>
      </c>
      <c r="K75" s="272">
        <f>AVERAGE(J15,J26,J37,J48,J59)</f>
        <v>261.53333333333336</v>
      </c>
    </row>
    <row r="76" spans="1:12" ht="15.75" thickBot="1" x14ac:dyDescent="0.3">
      <c r="J76" s="349" t="s">
        <v>115</v>
      </c>
      <c r="K76" s="273">
        <f>AVERAGE(J13,J24,J35,J46,J57)</f>
        <v>206.21904761904761</v>
      </c>
    </row>
  </sheetData>
  <mergeCells count="18">
    <mergeCell ref="J72:K72"/>
    <mergeCell ref="J1:J4"/>
    <mergeCell ref="A3:A4"/>
    <mergeCell ref="B3:B4"/>
    <mergeCell ref="D3:D4"/>
    <mergeCell ref="E3:E4"/>
    <mergeCell ref="F3:F4"/>
    <mergeCell ref="H3:H4"/>
    <mergeCell ref="G3:G4"/>
    <mergeCell ref="H1:I2"/>
    <mergeCell ref="C1:G2"/>
    <mergeCell ref="C3:C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K76"/>
  <sheetViews>
    <sheetView topLeftCell="A2" zoomScaleNormal="100" workbookViewId="0">
      <selection activeCell="I75" sqref="I75"/>
    </sheetView>
  </sheetViews>
  <sheetFormatPr defaultColWidth="9.140625" defaultRowHeight="15" outlineLevelRow="1" x14ac:dyDescent="0.25"/>
  <cols>
    <col min="1" max="1" width="18.7109375" style="1" bestFit="1" customWidth="1"/>
    <col min="2" max="2" width="9.5703125" style="117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37" ht="15" customHeight="1" x14ac:dyDescent="0.25">
      <c r="A1" s="23"/>
      <c r="B1" s="282"/>
      <c r="C1" s="706" t="s">
        <v>9</v>
      </c>
    </row>
    <row r="2" spans="1:37" ht="15" customHeight="1" thickBot="1" x14ac:dyDescent="0.3">
      <c r="A2" s="24"/>
      <c r="B2" s="281"/>
      <c r="C2" s="753"/>
    </row>
    <row r="3" spans="1:37" ht="15" customHeight="1" x14ac:dyDescent="0.25">
      <c r="A3" s="754" t="s">
        <v>48</v>
      </c>
      <c r="B3" s="663" t="s">
        <v>49</v>
      </c>
      <c r="C3" s="755" t="s">
        <v>31</v>
      </c>
    </row>
    <row r="4" spans="1:37" ht="14.25" thickBot="1" x14ac:dyDescent="0.3">
      <c r="A4" s="646"/>
      <c r="B4" s="664"/>
      <c r="C4" s="661"/>
    </row>
    <row r="5" spans="1:37" s="41" customFormat="1" ht="14.25" hidden="1" thickBot="1" x14ac:dyDescent="0.3">
      <c r="A5" s="25" t="s">
        <v>3</v>
      </c>
      <c r="B5" s="289"/>
      <c r="C5" s="240"/>
    </row>
    <row r="6" spans="1:37" s="41" customFormat="1" ht="14.25" hidden="1" thickBot="1" x14ac:dyDescent="0.3">
      <c r="A6" s="25" t="s">
        <v>4</v>
      </c>
      <c r="B6" s="289"/>
      <c r="C6" s="240"/>
    </row>
    <row r="7" spans="1:37" s="41" customFormat="1" ht="14.25" hidden="1" thickBot="1" x14ac:dyDescent="0.3">
      <c r="A7" s="25" t="s">
        <v>5</v>
      </c>
      <c r="B7" s="289"/>
      <c r="C7" s="240"/>
    </row>
    <row r="8" spans="1:37" s="41" customFormat="1" ht="14.25" thickBot="1" x14ac:dyDescent="0.3">
      <c r="A8" s="25" t="s">
        <v>6</v>
      </c>
      <c r="B8" s="289">
        <v>44378</v>
      </c>
      <c r="C8" s="240">
        <v>347</v>
      </c>
    </row>
    <row r="9" spans="1:37" s="41" customFormat="1" ht="14.25" thickBot="1" x14ac:dyDescent="0.3">
      <c r="A9" s="25" t="s">
        <v>0</v>
      </c>
      <c r="B9" s="289">
        <v>44379</v>
      </c>
      <c r="C9" s="240">
        <v>367</v>
      </c>
    </row>
    <row r="10" spans="1:37" s="41" customFormat="1" ht="14.25" outlineLevel="1" thickBot="1" x14ac:dyDescent="0.3">
      <c r="A10" s="25" t="s">
        <v>1</v>
      </c>
      <c r="B10" s="289">
        <v>44380</v>
      </c>
      <c r="C10" s="183">
        <v>374</v>
      </c>
    </row>
    <row r="11" spans="1:37" s="41" customFormat="1" ht="15" customHeight="1" outlineLevel="1" thickBot="1" x14ac:dyDescent="0.3">
      <c r="A11" s="25" t="s">
        <v>2</v>
      </c>
      <c r="B11" s="289">
        <v>44381</v>
      </c>
      <c r="C11" s="183">
        <v>330</v>
      </c>
      <c r="F11" s="462"/>
      <c r="G11" s="462"/>
      <c r="H11" s="462"/>
      <c r="I11" s="462"/>
      <c r="J11" s="462"/>
      <c r="K11" s="462"/>
      <c r="L11" s="462"/>
      <c r="M11" s="462"/>
      <c r="N11" s="462"/>
      <c r="O11" s="462"/>
      <c r="P11" s="462"/>
      <c r="Q11" s="462"/>
      <c r="R11" s="462"/>
      <c r="S11" s="462"/>
      <c r="T11" s="462"/>
    </row>
    <row r="12" spans="1:37" s="42" customFormat="1" ht="15" customHeight="1" outlineLevel="1" thickBot="1" x14ac:dyDescent="0.3">
      <c r="A12" s="140" t="s">
        <v>19</v>
      </c>
      <c r="B12" s="651" t="s">
        <v>22</v>
      </c>
      <c r="C12" s="320">
        <f>SUM(C5:C11)</f>
        <v>1418</v>
      </c>
      <c r="D12" s="41"/>
      <c r="E12" s="41"/>
      <c r="F12" s="461"/>
      <c r="G12" s="464"/>
      <c r="H12" s="463"/>
      <c r="I12" s="463"/>
      <c r="J12" s="463"/>
      <c r="K12" s="463"/>
      <c r="L12" s="463"/>
      <c r="M12" s="463"/>
      <c r="N12" s="463"/>
      <c r="O12" s="463"/>
      <c r="P12" s="463"/>
      <c r="Q12" s="463"/>
      <c r="R12" s="463"/>
      <c r="S12" s="463"/>
      <c r="T12" s="463"/>
      <c r="U12" s="460"/>
      <c r="V12" s="460"/>
      <c r="W12" s="460"/>
      <c r="X12" s="460"/>
      <c r="Y12" s="460"/>
      <c r="Z12" s="460"/>
      <c r="AA12" s="460"/>
      <c r="AB12" s="460"/>
      <c r="AC12" s="460"/>
      <c r="AD12" s="460"/>
      <c r="AE12" s="460"/>
      <c r="AF12" s="460"/>
      <c r="AG12" s="460"/>
      <c r="AH12" s="460"/>
      <c r="AI12" s="460"/>
      <c r="AJ12" s="460"/>
      <c r="AK12" s="460"/>
    </row>
    <row r="13" spans="1:37" s="42" customFormat="1" ht="15" customHeight="1" outlineLevel="1" thickBot="1" x14ac:dyDescent="0.3">
      <c r="A13" s="99" t="s">
        <v>21</v>
      </c>
      <c r="B13" s="651"/>
      <c r="C13" s="279">
        <f>AVERAGE(C5:C11)</f>
        <v>354.5</v>
      </c>
      <c r="D13" s="41"/>
      <c r="E13" s="41"/>
      <c r="F13" s="461"/>
      <c r="G13" s="464"/>
      <c r="H13" s="461"/>
      <c r="I13" s="461"/>
      <c r="J13" s="461"/>
      <c r="K13" s="461"/>
      <c r="L13" s="461"/>
      <c r="M13" s="461"/>
      <c r="N13" s="461"/>
      <c r="O13" s="461"/>
      <c r="P13" s="461"/>
      <c r="Q13" s="461"/>
      <c r="R13" s="461"/>
      <c r="S13" s="461"/>
      <c r="T13" s="461"/>
      <c r="U13" s="461"/>
      <c r="V13" s="461"/>
      <c r="W13" s="461"/>
      <c r="X13" s="461"/>
      <c r="Y13" s="461"/>
      <c r="Z13" s="461"/>
      <c r="AA13" s="461"/>
      <c r="AB13" s="461"/>
      <c r="AC13" s="461"/>
      <c r="AD13" s="461"/>
      <c r="AE13" s="461"/>
      <c r="AF13" s="461"/>
      <c r="AG13" s="461"/>
      <c r="AH13" s="461"/>
      <c r="AI13" s="461"/>
      <c r="AJ13" s="461"/>
      <c r="AK13" s="461"/>
    </row>
    <row r="14" spans="1:37" s="42" customFormat="1" ht="15" customHeight="1" thickBot="1" x14ac:dyDescent="0.3">
      <c r="A14" s="26" t="s">
        <v>18</v>
      </c>
      <c r="B14" s="651"/>
      <c r="C14" s="181">
        <f>SUM(C5:C9)</f>
        <v>714</v>
      </c>
      <c r="D14" s="41"/>
      <c r="E14" s="41"/>
      <c r="F14" s="461"/>
      <c r="G14" s="464"/>
      <c r="H14" s="462"/>
      <c r="I14" s="462"/>
      <c r="J14" s="462"/>
      <c r="K14" s="462"/>
      <c r="L14" s="462"/>
      <c r="M14" s="462"/>
      <c r="N14" s="462"/>
      <c r="O14" s="462"/>
      <c r="P14" s="462"/>
      <c r="Q14" s="462"/>
      <c r="R14" s="462"/>
      <c r="S14" s="462"/>
      <c r="T14" s="462"/>
    </row>
    <row r="15" spans="1:37" s="42" customFormat="1" ht="15" customHeight="1" thickBot="1" x14ac:dyDescent="0.3">
      <c r="A15" s="26" t="s">
        <v>20</v>
      </c>
      <c r="B15" s="651"/>
      <c r="C15" s="182">
        <f>AVERAGE(C5:C9)</f>
        <v>357</v>
      </c>
      <c r="D15" s="41"/>
      <c r="E15" s="41"/>
      <c r="F15" s="461"/>
      <c r="G15" s="464"/>
      <c r="H15" s="462"/>
      <c r="I15" s="462"/>
      <c r="J15" s="462"/>
      <c r="K15" s="462"/>
      <c r="L15" s="462"/>
      <c r="M15" s="462"/>
      <c r="N15" s="462"/>
      <c r="O15" s="462"/>
      <c r="P15" s="462"/>
      <c r="Q15" s="462"/>
      <c r="R15" s="462"/>
      <c r="S15" s="462"/>
      <c r="T15" s="462"/>
    </row>
    <row r="16" spans="1:37" s="42" customFormat="1" ht="15" customHeight="1" x14ac:dyDescent="0.25">
      <c r="A16" s="25" t="s">
        <v>3</v>
      </c>
      <c r="B16" s="213">
        <f>B11+1</f>
        <v>44382</v>
      </c>
      <c r="C16" s="280">
        <v>534</v>
      </c>
      <c r="D16" s="41"/>
      <c r="E16" s="41"/>
      <c r="F16" s="461"/>
      <c r="G16" s="464"/>
      <c r="H16" s="462"/>
      <c r="I16" s="462"/>
      <c r="J16" s="462"/>
      <c r="K16" s="462"/>
      <c r="L16" s="462"/>
      <c r="M16" s="462"/>
      <c r="N16" s="462"/>
      <c r="O16" s="462"/>
      <c r="P16" s="462"/>
      <c r="Q16" s="462"/>
      <c r="R16" s="462"/>
      <c r="S16" s="462"/>
      <c r="T16" s="462"/>
    </row>
    <row r="17" spans="1:20" s="42" customFormat="1" ht="15" customHeight="1" x14ac:dyDescent="0.25">
      <c r="A17" s="25" t="s">
        <v>4</v>
      </c>
      <c r="B17" s="213">
        <f t="shared" ref="B17:B22" si="0">B16+1</f>
        <v>44383</v>
      </c>
      <c r="C17" s="280">
        <v>416</v>
      </c>
      <c r="D17" s="41"/>
      <c r="E17" s="41"/>
      <c r="F17" s="461"/>
      <c r="G17" s="464"/>
      <c r="H17" s="462"/>
      <c r="I17" s="462"/>
      <c r="J17" s="462"/>
      <c r="K17" s="462"/>
      <c r="L17" s="462"/>
      <c r="M17" s="462"/>
      <c r="N17" s="462"/>
      <c r="O17" s="462"/>
      <c r="P17" s="462"/>
      <c r="Q17" s="462"/>
      <c r="R17" s="462"/>
      <c r="S17" s="462"/>
      <c r="T17" s="462"/>
    </row>
    <row r="18" spans="1:20" s="42" customFormat="1" ht="15" customHeight="1" x14ac:dyDescent="0.25">
      <c r="A18" s="25" t="s">
        <v>5</v>
      </c>
      <c r="B18" s="213">
        <f t="shared" si="0"/>
        <v>44384</v>
      </c>
      <c r="C18" s="280">
        <v>471</v>
      </c>
      <c r="D18" s="41"/>
      <c r="E18" s="41"/>
      <c r="F18" s="461"/>
      <c r="G18" s="464"/>
      <c r="H18" s="462"/>
      <c r="I18" s="462"/>
      <c r="J18" s="462"/>
      <c r="K18" s="462"/>
      <c r="L18" s="462"/>
      <c r="M18" s="462"/>
      <c r="N18" s="462"/>
      <c r="O18" s="462"/>
      <c r="P18" s="462"/>
      <c r="Q18" s="462"/>
      <c r="R18" s="462"/>
      <c r="S18" s="462"/>
      <c r="T18" s="462"/>
    </row>
    <row r="19" spans="1:20" s="42" customFormat="1" ht="15" customHeight="1" x14ac:dyDescent="0.25">
      <c r="A19" s="25" t="s">
        <v>6</v>
      </c>
      <c r="B19" s="213">
        <f t="shared" si="0"/>
        <v>44385</v>
      </c>
      <c r="C19" s="280">
        <v>329</v>
      </c>
      <c r="E19" s="41"/>
      <c r="F19" s="461"/>
      <c r="G19" s="464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</row>
    <row r="20" spans="1:20" s="42" customFormat="1" ht="15" customHeight="1" x14ac:dyDescent="0.25">
      <c r="A20" s="25" t="s">
        <v>0</v>
      </c>
      <c r="B20" s="213">
        <f t="shared" si="0"/>
        <v>44386</v>
      </c>
      <c r="C20" s="280">
        <v>372</v>
      </c>
      <c r="E20" s="41"/>
      <c r="F20" s="461"/>
      <c r="G20" s="464"/>
      <c r="H20" s="462"/>
      <c r="I20" s="462"/>
      <c r="J20" s="462"/>
      <c r="K20" s="462"/>
      <c r="L20" s="462"/>
      <c r="M20" s="462"/>
      <c r="N20" s="462"/>
      <c r="O20" s="462"/>
      <c r="P20" s="462"/>
      <c r="Q20" s="462"/>
      <c r="R20" s="462"/>
      <c r="S20" s="462"/>
      <c r="T20" s="462"/>
    </row>
    <row r="21" spans="1:20" s="42" customFormat="1" ht="15" customHeight="1" outlineLevel="1" x14ac:dyDescent="0.25">
      <c r="A21" s="25" t="s">
        <v>1</v>
      </c>
      <c r="B21" s="213">
        <f t="shared" si="0"/>
        <v>44387</v>
      </c>
      <c r="C21" s="183">
        <v>612</v>
      </c>
      <c r="D21" s="136"/>
      <c r="E21" s="41"/>
      <c r="F21" s="461"/>
      <c r="G21" s="464"/>
      <c r="H21" s="462"/>
      <c r="I21" s="462"/>
      <c r="J21" s="462"/>
      <c r="K21" s="462"/>
      <c r="L21" s="462"/>
      <c r="M21" s="462"/>
      <c r="N21" s="462"/>
      <c r="O21" s="462"/>
      <c r="P21" s="462"/>
      <c r="Q21" s="462"/>
      <c r="R21" s="462"/>
      <c r="S21" s="462"/>
      <c r="T21" s="462"/>
    </row>
    <row r="22" spans="1:20" s="42" customFormat="1" ht="15" customHeight="1" outlineLevel="1" thickBot="1" x14ac:dyDescent="0.3">
      <c r="A22" s="25" t="s">
        <v>2</v>
      </c>
      <c r="B22" s="213">
        <f t="shared" si="0"/>
        <v>44388</v>
      </c>
      <c r="C22" s="277">
        <v>399</v>
      </c>
      <c r="E22" s="463"/>
      <c r="F22" s="461"/>
      <c r="G22" s="464"/>
      <c r="H22" s="462"/>
      <c r="I22" s="462"/>
      <c r="J22" s="462"/>
      <c r="K22" s="462"/>
      <c r="L22" s="462"/>
      <c r="M22" s="462"/>
      <c r="N22" s="462"/>
      <c r="O22" s="462"/>
      <c r="P22" s="462"/>
      <c r="Q22" s="462"/>
      <c r="R22" s="462"/>
      <c r="S22" s="462"/>
      <c r="T22" s="462"/>
    </row>
    <row r="23" spans="1:20" s="42" customFormat="1" ht="15" customHeight="1" outlineLevel="1" thickBot="1" x14ac:dyDescent="0.3">
      <c r="A23" s="140" t="s">
        <v>19</v>
      </c>
      <c r="B23" s="651" t="s">
        <v>23</v>
      </c>
      <c r="C23" s="278">
        <f>SUM(C16:C22)</f>
        <v>3133</v>
      </c>
      <c r="E23" s="463"/>
      <c r="F23" s="461"/>
      <c r="G23" s="464"/>
      <c r="H23" s="462"/>
      <c r="I23" s="462"/>
      <c r="J23" s="462"/>
      <c r="K23" s="462"/>
      <c r="L23" s="462"/>
      <c r="M23" s="462"/>
      <c r="N23" s="462"/>
      <c r="O23" s="462"/>
      <c r="P23" s="462"/>
      <c r="Q23" s="462"/>
      <c r="R23" s="462"/>
      <c r="S23" s="462"/>
      <c r="T23" s="462"/>
    </row>
    <row r="24" spans="1:20" s="42" customFormat="1" ht="15" customHeight="1" outlineLevel="1" thickBot="1" x14ac:dyDescent="0.3">
      <c r="A24" s="99" t="s">
        <v>21</v>
      </c>
      <c r="B24" s="651"/>
      <c r="C24" s="279">
        <f>AVERAGE(C16:C22)</f>
        <v>447.57142857142856</v>
      </c>
      <c r="E24" s="463"/>
      <c r="F24" s="461"/>
      <c r="G24" s="464"/>
      <c r="H24" s="462"/>
      <c r="I24" s="462"/>
      <c r="J24" s="462"/>
      <c r="K24" s="462"/>
      <c r="L24" s="462"/>
      <c r="M24" s="462"/>
      <c r="N24" s="462"/>
      <c r="O24" s="462"/>
      <c r="P24" s="462"/>
      <c r="Q24" s="462"/>
      <c r="R24" s="462"/>
      <c r="S24" s="462"/>
      <c r="T24" s="462"/>
    </row>
    <row r="25" spans="1:20" s="42" customFormat="1" ht="15" customHeight="1" thickBot="1" x14ac:dyDescent="0.3">
      <c r="A25" s="26" t="s">
        <v>18</v>
      </c>
      <c r="B25" s="651"/>
      <c r="C25" s="181">
        <f>SUM(C16:C20)</f>
        <v>2122</v>
      </c>
      <c r="E25" s="460"/>
      <c r="F25" s="461"/>
      <c r="G25"/>
    </row>
    <row r="26" spans="1:20" s="42" customFormat="1" ht="15" customHeight="1" thickBot="1" x14ac:dyDescent="0.3">
      <c r="A26" s="26" t="s">
        <v>20</v>
      </c>
      <c r="B26" s="651"/>
      <c r="C26" s="182">
        <f>AVERAGE(C16:C20)</f>
        <v>424.4</v>
      </c>
      <c r="E26" s="460"/>
      <c r="F26" s="461"/>
      <c r="G26"/>
      <c r="P26" s="41"/>
    </row>
    <row r="27" spans="1:20" s="42" customFormat="1" ht="15" customHeight="1" x14ac:dyDescent="0.25">
      <c r="A27" s="25" t="s">
        <v>3</v>
      </c>
      <c r="B27" s="210">
        <f>B22+1</f>
        <v>44389</v>
      </c>
      <c r="C27" s="280">
        <v>418</v>
      </c>
      <c r="E27" s="460"/>
      <c r="F27" s="461"/>
      <c r="G27"/>
    </row>
    <row r="28" spans="1:20" s="42" customFormat="1" ht="15" customHeight="1" x14ac:dyDescent="0.25">
      <c r="A28" s="25" t="s">
        <v>4</v>
      </c>
      <c r="B28" s="210">
        <f t="shared" ref="B28:B33" si="1">B27+1</f>
        <v>44390</v>
      </c>
      <c r="C28" s="280">
        <v>597</v>
      </c>
      <c r="E28" s="460"/>
      <c r="F28" s="461"/>
      <c r="G28"/>
    </row>
    <row r="29" spans="1:20" s="42" customFormat="1" ht="15" customHeight="1" x14ac:dyDescent="0.25">
      <c r="A29" s="25" t="s">
        <v>5</v>
      </c>
      <c r="B29" s="210">
        <f t="shared" si="1"/>
        <v>44391</v>
      </c>
      <c r="C29" s="280">
        <v>477</v>
      </c>
      <c r="E29" s="460"/>
      <c r="F29" s="461"/>
      <c r="G29"/>
    </row>
    <row r="30" spans="1:20" s="42" customFormat="1" ht="15" customHeight="1" x14ac:dyDescent="0.25">
      <c r="A30" s="25" t="s">
        <v>6</v>
      </c>
      <c r="B30" s="210">
        <f t="shared" si="1"/>
        <v>44392</v>
      </c>
      <c r="C30" s="280">
        <v>623</v>
      </c>
      <c r="E30" s="460"/>
      <c r="F30" s="461"/>
      <c r="G30"/>
    </row>
    <row r="31" spans="1:20" s="42" customFormat="1" ht="15" customHeight="1" x14ac:dyDescent="0.25">
      <c r="A31" s="25" t="s">
        <v>0</v>
      </c>
      <c r="B31" s="210">
        <f t="shared" si="1"/>
        <v>44393</v>
      </c>
      <c r="C31" s="280">
        <v>443</v>
      </c>
      <c r="E31" s="460"/>
      <c r="F31" s="461"/>
      <c r="G31"/>
    </row>
    <row r="32" spans="1:20" s="42" customFormat="1" ht="15" customHeight="1" outlineLevel="1" x14ac:dyDescent="0.25">
      <c r="A32" s="25" t="s">
        <v>1</v>
      </c>
      <c r="B32" s="210">
        <f t="shared" si="1"/>
        <v>44394</v>
      </c>
      <c r="C32" s="183">
        <v>422</v>
      </c>
      <c r="E32" s="460"/>
      <c r="F32" s="461"/>
      <c r="G32"/>
    </row>
    <row r="33" spans="1:7" s="42" customFormat="1" ht="15" customHeight="1" outlineLevel="1" thickBot="1" x14ac:dyDescent="0.3">
      <c r="A33" s="25" t="s">
        <v>2</v>
      </c>
      <c r="B33" s="210">
        <f t="shared" si="1"/>
        <v>44395</v>
      </c>
      <c r="C33" s="277">
        <v>454</v>
      </c>
      <c r="E33" s="460"/>
      <c r="F33" s="461"/>
      <c r="G33"/>
    </row>
    <row r="34" spans="1:7" s="42" customFormat="1" ht="15" customHeight="1" outlineLevel="1" thickBot="1" x14ac:dyDescent="0.3">
      <c r="A34" s="140" t="s">
        <v>19</v>
      </c>
      <c r="B34" s="651" t="s">
        <v>24</v>
      </c>
      <c r="C34" s="278">
        <f>SUM(C27:C33)</f>
        <v>3434</v>
      </c>
      <c r="E34" s="460"/>
      <c r="F34" s="461"/>
      <c r="G34"/>
    </row>
    <row r="35" spans="1:7" s="42" customFormat="1" ht="15" customHeight="1" outlineLevel="1" thickBot="1" x14ac:dyDescent="0.3">
      <c r="A35" s="99" t="s">
        <v>21</v>
      </c>
      <c r="B35" s="651"/>
      <c r="C35" s="279">
        <f>AVERAGE(C27:C33)</f>
        <v>490.57142857142856</v>
      </c>
      <c r="E35" s="460"/>
      <c r="F35" s="461"/>
      <c r="G35"/>
    </row>
    <row r="36" spans="1:7" s="42" customFormat="1" ht="15" customHeight="1" thickBot="1" x14ac:dyDescent="0.3">
      <c r="A36" s="26" t="s">
        <v>18</v>
      </c>
      <c r="B36" s="651"/>
      <c r="C36" s="181">
        <f>SUM(C27:C31)</f>
        <v>2558</v>
      </c>
      <c r="E36" s="460"/>
      <c r="F36" s="461"/>
      <c r="G36"/>
    </row>
    <row r="37" spans="1:7" s="42" customFormat="1" ht="15" customHeight="1" thickBot="1" x14ac:dyDescent="0.3">
      <c r="A37" s="26" t="s">
        <v>20</v>
      </c>
      <c r="B37" s="651"/>
      <c r="C37" s="454">
        <f>AVERAGE(C27:C31)</f>
        <v>511.6</v>
      </c>
      <c r="E37" s="460"/>
      <c r="F37" s="461"/>
      <c r="G37"/>
    </row>
    <row r="38" spans="1:7" s="42" customFormat="1" ht="15" customHeight="1" x14ac:dyDescent="0.25">
      <c r="A38" s="25" t="s">
        <v>3</v>
      </c>
      <c r="B38" s="215">
        <f>B33+1</f>
        <v>44396</v>
      </c>
      <c r="C38" s="473">
        <v>439</v>
      </c>
      <c r="E38" s="460"/>
      <c r="F38" s="461"/>
      <c r="G38"/>
    </row>
    <row r="39" spans="1:7" s="42" customFormat="1" ht="15" customHeight="1" x14ac:dyDescent="0.25">
      <c r="A39" s="25" t="s">
        <v>4</v>
      </c>
      <c r="B39" s="215">
        <f t="shared" ref="B39:B44" si="2">B38+1</f>
        <v>44397</v>
      </c>
      <c r="C39" s="474">
        <v>548</v>
      </c>
      <c r="E39" s="460"/>
      <c r="F39" s="461"/>
      <c r="G39"/>
    </row>
    <row r="40" spans="1:7" s="42" customFormat="1" ht="15" customHeight="1" x14ac:dyDescent="0.25">
      <c r="A40" s="25" t="s">
        <v>5</v>
      </c>
      <c r="B40" s="215">
        <f t="shared" si="2"/>
        <v>44398</v>
      </c>
      <c r="C40" s="474">
        <v>544</v>
      </c>
      <c r="E40" s="460"/>
      <c r="F40" s="461"/>
      <c r="G40"/>
    </row>
    <row r="41" spans="1:7" s="42" customFormat="1" ht="15" customHeight="1" x14ac:dyDescent="0.25">
      <c r="A41" s="25" t="s">
        <v>6</v>
      </c>
      <c r="B41" s="215">
        <f t="shared" si="2"/>
        <v>44399</v>
      </c>
      <c r="C41" s="474">
        <v>519</v>
      </c>
      <c r="E41" s="460"/>
      <c r="F41" s="461"/>
      <c r="G41"/>
    </row>
    <row r="42" spans="1:7" s="42" customFormat="1" ht="15" customHeight="1" x14ac:dyDescent="0.25">
      <c r="A42" s="25" t="s">
        <v>0</v>
      </c>
      <c r="B42" s="215">
        <f t="shared" si="2"/>
        <v>44400</v>
      </c>
      <c r="C42" s="474">
        <v>617</v>
      </c>
    </row>
    <row r="43" spans="1:7" s="42" customFormat="1" ht="15" customHeight="1" outlineLevel="1" x14ac:dyDescent="0.25">
      <c r="A43" s="25" t="s">
        <v>1</v>
      </c>
      <c r="B43" s="215">
        <f t="shared" si="2"/>
        <v>44401</v>
      </c>
      <c r="C43" s="474">
        <v>770</v>
      </c>
      <c r="D43" s="136"/>
    </row>
    <row r="44" spans="1:7" s="42" customFormat="1" ht="15" customHeight="1" outlineLevel="1" thickBot="1" x14ac:dyDescent="0.3">
      <c r="A44" s="25" t="s">
        <v>2</v>
      </c>
      <c r="B44" s="215">
        <f t="shared" si="2"/>
        <v>44402</v>
      </c>
      <c r="C44" s="475">
        <v>558</v>
      </c>
      <c r="D44" s="136"/>
    </row>
    <row r="45" spans="1:7" s="42" customFormat="1" ht="15" customHeight="1" outlineLevel="1" thickBot="1" x14ac:dyDescent="0.3">
      <c r="A45" s="140" t="s">
        <v>19</v>
      </c>
      <c r="B45" s="651" t="s">
        <v>25</v>
      </c>
      <c r="C45" s="320">
        <f>SUM(C38:C44)</f>
        <v>3995</v>
      </c>
      <c r="D45" s="136"/>
    </row>
    <row r="46" spans="1:7" s="42" customFormat="1" ht="15" customHeight="1" outlineLevel="1" thickBot="1" x14ac:dyDescent="0.3">
      <c r="A46" s="99" t="s">
        <v>21</v>
      </c>
      <c r="B46" s="651"/>
      <c r="C46" s="279">
        <f>AVERAGE(C38:C44)</f>
        <v>570.71428571428567</v>
      </c>
      <c r="D46" s="136"/>
    </row>
    <row r="47" spans="1:7" s="42" customFormat="1" ht="15" customHeight="1" thickBot="1" x14ac:dyDescent="0.3">
      <c r="A47" s="26" t="s">
        <v>18</v>
      </c>
      <c r="B47" s="651"/>
      <c r="C47" s="181">
        <f>SUM(C38:C42)</f>
        <v>2667</v>
      </c>
      <c r="D47" s="136"/>
    </row>
    <row r="48" spans="1:7" s="42" customFormat="1" ht="15" customHeight="1" thickBot="1" x14ac:dyDescent="0.3">
      <c r="A48" s="26" t="s">
        <v>20</v>
      </c>
      <c r="B48" s="651"/>
      <c r="C48" s="454">
        <f>AVERAGE(C38:C42)</f>
        <v>533.4</v>
      </c>
      <c r="D48" s="136"/>
    </row>
    <row r="49" spans="1:4" s="42" customFormat="1" x14ac:dyDescent="0.25">
      <c r="A49" s="25" t="s">
        <v>3</v>
      </c>
      <c r="B49" s="215">
        <f>B44+1</f>
        <v>44403</v>
      </c>
      <c r="C49" s="476">
        <v>444</v>
      </c>
      <c r="D49" s="136"/>
    </row>
    <row r="50" spans="1:4" s="42" customFormat="1" x14ac:dyDescent="0.25">
      <c r="A50" s="132" t="s">
        <v>4</v>
      </c>
      <c r="B50" s="215">
        <f t="shared" ref="B50:B54" si="3">B49+1</f>
        <v>44404</v>
      </c>
      <c r="C50" s="476">
        <v>459</v>
      </c>
      <c r="D50" s="136"/>
    </row>
    <row r="51" spans="1:4" s="42" customFormat="1" x14ac:dyDescent="0.25">
      <c r="A51" s="132" t="s">
        <v>5</v>
      </c>
      <c r="B51" s="215">
        <f t="shared" si="3"/>
        <v>44405</v>
      </c>
      <c r="C51" s="453">
        <v>676</v>
      </c>
      <c r="D51" s="136"/>
    </row>
    <row r="52" spans="1:4" s="42" customFormat="1" x14ac:dyDescent="0.25">
      <c r="A52" s="25" t="s">
        <v>6</v>
      </c>
      <c r="B52" s="215">
        <f t="shared" si="3"/>
        <v>44406</v>
      </c>
      <c r="C52" s="453">
        <v>510</v>
      </c>
      <c r="D52" s="136"/>
    </row>
    <row r="53" spans="1:4" s="42" customFormat="1" x14ac:dyDescent="0.25">
      <c r="A53" s="25" t="s">
        <v>0</v>
      </c>
      <c r="B53" s="215">
        <f t="shared" si="3"/>
        <v>44407</v>
      </c>
      <c r="C53" s="453">
        <v>543</v>
      </c>
      <c r="D53" s="136"/>
    </row>
    <row r="54" spans="1:4" s="42" customFormat="1" ht="14.25" outlineLevel="1" thickBot="1" x14ac:dyDescent="0.3">
      <c r="A54" s="25" t="s">
        <v>1</v>
      </c>
      <c r="B54" s="215">
        <f t="shared" si="3"/>
        <v>44408</v>
      </c>
      <c r="C54" s="229">
        <v>668</v>
      </c>
      <c r="D54" s="136"/>
    </row>
    <row r="55" spans="1:4" s="42" customFormat="1" ht="14.25" hidden="1" outlineLevel="1" thickBot="1" x14ac:dyDescent="0.3">
      <c r="A55" s="25" t="s">
        <v>2</v>
      </c>
      <c r="B55" s="215"/>
      <c r="C55" s="229"/>
    </row>
    <row r="56" spans="1:4" s="42" customFormat="1" ht="15" customHeight="1" outlineLevel="1" thickBot="1" x14ac:dyDescent="0.3">
      <c r="A56" s="140" t="s">
        <v>19</v>
      </c>
      <c r="B56" s="651" t="s">
        <v>26</v>
      </c>
      <c r="C56" s="320">
        <f>SUM(C49:C55)</f>
        <v>3300</v>
      </c>
    </row>
    <row r="57" spans="1:4" s="42" customFormat="1" ht="15" customHeight="1" outlineLevel="1" thickBot="1" x14ac:dyDescent="0.3">
      <c r="A57" s="99" t="s">
        <v>21</v>
      </c>
      <c r="B57" s="651"/>
      <c r="C57" s="279">
        <f>AVERAGE(C49:C55)</f>
        <v>550</v>
      </c>
    </row>
    <row r="58" spans="1:4" s="42" customFormat="1" ht="15" customHeight="1" thickBot="1" x14ac:dyDescent="0.3">
      <c r="A58" s="26" t="s">
        <v>18</v>
      </c>
      <c r="B58" s="651"/>
      <c r="C58" s="181">
        <f>SUM(C49:C53)</f>
        <v>2632</v>
      </c>
    </row>
    <row r="59" spans="1:4" s="42" customFormat="1" ht="14.25" thickBot="1" x14ac:dyDescent="0.3">
      <c r="A59" s="26" t="s">
        <v>20</v>
      </c>
      <c r="B59" s="671"/>
      <c r="C59" s="182">
        <f>AVERAGE(C49:C53)</f>
        <v>526.4</v>
      </c>
    </row>
    <row r="60" spans="1:4" s="42" customFormat="1" ht="14.25" hidden="1" thickBot="1" x14ac:dyDescent="0.3">
      <c r="A60" s="132"/>
      <c r="B60" s="288"/>
      <c r="C60" s="175"/>
      <c r="D60" s="17"/>
    </row>
    <row r="61" spans="1:4" s="42" customFormat="1" ht="14.25" hidden="1" thickBot="1" x14ac:dyDescent="0.3">
      <c r="A61" s="132"/>
      <c r="B61" s="155"/>
      <c r="C61" s="175"/>
      <c r="D61" s="17"/>
    </row>
    <row r="62" spans="1:4" s="42" customFormat="1" ht="14.25" hidden="1" thickBot="1" x14ac:dyDescent="0.3">
      <c r="A62" s="132"/>
      <c r="B62" s="155"/>
      <c r="C62" s="176"/>
      <c r="D62" s="17"/>
    </row>
    <row r="63" spans="1:4" s="42" customFormat="1" ht="14.25" hidden="1" thickBot="1" x14ac:dyDescent="0.3">
      <c r="A63" s="132"/>
      <c r="B63" s="155"/>
      <c r="C63" s="176"/>
      <c r="D63" s="17"/>
    </row>
    <row r="64" spans="1:4" s="42" customFormat="1" ht="14.25" hidden="1" thickBot="1" x14ac:dyDescent="0.3">
      <c r="A64" s="132"/>
      <c r="B64" s="155"/>
      <c r="C64" s="176"/>
      <c r="D64" s="17"/>
    </row>
    <row r="65" spans="1:6" s="42" customFormat="1" ht="14.25" hidden="1" outlineLevel="1" thickBot="1" x14ac:dyDescent="0.3">
      <c r="A65" s="132"/>
      <c r="B65" s="155"/>
      <c r="C65" s="184"/>
      <c r="D65" s="17"/>
    </row>
    <row r="66" spans="1:6" s="42" customFormat="1" ht="14.25" hidden="1" outlineLevel="1" thickBot="1" x14ac:dyDescent="0.3">
      <c r="A66" s="132"/>
      <c r="B66" s="155"/>
      <c r="C66" s="185"/>
      <c r="D66" s="17"/>
    </row>
    <row r="67" spans="1:6" s="42" customFormat="1" ht="14.25" hidden="1" outlineLevel="1" thickBot="1" x14ac:dyDescent="0.3">
      <c r="A67" s="140" t="s">
        <v>19</v>
      </c>
      <c r="B67" s="731" t="s">
        <v>30</v>
      </c>
      <c r="C67" s="177">
        <f>SUM(C60:C66)</f>
        <v>0</v>
      </c>
      <c r="D67" s="102">
        <f>SUM(C67)</f>
        <v>0</v>
      </c>
    </row>
    <row r="68" spans="1:6" s="42" customFormat="1" ht="14.25" hidden="1" outlineLevel="1" thickBot="1" x14ac:dyDescent="0.3">
      <c r="A68" s="99" t="s">
        <v>21</v>
      </c>
      <c r="B68" s="731"/>
      <c r="C68" s="178" t="e">
        <f>AVERAGE(C60:C66)</f>
        <v>#DIV/0!</v>
      </c>
      <c r="D68" s="100" t="e">
        <f>SUM(C68)</f>
        <v>#DIV/0!</v>
      </c>
    </row>
    <row r="69" spans="1:6" s="42" customFormat="1" ht="14.25" hidden="1" thickBot="1" x14ac:dyDescent="0.3">
      <c r="A69" s="26" t="s">
        <v>18</v>
      </c>
      <c r="B69" s="731"/>
      <c r="C69" s="179">
        <f>SUM(C60:C64)</f>
        <v>0</v>
      </c>
      <c r="D69" s="27">
        <f>SUM(C69)</f>
        <v>0</v>
      </c>
    </row>
    <row r="70" spans="1:6" s="42" customFormat="1" ht="14.25" hidden="1" thickBot="1" x14ac:dyDescent="0.3">
      <c r="A70" s="26" t="s">
        <v>20</v>
      </c>
      <c r="B70" s="732"/>
      <c r="C70" s="180" t="e">
        <f>AVERAGE(C60:C64)</f>
        <v>#DIV/0!</v>
      </c>
      <c r="D70" s="29" t="e">
        <f>SUM(C70)</f>
        <v>#DIV/0!</v>
      </c>
    </row>
    <row r="71" spans="1:6" s="42" customFormat="1" ht="15" customHeight="1" x14ac:dyDescent="0.25">
      <c r="A71" s="4"/>
      <c r="B71" s="116"/>
      <c r="C71" s="45"/>
      <c r="D71" s="45"/>
    </row>
    <row r="72" spans="1:6" s="42" customFormat="1" ht="42" customHeight="1" thickBot="1" x14ac:dyDescent="0.3">
      <c r="A72" s="165"/>
      <c r="B72" s="331" t="s">
        <v>9</v>
      </c>
      <c r="D72" s="745" t="s">
        <v>51</v>
      </c>
      <c r="E72" s="746"/>
      <c r="F72" s="747"/>
    </row>
    <row r="73" spans="1:6" ht="30" customHeight="1" x14ac:dyDescent="0.25">
      <c r="A73" s="330" t="s">
        <v>109</v>
      </c>
      <c r="B73" s="332">
        <f xml:space="preserve"> SUM(C56:C56, C45:C45, C34:C34, C23:C23, C12:C12, C67:C67 )</f>
        <v>15280</v>
      </c>
      <c r="D73" s="741" t="s">
        <v>28</v>
      </c>
      <c r="E73" s="742"/>
      <c r="F73" s="334">
        <f>SUM(C14, C25, C36, C47, C58, C69)</f>
        <v>10693</v>
      </c>
    </row>
    <row r="74" spans="1:6" ht="30" customHeight="1" thickBot="1" x14ac:dyDescent="0.3">
      <c r="A74" s="330" t="s">
        <v>28</v>
      </c>
      <c r="B74" s="333">
        <f>SUM(C58:C58, C47:C47, C36:C36, C25:C25, C14:C14, C69:C69)</f>
        <v>10693</v>
      </c>
      <c r="D74" s="735" t="s">
        <v>109</v>
      </c>
      <c r="E74" s="736"/>
      <c r="F74" s="335">
        <f xml:space="preserve"> SUM(C56, C45, C34, C23, C12, C67)</f>
        <v>15280</v>
      </c>
    </row>
    <row r="75" spans="1:6" ht="30" customHeight="1" x14ac:dyDescent="0.25">
      <c r="D75" s="735" t="s">
        <v>20</v>
      </c>
      <c r="E75" s="736"/>
      <c r="F75" s="335">
        <f>AVERAGE(C15,C26,C37,C48,C59)</f>
        <v>470.56000000000006</v>
      </c>
    </row>
    <row r="76" spans="1:6" ht="30" customHeight="1" thickBot="1" x14ac:dyDescent="0.3">
      <c r="D76" s="737" t="s">
        <v>115</v>
      </c>
      <c r="E76" s="738"/>
      <c r="F76" s="273">
        <f>AVERAGE(C13,C24,C35,C46,C57)</f>
        <v>482.67142857142852</v>
      </c>
    </row>
  </sheetData>
  <mergeCells count="15">
    <mergeCell ref="C1:C2"/>
    <mergeCell ref="A3:A4"/>
    <mergeCell ref="B3:B4"/>
    <mergeCell ref="B67:B70"/>
    <mergeCell ref="D72:F72"/>
    <mergeCell ref="B23:B26"/>
    <mergeCell ref="B12:B15"/>
    <mergeCell ref="C3:C4"/>
    <mergeCell ref="D76:E76"/>
    <mergeCell ref="D75:E75"/>
    <mergeCell ref="B56:B59"/>
    <mergeCell ref="B45:B48"/>
    <mergeCell ref="B34:B37"/>
    <mergeCell ref="D74:E74"/>
    <mergeCell ref="D73:E73"/>
  </mergeCells>
  <pageMargins left="0.7" right="0.7" top="0.75" bottom="0.75" header="0.3" footer="0.3"/>
  <pageSetup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ColWidth="9.140625" defaultRowHeight="15" outlineLevelRow="1" x14ac:dyDescent="0.25"/>
  <cols>
    <col min="1" max="1" width="18.7109375" style="1" bestFit="1" customWidth="1"/>
    <col min="2" max="2" width="10.7109375" style="117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47"/>
      <c r="C1" s="708" t="s">
        <v>63</v>
      </c>
      <c r="D1" s="708" t="s">
        <v>8</v>
      </c>
      <c r="E1" s="717" t="s">
        <v>17</v>
      </c>
    </row>
    <row r="2" spans="1:6" ht="14.25" customHeight="1" thickBot="1" x14ac:dyDescent="0.3">
      <c r="A2" s="24"/>
      <c r="B2" s="148"/>
      <c r="C2" s="756"/>
      <c r="D2" s="756"/>
      <c r="E2" s="718"/>
    </row>
    <row r="3" spans="1:6" ht="14.25" customHeight="1" x14ac:dyDescent="0.25">
      <c r="A3" s="629" t="s">
        <v>48</v>
      </c>
      <c r="B3" s="733" t="s">
        <v>49</v>
      </c>
      <c r="C3" s="678" t="s">
        <v>60</v>
      </c>
      <c r="D3" s="678" t="s">
        <v>8</v>
      </c>
      <c r="E3" s="718"/>
    </row>
    <row r="4" spans="1:6" ht="15" customHeight="1" thickBot="1" x14ac:dyDescent="0.3">
      <c r="A4" s="646"/>
      <c r="B4" s="734"/>
      <c r="C4" s="725"/>
      <c r="D4" s="725"/>
      <c r="E4" s="718"/>
    </row>
    <row r="5" spans="1:6" s="41" customFormat="1" ht="14.25" thickBot="1" x14ac:dyDescent="0.3">
      <c r="A5" s="25" t="s">
        <v>3</v>
      </c>
      <c r="B5" s="149">
        <v>42856</v>
      </c>
      <c r="C5" s="12"/>
      <c r="D5" s="18"/>
      <c r="E5" s="17">
        <f t="shared" ref="E5:E11" si="0">SUM(C5:D5)</f>
        <v>0</v>
      </c>
    </row>
    <row r="6" spans="1:6" s="41" customFormat="1" ht="14.25" thickBot="1" x14ac:dyDescent="0.3">
      <c r="A6" s="25" t="s">
        <v>4</v>
      </c>
      <c r="B6" s="163">
        <v>42948</v>
      </c>
      <c r="C6" s="12"/>
      <c r="D6" s="18"/>
      <c r="E6" s="17">
        <f t="shared" si="0"/>
        <v>0</v>
      </c>
    </row>
    <row r="7" spans="1:6" s="41" customFormat="1" ht="14.25" thickBot="1" x14ac:dyDescent="0.3">
      <c r="A7" s="25" t="s">
        <v>5</v>
      </c>
      <c r="B7" s="163">
        <f>B6+1</f>
        <v>42949</v>
      </c>
      <c r="C7" s="12"/>
      <c r="D7" s="18"/>
      <c r="E7" s="17">
        <f t="shared" si="0"/>
        <v>0</v>
      </c>
    </row>
    <row r="8" spans="1:6" s="41" customFormat="1" ht="14.25" thickBot="1" x14ac:dyDescent="0.3">
      <c r="A8" s="25" t="s">
        <v>6</v>
      </c>
      <c r="B8" s="163">
        <f>B7+1</f>
        <v>42950</v>
      </c>
      <c r="C8" s="12"/>
      <c r="D8" s="18"/>
      <c r="E8" s="17">
        <f t="shared" si="0"/>
        <v>0</v>
      </c>
      <c r="F8" s="133"/>
    </row>
    <row r="9" spans="1:6" s="41" customFormat="1" ht="14.25" thickBot="1" x14ac:dyDescent="0.3">
      <c r="A9" s="25" t="s">
        <v>0</v>
      </c>
      <c r="B9" s="163">
        <f>B8+1</f>
        <v>42951</v>
      </c>
      <c r="C9" s="12"/>
      <c r="D9" s="18"/>
      <c r="E9" s="17">
        <f t="shared" si="0"/>
        <v>0</v>
      </c>
      <c r="F9" s="133"/>
    </row>
    <row r="10" spans="1:6" s="41" customFormat="1" ht="14.25" customHeight="1" outlineLevel="1" thickBot="1" x14ac:dyDescent="0.3">
      <c r="A10" s="25" t="s">
        <v>1</v>
      </c>
      <c r="B10" s="163">
        <f>B9+1</f>
        <v>42952</v>
      </c>
      <c r="C10" s="18"/>
      <c r="D10" s="18"/>
      <c r="E10" s="17">
        <f t="shared" si="0"/>
        <v>0</v>
      </c>
      <c r="F10" s="133"/>
    </row>
    <row r="11" spans="1:6" s="41" customFormat="1" ht="15" customHeight="1" outlineLevel="1" thickBot="1" x14ac:dyDescent="0.3">
      <c r="A11" s="25" t="s">
        <v>2</v>
      </c>
      <c r="B11" s="163">
        <f>B10+1</f>
        <v>42953</v>
      </c>
      <c r="C11" s="21"/>
      <c r="D11" s="21"/>
      <c r="E11" s="17">
        <f t="shared" si="0"/>
        <v>0</v>
      </c>
      <c r="F11" s="133"/>
    </row>
    <row r="12" spans="1:6" s="42" customFormat="1" ht="15" customHeight="1" outlineLevel="1" thickBot="1" x14ac:dyDescent="0.3">
      <c r="A12" s="140" t="s">
        <v>19</v>
      </c>
      <c r="B12" s="730" t="s">
        <v>22</v>
      </c>
      <c r="C12" s="102">
        <f>SUM(C5:C11)</f>
        <v>0</v>
      </c>
      <c r="D12" s="102">
        <f>SUM(D5:D11)</f>
        <v>0</v>
      </c>
      <c r="E12" s="103">
        <f>SUM(E5:E11)</f>
        <v>0</v>
      </c>
    </row>
    <row r="13" spans="1:6" s="42" customFormat="1" ht="15" customHeight="1" outlineLevel="1" thickBot="1" x14ac:dyDescent="0.3">
      <c r="A13" s="99" t="s">
        <v>21</v>
      </c>
      <c r="B13" s="731"/>
      <c r="C13" s="100" t="e">
        <f>AVERAGE(C5:C11)</f>
        <v>#DIV/0!</v>
      </c>
      <c r="D13" s="100" t="e">
        <f>AVERAGE(D5:D11)</f>
        <v>#DIV/0!</v>
      </c>
      <c r="E13" s="101">
        <f>AVERAGE(E5:E11)</f>
        <v>0</v>
      </c>
    </row>
    <row r="14" spans="1:6" s="42" customFormat="1" ht="15" customHeight="1" thickBot="1" x14ac:dyDescent="0.3">
      <c r="A14" s="26" t="s">
        <v>18</v>
      </c>
      <c r="B14" s="731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2" customFormat="1" ht="15" customHeight="1" thickBot="1" x14ac:dyDescent="0.3">
      <c r="A15" s="26" t="s">
        <v>20</v>
      </c>
      <c r="B15" s="731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2" customFormat="1" ht="15" customHeight="1" thickBot="1" x14ac:dyDescent="0.3">
      <c r="A16" s="25" t="s">
        <v>3</v>
      </c>
      <c r="B16" s="149">
        <f>B11+1</f>
        <v>42954</v>
      </c>
      <c r="C16" s="12"/>
      <c r="D16" s="13"/>
      <c r="E16" s="16">
        <f t="shared" ref="E16:E22" si="1">SUM(C16:D16)</f>
        <v>0</v>
      </c>
    </row>
    <row r="17" spans="1:6" s="42" customFormat="1" ht="15" customHeight="1" thickBot="1" x14ac:dyDescent="0.3">
      <c r="A17" s="25" t="s">
        <v>4</v>
      </c>
      <c r="B17" s="150">
        <f t="shared" ref="B17:B22" si="2">B16+1</f>
        <v>42955</v>
      </c>
      <c r="C17" s="12"/>
      <c r="D17" s="19"/>
      <c r="E17" s="17">
        <f t="shared" si="1"/>
        <v>0</v>
      </c>
    </row>
    <row r="18" spans="1:6" s="42" customFormat="1" ht="15" customHeight="1" thickBot="1" x14ac:dyDescent="0.3">
      <c r="A18" s="25" t="s">
        <v>5</v>
      </c>
      <c r="B18" s="150">
        <f t="shared" si="2"/>
        <v>42956</v>
      </c>
      <c r="C18" s="12"/>
      <c r="D18" s="19"/>
      <c r="E18" s="17">
        <f t="shared" si="1"/>
        <v>0</v>
      </c>
    </row>
    <row r="19" spans="1:6" s="42" customFormat="1" ht="15" customHeight="1" thickBot="1" x14ac:dyDescent="0.3">
      <c r="A19" s="25" t="s">
        <v>6</v>
      </c>
      <c r="B19" s="151">
        <f t="shared" si="2"/>
        <v>42957</v>
      </c>
      <c r="C19" s="12"/>
      <c r="D19" s="19"/>
      <c r="E19" s="17">
        <f t="shared" si="1"/>
        <v>0</v>
      </c>
    </row>
    <row r="20" spans="1:6" s="42" customFormat="1" ht="15" customHeight="1" thickBot="1" x14ac:dyDescent="0.3">
      <c r="A20" s="25" t="s">
        <v>0</v>
      </c>
      <c r="B20" s="151">
        <f t="shared" si="2"/>
        <v>42958</v>
      </c>
      <c r="C20" s="12"/>
      <c r="D20" s="19"/>
      <c r="E20" s="17">
        <f t="shared" si="1"/>
        <v>0</v>
      </c>
    </row>
    <row r="21" spans="1:6" s="42" customFormat="1" ht="15" customHeight="1" outlineLevel="1" thickBot="1" x14ac:dyDescent="0.3">
      <c r="A21" s="25" t="s">
        <v>1</v>
      </c>
      <c r="B21" s="163">
        <f t="shared" si="2"/>
        <v>42959</v>
      </c>
      <c r="C21" s="18"/>
      <c r="D21" s="19"/>
      <c r="E21" s="17">
        <f t="shared" si="1"/>
        <v>0</v>
      </c>
      <c r="F21" s="136"/>
    </row>
    <row r="22" spans="1:6" s="42" customFormat="1" ht="15" customHeight="1" outlineLevel="1" thickBot="1" x14ac:dyDescent="0.3">
      <c r="A22" s="25" t="s">
        <v>2</v>
      </c>
      <c r="B22" s="150">
        <f t="shared" si="2"/>
        <v>42960</v>
      </c>
      <c r="C22" s="21"/>
      <c r="D22" s="22"/>
      <c r="E22" s="56">
        <f t="shared" si="1"/>
        <v>0</v>
      </c>
    </row>
    <row r="23" spans="1:6" s="42" customFormat="1" ht="15" customHeight="1" outlineLevel="1" thickBot="1" x14ac:dyDescent="0.3">
      <c r="A23" s="140" t="s">
        <v>19</v>
      </c>
      <c r="B23" s="730" t="s">
        <v>23</v>
      </c>
      <c r="C23" s="102">
        <f>SUM(C16:C22)</f>
        <v>0</v>
      </c>
      <c r="D23" s="102">
        <f>SUM(D16:D22)</f>
        <v>0</v>
      </c>
      <c r="E23" s="102">
        <f>SUM(E16:E22)</f>
        <v>0</v>
      </c>
    </row>
    <row r="24" spans="1:6" s="42" customFormat="1" ht="15" customHeight="1" outlineLevel="1" thickBot="1" x14ac:dyDescent="0.3">
      <c r="A24" s="99" t="s">
        <v>21</v>
      </c>
      <c r="B24" s="731"/>
      <c r="C24" s="100" t="e">
        <f>AVERAGE(C16:C22)</f>
        <v>#DIV/0!</v>
      </c>
      <c r="D24" s="100" t="e">
        <f>AVERAGE(D16:D22)</f>
        <v>#DIV/0!</v>
      </c>
      <c r="E24" s="100">
        <f>AVERAGE(E16:E22)</f>
        <v>0</v>
      </c>
    </row>
    <row r="25" spans="1:6" s="42" customFormat="1" ht="15" customHeight="1" thickBot="1" x14ac:dyDescent="0.3">
      <c r="A25" s="26" t="s">
        <v>18</v>
      </c>
      <c r="B25" s="731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2" customFormat="1" ht="15" customHeight="1" thickBot="1" x14ac:dyDescent="0.3">
      <c r="A26" s="26" t="s">
        <v>20</v>
      </c>
      <c r="B26" s="732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2" customFormat="1" ht="15" customHeight="1" thickBot="1" x14ac:dyDescent="0.3">
      <c r="A27" s="25" t="s">
        <v>3</v>
      </c>
      <c r="B27" s="152">
        <f>B22+1</f>
        <v>42961</v>
      </c>
      <c r="C27" s="12"/>
      <c r="D27" s="12"/>
      <c r="E27" s="16">
        <f t="shared" ref="E27:E33" si="3">SUM(C27:D27)</f>
        <v>0</v>
      </c>
    </row>
    <row r="28" spans="1:6" s="42" customFormat="1" ht="15" customHeight="1" thickBot="1" x14ac:dyDescent="0.3">
      <c r="A28" s="25" t="s">
        <v>4</v>
      </c>
      <c r="B28" s="153">
        <f t="shared" ref="B28:B33" si="4">B27+1</f>
        <v>42962</v>
      </c>
      <c r="C28" s="12"/>
      <c r="D28" s="18"/>
      <c r="E28" s="17">
        <f t="shared" si="3"/>
        <v>0</v>
      </c>
    </row>
    <row r="29" spans="1:6" s="42" customFormat="1" ht="15" customHeight="1" thickBot="1" x14ac:dyDescent="0.3">
      <c r="A29" s="25" t="s">
        <v>5</v>
      </c>
      <c r="B29" s="153">
        <f t="shared" si="4"/>
        <v>42963</v>
      </c>
      <c r="C29" s="12"/>
      <c r="D29" s="18"/>
      <c r="E29" s="17">
        <f t="shared" si="3"/>
        <v>0</v>
      </c>
    </row>
    <row r="30" spans="1:6" s="42" customFormat="1" ht="15" customHeight="1" thickBot="1" x14ac:dyDescent="0.3">
      <c r="A30" s="25" t="s">
        <v>6</v>
      </c>
      <c r="B30" s="153">
        <f t="shared" si="4"/>
        <v>42964</v>
      </c>
      <c r="C30" s="12"/>
      <c r="D30" s="18"/>
      <c r="E30" s="17">
        <f t="shared" si="3"/>
        <v>0</v>
      </c>
    </row>
    <row r="31" spans="1:6" s="42" customFormat="1" ht="15" customHeight="1" thickBot="1" x14ac:dyDescent="0.3">
      <c r="A31" s="25" t="s">
        <v>0</v>
      </c>
      <c r="B31" s="153">
        <f t="shared" si="4"/>
        <v>42965</v>
      </c>
      <c r="C31" s="12"/>
      <c r="D31" s="18"/>
      <c r="E31" s="17">
        <f t="shared" si="3"/>
        <v>0</v>
      </c>
    </row>
    <row r="32" spans="1:6" s="42" customFormat="1" ht="15" customHeight="1" outlineLevel="1" thickBot="1" x14ac:dyDescent="0.3">
      <c r="A32" s="25" t="s">
        <v>1</v>
      </c>
      <c r="B32" s="153">
        <f t="shared" si="4"/>
        <v>42966</v>
      </c>
      <c r="C32" s="18"/>
      <c r="D32" s="18"/>
      <c r="E32" s="17">
        <f t="shared" si="3"/>
        <v>0</v>
      </c>
    </row>
    <row r="33" spans="1:6" s="42" customFormat="1" ht="15" customHeight="1" outlineLevel="1" thickBot="1" x14ac:dyDescent="0.3">
      <c r="A33" s="25" t="s">
        <v>2</v>
      </c>
      <c r="B33" s="153">
        <f t="shared" si="4"/>
        <v>42967</v>
      </c>
      <c r="C33" s="21"/>
      <c r="D33" s="21"/>
      <c r="E33" s="56">
        <f t="shared" si="3"/>
        <v>0</v>
      </c>
      <c r="F33" s="136"/>
    </row>
    <row r="34" spans="1:6" s="42" customFormat="1" ht="15" customHeight="1" outlineLevel="1" thickBot="1" x14ac:dyDescent="0.3">
      <c r="A34" s="140" t="s">
        <v>19</v>
      </c>
      <c r="B34" s="730" t="s">
        <v>24</v>
      </c>
      <c r="C34" s="102">
        <f>SUM(C27:C33)</f>
        <v>0</v>
      </c>
      <c r="D34" s="102">
        <f>SUM(D27:D33)</f>
        <v>0</v>
      </c>
      <c r="E34" s="102">
        <f>SUM(E27:E33)</f>
        <v>0</v>
      </c>
    </row>
    <row r="35" spans="1:6" s="42" customFormat="1" ht="15" customHeight="1" outlineLevel="1" thickBot="1" x14ac:dyDescent="0.3">
      <c r="A35" s="99" t="s">
        <v>21</v>
      </c>
      <c r="B35" s="731"/>
      <c r="C35" s="100" t="e">
        <f>AVERAGE(C27:C33)</f>
        <v>#DIV/0!</v>
      </c>
      <c r="D35" s="100" t="e">
        <f>AVERAGE(D27:D33)</f>
        <v>#DIV/0!</v>
      </c>
      <c r="E35" s="100">
        <f>AVERAGE(E27:E33)</f>
        <v>0</v>
      </c>
    </row>
    <row r="36" spans="1:6" s="42" customFormat="1" ht="15" customHeight="1" thickBot="1" x14ac:dyDescent="0.3">
      <c r="A36" s="26" t="s">
        <v>18</v>
      </c>
      <c r="B36" s="731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2" customFormat="1" ht="15" customHeight="1" thickBot="1" x14ac:dyDescent="0.3">
      <c r="A37" s="26" t="s">
        <v>20</v>
      </c>
      <c r="B37" s="732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2" customFormat="1" ht="15" customHeight="1" thickBot="1" x14ac:dyDescent="0.3">
      <c r="A38" s="25" t="s">
        <v>3</v>
      </c>
      <c r="B38" s="154">
        <f>B33+1</f>
        <v>42968</v>
      </c>
      <c r="C38" s="12"/>
      <c r="D38" s="12"/>
      <c r="E38" s="16">
        <f t="shared" ref="E38:E44" si="5">SUM(C38:D38)</f>
        <v>0</v>
      </c>
      <c r="F38" s="136"/>
    </row>
    <row r="39" spans="1:6" s="42" customFormat="1" ht="15" customHeight="1" thickBot="1" x14ac:dyDescent="0.3">
      <c r="A39" s="25" t="s">
        <v>4</v>
      </c>
      <c r="B39" s="155">
        <f t="shared" ref="B39:B44" si="6">B38+1</f>
        <v>42969</v>
      </c>
      <c r="C39" s="12"/>
      <c r="D39" s="18"/>
      <c r="E39" s="17">
        <f t="shared" si="5"/>
        <v>0</v>
      </c>
      <c r="F39" s="136"/>
    </row>
    <row r="40" spans="1:6" s="42" customFormat="1" ht="15" customHeight="1" thickBot="1" x14ac:dyDescent="0.3">
      <c r="A40" s="25" t="s">
        <v>5</v>
      </c>
      <c r="B40" s="155">
        <f t="shared" si="6"/>
        <v>42970</v>
      </c>
      <c r="C40" s="12"/>
      <c r="D40" s="18"/>
      <c r="E40" s="17">
        <f t="shared" si="5"/>
        <v>0</v>
      </c>
      <c r="F40" s="136"/>
    </row>
    <row r="41" spans="1:6" s="42" customFormat="1" ht="15" customHeight="1" thickBot="1" x14ac:dyDescent="0.3">
      <c r="A41" s="25" t="s">
        <v>6</v>
      </c>
      <c r="B41" s="155">
        <f t="shared" si="6"/>
        <v>42971</v>
      </c>
      <c r="C41" s="12"/>
      <c r="D41" s="18"/>
      <c r="E41" s="17">
        <f t="shared" si="5"/>
        <v>0</v>
      </c>
      <c r="F41" s="136"/>
    </row>
    <row r="42" spans="1:6" s="42" customFormat="1" ht="15" customHeight="1" thickBot="1" x14ac:dyDescent="0.3">
      <c r="A42" s="25" t="s">
        <v>0</v>
      </c>
      <c r="B42" s="155">
        <f t="shared" si="6"/>
        <v>42972</v>
      </c>
      <c r="C42" s="12"/>
      <c r="D42" s="18"/>
      <c r="E42" s="17">
        <f t="shared" si="5"/>
        <v>0</v>
      </c>
      <c r="F42" s="136"/>
    </row>
    <row r="43" spans="1:6" s="42" customFormat="1" ht="15" customHeight="1" outlineLevel="1" thickBot="1" x14ac:dyDescent="0.3">
      <c r="A43" s="25" t="s">
        <v>1</v>
      </c>
      <c r="B43" s="155">
        <f t="shared" si="6"/>
        <v>42973</v>
      </c>
      <c r="C43" s="18"/>
      <c r="D43" s="18"/>
      <c r="E43" s="17">
        <f t="shared" si="5"/>
        <v>0</v>
      </c>
      <c r="F43" s="136"/>
    </row>
    <row r="44" spans="1:6" s="42" customFormat="1" ht="15" customHeight="1" outlineLevel="1" thickBot="1" x14ac:dyDescent="0.3">
      <c r="A44" s="25" t="s">
        <v>2</v>
      </c>
      <c r="B44" s="155">
        <f t="shared" si="6"/>
        <v>42974</v>
      </c>
      <c r="C44" s="21"/>
      <c r="D44" s="21"/>
      <c r="E44" s="56">
        <f t="shared" si="5"/>
        <v>0</v>
      </c>
      <c r="F44" s="136"/>
    </row>
    <row r="45" spans="1:6" s="42" customFormat="1" ht="15" customHeight="1" outlineLevel="1" thickBot="1" x14ac:dyDescent="0.3">
      <c r="A45" s="140" t="s">
        <v>19</v>
      </c>
      <c r="B45" s="730" t="s">
        <v>25</v>
      </c>
      <c r="C45" s="102">
        <f>SUM(C38:C44)</f>
        <v>0</v>
      </c>
      <c r="D45" s="102">
        <f>SUM(D38:D44)</f>
        <v>0</v>
      </c>
      <c r="E45" s="102">
        <f>SUM(E38:E44)</f>
        <v>0</v>
      </c>
    </row>
    <row r="46" spans="1:6" s="42" customFormat="1" ht="15" customHeight="1" outlineLevel="1" thickBot="1" x14ac:dyDescent="0.3">
      <c r="A46" s="99" t="s">
        <v>21</v>
      </c>
      <c r="B46" s="731"/>
      <c r="C46" s="100" t="e">
        <f>AVERAGE(C38:C44)</f>
        <v>#DIV/0!</v>
      </c>
      <c r="D46" s="100" t="e">
        <f>AVERAGE(D38:D44)</f>
        <v>#DIV/0!</v>
      </c>
      <c r="E46" s="100">
        <f>AVERAGE(E38:E44)</f>
        <v>0</v>
      </c>
    </row>
    <row r="47" spans="1:6" s="42" customFormat="1" ht="15" customHeight="1" thickBot="1" x14ac:dyDescent="0.3">
      <c r="A47" s="26" t="s">
        <v>18</v>
      </c>
      <c r="B47" s="731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2" customFormat="1" ht="15" customHeight="1" thickBot="1" x14ac:dyDescent="0.3">
      <c r="A48" s="26" t="s">
        <v>20</v>
      </c>
      <c r="B48" s="732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2" customFormat="1" ht="15" customHeight="1" thickBot="1" x14ac:dyDescent="0.3">
      <c r="A49" s="25" t="s">
        <v>3</v>
      </c>
      <c r="B49" s="154">
        <f>B44+1</f>
        <v>42975</v>
      </c>
      <c r="C49" s="46"/>
      <c r="D49" s="47"/>
      <c r="E49" s="17">
        <f t="shared" ref="E49:E55" si="7">SUM(C49:D49)</f>
        <v>0</v>
      </c>
      <c r="F49" s="136"/>
    </row>
    <row r="50" spans="1:6" s="42" customFormat="1" ht="15" customHeight="1" thickBot="1" x14ac:dyDescent="0.3">
      <c r="A50" s="132" t="s">
        <v>4</v>
      </c>
      <c r="B50" s="155">
        <f t="shared" ref="B50:B55" si="8">B49+1</f>
        <v>42976</v>
      </c>
      <c r="C50" s="12"/>
      <c r="D50" s="15"/>
      <c r="E50" s="17">
        <f t="shared" si="7"/>
        <v>0</v>
      </c>
      <c r="F50" s="136"/>
    </row>
    <row r="51" spans="1:6" s="42" customFormat="1" ht="13.5" customHeight="1" thickBot="1" x14ac:dyDescent="0.3">
      <c r="A51" s="132" t="s">
        <v>5</v>
      </c>
      <c r="B51" s="155">
        <f t="shared" si="8"/>
        <v>42977</v>
      </c>
      <c r="C51" s="12"/>
      <c r="D51" s="15"/>
      <c r="E51" s="17">
        <f t="shared" si="7"/>
        <v>0</v>
      </c>
      <c r="F51" s="136"/>
    </row>
    <row r="52" spans="1:6" s="42" customFormat="1" ht="15" customHeight="1" thickBot="1" x14ac:dyDescent="0.3">
      <c r="A52" s="132" t="s">
        <v>6</v>
      </c>
      <c r="B52" s="155">
        <f t="shared" si="8"/>
        <v>42978</v>
      </c>
      <c r="C52" s="12"/>
      <c r="D52" s="15"/>
      <c r="E52" s="17">
        <f t="shared" si="7"/>
        <v>0</v>
      </c>
      <c r="F52" s="136"/>
    </row>
    <row r="53" spans="1:6" s="42" customFormat="1" ht="14.25" thickBot="1" x14ac:dyDescent="0.3">
      <c r="A53" s="25" t="s">
        <v>0</v>
      </c>
      <c r="B53" s="157">
        <f t="shared" si="8"/>
        <v>42979</v>
      </c>
      <c r="C53" s="12"/>
      <c r="D53" s="15"/>
      <c r="E53" s="17">
        <f t="shared" si="7"/>
        <v>0</v>
      </c>
      <c r="F53" s="136"/>
    </row>
    <row r="54" spans="1:6" s="42" customFormat="1" ht="14.25" outlineLevel="1" thickBot="1" x14ac:dyDescent="0.3">
      <c r="A54" s="25" t="s">
        <v>1</v>
      </c>
      <c r="B54" s="157">
        <f t="shared" si="8"/>
        <v>42980</v>
      </c>
      <c r="C54" s="18"/>
      <c r="D54" s="18"/>
      <c r="E54" s="17">
        <f t="shared" si="7"/>
        <v>0</v>
      </c>
      <c r="F54" s="136"/>
    </row>
    <row r="55" spans="1:6" s="42" customFormat="1" ht="14.25" outlineLevel="1" thickBot="1" x14ac:dyDescent="0.3">
      <c r="A55" s="132" t="s">
        <v>2</v>
      </c>
      <c r="B55" s="157">
        <f t="shared" si="8"/>
        <v>42981</v>
      </c>
      <c r="C55" s="21"/>
      <c r="D55" s="21"/>
      <c r="E55" s="17">
        <f t="shared" si="7"/>
        <v>0</v>
      </c>
    </row>
    <row r="56" spans="1:6" s="42" customFormat="1" ht="15" customHeight="1" outlineLevel="1" thickBot="1" x14ac:dyDescent="0.3">
      <c r="A56" s="140" t="s">
        <v>19</v>
      </c>
      <c r="B56" s="730" t="s">
        <v>26</v>
      </c>
      <c r="C56" s="102">
        <f>SUM(C49:C55)</f>
        <v>0</v>
      </c>
      <c r="D56" s="102">
        <f>SUM(D49:D55)</f>
        <v>0</v>
      </c>
      <c r="E56" s="103">
        <f>SUM(E49:E55)</f>
        <v>0</v>
      </c>
    </row>
    <row r="57" spans="1:6" s="42" customFormat="1" ht="15" customHeight="1" outlineLevel="1" thickBot="1" x14ac:dyDescent="0.3">
      <c r="A57" s="99" t="s">
        <v>21</v>
      </c>
      <c r="B57" s="731"/>
      <c r="C57" s="100" t="e">
        <f>AVERAGE(C49:C55)</f>
        <v>#DIV/0!</v>
      </c>
      <c r="D57" s="100" t="e">
        <f>AVERAGE(D49:D55)</f>
        <v>#DIV/0!</v>
      </c>
      <c r="E57" s="101">
        <f>AVERAGE(E49:E55)</f>
        <v>0</v>
      </c>
    </row>
    <row r="58" spans="1:6" s="42" customFormat="1" ht="15" customHeight="1" thickBot="1" x14ac:dyDescent="0.3">
      <c r="A58" s="26" t="s">
        <v>18</v>
      </c>
      <c r="B58" s="731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2" customFormat="1" ht="14.25" thickBot="1" x14ac:dyDescent="0.3">
      <c r="A59" s="26" t="s">
        <v>20</v>
      </c>
      <c r="B59" s="732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2" customFormat="1" ht="14.25" thickBot="1" x14ac:dyDescent="0.3">
      <c r="A60" s="132" t="s">
        <v>3</v>
      </c>
      <c r="B60" s="154">
        <f>B55+1</f>
        <v>42982</v>
      </c>
      <c r="C60" s="12"/>
      <c r="D60" s="12"/>
      <c r="E60" s="17">
        <f>SUM(C60:D60)</f>
        <v>0</v>
      </c>
    </row>
    <row r="61" spans="1:6" s="42" customFormat="1" ht="14.25" thickBot="1" x14ac:dyDescent="0.3">
      <c r="A61" s="132" t="s">
        <v>4</v>
      </c>
      <c r="B61" s="155">
        <f>B60+1</f>
        <v>42983</v>
      </c>
      <c r="C61" s="12"/>
      <c r="D61" s="18"/>
      <c r="E61" s="17"/>
    </row>
    <row r="62" spans="1:6" s="42" customFormat="1" ht="14.25" thickBot="1" x14ac:dyDescent="0.3">
      <c r="A62" s="132"/>
      <c r="B62" s="156"/>
      <c r="C62" s="12"/>
      <c r="D62" s="18"/>
      <c r="E62" s="17"/>
    </row>
    <row r="63" spans="1:6" s="42" customFormat="1" ht="14.25" thickBot="1" x14ac:dyDescent="0.3">
      <c r="A63" s="132"/>
      <c r="B63" s="156"/>
      <c r="C63" s="12"/>
      <c r="D63" s="18"/>
      <c r="E63" s="17"/>
    </row>
    <row r="64" spans="1:6" s="42" customFormat="1" ht="14.25" thickBot="1" x14ac:dyDescent="0.3">
      <c r="A64" s="25"/>
      <c r="B64" s="156"/>
      <c r="C64" s="12"/>
      <c r="D64" s="18"/>
      <c r="E64" s="17"/>
    </row>
    <row r="65" spans="1:6" s="42" customFormat="1" ht="14.25" thickBot="1" x14ac:dyDescent="0.3">
      <c r="A65" s="25"/>
      <c r="B65" s="156"/>
      <c r="C65" s="18"/>
      <c r="D65" s="18"/>
      <c r="E65" s="17"/>
    </row>
    <row r="66" spans="1:6" s="42" customFormat="1" ht="14.25" thickBot="1" x14ac:dyDescent="0.3">
      <c r="A66" s="25"/>
      <c r="B66" s="158"/>
      <c r="C66" s="21"/>
      <c r="D66" s="21"/>
      <c r="E66" s="56"/>
    </row>
    <row r="67" spans="1:6" s="42" customFormat="1" ht="14.25" thickBot="1" x14ac:dyDescent="0.3">
      <c r="A67" s="140" t="s">
        <v>19</v>
      </c>
      <c r="B67" s="730" t="s">
        <v>30</v>
      </c>
      <c r="C67" s="102">
        <f>SUM(C60:C66)</f>
        <v>0</v>
      </c>
      <c r="D67" s="102">
        <f>SUM(D60:D66)</f>
        <v>0</v>
      </c>
      <c r="E67" s="102">
        <f>SUM(E60:E66)</f>
        <v>0</v>
      </c>
    </row>
    <row r="68" spans="1:6" s="42" customFormat="1" ht="14.25" thickBot="1" x14ac:dyDescent="0.3">
      <c r="A68" s="99" t="s">
        <v>21</v>
      </c>
      <c r="B68" s="731"/>
      <c r="C68" s="100" t="e">
        <f>AVERAGE(C60:C66)</f>
        <v>#DIV/0!</v>
      </c>
      <c r="D68" s="100" t="e">
        <f>AVERAGE(D60:D66)</f>
        <v>#DIV/0!</v>
      </c>
      <c r="E68" s="100">
        <f>AVERAGE(E60:E66)</f>
        <v>0</v>
      </c>
    </row>
    <row r="69" spans="1:6" s="42" customFormat="1" ht="14.25" thickBot="1" x14ac:dyDescent="0.3">
      <c r="A69" s="26" t="s">
        <v>18</v>
      </c>
      <c r="B69" s="731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2" customFormat="1" ht="14.25" thickBot="1" x14ac:dyDescent="0.3">
      <c r="A70" s="26" t="s">
        <v>20</v>
      </c>
      <c r="B70" s="732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2" customFormat="1" x14ac:dyDescent="0.25">
      <c r="A71" s="4"/>
      <c r="B71" s="116"/>
      <c r="C71" s="45"/>
      <c r="D71" s="45"/>
      <c r="E71" s="45"/>
    </row>
    <row r="72" spans="1:6" s="42" customFormat="1" x14ac:dyDescent="0.25">
      <c r="B72" s="165"/>
      <c r="C72" s="35" t="s">
        <v>62</v>
      </c>
      <c r="D72" s="35" t="s">
        <v>8</v>
      </c>
      <c r="E72" s="757" t="s">
        <v>68</v>
      </c>
      <c r="F72" s="758"/>
    </row>
    <row r="73" spans="1:6" ht="25.5" x14ac:dyDescent="0.25">
      <c r="A73" s="11"/>
      <c r="B73" s="37" t="s">
        <v>28</v>
      </c>
      <c r="C73" s="166">
        <f>SUM(C58:C58, C47:C47, C36:C36, C25:C25, C14:C14, C69:C69)</f>
        <v>0</v>
      </c>
      <c r="D73" s="34">
        <f>SUM(D69:D69, D58:D58, D47:D47, D36:D36, D25:D25, D14:D14)</f>
        <v>0</v>
      </c>
      <c r="E73" s="187" t="s">
        <v>28</v>
      </c>
      <c r="F73" s="96">
        <f>SUM(E14, E25, E36, E47, E58, E69)</f>
        <v>0</v>
      </c>
    </row>
    <row r="74" spans="1:6" ht="25.5" x14ac:dyDescent="0.25">
      <c r="A74" s="11"/>
      <c r="B74" s="37" t="s">
        <v>27</v>
      </c>
      <c r="C74" s="166">
        <f>SUM(C56:C56, C45:C45, C34:C34, C23:C23, C12:C12, C67:C67)</f>
        <v>0</v>
      </c>
      <c r="D74" s="34">
        <f>SUM(D67:D67, D56:D56, D45:D45, D34:D34, D23:D23, D12:D12)</f>
        <v>0</v>
      </c>
      <c r="E74" s="187" t="s">
        <v>27</v>
      </c>
      <c r="F74" s="97">
        <f>SUM(E56, E45, E34, E23, E12, E67)</f>
        <v>0</v>
      </c>
    </row>
    <row r="75" spans="1:6" x14ac:dyDescent="0.25">
      <c r="C75" s="117"/>
      <c r="E75" s="187" t="s">
        <v>20</v>
      </c>
      <c r="F75" s="97">
        <f>AVERAGE(E14, E25, E36, E47, E58, E69)</f>
        <v>0</v>
      </c>
    </row>
    <row r="76" spans="1:6" x14ac:dyDescent="0.25">
      <c r="C76" s="117"/>
      <c r="E76" s="187" t="s">
        <v>56</v>
      </c>
      <c r="F76" s="96">
        <f>AVERAGE(E56, E45, E34, E23, E12, E67)</f>
        <v>0</v>
      </c>
    </row>
    <row r="78" spans="1:6" x14ac:dyDescent="0.25">
      <c r="C78" s="134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8B2EA4-B610-4009-A8FB-2269FE583E55}"/>
</file>

<file path=customXml/itemProps2.xml><?xml version="1.0" encoding="utf-8"?>
<ds:datastoreItem xmlns:ds="http://schemas.openxmlformats.org/officeDocument/2006/customXml" ds:itemID="{A7639CE1-9C89-450C-A29C-41C665B7B157}"/>
</file>

<file path=customXml/itemProps3.xml><?xml version="1.0" encoding="utf-8"?>
<ds:datastoreItem xmlns:ds="http://schemas.openxmlformats.org/officeDocument/2006/customXml" ds:itemID="{1C6343BA-BB4F-4BE1-9654-F19E34C613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2021-08-30T17:47:49Z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