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D Printing Research\Rack and Pinion Drive\"/>
    </mc:Choice>
  </mc:AlternateContent>
  <xr:revisionPtr revIDLastSave="0" documentId="13_ncr:1_{51FF911F-F180-4248-86D9-F54CDF1D9D17}" xr6:coauthVersionLast="45" xr6:coauthVersionMax="45" xr10:uidLastSave="{00000000-0000-0000-0000-000000000000}"/>
  <bookViews>
    <workbookView xWindow="532" yWindow="1050" windowWidth="23731" windowHeight="13087" activeTab="3" xr2:uid="{FFED2D01-329E-4149-8479-E51F042F276C}"/>
  </bookViews>
  <sheets>
    <sheet name="Sheet1" sheetId="1" r:id="rId1"/>
    <sheet name="Rack Drive Parts" sheetId="2" r:id="rId2"/>
    <sheet name="Belt Circle Calcs" sheetId="3" r:id="rId3"/>
    <sheet name="Motor Torque For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4" l="1"/>
  <c r="H17" i="4"/>
  <c r="H16" i="4"/>
  <c r="H15" i="4"/>
  <c r="H13" i="4"/>
  <c r="H12" i="4"/>
  <c r="H11" i="4"/>
  <c r="H10" i="4"/>
  <c r="C11" i="4"/>
  <c r="C10" i="4"/>
  <c r="C8" i="4"/>
  <c r="C9" i="4" s="1"/>
  <c r="C12" i="4" s="1"/>
  <c r="C13" i="4" s="1"/>
  <c r="C7" i="4"/>
  <c r="D25" i="4"/>
  <c r="E23" i="4"/>
  <c r="E24" i="4"/>
  <c r="E21" i="4"/>
  <c r="E22" i="4"/>
  <c r="E20" i="4"/>
  <c r="E19" i="4"/>
  <c r="E18" i="4"/>
  <c r="B7" i="4"/>
  <c r="B10" i="4" s="1"/>
  <c r="B11" i="4" s="1"/>
  <c r="B8" i="4" l="1"/>
  <c r="B9" i="4" s="1"/>
  <c r="B12" i="4" s="1"/>
  <c r="B13" i="4" s="1"/>
  <c r="C25" i="4" s="1"/>
  <c r="E25" i="4" s="1"/>
  <c r="E26" i="4" s="1"/>
  <c r="F4" i="3"/>
  <c r="D21" i="3" l="1"/>
  <c r="B18" i="3"/>
  <c r="B20" i="3" s="1"/>
  <c r="C17" i="3"/>
  <c r="C20" i="3" s="1"/>
  <c r="C21" i="3" s="1"/>
  <c r="C16" i="3"/>
  <c r="D7" i="3"/>
  <c r="C3" i="3" l="1"/>
  <c r="C2" i="3"/>
  <c r="B4" i="3"/>
  <c r="B6" i="3" s="1"/>
  <c r="K36" i="2"/>
  <c r="J36" i="2"/>
  <c r="I36" i="2"/>
  <c r="K35" i="2"/>
  <c r="J35" i="2"/>
  <c r="I35" i="2"/>
  <c r="K32" i="2"/>
  <c r="J32" i="2"/>
  <c r="I32" i="2"/>
  <c r="K31" i="2"/>
  <c r="J31" i="2"/>
  <c r="I31" i="2"/>
  <c r="K28" i="2"/>
  <c r="J28" i="2"/>
  <c r="I28" i="2"/>
  <c r="K18" i="2"/>
  <c r="J18" i="2"/>
  <c r="I18" i="2"/>
  <c r="K16" i="2"/>
  <c r="J16" i="2"/>
  <c r="I16" i="2"/>
  <c r="K15" i="2"/>
  <c r="J15" i="2"/>
  <c r="I15" i="2"/>
  <c r="K12" i="2"/>
  <c r="J12" i="2"/>
  <c r="I12" i="2"/>
  <c r="H36" i="2"/>
  <c r="G36" i="2"/>
  <c r="H35" i="2"/>
  <c r="G35" i="2"/>
  <c r="H29" i="2"/>
  <c r="F29" i="2"/>
  <c r="H28" i="2"/>
  <c r="F28" i="2"/>
  <c r="F19" i="2"/>
  <c r="H19" i="2"/>
  <c r="A16" i="2"/>
  <c r="A9" i="2"/>
  <c r="A17" i="2" s="1"/>
  <c r="C6" i="3" l="1"/>
  <c r="C7" i="3" s="1"/>
  <c r="A10" i="2"/>
  <c r="H3" i="1"/>
  <c r="H4" i="1" s="1"/>
  <c r="I5" i="1" s="1"/>
  <c r="J5" i="1" s="1"/>
  <c r="A11" i="2" l="1"/>
  <c r="A18" i="2"/>
  <c r="A12" i="2" l="1"/>
  <c r="A20" i="2" s="1"/>
  <c r="A21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19" i="2"/>
</calcChain>
</file>

<file path=xl/sharedStrings.xml><?xml version="1.0" encoding="utf-8"?>
<sst xmlns="http://schemas.openxmlformats.org/spreadsheetml/2006/main" count="153" uniqueCount="114">
  <si>
    <t>Gear</t>
  </si>
  <si>
    <t>worm</t>
  </si>
  <si>
    <t>model</t>
  </si>
  <si>
    <t>pitch</t>
  </si>
  <si>
    <t>pressure angle</t>
  </si>
  <si>
    <t>shaft</t>
  </si>
  <si>
    <t>57545K527</t>
  </si>
  <si>
    <t>teeth</t>
  </si>
  <si>
    <t>57545K515</t>
  </si>
  <si>
    <t>Pitch Dia (in)</t>
  </si>
  <si>
    <t>Speed (rpms)</t>
  </si>
  <si>
    <t>Worm Gear</t>
  </si>
  <si>
    <t>Pinion Gear</t>
  </si>
  <si>
    <t>Rack</t>
  </si>
  <si>
    <t>Speed in/min</t>
  </si>
  <si>
    <t>Ft/min</t>
  </si>
  <si>
    <t>Assembled Guide Rails Stage No Flange</t>
  </si>
  <si>
    <t>8080 profile</t>
  </si>
  <si>
    <t>Rail, 28mm</t>
  </si>
  <si>
    <t>Model No</t>
  </si>
  <si>
    <t>9215T824</t>
  </si>
  <si>
    <t>Supplier</t>
  </si>
  <si>
    <t>McMaster</t>
  </si>
  <si>
    <t>Carriage, no flange, 28mm</t>
  </si>
  <si>
    <t>9215T640</t>
  </si>
  <si>
    <t>5174T210</t>
  </si>
  <si>
    <t>Rack, 1/2in x 1/2in, 20 pitch, 20 deg Pres Angle</t>
  </si>
  <si>
    <t>Rack Clamp</t>
  </si>
  <si>
    <t>NA</t>
  </si>
  <si>
    <t>Gen Components</t>
  </si>
  <si>
    <t>Qty</t>
  </si>
  <si>
    <t>L</t>
  </si>
  <si>
    <t>W</t>
  </si>
  <si>
    <t>H</t>
  </si>
  <si>
    <t>mm</t>
  </si>
  <si>
    <t>Pivot Shaft bracket</t>
  </si>
  <si>
    <t>Nema 42 motor</t>
  </si>
  <si>
    <t>Nema 42 motor bracket</t>
  </si>
  <si>
    <t>1/2in bear</t>
  </si>
  <si>
    <t>60355K704</t>
  </si>
  <si>
    <t>retaining ring</t>
  </si>
  <si>
    <t>98410A122</t>
  </si>
  <si>
    <t>Pulley, shaft bored to 19mm</t>
  </si>
  <si>
    <t>6495K15</t>
  </si>
  <si>
    <t>Assembled Belt Rack Drive</t>
  </si>
  <si>
    <t>Gear Plate, Bottom</t>
  </si>
  <si>
    <t>small rack gear</t>
  </si>
  <si>
    <t>5172T210</t>
  </si>
  <si>
    <t>Belt Housing</t>
  </si>
  <si>
    <t>Bearing Housing</t>
  </si>
  <si>
    <t>Timing Belt Pulley</t>
  </si>
  <si>
    <t>Retaining Rings</t>
  </si>
  <si>
    <t>1/2in pivot shaft</t>
  </si>
  <si>
    <t>1/2 in gear shaft</t>
  </si>
  <si>
    <t>Size (mm)</t>
  </si>
  <si>
    <t>Size (in)</t>
  </si>
  <si>
    <t>Raw Stock Size (in)</t>
  </si>
  <si>
    <t>8in x 1/2in dia shaft</t>
  </si>
  <si>
    <t>5in x 1/2in dia shaft</t>
  </si>
  <si>
    <t>4in x 1.25in x 1.25in</t>
  </si>
  <si>
    <t>3in x 1.75in x 1.25in</t>
  </si>
  <si>
    <t>2 x 5.75in x 3.25in x .25in plate + 2x(7.25in x 3.25in x .25in plate)</t>
  </si>
  <si>
    <t>D1 (in)</t>
  </si>
  <si>
    <t>D2 (in)</t>
  </si>
  <si>
    <t>C to C (mm)</t>
  </si>
  <si>
    <t>Belt Length</t>
  </si>
  <si>
    <t>In</t>
  </si>
  <si>
    <t>Ordered</t>
  </si>
  <si>
    <t>X</t>
  </si>
  <si>
    <t>Carriage base Plate no Flange, 1/2 in plate Al</t>
  </si>
  <si>
    <t>3in x 3.25in x .5in</t>
  </si>
  <si>
    <t>x</t>
  </si>
  <si>
    <t>Current</t>
  </si>
  <si>
    <t>Diff</t>
  </si>
  <si>
    <t>Motor</t>
  </si>
  <si>
    <t>gear size (d in)</t>
  </si>
  <si>
    <t>Gear size (r mm)</t>
  </si>
  <si>
    <t>Gear size (r m)</t>
  </si>
  <si>
    <t>Torque (oz-in)</t>
  </si>
  <si>
    <t>Torque (N-m)</t>
  </si>
  <si>
    <t>Gear size (r in)</t>
  </si>
  <si>
    <t>Gear Force (oz)</t>
  </si>
  <si>
    <t>Gear force (lbf)</t>
  </si>
  <si>
    <t>Gear Force (N)</t>
  </si>
  <si>
    <t>Gear Force (kg)</t>
  </si>
  <si>
    <t>Y-axis Weight</t>
  </si>
  <si>
    <t>8080 cross tie</t>
  </si>
  <si>
    <t>length</t>
  </si>
  <si>
    <t>qty</t>
  </si>
  <si>
    <t>total</t>
  </si>
  <si>
    <t>weight (kg)</t>
  </si>
  <si>
    <t>Carriage</t>
  </si>
  <si>
    <t>Gear Rack</t>
  </si>
  <si>
    <t>28mm Guide Rail</t>
  </si>
  <si>
    <t>Grand Total</t>
  </si>
  <si>
    <t>kg</t>
  </si>
  <si>
    <t>Carriage Rack</t>
  </si>
  <si>
    <t>Total Motor Lifting Force</t>
  </si>
  <si>
    <t>Space Capacity (kg)</t>
  </si>
  <si>
    <t>Pulley Ratios</t>
  </si>
  <si>
    <t>Belt 1</t>
  </si>
  <si>
    <t>Belt 2</t>
  </si>
  <si>
    <t>Belt 3</t>
  </si>
  <si>
    <t>Dia (in)</t>
  </si>
  <si>
    <t>Motor-belt1</t>
  </si>
  <si>
    <t>Belt 1 - Belt 2</t>
  </si>
  <si>
    <t>Belt 2 - Belt 3</t>
  </si>
  <si>
    <t>Belt 3 - gear</t>
  </si>
  <si>
    <t>Torque in</t>
  </si>
  <si>
    <t>Torque out</t>
  </si>
  <si>
    <t>Force on Belt 1 (lbs)</t>
  </si>
  <si>
    <t>Force on Belt 2</t>
  </si>
  <si>
    <t>Force on gear (lbs)</t>
  </si>
  <si>
    <t>Force on Gear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</si>
</sst>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D6B-F188-4C48-8191-E0C14A7B5D9E}">
  <dimension ref="A1:J5"/>
  <sheetViews>
    <sheetView workbookViewId="0">
      <selection activeCell="H2" sqref="H2"/>
    </sheetView>
  </sheetViews>
  <sheetFormatPr defaultRowHeight="14.25" x14ac:dyDescent="0.45"/>
  <cols>
    <col min="1" max="1" width="11.46484375" customWidth="1"/>
    <col min="2" max="2" width="13.73046875" customWidth="1"/>
    <col min="6" max="6" width="16.06640625" customWidth="1"/>
    <col min="8" max="8" width="11.86328125" customWidth="1"/>
    <col min="9" max="9" width="11.53125" customWidth="1"/>
  </cols>
  <sheetData>
    <row r="1" spans="1:10" x14ac:dyDescent="0.45">
      <c r="A1" t="s">
        <v>0</v>
      </c>
      <c r="B1" t="s">
        <v>2</v>
      </c>
      <c r="C1" t="s">
        <v>3</v>
      </c>
      <c r="D1" t="s">
        <v>7</v>
      </c>
      <c r="E1" t="s">
        <v>9</v>
      </c>
      <c r="F1" t="s">
        <v>4</v>
      </c>
      <c r="G1" t="s">
        <v>5</v>
      </c>
      <c r="H1" t="s">
        <v>10</v>
      </c>
      <c r="I1" t="s">
        <v>14</v>
      </c>
      <c r="J1" t="s">
        <v>15</v>
      </c>
    </row>
    <row r="2" spans="1:10" x14ac:dyDescent="0.45">
      <c r="A2" t="s">
        <v>1</v>
      </c>
      <c r="B2" t="s">
        <v>6</v>
      </c>
      <c r="C2">
        <v>12</v>
      </c>
      <c r="D2">
        <v>1</v>
      </c>
      <c r="E2">
        <v>1</v>
      </c>
      <c r="F2">
        <v>14.5</v>
      </c>
      <c r="G2">
        <v>0.5</v>
      </c>
      <c r="H2">
        <v>3000</v>
      </c>
    </row>
    <row r="3" spans="1:10" x14ac:dyDescent="0.45">
      <c r="A3" t="s">
        <v>11</v>
      </c>
      <c r="B3" t="s">
        <v>8</v>
      </c>
      <c r="C3">
        <v>12</v>
      </c>
      <c r="D3">
        <v>30</v>
      </c>
      <c r="E3">
        <v>2.5</v>
      </c>
      <c r="F3">
        <v>14.5</v>
      </c>
      <c r="G3">
        <v>0.5</v>
      </c>
      <c r="H3">
        <f>H2*D2/D3</f>
        <v>100</v>
      </c>
    </row>
    <row r="4" spans="1:10" x14ac:dyDescent="0.45">
      <c r="A4" t="s">
        <v>12</v>
      </c>
      <c r="C4">
        <v>20</v>
      </c>
      <c r="D4">
        <v>30</v>
      </c>
      <c r="H4">
        <f>H3*D3/D4</f>
        <v>100</v>
      </c>
    </row>
    <row r="5" spans="1:10" x14ac:dyDescent="0.45">
      <c r="A5" t="s">
        <v>13</v>
      </c>
      <c r="C5">
        <v>20</v>
      </c>
      <c r="I5">
        <f>H4*D4/C5</f>
        <v>150</v>
      </c>
      <c r="J5" s="1">
        <f>I5/12</f>
        <v>12.5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89A-B594-4E07-A0F2-8A14D89EC163}">
  <dimension ref="A5:M44"/>
  <sheetViews>
    <sheetView topLeftCell="A4" workbookViewId="0">
      <selection activeCell="F16" sqref="F16"/>
    </sheetView>
  </sheetViews>
  <sheetFormatPr defaultRowHeight="14.25" x14ac:dyDescent="0.45"/>
  <cols>
    <col min="2" max="2" width="39.6640625" customWidth="1"/>
    <col min="3" max="3" width="11.19921875" style="2" customWidth="1"/>
    <col min="4" max="4" width="6.796875" customWidth="1"/>
    <col min="5" max="5" width="11.796875" customWidth="1"/>
    <col min="6" max="6" width="10.3984375" style="2" customWidth="1"/>
    <col min="7" max="8" width="9.06640625" style="2"/>
    <col min="13" max="13" width="16.53125" customWidth="1"/>
  </cols>
  <sheetData>
    <row r="5" spans="1:13" x14ac:dyDescent="0.45">
      <c r="A5" t="s">
        <v>16</v>
      </c>
      <c r="F5" s="5" t="s">
        <v>54</v>
      </c>
      <c r="G5" s="5"/>
      <c r="H5" s="5"/>
      <c r="I5" s="5" t="s">
        <v>55</v>
      </c>
      <c r="J5" s="5"/>
      <c r="K5" s="5"/>
      <c r="L5" s="3" t="s">
        <v>67</v>
      </c>
      <c r="M5" t="s">
        <v>56</v>
      </c>
    </row>
    <row r="6" spans="1:13" x14ac:dyDescent="0.45">
      <c r="C6" s="2" t="s">
        <v>19</v>
      </c>
      <c r="D6" t="s">
        <v>30</v>
      </c>
      <c r="E6" t="s">
        <v>21</v>
      </c>
      <c r="F6" s="2" t="s">
        <v>31</v>
      </c>
      <c r="G6" s="2" t="s">
        <v>32</v>
      </c>
      <c r="H6" s="2" t="s">
        <v>33</v>
      </c>
      <c r="I6" s="2" t="s">
        <v>31</v>
      </c>
      <c r="J6" s="2" t="s">
        <v>32</v>
      </c>
      <c r="K6" s="2" t="s">
        <v>33</v>
      </c>
      <c r="L6" s="3"/>
    </row>
    <row r="8" spans="1:13" x14ac:dyDescent="0.45">
      <c r="A8">
        <v>1</v>
      </c>
      <c r="B8" t="s">
        <v>17</v>
      </c>
      <c r="C8" s="2">
        <v>8080</v>
      </c>
      <c r="D8">
        <v>1</v>
      </c>
      <c r="F8" s="2">
        <v>300</v>
      </c>
    </row>
    <row r="9" spans="1:13" x14ac:dyDescent="0.45">
      <c r="A9">
        <f>A8+1</f>
        <v>2</v>
      </c>
      <c r="B9" t="s">
        <v>18</v>
      </c>
      <c r="C9" s="2" t="s">
        <v>20</v>
      </c>
      <c r="D9">
        <v>1</v>
      </c>
      <c r="E9" t="s">
        <v>22</v>
      </c>
    </row>
    <row r="10" spans="1:13" x14ac:dyDescent="0.45">
      <c r="A10">
        <f t="shared" ref="A10:A44" si="0">A9+1</f>
        <v>3</v>
      </c>
      <c r="B10" t="s">
        <v>23</v>
      </c>
      <c r="C10" s="2" t="s">
        <v>24</v>
      </c>
      <c r="E10" t="s">
        <v>22</v>
      </c>
    </row>
    <row r="11" spans="1:13" x14ac:dyDescent="0.45">
      <c r="A11">
        <f t="shared" si="0"/>
        <v>4</v>
      </c>
      <c r="B11" t="s">
        <v>26</v>
      </c>
      <c r="C11" s="2" t="s">
        <v>25</v>
      </c>
    </row>
    <row r="12" spans="1:13" x14ac:dyDescent="0.45">
      <c r="A12">
        <f t="shared" si="0"/>
        <v>5</v>
      </c>
      <c r="B12" t="s">
        <v>27</v>
      </c>
      <c r="C12" s="2" t="s">
        <v>28</v>
      </c>
      <c r="F12" s="2">
        <v>80</v>
      </c>
      <c r="G12" s="2">
        <v>30</v>
      </c>
      <c r="H12" s="2">
        <v>30</v>
      </c>
      <c r="I12" s="4">
        <f>F12/25.4</f>
        <v>3.1496062992125986</v>
      </c>
      <c r="J12" s="4">
        <f t="shared" ref="J12:K12" si="1">G12/25.4</f>
        <v>1.1811023622047245</v>
      </c>
      <c r="K12" s="4">
        <f t="shared" si="1"/>
        <v>1.1811023622047245</v>
      </c>
      <c r="L12" s="4" t="s">
        <v>68</v>
      </c>
      <c r="M12" t="s">
        <v>59</v>
      </c>
    </row>
    <row r="14" spans="1:13" x14ac:dyDescent="0.45">
      <c r="A14" t="s">
        <v>29</v>
      </c>
    </row>
    <row r="15" spans="1:13" x14ac:dyDescent="0.45">
      <c r="A15">
        <v>1</v>
      </c>
      <c r="B15" t="s">
        <v>69</v>
      </c>
      <c r="C15" s="2" t="s">
        <v>28</v>
      </c>
      <c r="D15">
        <v>1</v>
      </c>
      <c r="F15" s="2">
        <v>70</v>
      </c>
      <c r="G15" s="2">
        <v>80</v>
      </c>
      <c r="H15" s="2">
        <v>6.35</v>
      </c>
      <c r="I15" s="4">
        <f t="shared" ref="I15:I16" si="2">F15/25.4</f>
        <v>2.7559055118110236</v>
      </c>
      <c r="J15" s="4">
        <f t="shared" ref="J15:J16" si="3">G15/25.4</f>
        <v>3.1496062992125986</v>
      </c>
      <c r="K15" s="4">
        <f t="shared" ref="K15:K16" si="4">H15/25.4</f>
        <v>0.25</v>
      </c>
      <c r="L15" s="4" t="s">
        <v>71</v>
      </c>
      <c r="M15" t="s">
        <v>70</v>
      </c>
    </row>
    <row r="16" spans="1:13" x14ac:dyDescent="0.45">
      <c r="A16">
        <f>A8+1</f>
        <v>2</v>
      </c>
      <c r="B16" t="s">
        <v>35</v>
      </c>
      <c r="C16" s="2" t="s">
        <v>28</v>
      </c>
      <c r="D16">
        <v>2</v>
      </c>
      <c r="F16" s="2">
        <v>70</v>
      </c>
      <c r="G16" s="2">
        <v>40</v>
      </c>
      <c r="H16" s="2">
        <v>30</v>
      </c>
      <c r="I16" s="4">
        <f t="shared" si="2"/>
        <v>2.7559055118110236</v>
      </c>
      <c r="J16" s="4">
        <f t="shared" si="3"/>
        <v>1.5748031496062993</v>
      </c>
      <c r="K16" s="4">
        <f t="shared" si="4"/>
        <v>1.1811023622047245</v>
      </c>
      <c r="L16" s="4" t="s">
        <v>71</v>
      </c>
      <c r="M16" t="s">
        <v>60</v>
      </c>
    </row>
    <row r="17" spans="1:13" x14ac:dyDescent="0.45">
      <c r="A17">
        <f t="shared" ref="A17:A19" si="5">A9+1</f>
        <v>3</v>
      </c>
      <c r="B17" t="s">
        <v>36</v>
      </c>
      <c r="C17" s="2" t="s">
        <v>28</v>
      </c>
      <c r="D17">
        <v>1</v>
      </c>
    </row>
    <row r="18" spans="1:13" x14ac:dyDescent="0.45">
      <c r="A18">
        <f t="shared" si="5"/>
        <v>4</v>
      </c>
      <c r="B18" t="s">
        <v>37</v>
      </c>
      <c r="C18" s="2" t="s">
        <v>28</v>
      </c>
      <c r="D18">
        <v>1</v>
      </c>
      <c r="F18" s="2">
        <v>140</v>
      </c>
      <c r="G18" s="2">
        <v>80</v>
      </c>
      <c r="H18" s="2">
        <v>182</v>
      </c>
      <c r="I18" s="4">
        <f t="shared" ref="I18" si="6">F18/25.4</f>
        <v>5.5118110236220472</v>
      </c>
      <c r="J18" s="4">
        <f t="shared" ref="J18" si="7">G18/25.4</f>
        <v>3.1496062992125986</v>
      </c>
      <c r="K18" s="4">
        <f t="shared" ref="K18" si="8">H18/25.4</f>
        <v>7.165354330708662</v>
      </c>
      <c r="L18" s="4" t="s">
        <v>71</v>
      </c>
      <c r="M18" t="s">
        <v>61</v>
      </c>
    </row>
    <row r="19" spans="1:13" x14ac:dyDescent="0.45">
      <c r="A19">
        <f t="shared" si="5"/>
        <v>5</v>
      </c>
      <c r="B19" t="s">
        <v>38</v>
      </c>
      <c r="C19" s="2" t="s">
        <v>39</v>
      </c>
      <c r="D19">
        <v>2</v>
      </c>
      <c r="E19" t="s">
        <v>22</v>
      </c>
      <c r="F19" s="2">
        <f>1.125*25.4</f>
        <v>28.574999999999999</v>
      </c>
      <c r="H19" s="2">
        <f>5/16*25.4</f>
        <v>7.9375</v>
      </c>
    </row>
    <row r="20" spans="1:13" x14ac:dyDescent="0.45">
      <c r="A20">
        <f>A12+1</f>
        <v>6</v>
      </c>
      <c r="B20" t="s">
        <v>40</v>
      </c>
      <c r="C20" s="2" t="s">
        <v>41</v>
      </c>
      <c r="D20">
        <v>2</v>
      </c>
      <c r="E20" t="s">
        <v>22</v>
      </c>
    </row>
    <row r="21" spans="1:13" x14ac:dyDescent="0.45">
      <c r="A21">
        <f t="shared" si="0"/>
        <v>7</v>
      </c>
      <c r="B21" t="s">
        <v>42</v>
      </c>
      <c r="C21" s="2" t="s">
        <v>43</v>
      </c>
      <c r="D21">
        <v>1</v>
      </c>
      <c r="E21" t="s">
        <v>22</v>
      </c>
    </row>
    <row r="26" spans="1:13" x14ac:dyDescent="0.45">
      <c r="A26" t="s">
        <v>44</v>
      </c>
    </row>
    <row r="28" spans="1:13" x14ac:dyDescent="0.45">
      <c r="A28">
        <v>1</v>
      </c>
      <c r="B28" t="s">
        <v>45</v>
      </c>
      <c r="C28" s="2" t="s">
        <v>28</v>
      </c>
      <c r="D28">
        <v>1</v>
      </c>
      <c r="F28" s="2">
        <f>190+85</f>
        <v>275</v>
      </c>
      <c r="G28" s="2">
        <v>85</v>
      </c>
      <c r="H28" s="2">
        <f>0.5*25.4</f>
        <v>12.7</v>
      </c>
      <c r="I28" s="4">
        <f t="shared" ref="I28" si="9">F28/25.4</f>
        <v>10.826771653543307</v>
      </c>
      <c r="J28" s="4">
        <f t="shared" ref="J28" si="10">G28/25.4</f>
        <v>3.3464566929133861</v>
      </c>
      <c r="K28" s="4">
        <f t="shared" ref="K28" si="11">H28/25.4</f>
        <v>0.5</v>
      </c>
      <c r="L28" s="4"/>
    </row>
    <row r="29" spans="1:13" x14ac:dyDescent="0.45">
      <c r="A29">
        <f t="shared" si="0"/>
        <v>2</v>
      </c>
      <c r="B29" t="s">
        <v>38</v>
      </c>
      <c r="C29" s="2" t="s">
        <v>39</v>
      </c>
      <c r="D29">
        <v>5</v>
      </c>
      <c r="E29" t="s">
        <v>22</v>
      </c>
      <c r="F29" s="2">
        <f>1.125*25.4</f>
        <v>28.574999999999999</v>
      </c>
      <c r="H29" s="2">
        <f>5/16*25.4</f>
        <v>7.9375</v>
      </c>
    </row>
    <row r="30" spans="1:13" x14ac:dyDescent="0.45">
      <c r="A30">
        <f t="shared" si="0"/>
        <v>3</v>
      </c>
      <c r="B30" t="s">
        <v>46</v>
      </c>
      <c r="C30" s="2" t="s">
        <v>47</v>
      </c>
      <c r="D30">
        <v>1</v>
      </c>
      <c r="E30" t="s">
        <v>22</v>
      </c>
    </row>
    <row r="31" spans="1:13" x14ac:dyDescent="0.45">
      <c r="A31">
        <f t="shared" si="0"/>
        <v>4</v>
      </c>
      <c r="B31" t="s">
        <v>48</v>
      </c>
      <c r="C31" s="2" t="s">
        <v>28</v>
      </c>
      <c r="D31">
        <v>2</v>
      </c>
      <c r="F31" s="2">
        <v>50</v>
      </c>
      <c r="G31" s="2">
        <v>85</v>
      </c>
      <c r="H31" s="2">
        <v>85</v>
      </c>
      <c r="I31" s="4">
        <f t="shared" ref="I31:I32" si="12">F31/25.4</f>
        <v>1.9685039370078741</v>
      </c>
      <c r="J31" s="4">
        <f t="shared" ref="J31:J32" si="13">G31/25.4</f>
        <v>3.3464566929133861</v>
      </c>
      <c r="K31" s="4">
        <f t="shared" ref="K31:K32" si="14">H31/25.4</f>
        <v>3.3464566929133861</v>
      </c>
      <c r="L31" s="4" t="s">
        <v>71</v>
      </c>
    </row>
    <row r="32" spans="1:13" x14ac:dyDescent="0.45">
      <c r="A32">
        <f t="shared" si="0"/>
        <v>5</v>
      </c>
      <c r="B32" t="s">
        <v>49</v>
      </c>
      <c r="C32" s="2" t="s">
        <v>28</v>
      </c>
      <c r="D32">
        <v>1</v>
      </c>
      <c r="F32" s="2">
        <v>28</v>
      </c>
      <c r="G32" s="2">
        <v>85</v>
      </c>
      <c r="H32" s="2">
        <v>85</v>
      </c>
      <c r="I32" s="4">
        <f t="shared" si="12"/>
        <v>1.1023622047244095</v>
      </c>
      <c r="J32" s="4">
        <f t="shared" si="13"/>
        <v>3.3464566929133861</v>
      </c>
      <c r="K32" s="4">
        <f t="shared" si="14"/>
        <v>3.3464566929133861</v>
      </c>
      <c r="L32" s="4" t="s">
        <v>71</v>
      </c>
    </row>
    <row r="33" spans="1:13" x14ac:dyDescent="0.45">
      <c r="A33">
        <f t="shared" si="0"/>
        <v>6</v>
      </c>
      <c r="B33" t="s">
        <v>50</v>
      </c>
      <c r="C33" s="2" t="s">
        <v>43</v>
      </c>
      <c r="D33">
        <v>3</v>
      </c>
      <c r="E33" t="s">
        <v>22</v>
      </c>
    </row>
    <row r="34" spans="1:13" x14ac:dyDescent="0.45">
      <c r="A34">
        <f t="shared" si="0"/>
        <v>7</v>
      </c>
      <c r="B34" t="s">
        <v>51</v>
      </c>
      <c r="C34" s="2" t="s">
        <v>41</v>
      </c>
      <c r="D34">
        <v>5</v>
      </c>
      <c r="E34" t="s">
        <v>22</v>
      </c>
    </row>
    <row r="35" spans="1:13" x14ac:dyDescent="0.45">
      <c r="A35">
        <f t="shared" si="0"/>
        <v>8</v>
      </c>
      <c r="B35" t="s">
        <v>52</v>
      </c>
      <c r="C35" s="2" t="s">
        <v>28</v>
      </c>
      <c r="D35">
        <v>1</v>
      </c>
      <c r="F35" s="2">
        <v>187</v>
      </c>
      <c r="G35" s="2">
        <f>0.5*25.4</f>
        <v>12.7</v>
      </c>
      <c r="H35" s="2">
        <f>0.5*25.4</f>
        <v>12.7</v>
      </c>
      <c r="I35" s="4">
        <f t="shared" ref="I35:I36" si="15">F35/25.4</f>
        <v>7.3622047244094491</v>
      </c>
      <c r="J35" s="4">
        <f t="shared" ref="J35:J36" si="16">G35/25.4</f>
        <v>0.5</v>
      </c>
      <c r="K35" s="4">
        <f t="shared" ref="K35:K36" si="17">H35/25.4</f>
        <v>0.5</v>
      </c>
      <c r="L35" s="4" t="s">
        <v>71</v>
      </c>
      <c r="M35" t="s">
        <v>57</v>
      </c>
    </row>
    <row r="36" spans="1:13" x14ac:dyDescent="0.45">
      <c r="A36">
        <f t="shared" si="0"/>
        <v>9</v>
      </c>
      <c r="B36" t="s">
        <v>53</v>
      </c>
      <c r="C36" s="2" t="s">
        <v>28</v>
      </c>
      <c r="D36">
        <v>1</v>
      </c>
      <c r="F36" s="2">
        <v>120</v>
      </c>
      <c r="G36" s="2">
        <f>0.5*25.4</f>
        <v>12.7</v>
      </c>
      <c r="H36" s="2">
        <f>0.5*25.4</f>
        <v>12.7</v>
      </c>
      <c r="I36" s="4">
        <f t="shared" si="15"/>
        <v>4.7244094488188981</v>
      </c>
      <c r="J36" s="4">
        <f t="shared" si="16"/>
        <v>0.5</v>
      </c>
      <c r="K36" s="4">
        <f t="shared" si="17"/>
        <v>0.5</v>
      </c>
      <c r="L36" s="4" t="s">
        <v>71</v>
      </c>
      <c r="M36" t="s">
        <v>58</v>
      </c>
    </row>
    <row r="37" spans="1:13" x14ac:dyDescent="0.45">
      <c r="A37">
        <f t="shared" si="0"/>
        <v>10</v>
      </c>
    </row>
    <row r="38" spans="1:13" x14ac:dyDescent="0.45">
      <c r="A38">
        <f t="shared" si="0"/>
        <v>11</v>
      </c>
    </row>
    <row r="39" spans="1:13" x14ac:dyDescent="0.45">
      <c r="A39">
        <f t="shared" si="0"/>
        <v>12</v>
      </c>
    </row>
    <row r="40" spans="1:13" x14ac:dyDescent="0.45">
      <c r="A40">
        <f t="shared" si="0"/>
        <v>13</v>
      </c>
    </row>
    <row r="41" spans="1:13" x14ac:dyDescent="0.45">
      <c r="A41">
        <f t="shared" si="0"/>
        <v>14</v>
      </c>
    </row>
    <row r="42" spans="1:13" x14ac:dyDescent="0.45">
      <c r="A42">
        <f t="shared" si="0"/>
        <v>15</v>
      </c>
    </row>
    <row r="43" spans="1:13" x14ac:dyDescent="0.45">
      <c r="A43">
        <f t="shared" si="0"/>
        <v>16</v>
      </c>
    </row>
    <row r="44" spans="1:13" x14ac:dyDescent="0.45">
      <c r="A44">
        <f t="shared" si="0"/>
        <v>17</v>
      </c>
    </row>
  </sheetData>
  <mergeCells count="2"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CF28-D688-445E-AC45-939F5AFCAAD6}">
  <dimension ref="A1:F21"/>
  <sheetViews>
    <sheetView workbookViewId="0">
      <selection activeCell="C5" sqref="C5"/>
    </sheetView>
  </sheetViews>
  <sheetFormatPr defaultRowHeight="14.25" x14ac:dyDescent="0.45"/>
  <cols>
    <col min="1" max="1" width="13.33203125" customWidth="1"/>
  </cols>
  <sheetData>
    <row r="1" spans="1:6" x14ac:dyDescent="0.45">
      <c r="B1" t="s">
        <v>66</v>
      </c>
      <c r="C1" t="s">
        <v>34</v>
      </c>
    </row>
    <row r="2" spans="1:6" x14ac:dyDescent="0.45">
      <c r="A2" t="s">
        <v>62</v>
      </c>
      <c r="B2">
        <v>2.02</v>
      </c>
      <c r="C2">
        <f>B2*25.4</f>
        <v>51.308</v>
      </c>
    </row>
    <row r="3" spans="1:6" x14ac:dyDescent="0.45">
      <c r="A3" t="s">
        <v>63</v>
      </c>
      <c r="B3">
        <v>2.02</v>
      </c>
      <c r="C3">
        <f>B3*25.4</f>
        <v>51.308</v>
      </c>
      <c r="E3" t="s">
        <v>72</v>
      </c>
      <c r="F3" t="s">
        <v>73</v>
      </c>
    </row>
    <row r="4" spans="1:6" x14ac:dyDescent="0.45">
      <c r="A4" t="s">
        <v>64</v>
      </c>
      <c r="B4">
        <f>C4/25.4</f>
        <v>5.6858267716535433</v>
      </c>
      <c r="C4">
        <v>144.41999999999999</v>
      </c>
      <c r="E4">
        <v>120.32</v>
      </c>
      <c r="F4">
        <f>C4-E4</f>
        <v>24.099999999999994</v>
      </c>
    </row>
    <row r="6" spans="1:6" x14ac:dyDescent="0.45">
      <c r="A6" t="s">
        <v>65</v>
      </c>
      <c r="B6">
        <f>2*B4+1.57*(B3+B2)+((B2-B3)^2)/(4*B4)</f>
        <v>17.714453543307087</v>
      </c>
      <c r="C6">
        <f>2*C4+1.57*(C3+C2)+((C2-C3)^2)/(4*C4)</f>
        <v>449.94711999999998</v>
      </c>
    </row>
    <row r="7" spans="1:6" x14ac:dyDescent="0.45">
      <c r="C7">
        <f>C6/25.4</f>
        <v>17.714453543307087</v>
      </c>
      <c r="D7">
        <f>0.3*16</f>
        <v>4.8</v>
      </c>
    </row>
    <row r="15" spans="1:6" x14ac:dyDescent="0.45">
      <c r="B15" t="s">
        <v>66</v>
      </c>
      <c r="C15" t="s">
        <v>34</v>
      </c>
    </row>
    <row r="16" spans="1:6" x14ac:dyDescent="0.45">
      <c r="A16" t="s">
        <v>62</v>
      </c>
      <c r="B16">
        <v>2.02</v>
      </c>
      <c r="C16">
        <f>B16*25.4</f>
        <v>51.308</v>
      </c>
    </row>
    <row r="17" spans="1:4" x14ac:dyDescent="0.45">
      <c r="A17" t="s">
        <v>63</v>
      </c>
      <c r="B17">
        <v>2.02</v>
      </c>
      <c r="C17">
        <f>B17*25.4</f>
        <v>51.308</v>
      </c>
    </row>
    <row r="18" spans="1:4" x14ac:dyDescent="0.45">
      <c r="A18" t="s">
        <v>64</v>
      </c>
      <c r="B18">
        <f>C18/25.4</f>
        <v>5.2480314960629926</v>
      </c>
      <c r="C18">
        <v>133.30000000000001</v>
      </c>
    </row>
    <row r="20" spans="1:4" x14ac:dyDescent="0.45">
      <c r="A20" t="s">
        <v>65</v>
      </c>
      <c r="B20">
        <f>2*B18+1.57*(B17+B16)+((B16-B17)^2)/(4*B18)</f>
        <v>16.838862992125986</v>
      </c>
      <c r="C20">
        <f>2*C18+1.57*(C17+C16)+((C16-C17)^2)/(4*C18)</f>
        <v>427.70712000000003</v>
      </c>
    </row>
    <row r="21" spans="1:4" x14ac:dyDescent="0.45">
      <c r="C21">
        <f>C20/25.4</f>
        <v>16.838862992125986</v>
      </c>
      <c r="D21">
        <f>0.3*16</f>
        <v>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B348-5923-4C76-AF31-886A6F6D03B4}">
  <dimension ref="A3:J26"/>
  <sheetViews>
    <sheetView tabSelected="1" workbookViewId="0">
      <selection activeCell="H20" sqref="H20"/>
    </sheetView>
  </sheetViews>
  <sheetFormatPr defaultRowHeight="14.25" x14ac:dyDescent="0.45"/>
  <cols>
    <col min="1" max="1" width="22.19921875" customWidth="1"/>
    <col min="7" max="7" width="18.46484375" customWidth="1"/>
    <col min="8" max="8" width="9.19921875" bestFit="1" customWidth="1"/>
  </cols>
  <sheetData>
    <row r="3" spans="1:10" x14ac:dyDescent="0.45">
      <c r="A3" t="s">
        <v>74</v>
      </c>
      <c r="G3" t="s">
        <v>99</v>
      </c>
      <c r="H3" t="s">
        <v>103</v>
      </c>
      <c r="I3" t="s">
        <v>108</v>
      </c>
      <c r="J3" t="s">
        <v>109</v>
      </c>
    </row>
    <row r="4" spans="1:10" x14ac:dyDescent="0.45">
      <c r="A4" t="s">
        <v>79</v>
      </c>
      <c r="B4">
        <v>30</v>
      </c>
      <c r="C4">
        <v>30</v>
      </c>
      <c r="G4" t="s">
        <v>74</v>
      </c>
      <c r="H4">
        <v>1.91</v>
      </c>
    </row>
    <row r="5" spans="1:10" x14ac:dyDescent="0.45">
      <c r="A5" t="s">
        <v>78</v>
      </c>
      <c r="B5">
        <v>4248</v>
      </c>
      <c r="C5">
        <v>4248</v>
      </c>
      <c r="G5" t="s">
        <v>100</v>
      </c>
      <c r="H5">
        <v>1.91</v>
      </c>
    </row>
    <row r="6" spans="1:10" x14ac:dyDescent="0.45">
      <c r="A6" t="s">
        <v>75</v>
      </c>
      <c r="B6">
        <v>1</v>
      </c>
      <c r="C6">
        <v>1</v>
      </c>
      <c r="G6" t="s">
        <v>101</v>
      </c>
      <c r="H6">
        <v>1.91</v>
      </c>
    </row>
    <row r="7" spans="1:10" x14ac:dyDescent="0.45">
      <c r="A7" t="s">
        <v>80</v>
      </c>
      <c r="B7">
        <f>B6/2</f>
        <v>0.5</v>
      </c>
      <c r="C7">
        <f>C6/2</f>
        <v>0.5</v>
      </c>
      <c r="G7" t="s">
        <v>102</v>
      </c>
      <c r="H7">
        <v>1.91</v>
      </c>
    </row>
    <row r="8" spans="1:10" x14ac:dyDescent="0.45">
      <c r="A8" t="s">
        <v>76</v>
      </c>
      <c r="B8">
        <f>B7*25.4</f>
        <v>12.7</v>
      </c>
      <c r="C8">
        <f>C7*25.4</f>
        <v>12.7</v>
      </c>
      <c r="G8" t="s">
        <v>0</v>
      </c>
      <c r="H8">
        <v>1</v>
      </c>
    </row>
    <row r="9" spans="1:10" x14ac:dyDescent="0.45">
      <c r="A9" t="s">
        <v>77</v>
      </c>
      <c r="B9">
        <f>B8/1000</f>
        <v>1.2699999999999999E-2</v>
      </c>
      <c r="C9">
        <f>C8/1000</f>
        <v>1.2699999999999999E-2</v>
      </c>
    </row>
    <row r="10" spans="1:10" x14ac:dyDescent="0.45">
      <c r="A10" t="s">
        <v>81</v>
      </c>
      <c r="B10">
        <f>B5/B7</f>
        <v>8496</v>
      </c>
      <c r="C10">
        <f>C5/C7</f>
        <v>8496</v>
      </c>
      <c r="G10" t="s">
        <v>104</v>
      </c>
      <c r="H10">
        <f>H4/H5</f>
        <v>1</v>
      </c>
    </row>
    <row r="11" spans="1:10" x14ac:dyDescent="0.45">
      <c r="A11" t="s">
        <v>82</v>
      </c>
      <c r="B11">
        <f>B10/16</f>
        <v>531</v>
      </c>
      <c r="C11">
        <f>C10/16</f>
        <v>531</v>
      </c>
      <c r="G11" t="s">
        <v>105</v>
      </c>
      <c r="H11">
        <f>H5/H6</f>
        <v>1</v>
      </c>
    </row>
    <row r="12" spans="1:10" x14ac:dyDescent="0.45">
      <c r="A12" t="s">
        <v>83</v>
      </c>
      <c r="B12">
        <f>B4/B9</f>
        <v>2362.2047244094488</v>
      </c>
      <c r="C12">
        <f>C4/C9</f>
        <v>2362.2047244094488</v>
      </c>
      <c r="G12" t="s">
        <v>106</v>
      </c>
      <c r="H12">
        <f>H6/H7</f>
        <v>1</v>
      </c>
    </row>
    <row r="13" spans="1:10" x14ac:dyDescent="0.45">
      <c r="A13" t="s">
        <v>84</v>
      </c>
      <c r="B13">
        <f>B12/9.81</f>
        <v>240.79558862481639</v>
      </c>
      <c r="C13">
        <f>C12/9.81</f>
        <v>240.79558862481639</v>
      </c>
      <c r="G13" t="s">
        <v>107</v>
      </c>
      <c r="H13">
        <f>H7/H8</f>
        <v>1.91</v>
      </c>
    </row>
    <row r="15" spans="1:10" x14ac:dyDescent="0.45">
      <c r="G15" t="s">
        <v>110</v>
      </c>
      <c r="H15" s="1">
        <f>B5/(H4/2)/16</f>
        <v>278.01047120418849</v>
      </c>
    </row>
    <row r="16" spans="1:10" x14ac:dyDescent="0.45">
      <c r="G16" t="s">
        <v>111</v>
      </c>
      <c r="H16" s="1">
        <f>H15*H11</f>
        <v>278.01047120418849</v>
      </c>
    </row>
    <row r="17" spans="1:8" x14ac:dyDescent="0.45">
      <c r="A17" t="s">
        <v>85</v>
      </c>
      <c r="B17" t="s">
        <v>87</v>
      </c>
      <c r="C17" t="s">
        <v>90</v>
      </c>
      <c r="D17" t="s">
        <v>88</v>
      </c>
      <c r="E17" t="s">
        <v>89</v>
      </c>
      <c r="G17" t="s">
        <v>112</v>
      </c>
      <c r="H17" s="1">
        <f>H16*H13</f>
        <v>531</v>
      </c>
    </row>
    <row r="18" spans="1:8" x14ac:dyDescent="0.45">
      <c r="A18" t="s">
        <v>86</v>
      </c>
      <c r="C18">
        <v>10.4</v>
      </c>
      <c r="D18">
        <v>2</v>
      </c>
      <c r="E18">
        <f>D18*C18</f>
        <v>20.8</v>
      </c>
      <c r="G18" t="s">
        <v>113</v>
      </c>
      <c r="H18" s="1">
        <f>H17/2.2</f>
        <v>241.36363636363635</v>
      </c>
    </row>
    <row r="19" spans="1:8" x14ac:dyDescent="0.45">
      <c r="A19" t="s">
        <v>36</v>
      </c>
      <c r="C19">
        <v>9</v>
      </c>
      <c r="D19">
        <v>2</v>
      </c>
      <c r="E19">
        <f t="shared" ref="E19:E23" si="0">D19*C19</f>
        <v>18</v>
      </c>
    </row>
    <row r="20" spans="1:8" x14ac:dyDescent="0.45">
      <c r="A20" t="s">
        <v>91</v>
      </c>
      <c r="C20">
        <v>1.3</v>
      </c>
      <c r="D20">
        <v>4</v>
      </c>
      <c r="E20">
        <f t="shared" si="0"/>
        <v>5.2</v>
      </c>
    </row>
    <row r="21" spans="1:8" x14ac:dyDescent="0.45">
      <c r="A21" t="s">
        <v>92</v>
      </c>
      <c r="C21">
        <v>4.7</v>
      </c>
      <c r="D21">
        <v>4</v>
      </c>
      <c r="E21">
        <f t="shared" si="0"/>
        <v>18.8</v>
      </c>
    </row>
    <row r="22" spans="1:8" x14ac:dyDescent="0.45">
      <c r="A22" t="s">
        <v>93</v>
      </c>
      <c r="C22">
        <v>7.5</v>
      </c>
      <c r="D22">
        <v>4</v>
      </c>
      <c r="E22">
        <f t="shared" si="0"/>
        <v>30</v>
      </c>
    </row>
    <row r="23" spans="1:8" x14ac:dyDescent="0.45">
      <c r="A23" t="s">
        <v>96</v>
      </c>
      <c r="C23">
        <v>10</v>
      </c>
      <c r="D23">
        <v>2</v>
      </c>
      <c r="E23">
        <f t="shared" si="0"/>
        <v>20</v>
      </c>
    </row>
    <row r="24" spans="1:8" x14ac:dyDescent="0.45">
      <c r="A24" t="s">
        <v>94</v>
      </c>
      <c r="E24">
        <f>SUM(E18:E23)</f>
        <v>112.8</v>
      </c>
      <c r="F24" t="s">
        <v>95</v>
      </c>
    </row>
    <row r="25" spans="1:8" x14ac:dyDescent="0.45">
      <c r="A25" t="s">
        <v>97</v>
      </c>
      <c r="C25">
        <f>B13</f>
        <v>240.79558862481639</v>
      </c>
      <c r="D25">
        <f>D19</f>
        <v>2</v>
      </c>
      <c r="E25" s="1">
        <f>D25*C25</f>
        <v>481.59117724963278</v>
      </c>
    </row>
    <row r="26" spans="1:8" x14ac:dyDescent="0.45">
      <c r="A26" t="s">
        <v>98</v>
      </c>
      <c r="E26" s="1">
        <f>E25-E24</f>
        <v>368.79117724963277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Rack Drive Parts</vt:lpstr>
      <vt:lpstr>Belt Circle Calcs</vt:lpstr>
      <vt:lpstr>Motor Torque 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2020-07-23T23:33:53Z</dcterms:created>
  <dcterms:modified xsi:type="dcterms:W3CDTF">2020-08-27T12:07:03Z</dcterms:modified>
</cp:coreProperties>
</file>