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V31" i="1" l="1"/>
  <c r="DV29" i="1"/>
  <c r="DV30" i="1"/>
  <c r="DV28" i="1"/>
  <c r="FK30" i="1"/>
  <c r="FK29" i="1"/>
  <c r="FC21" i="1"/>
  <c r="EE21" i="1" l="1"/>
  <c r="EE20" i="1"/>
  <c r="FR14" i="1" l="1"/>
  <c r="FR15" i="1"/>
  <c r="FR16" i="1"/>
  <c r="FQ16" i="1" s="1"/>
  <c r="FR17" i="1"/>
  <c r="FR13" i="1"/>
  <c r="FO14" i="1"/>
  <c r="FO15" i="1"/>
  <c r="FO16" i="1"/>
  <c r="FO17" i="1"/>
  <c r="FQ17" i="1" s="1"/>
  <c r="FO13" i="1"/>
  <c r="FN14" i="1"/>
  <c r="FN15" i="1"/>
  <c r="FN16" i="1"/>
  <c r="FP16" i="1" s="1"/>
  <c r="FS16" i="1" s="1"/>
  <c r="FN17" i="1"/>
  <c r="FN13" i="1"/>
  <c r="FM5" i="1"/>
  <c r="FM6" i="1"/>
  <c r="FM7" i="1"/>
  <c r="FM8" i="1"/>
  <c r="FM4" i="1"/>
  <c r="FL5" i="1"/>
  <c r="FN5" i="1" s="1"/>
  <c r="FL6" i="1"/>
  <c r="FL7" i="1"/>
  <c r="FN7" i="1" s="1"/>
  <c r="FL8" i="1"/>
  <c r="FL4" i="1"/>
  <c r="FN4" i="1" s="1"/>
  <c r="FD14" i="1"/>
  <c r="FE14" i="1" s="1"/>
  <c r="FD15" i="1"/>
  <c r="FE15" i="1" s="1"/>
  <c r="FD16" i="1"/>
  <c r="FE16" i="1" s="1"/>
  <c r="FD17" i="1"/>
  <c r="FE17" i="1" s="1"/>
  <c r="FD18" i="1"/>
  <c r="FE18" i="1" s="1"/>
  <c r="FD13" i="1"/>
  <c r="FE13" i="1" s="1"/>
  <c r="FB14" i="1"/>
  <c r="FC14" i="1" s="1"/>
  <c r="FB15" i="1"/>
  <c r="FC15" i="1" s="1"/>
  <c r="FB16" i="1"/>
  <c r="FC16" i="1" s="1"/>
  <c r="FB17" i="1"/>
  <c r="FC17" i="1" s="1"/>
  <c r="FB18" i="1"/>
  <c r="FC18" i="1" s="1"/>
  <c r="FB13" i="1"/>
  <c r="FC13" i="1" s="1"/>
  <c r="EV9" i="1"/>
  <c r="EV10" i="1" s="1"/>
  <c r="EV11" i="1" s="1"/>
  <c r="EW5" i="1"/>
  <c r="EW6" i="1" s="1"/>
  <c r="EW7" i="1" s="1"/>
  <c r="EX5" i="1"/>
  <c r="EX6" i="1" s="1"/>
  <c r="EX7" i="1" s="1"/>
  <c r="EV5" i="1"/>
  <c r="EV6" i="1" s="1"/>
  <c r="EV7" i="1" s="1"/>
  <c r="EJ16" i="1"/>
  <c r="EJ17" i="1" s="1"/>
  <c r="EI16" i="1"/>
  <c r="EI17" i="1" s="1"/>
  <c r="EH16" i="1"/>
  <c r="EH17" i="1" s="1"/>
  <c r="EG16" i="1"/>
  <c r="EG17" i="1" s="1"/>
  <c r="EK6" i="1"/>
  <c r="EG4" i="1"/>
  <c r="FQ15" i="1" l="1"/>
  <c r="FQ13" i="1"/>
  <c r="FQ14" i="1"/>
  <c r="FP17" i="1"/>
  <c r="FS17" i="1" s="1"/>
  <c r="EX10" i="1"/>
  <c r="EX11" i="1" s="1"/>
  <c r="FP15" i="1"/>
  <c r="FS15" i="1" s="1"/>
  <c r="FN8" i="1"/>
  <c r="FP13" i="1"/>
  <c r="FP14" i="1"/>
  <c r="FN6" i="1"/>
  <c r="EH18" i="1"/>
  <c r="EW10" i="1"/>
  <c r="EW11" i="1" s="1"/>
  <c r="EG18" i="1"/>
  <c r="EJ18" i="1"/>
  <c r="EE18" i="1" s="1"/>
  <c r="EE19" i="1" s="1"/>
  <c r="EI18" i="1"/>
  <c r="CL28" i="1"/>
  <c r="FN9" i="1" l="1"/>
  <c r="FO5" i="1" s="1"/>
  <c r="FP5" i="1" s="1"/>
  <c r="FS14" i="1"/>
  <c r="FS18" i="1" s="1"/>
  <c r="EV12" i="1"/>
  <c r="EV13" i="1" s="1"/>
  <c r="EV14" i="1" s="1"/>
  <c r="FS13" i="1"/>
  <c r="FO7" i="1"/>
  <c r="FP7" i="1" s="1"/>
  <c r="FO8" i="1"/>
  <c r="FP8" i="1" s="1"/>
  <c r="FO4" i="1"/>
  <c r="FP4" i="1" s="1"/>
  <c r="FO6" i="1"/>
  <c r="FP6" i="1" s="1"/>
  <c r="EB4" i="1"/>
  <c r="EB5" i="1"/>
  <c r="EB6" i="1"/>
  <c r="EB7" i="1"/>
  <c r="EB8" i="1"/>
  <c r="EB3" i="1"/>
  <c r="DY4" i="1"/>
  <c r="DY5" i="1"/>
  <c r="DY6" i="1"/>
  <c r="DY7" i="1"/>
  <c r="DY8" i="1"/>
  <c r="DY3" i="1"/>
  <c r="DY78" i="1"/>
  <c r="DZ78" i="1" s="1"/>
  <c r="DY79" i="1"/>
  <c r="DZ79" i="1" s="1"/>
  <c r="EA79" i="1" s="1"/>
  <c r="EB79" i="1" s="1"/>
  <c r="DY80" i="1"/>
  <c r="DZ80" i="1" s="1"/>
  <c r="EA80" i="1" s="1"/>
  <c r="EB80" i="1" s="1"/>
  <c r="DY81" i="1"/>
  <c r="DZ81" i="1" s="1"/>
  <c r="DY73" i="1"/>
  <c r="DZ73" i="1" s="1"/>
  <c r="EA73" i="1" s="1"/>
  <c r="DY74" i="1"/>
  <c r="DZ74" i="1" s="1"/>
  <c r="DY75" i="1"/>
  <c r="DZ75" i="1" s="1"/>
  <c r="DY76" i="1"/>
  <c r="DZ76" i="1" s="1"/>
  <c r="DD36" i="1"/>
  <c r="DD37" i="1" s="1"/>
  <c r="DR111" i="1"/>
  <c r="DN111" i="1"/>
  <c r="DB111" i="1"/>
  <c r="CX111" i="1"/>
  <c r="DR50" i="1"/>
  <c r="DN50" i="1"/>
  <c r="DB110" i="1"/>
  <c r="CX110" i="1"/>
  <c r="DR109" i="1"/>
  <c r="DN109" i="1"/>
  <c r="DB109" i="1"/>
  <c r="CX109" i="1"/>
  <c r="CX128" i="1"/>
  <c r="CY128" i="1" s="1"/>
  <c r="CV130" i="1" s="1"/>
  <c r="CW128" i="1"/>
  <c r="CV128" i="1"/>
  <c r="CX124" i="1"/>
  <c r="CW124" i="1"/>
  <c r="CV124" i="1"/>
  <c r="CX123" i="1"/>
  <c r="CW123" i="1"/>
  <c r="CV123" i="1"/>
  <c r="CX122" i="1"/>
  <c r="CW122" i="1"/>
  <c r="CV122" i="1"/>
  <c r="CX121" i="1"/>
  <c r="CW121" i="1"/>
  <c r="CV121" i="1"/>
  <c r="CX120" i="1"/>
  <c r="CW120" i="1"/>
  <c r="CV120" i="1"/>
  <c r="CX119" i="1"/>
  <c r="CW119" i="1"/>
  <c r="CV119" i="1"/>
  <c r="DJ111" i="1"/>
  <c r="DF111" i="1"/>
  <c r="DR110" i="1"/>
  <c r="DN110" i="1"/>
  <c r="DJ110" i="1"/>
  <c r="DF110" i="1"/>
  <c r="DJ109" i="1"/>
  <c r="DF109" i="1"/>
  <c r="CU98" i="1"/>
  <c r="CX87" i="1" s="1"/>
  <c r="DB87" i="1" s="1"/>
  <c r="DR81" i="1"/>
  <c r="DN81" i="1"/>
  <c r="DN51" i="1"/>
  <c r="DR51" i="1"/>
  <c r="DB81" i="1"/>
  <c r="CX81" i="1"/>
  <c r="DR80" i="1"/>
  <c r="DN80" i="1"/>
  <c r="DB80" i="1"/>
  <c r="CX80" i="1"/>
  <c r="DR79" i="1"/>
  <c r="DN79" i="1"/>
  <c r="DB79" i="1"/>
  <c r="CX79" i="1"/>
  <c r="CX98" i="1"/>
  <c r="CY98" i="1" s="1"/>
  <c r="CV100" i="1" s="1"/>
  <c r="CW98" i="1"/>
  <c r="CZ86" i="1" s="1"/>
  <c r="DD86" i="1" s="1"/>
  <c r="CV98" i="1"/>
  <c r="CY86" i="1" s="1"/>
  <c r="DC86" i="1" s="1"/>
  <c r="CX94" i="1"/>
  <c r="CW94" i="1"/>
  <c r="CV94" i="1"/>
  <c r="CX93" i="1"/>
  <c r="CW93" i="1"/>
  <c r="CV93" i="1"/>
  <c r="CX92" i="1"/>
  <c r="CW92" i="1"/>
  <c r="CV92" i="1"/>
  <c r="CX91" i="1"/>
  <c r="CW91" i="1"/>
  <c r="CV91" i="1"/>
  <c r="CX90" i="1"/>
  <c r="CW90" i="1"/>
  <c r="CV90" i="1"/>
  <c r="CX89" i="1"/>
  <c r="CW89" i="1"/>
  <c r="CV89" i="1"/>
  <c r="DJ81" i="1"/>
  <c r="DF81" i="1"/>
  <c r="DJ80" i="1"/>
  <c r="DF80" i="1"/>
  <c r="DJ79" i="1"/>
  <c r="DF79" i="1"/>
  <c r="CX38" i="1"/>
  <c r="CU38" i="1"/>
  <c r="CV29" i="1"/>
  <c r="CV31" i="1"/>
  <c r="DB51" i="1"/>
  <c r="CX51" i="1"/>
  <c r="DB50" i="1"/>
  <c r="CX50" i="1"/>
  <c r="DR49" i="1"/>
  <c r="DN49" i="1"/>
  <c r="DB49" i="1"/>
  <c r="CX49" i="1"/>
  <c r="CX68" i="1"/>
  <c r="CY68" i="1" s="1"/>
  <c r="CV70" i="1" s="1"/>
  <c r="CW68" i="1"/>
  <c r="CZ57" i="1" s="1"/>
  <c r="DD57" i="1" s="1"/>
  <c r="CX64" i="1"/>
  <c r="CW64" i="1"/>
  <c r="CV64" i="1"/>
  <c r="CX63" i="1"/>
  <c r="CW63" i="1"/>
  <c r="CV63" i="1"/>
  <c r="CX62" i="1"/>
  <c r="CW62" i="1"/>
  <c r="CV62" i="1"/>
  <c r="CX61" i="1"/>
  <c r="CW61" i="1"/>
  <c r="CV61" i="1"/>
  <c r="CX60" i="1"/>
  <c r="CW60" i="1"/>
  <c r="CV60" i="1"/>
  <c r="CX59" i="1"/>
  <c r="CW59" i="1"/>
  <c r="CV59" i="1"/>
  <c r="DJ51" i="1"/>
  <c r="DF51" i="1"/>
  <c r="DJ50" i="1"/>
  <c r="DF50" i="1"/>
  <c r="DJ49" i="1"/>
  <c r="DF49" i="1"/>
  <c r="CV38" i="1"/>
  <c r="CW38" i="1"/>
  <c r="CZ27" i="1" s="1"/>
  <c r="DD27" i="1" s="1"/>
  <c r="CV33" i="1"/>
  <c r="CW33" i="1"/>
  <c r="CX33" i="1"/>
  <c r="CV34" i="1"/>
  <c r="CV37" i="1" s="1"/>
  <c r="CW34" i="1"/>
  <c r="CX34" i="1"/>
  <c r="CW32" i="1"/>
  <c r="CX32" i="1"/>
  <c r="CV32" i="1"/>
  <c r="CV30" i="1"/>
  <c r="CW30" i="1"/>
  <c r="CX30" i="1"/>
  <c r="CW31" i="1"/>
  <c r="CX31" i="1"/>
  <c r="CX37" i="1" s="1"/>
  <c r="CW29" i="1"/>
  <c r="CW35" i="1" s="1"/>
  <c r="CX29" i="1"/>
  <c r="CX35" i="1" s="1"/>
  <c r="DJ21" i="1"/>
  <c r="DJ20" i="1"/>
  <c r="DJ19" i="1"/>
  <c r="CX19" i="1"/>
  <c r="DB19" i="1"/>
  <c r="DF19" i="1"/>
  <c r="DN19" i="1"/>
  <c r="DR19" i="1"/>
  <c r="CX20" i="1"/>
  <c r="DB20" i="1"/>
  <c r="DF20" i="1"/>
  <c r="DN20" i="1"/>
  <c r="DR20" i="1"/>
  <c r="CX21" i="1"/>
  <c r="DB21" i="1"/>
  <c r="DF21" i="1"/>
  <c r="DN21" i="1"/>
  <c r="DR21" i="1"/>
  <c r="DT14" i="1"/>
  <c r="DP14" i="1"/>
  <c r="DL14" i="1"/>
  <c r="DH14" i="1"/>
  <c r="DD14" i="1"/>
  <c r="CZ14" i="1"/>
  <c r="DT13" i="1"/>
  <c r="DT12" i="1"/>
  <c r="DT11" i="1"/>
  <c r="DT10" i="1"/>
  <c r="DT9" i="1"/>
  <c r="DT8" i="1"/>
  <c r="DT7" i="1"/>
  <c r="DT6" i="1"/>
  <c r="DT5" i="1"/>
  <c r="DP13" i="1"/>
  <c r="DP12" i="1"/>
  <c r="DP11" i="1"/>
  <c r="DP10" i="1"/>
  <c r="DP9" i="1"/>
  <c r="DP8" i="1"/>
  <c r="DP7" i="1"/>
  <c r="DP6" i="1"/>
  <c r="DP5" i="1"/>
  <c r="DL13" i="1"/>
  <c r="DL12" i="1"/>
  <c r="DL11" i="1"/>
  <c r="DL10" i="1"/>
  <c r="DL9" i="1"/>
  <c r="DL8" i="1"/>
  <c r="DL7" i="1"/>
  <c r="DL6" i="1"/>
  <c r="DL5" i="1"/>
  <c r="DH13" i="1"/>
  <c r="DH12" i="1"/>
  <c r="DH11" i="1"/>
  <c r="DH10" i="1"/>
  <c r="DH9" i="1"/>
  <c r="DH8" i="1"/>
  <c r="DH7" i="1"/>
  <c r="DH6" i="1"/>
  <c r="DH5" i="1"/>
  <c r="DD13" i="1"/>
  <c r="DD12" i="1"/>
  <c r="DD11" i="1"/>
  <c r="DD10" i="1"/>
  <c r="DD9" i="1"/>
  <c r="DD8" i="1"/>
  <c r="DD7" i="1"/>
  <c r="DD6" i="1"/>
  <c r="DD5" i="1"/>
  <c r="CZ6" i="1"/>
  <c r="CZ7" i="1"/>
  <c r="CZ8" i="1"/>
  <c r="CZ9" i="1"/>
  <c r="CZ10" i="1"/>
  <c r="CZ11" i="1"/>
  <c r="CZ12" i="1"/>
  <c r="CZ13" i="1"/>
  <c r="CZ5" i="1"/>
  <c r="CW37" i="1" l="1"/>
  <c r="FT16" i="1"/>
  <c r="FU16" i="1" s="1"/>
  <c r="FT17" i="1"/>
  <c r="FU17" i="1" s="1"/>
  <c r="FT13" i="1"/>
  <c r="FU13" i="1" s="1"/>
  <c r="FT14" i="1"/>
  <c r="FU14" i="1" s="1"/>
  <c r="EC5" i="1"/>
  <c r="DW13" i="1" s="1"/>
  <c r="FP9" i="1"/>
  <c r="FS6" i="1" s="1"/>
  <c r="FS7" i="1" s="1"/>
  <c r="FT15" i="1"/>
  <c r="FU15" i="1" s="1"/>
  <c r="EC8" i="1"/>
  <c r="DW16" i="1" s="1"/>
  <c r="CY27" i="1"/>
  <c r="DC27" i="1" s="1"/>
  <c r="CY28" i="1"/>
  <c r="DC28" i="1" s="1"/>
  <c r="CY26" i="1"/>
  <c r="EC4" i="1"/>
  <c r="DW12" i="1" s="1"/>
  <c r="EC6" i="1"/>
  <c r="DW14" i="1" s="1"/>
  <c r="CX27" i="1"/>
  <c r="DB27" i="1" s="1"/>
  <c r="CX28" i="1"/>
  <c r="DB28" i="1" s="1"/>
  <c r="CX26" i="1"/>
  <c r="DB26" i="1" s="1"/>
  <c r="EC3" i="1"/>
  <c r="DW11" i="1" s="1"/>
  <c r="DA26" i="1"/>
  <c r="DE26" i="1" s="1"/>
  <c r="DA27" i="1"/>
  <c r="DE27" i="1" s="1"/>
  <c r="DA28" i="1"/>
  <c r="DE28" i="1" s="1"/>
  <c r="EC7" i="1"/>
  <c r="DW15" i="1" s="1"/>
  <c r="CV35" i="1"/>
  <c r="CX125" i="1"/>
  <c r="CV127" i="1"/>
  <c r="CV66" i="1"/>
  <c r="CY124" i="1"/>
  <c r="EA78" i="1"/>
  <c r="EA81" i="1"/>
  <c r="EB81" i="1" s="1"/>
  <c r="EC81" i="1" s="1"/>
  <c r="EA76" i="1"/>
  <c r="EB76" i="1" s="1"/>
  <c r="EC76" i="1" s="1"/>
  <c r="EA75" i="1"/>
  <c r="EB75" i="1" s="1"/>
  <c r="EC75" i="1" s="1"/>
  <c r="EA74" i="1"/>
  <c r="EB74" i="1" s="1"/>
  <c r="EC74" i="1" s="1"/>
  <c r="EC80" i="1"/>
  <c r="EC79" i="1"/>
  <c r="CY118" i="1"/>
  <c r="DC118" i="1" s="1"/>
  <c r="CV126" i="1"/>
  <c r="CW127" i="1"/>
  <c r="CV36" i="1"/>
  <c r="CX65" i="1"/>
  <c r="CW97" i="1"/>
  <c r="CX117" i="1"/>
  <c r="DB117" i="1" s="1"/>
  <c r="CZ118" i="1"/>
  <c r="DD118" i="1" s="1"/>
  <c r="CY123" i="1"/>
  <c r="CX36" i="1"/>
  <c r="CV65" i="1"/>
  <c r="CW66" i="1"/>
  <c r="CY117" i="1"/>
  <c r="DC117" i="1" s="1"/>
  <c r="CY89" i="1"/>
  <c r="CZ117" i="1"/>
  <c r="DD117" i="1" s="1"/>
  <c r="CW125" i="1"/>
  <c r="CX126" i="1"/>
  <c r="CY119" i="1"/>
  <c r="CY120" i="1"/>
  <c r="CY121" i="1"/>
  <c r="CX116" i="1"/>
  <c r="DB116" i="1" s="1"/>
  <c r="CW67" i="1"/>
  <c r="CZ116" i="1"/>
  <c r="DD116" i="1" s="1"/>
  <c r="DA117" i="1"/>
  <c r="DE117" i="1" s="1"/>
  <c r="DA118" i="1"/>
  <c r="DE118" i="1" s="1"/>
  <c r="CY122" i="1"/>
  <c r="CY61" i="1"/>
  <c r="CW36" i="1"/>
  <c r="CW65" i="1"/>
  <c r="CV95" i="1"/>
  <c r="CX97" i="1"/>
  <c r="DA86" i="1"/>
  <c r="DE86" i="1" s="1"/>
  <c r="DA116" i="1"/>
  <c r="DE116" i="1" s="1"/>
  <c r="CX118" i="1"/>
  <c r="DB118" i="1" s="1"/>
  <c r="CV125" i="1"/>
  <c r="CW126" i="1"/>
  <c r="CX127" i="1"/>
  <c r="CY59" i="1"/>
  <c r="CY116" i="1"/>
  <c r="DC116" i="1" s="1"/>
  <c r="CU128" i="1"/>
  <c r="CY63" i="1"/>
  <c r="CX66" i="1"/>
  <c r="CY62" i="1"/>
  <c r="CY38" i="1"/>
  <c r="CV41" i="1" s="1"/>
  <c r="CW95" i="1"/>
  <c r="CX96" i="1"/>
  <c r="CY91" i="1"/>
  <c r="CY94" i="1"/>
  <c r="CX86" i="1"/>
  <c r="DB86" i="1" s="1"/>
  <c r="DA88" i="1"/>
  <c r="DE88" i="1" s="1"/>
  <c r="DA87" i="1"/>
  <c r="DE87" i="1" s="1"/>
  <c r="CV67" i="1"/>
  <c r="CX95" i="1"/>
  <c r="CV97" i="1"/>
  <c r="CZ88" i="1"/>
  <c r="DD88" i="1" s="1"/>
  <c r="CZ87" i="1"/>
  <c r="DD87" i="1" s="1"/>
  <c r="CY92" i="1"/>
  <c r="CY88" i="1"/>
  <c r="DC88" i="1" s="1"/>
  <c r="CY87" i="1"/>
  <c r="DC87" i="1" s="1"/>
  <c r="CX67" i="1"/>
  <c r="CY93" i="1"/>
  <c r="CY64" i="1"/>
  <c r="CX88" i="1"/>
  <c r="DB88" i="1" s="1"/>
  <c r="CV96" i="1"/>
  <c r="CW96" i="1"/>
  <c r="CY90" i="1"/>
  <c r="CZ56" i="1"/>
  <c r="DD56" i="1" s="1"/>
  <c r="DA56" i="1"/>
  <c r="DE56" i="1" s="1"/>
  <c r="CZ58" i="1"/>
  <c r="DD58" i="1" s="1"/>
  <c r="CU68" i="1"/>
  <c r="CX58" i="1" s="1"/>
  <c r="DB58" i="1" s="1"/>
  <c r="DA58" i="1"/>
  <c r="DE58" i="1" s="1"/>
  <c r="DA57" i="1"/>
  <c r="DE57" i="1" s="1"/>
  <c r="CV68" i="1"/>
  <c r="CY60" i="1"/>
  <c r="CY34" i="1"/>
  <c r="CY33" i="1"/>
  <c r="CY32" i="1"/>
  <c r="CZ26" i="1"/>
  <c r="DD26" i="1" s="1"/>
  <c r="CZ28" i="1"/>
  <c r="DD28" i="1" s="1"/>
  <c r="DC26" i="1"/>
  <c r="CY31" i="1"/>
  <c r="CY29" i="1"/>
  <c r="CY30" i="1"/>
  <c r="CL29" i="1"/>
  <c r="CH16" i="1"/>
  <c r="CH18" i="1" s="1"/>
  <c r="CI16" i="1"/>
  <c r="CI18" i="1" s="1"/>
  <c r="CJ16" i="1"/>
  <c r="CJ18" i="1" s="1"/>
  <c r="CK16" i="1"/>
  <c r="CK18" i="1" s="1"/>
  <c r="CL16" i="1"/>
  <c r="CL18" i="1" s="1"/>
  <c r="CM16" i="1"/>
  <c r="CM18" i="1" s="1"/>
  <c r="CN16" i="1"/>
  <c r="CN18" i="1" s="1"/>
  <c r="CO16" i="1"/>
  <c r="CO18" i="1" s="1"/>
  <c r="CP16" i="1"/>
  <c r="CP18" i="1" s="1"/>
  <c r="CQ16" i="1"/>
  <c r="CQ18" i="1" s="1"/>
  <c r="CG16" i="1"/>
  <c r="CG18" i="1" s="1"/>
  <c r="CH13" i="1"/>
  <c r="CI13" i="1"/>
  <c r="CJ13" i="1"/>
  <c r="CK13" i="1"/>
  <c r="CL13" i="1"/>
  <c r="CM13" i="1"/>
  <c r="CN13" i="1"/>
  <c r="CO13" i="1"/>
  <c r="CP13" i="1"/>
  <c r="CQ13" i="1"/>
  <c r="CG13" i="1"/>
  <c r="CL5" i="1"/>
  <c r="CL4" i="1"/>
  <c r="BY46" i="1"/>
  <c r="BT46" i="1"/>
  <c r="BT47" i="1" s="1"/>
  <c r="BY39" i="1"/>
  <c r="BT39" i="1"/>
  <c r="BT40" i="1" s="1"/>
  <c r="BT42" i="1" s="1"/>
  <c r="BT44" i="1" s="1"/>
  <c r="BT38" i="1"/>
  <c r="BS51" i="1" s="1"/>
  <c r="BS52" i="1" s="1"/>
  <c r="BS54" i="1" s="1"/>
  <c r="BY35" i="1"/>
  <c r="BY20" i="1"/>
  <c r="BT20" i="1"/>
  <c r="BY16" i="1"/>
  <c r="BT16" i="1"/>
  <c r="BT17" i="1" s="1"/>
  <c r="BT18" i="1" s="1"/>
  <c r="BT19" i="1" s="1"/>
  <c r="BT15" i="1"/>
  <c r="BX10" i="1" s="1"/>
  <c r="BY12" i="1"/>
  <c r="FU18" i="1" l="1"/>
  <c r="FX16" i="1" s="1"/>
  <c r="FX17" i="1" s="1"/>
  <c r="CY36" i="1"/>
  <c r="DX11" i="1"/>
  <c r="DY16" i="1" s="1"/>
  <c r="DZ16" i="1" s="1"/>
  <c r="CY67" i="1"/>
  <c r="CY127" i="1"/>
  <c r="DX82" i="1"/>
  <c r="EB78" i="1"/>
  <c r="EC78" i="1" s="1"/>
  <c r="CY125" i="1"/>
  <c r="CY95" i="1"/>
  <c r="DB119" i="1"/>
  <c r="DD59" i="1"/>
  <c r="DE59" i="1"/>
  <c r="CU72" i="1" s="1"/>
  <c r="CU73" i="1" s="1"/>
  <c r="CU74" i="1" s="1"/>
  <c r="DD119" i="1"/>
  <c r="CY126" i="1"/>
  <c r="CY96" i="1"/>
  <c r="DB89" i="1"/>
  <c r="DC89" i="1"/>
  <c r="DD89" i="1"/>
  <c r="DE89" i="1"/>
  <c r="CU102" i="1" s="1"/>
  <c r="CU103" i="1" s="1"/>
  <c r="CU104" i="1" s="1"/>
  <c r="CY97" i="1"/>
  <c r="CY65" i="1"/>
  <c r="DC119" i="1"/>
  <c r="DE119" i="1"/>
  <c r="CU132" i="1" s="1"/>
  <c r="CU133" i="1" s="1"/>
  <c r="CU134" i="1" s="1"/>
  <c r="CY35" i="1"/>
  <c r="CY66" i="1"/>
  <c r="CY37" i="1"/>
  <c r="CY57" i="1"/>
  <c r="DC57" i="1" s="1"/>
  <c r="CY58" i="1"/>
  <c r="DC58" i="1" s="1"/>
  <c r="CY56" i="1"/>
  <c r="DC56" i="1" s="1"/>
  <c r="CX57" i="1"/>
  <c r="DB57" i="1" s="1"/>
  <c r="CX56" i="1"/>
  <c r="DB56" i="1" s="1"/>
  <c r="DD29" i="1"/>
  <c r="DB29" i="1"/>
  <c r="DE29" i="1"/>
  <c r="CU42" i="1" s="1"/>
  <c r="CU43" i="1" s="1"/>
  <c r="CU44" i="1" s="1"/>
  <c r="DC29" i="1"/>
  <c r="CO20" i="1"/>
  <c r="CK20" i="1"/>
  <c r="CN20" i="1"/>
  <c r="CJ20" i="1"/>
  <c r="CM8" i="1"/>
  <c r="CQ20" i="1"/>
  <c r="CM20" i="1"/>
  <c r="CI20" i="1"/>
  <c r="CP20" i="1"/>
  <c r="CL20" i="1"/>
  <c r="CH20" i="1"/>
  <c r="BS23" i="1"/>
  <c r="BS24" i="1" s="1"/>
  <c r="BS26" i="1" s="1"/>
  <c r="BY40" i="1"/>
  <c r="BY42" i="1" s="1"/>
  <c r="BY44" i="1" s="1"/>
  <c r="BY47" i="1"/>
  <c r="BS60" i="1" s="1"/>
  <c r="BY17" i="1"/>
  <c r="BY18" i="1" s="1"/>
  <c r="BY19" i="1" s="1"/>
  <c r="BS27" i="1"/>
  <c r="BS28" i="1" s="1"/>
  <c r="BS31" i="1"/>
  <c r="BX33" i="1"/>
  <c r="BS59" i="1"/>
  <c r="DY15" i="1" l="1"/>
  <c r="DZ15" i="1" s="1"/>
  <c r="DY13" i="1"/>
  <c r="DZ13" i="1" s="1"/>
  <c r="DY12" i="1"/>
  <c r="DZ12" i="1" s="1"/>
  <c r="DY11" i="1"/>
  <c r="DZ11" i="1" s="1"/>
  <c r="DW18" i="1"/>
  <c r="DY14" i="1"/>
  <c r="DZ14" i="1" s="1"/>
  <c r="DZ88" i="1"/>
  <c r="DZ89" i="1" s="1"/>
  <c r="EB73" i="1"/>
  <c r="EC73" i="1" s="1"/>
  <c r="EC82" i="1" s="1"/>
  <c r="DZ86" i="1" s="1"/>
  <c r="DC59" i="1"/>
  <c r="DB59" i="1"/>
  <c r="CM10" i="1"/>
  <c r="CR20" i="1"/>
  <c r="CO21" i="1" s="1"/>
  <c r="CO22" i="1" s="1"/>
  <c r="CG22" i="1"/>
  <c r="BY48" i="1"/>
  <c r="BT48" i="1"/>
  <c r="BT41" i="1" s="1"/>
  <c r="BT43" i="1" s="1"/>
  <c r="BT45" i="1" s="1"/>
  <c r="BS29" i="1"/>
  <c r="BS30" i="1" s="1"/>
  <c r="EA11" i="1" l="1"/>
  <c r="EB11" i="1" s="1"/>
  <c r="CP21" i="1"/>
  <c r="CP22" i="1" s="1"/>
  <c r="CK21" i="1"/>
  <c r="CK22" i="1" s="1"/>
  <c r="CN21" i="1"/>
  <c r="CN22" i="1" s="1"/>
  <c r="CJ21" i="1"/>
  <c r="CJ22" i="1" s="1"/>
  <c r="CL21" i="1"/>
  <c r="CL22" i="1" s="1"/>
  <c r="CQ21" i="1"/>
  <c r="CQ22" i="1" s="1"/>
  <c r="CM21" i="1"/>
  <c r="CM22" i="1" s="1"/>
  <c r="CH21" i="1"/>
  <c r="CI21" i="1"/>
  <c r="CI22" i="1" s="1"/>
  <c r="BY41" i="1"/>
  <c r="BY43" i="1" s="1"/>
  <c r="BY45" i="1" s="1"/>
  <c r="BS55" i="1"/>
  <c r="BS56" i="1" s="1"/>
  <c r="BS57" i="1" s="1"/>
  <c r="BS58" i="1" s="1"/>
  <c r="BL15" i="1"/>
  <c r="BL14" i="1"/>
  <c r="BL13" i="1"/>
  <c r="BL12" i="1"/>
  <c r="BL11" i="1"/>
  <c r="BK4" i="1"/>
  <c r="BK5" i="1"/>
  <c r="BK6" i="1"/>
  <c r="BK3" i="1"/>
  <c r="BJ4" i="1"/>
  <c r="BJ5" i="1"/>
  <c r="BJ6" i="1"/>
  <c r="BJ3" i="1"/>
  <c r="DW19" i="1" l="1"/>
  <c r="DW20" i="1" s="1"/>
  <c r="CR21" i="1"/>
  <c r="CH22" i="1"/>
  <c r="CQ8" i="1" s="1"/>
  <c r="CQ9" i="1" s="1"/>
  <c r="BM6" i="1"/>
  <c r="BN6" i="1" s="1"/>
  <c r="BM5" i="1"/>
  <c r="BN5" i="1" s="1"/>
  <c r="BM3" i="1"/>
  <c r="BN3" i="1" s="1"/>
  <c r="BM4" i="1"/>
  <c r="BN4" i="1" s="1"/>
  <c r="AY12" i="1"/>
  <c r="AY13" i="1"/>
  <c r="AY14" i="1"/>
  <c r="AY15" i="1"/>
  <c r="AY11" i="1"/>
  <c r="AX15" i="1"/>
  <c r="AX14" i="1"/>
  <c r="AX13" i="1"/>
  <c r="AX12" i="1"/>
  <c r="AX11" i="1"/>
  <c r="BC7" i="1"/>
  <c r="AW8" i="1"/>
  <c r="AX8" i="1"/>
  <c r="AY8" i="1"/>
  <c r="AZ8" i="1"/>
  <c r="AV8" i="1"/>
  <c r="AS5" i="1"/>
  <c r="AS10" i="1" s="1"/>
  <c r="AS15" i="1"/>
  <c r="CR22" i="1" l="1"/>
  <c r="BM7" i="1"/>
  <c r="BO13" i="1" s="1"/>
  <c r="AZ13" i="1"/>
  <c r="BA13" i="1" s="1"/>
  <c r="BB13" i="1" s="1"/>
  <c r="AZ15" i="1"/>
  <c r="BA15" i="1" s="1"/>
  <c r="BB15" i="1" s="1"/>
  <c r="AZ14" i="1"/>
  <c r="BA14" i="1" s="1"/>
  <c r="BB14" i="1" s="1"/>
  <c r="AZ11" i="1"/>
  <c r="BA11" i="1" s="1"/>
  <c r="BB11" i="1" s="1"/>
  <c r="AZ12" i="1"/>
  <c r="BA12" i="1" s="1"/>
  <c r="BB12" i="1" s="1"/>
  <c r="AI9" i="1"/>
  <c r="AI10" i="1"/>
  <c r="AI11" i="1"/>
  <c r="AI12" i="1"/>
  <c r="AI8" i="1"/>
  <c r="AO13" i="1"/>
  <c r="AO11" i="1" s="1"/>
  <c r="AP11" i="1" s="1"/>
  <c r="BO4" i="1" l="1"/>
  <c r="BP4" i="1" s="1"/>
  <c r="BO5" i="1"/>
  <c r="BP5" i="1" s="1"/>
  <c r="BO3" i="1"/>
  <c r="BP3" i="1" s="1"/>
  <c r="BO6" i="1"/>
  <c r="BP6" i="1" s="1"/>
  <c r="AJ13" i="1"/>
  <c r="AO8" i="1"/>
  <c r="AP8" i="1" s="1"/>
  <c r="AO10" i="1"/>
  <c r="AP10" i="1" s="1"/>
  <c r="AO12" i="1"/>
  <c r="AP12" i="1" s="1"/>
  <c r="AO9" i="1"/>
  <c r="AP9" i="1" s="1"/>
  <c r="AI30" i="1"/>
  <c r="BO7" i="1" l="1"/>
  <c r="BP7" i="1" s="1"/>
  <c r="AP13" i="1"/>
  <c r="AK18" i="1"/>
  <c r="AK19" i="1"/>
  <c r="AK20" i="1"/>
  <c r="AK21" i="1"/>
  <c r="AK22" i="1"/>
  <c r="AK23" i="1"/>
  <c r="AK24" i="1"/>
  <c r="AK17" i="1"/>
  <c r="AJ12" i="1"/>
  <c r="AK12" i="1" s="1"/>
  <c r="AN3" i="1"/>
  <c r="BO10" i="1" l="1"/>
  <c r="BO12" i="1" s="1"/>
  <c r="BO15" i="1" s="1"/>
  <c r="AL21" i="1"/>
  <c r="AS6" i="1"/>
  <c r="AS7" i="1" s="1"/>
  <c r="AS8" i="1" s="1"/>
  <c r="AS16" i="1"/>
  <c r="AS17" i="1" s="1"/>
  <c r="AS18" i="1" s="1"/>
  <c r="AL23" i="1"/>
  <c r="AK4" i="1"/>
  <c r="AK3" i="1"/>
  <c r="AL17" i="1"/>
  <c r="AK5" i="1"/>
  <c r="AL19" i="1"/>
  <c r="AJ11" i="1"/>
  <c r="AK11" i="1" s="1"/>
  <c r="AJ10" i="1"/>
  <c r="AK10" i="1" s="1"/>
  <c r="AJ8" i="1"/>
  <c r="AK8" i="1" s="1"/>
  <c r="AJ9" i="1"/>
  <c r="AK9" i="1" s="1"/>
  <c r="AB8" i="1"/>
  <c r="AC8" i="1" s="1"/>
  <c r="AB9" i="1"/>
  <c r="AC9" i="1" s="1"/>
  <c r="AB10" i="1"/>
  <c r="AC10" i="1" s="1"/>
  <c r="AB11" i="1"/>
  <c r="AC11" i="1" s="1"/>
  <c r="AB7" i="1"/>
  <c r="AC7" i="1" s="1"/>
  <c r="X8" i="1"/>
  <c r="Y8" i="1" s="1"/>
  <c r="X9" i="1"/>
  <c r="Y9" i="1" s="1"/>
  <c r="X10" i="1"/>
  <c r="Y10" i="1" s="1"/>
  <c r="X11" i="1"/>
  <c r="Y11" i="1" s="1"/>
  <c r="X7" i="1"/>
  <c r="Y7" i="1" s="1"/>
  <c r="T16" i="1"/>
  <c r="T7" i="1"/>
  <c r="H15" i="1"/>
  <c r="I15" i="1"/>
  <c r="J15" i="1"/>
  <c r="K15" i="1"/>
  <c r="L15" i="1"/>
  <c r="M15" i="1"/>
  <c r="N15" i="1"/>
  <c r="O15" i="1"/>
  <c r="P15" i="1"/>
  <c r="Q15" i="1"/>
  <c r="G15" i="1"/>
  <c r="Q17" i="1"/>
  <c r="P17" i="1"/>
  <c r="O17" i="1"/>
  <c r="N17" i="1"/>
  <c r="M17" i="1"/>
  <c r="L17" i="1"/>
  <c r="K17" i="1"/>
  <c r="J17" i="1"/>
  <c r="I17" i="1"/>
  <c r="H17" i="1"/>
  <c r="G17" i="1"/>
  <c r="H6" i="1"/>
  <c r="I6" i="1"/>
  <c r="J6" i="1"/>
  <c r="K6" i="1"/>
  <c r="L6" i="1"/>
  <c r="M6" i="1"/>
  <c r="N6" i="1"/>
  <c r="O6" i="1"/>
  <c r="P6" i="1"/>
  <c r="Q6" i="1"/>
  <c r="G6" i="1"/>
  <c r="H8" i="1"/>
  <c r="I8" i="1"/>
  <c r="J8" i="1"/>
  <c r="K8" i="1"/>
  <c r="L8" i="1"/>
  <c r="M8" i="1"/>
  <c r="N8" i="1"/>
  <c r="O8" i="1"/>
  <c r="P8" i="1"/>
  <c r="Q8" i="1"/>
  <c r="G8" i="1"/>
  <c r="B7" i="1"/>
  <c r="B8" i="1" s="1"/>
  <c r="BO14" i="1" l="1"/>
  <c r="AS11" i="1"/>
  <c r="AS12" i="1" s="1"/>
  <c r="AD9" i="1"/>
  <c r="AD8" i="1"/>
  <c r="AD11" i="1"/>
  <c r="AD7" i="1"/>
  <c r="AM25" i="1"/>
  <c r="AM19" i="1" s="1"/>
  <c r="AN19" i="1" s="1"/>
  <c r="AD10" i="1"/>
  <c r="AK13" i="1"/>
  <c r="AI27" i="1" s="1"/>
  <c r="T14" i="1"/>
  <c r="T15" i="1" s="1"/>
  <c r="T5" i="1"/>
  <c r="AE12" i="1" l="1"/>
  <c r="Z15" i="1" s="1"/>
  <c r="AI38" i="1"/>
  <c r="AI35" i="1"/>
  <c r="AI36" i="1"/>
  <c r="AI29" i="1"/>
  <c r="AI37" i="1"/>
  <c r="AI34" i="1"/>
  <c r="AM21" i="1"/>
  <c r="AN21" i="1" s="1"/>
  <c r="AM23" i="1"/>
  <c r="AN23" i="1" s="1"/>
  <c r="AM17" i="1"/>
  <c r="AN17" i="1" s="1"/>
  <c r="T6" i="1"/>
  <c r="AE7" i="1" l="1"/>
  <c r="AF7" i="1" s="1"/>
  <c r="AE9" i="1"/>
  <c r="AF9" i="1" s="1"/>
  <c r="AE8" i="1"/>
  <c r="AF8" i="1" s="1"/>
  <c r="AE11" i="1"/>
  <c r="AF11" i="1" s="1"/>
  <c r="AE10" i="1"/>
  <c r="AF10" i="1" s="1"/>
  <c r="AN25" i="1"/>
  <c r="AI28" i="1" s="1"/>
  <c r="AI39" i="1" s="1"/>
  <c r="AI40" i="1" s="1"/>
  <c r="AF12" i="1" l="1"/>
  <c r="Z14" i="1" s="1"/>
  <c r="Z16" i="1" s="1"/>
  <c r="Z18" i="1" s="1"/>
  <c r="Z19" i="1" l="1"/>
  <c r="Z20" i="1"/>
</calcChain>
</file>

<file path=xl/sharedStrings.xml><?xml version="1.0" encoding="utf-8"?>
<sst xmlns="http://schemas.openxmlformats.org/spreadsheetml/2006/main" count="657" uniqueCount="418">
  <si>
    <t>弗兰克赫兹实验</t>
    <phoneticPr fontId="1" type="noConversion"/>
  </si>
  <si>
    <t>Voi1</t>
    <phoneticPr fontId="1" type="noConversion"/>
  </si>
  <si>
    <t>Voi2</t>
  </si>
  <si>
    <t>Voi3</t>
  </si>
  <si>
    <t>Voi4</t>
  </si>
  <si>
    <t>Voi平均</t>
    <phoneticPr fontId="1" type="noConversion"/>
  </si>
  <si>
    <t>G</t>
    <phoneticPr fontId="1" type="noConversion"/>
  </si>
  <si>
    <t>电表的改装与校准</t>
    <phoneticPr fontId="1" type="noConversion"/>
  </si>
  <si>
    <t>I
改</t>
    <phoneticPr fontId="1" type="noConversion"/>
  </si>
  <si>
    <t>I
标</t>
    <phoneticPr fontId="1" type="noConversion"/>
  </si>
  <si>
    <t>δI(mA)</t>
    <phoneticPr fontId="1" type="noConversion"/>
  </si>
  <si>
    <t>读数(格)</t>
    <phoneticPr fontId="1" type="noConversion"/>
  </si>
  <si>
    <t>示值(mA)</t>
    <phoneticPr fontId="1" type="noConversion"/>
  </si>
  <si>
    <t>读
数
(格)</t>
    <phoneticPr fontId="1" type="noConversion"/>
  </si>
  <si>
    <t>平
均</t>
    <phoneticPr fontId="1" type="noConversion"/>
  </si>
  <si>
    <t>↗</t>
    <phoneticPr fontId="1" type="noConversion"/>
  </si>
  <si>
    <t>↘</t>
  </si>
  <si>
    <t>读数(格)</t>
    <phoneticPr fontId="1" type="noConversion"/>
  </si>
  <si>
    <t>示值(mA)</t>
    <phoneticPr fontId="1" type="noConversion"/>
  </si>
  <si>
    <t>绝对误差</t>
    <phoneticPr fontId="1" type="noConversion"/>
  </si>
  <si>
    <t>最大绝对误差</t>
    <phoneticPr fontId="1" type="noConversion"/>
  </si>
  <si>
    <t>V
改</t>
    <phoneticPr fontId="1" type="noConversion"/>
  </si>
  <si>
    <t>V
标</t>
    <phoneticPr fontId="1" type="noConversion"/>
  </si>
  <si>
    <t>示值(V)</t>
    <phoneticPr fontId="1" type="noConversion"/>
  </si>
  <si>
    <t>示值(V)</t>
    <phoneticPr fontId="1" type="noConversion"/>
  </si>
  <si>
    <t>δI(V)</t>
    <phoneticPr fontId="1" type="noConversion"/>
  </si>
  <si>
    <t>光干涉现象的观测</t>
    <phoneticPr fontId="1" type="noConversion"/>
  </si>
  <si>
    <t>次</t>
    <phoneticPr fontId="1" type="noConversion"/>
  </si>
  <si>
    <t>N测</t>
    <phoneticPr fontId="1" type="noConversion"/>
  </si>
  <si>
    <t>N测</t>
    <phoneticPr fontId="1" type="noConversion"/>
  </si>
  <si>
    <t>级次
n</t>
    <phoneticPr fontId="1" type="noConversion"/>
  </si>
  <si>
    <t>Dn
/mm</t>
    <phoneticPr fontId="1" type="noConversion"/>
  </si>
  <si>
    <t>Dn²
/mm²</t>
    <phoneticPr fontId="1" type="noConversion"/>
  </si>
  <si>
    <t>级次
n</t>
    <phoneticPr fontId="1" type="noConversion"/>
  </si>
  <si>
    <t>Dm
/mm</t>
    <phoneticPr fontId="1" type="noConversion"/>
  </si>
  <si>
    <t>Dm²
/mm²</t>
    <phoneticPr fontId="1" type="noConversion"/>
  </si>
  <si>
    <t>[△(Dm²-Dn²)]²
/mm²</t>
    <phoneticPr fontId="1" type="noConversion"/>
  </si>
  <si>
    <t>L标</t>
    <phoneticPr fontId="1" type="noConversion"/>
  </si>
  <si>
    <t>N标</t>
    <phoneticPr fontId="1" type="noConversion"/>
  </si>
  <si>
    <t>Dm²-Dn²
/mm²</t>
    <phoneticPr fontId="1" type="noConversion"/>
  </si>
  <si>
    <t>σDm²-Dn²</t>
    <phoneticPr fontId="1" type="noConversion"/>
  </si>
  <si>
    <t>R</t>
    <phoneticPr fontId="1" type="noConversion"/>
  </si>
  <si>
    <t>λ</t>
    <phoneticPr fontId="1" type="noConversion"/>
  </si>
  <si>
    <t>E</t>
    <phoneticPr fontId="1" type="noConversion"/>
  </si>
  <si>
    <t>杨氏模量的测定</t>
    <phoneticPr fontId="1" type="noConversion"/>
  </si>
  <si>
    <t>被测量</t>
    <phoneticPr fontId="1" type="noConversion"/>
  </si>
  <si>
    <t>测量值(cm)</t>
    <phoneticPr fontId="1" type="noConversion"/>
  </si>
  <si>
    <r>
      <t>仪器误差Δ</t>
    </r>
    <r>
      <rPr>
        <vertAlign val="subscript"/>
        <sz val="11"/>
        <color theme="1"/>
        <rFont val="宋体"/>
        <family val="3"/>
        <charset val="134"/>
        <scheme val="minor"/>
      </rPr>
      <t>仪</t>
    </r>
    <r>
      <rPr>
        <sz val="11"/>
        <color theme="1"/>
        <rFont val="宋体"/>
        <family val="3"/>
        <charset val="134"/>
        <scheme val="minor"/>
      </rPr>
      <t>(cm)</t>
    </r>
    <phoneticPr fontId="1" type="noConversion"/>
  </si>
  <si>
    <r>
      <t>标准偏差σ=Δ</t>
    </r>
    <r>
      <rPr>
        <vertAlign val="subscript"/>
        <sz val="11"/>
        <color theme="1"/>
        <rFont val="宋体"/>
        <family val="3"/>
        <charset val="134"/>
        <scheme val="minor"/>
      </rPr>
      <t>仪</t>
    </r>
    <r>
      <rPr>
        <sz val="11"/>
        <color theme="1"/>
        <rFont val="宋体"/>
        <family val="3"/>
        <charset val="134"/>
        <scheme val="minor"/>
      </rPr>
      <t>/根号三</t>
    </r>
    <r>
      <rPr>
        <sz val="11"/>
        <color theme="1"/>
        <rFont val="宋体"/>
        <family val="2"/>
        <scheme val="minor"/>
      </rPr>
      <t>(cm)</t>
    </r>
    <phoneticPr fontId="1" type="noConversion"/>
  </si>
  <si>
    <t>根号三</t>
    <phoneticPr fontId="1" type="noConversion"/>
  </si>
  <si>
    <t>L</t>
    <phoneticPr fontId="1" type="noConversion"/>
  </si>
  <si>
    <t>D</t>
    <phoneticPr fontId="1" type="noConversion"/>
  </si>
  <si>
    <t>b</t>
    <phoneticPr fontId="1" type="noConversion"/>
  </si>
  <si>
    <t>次数</t>
    <phoneticPr fontId="1" type="noConversion"/>
  </si>
  <si>
    <t>di(mm)</t>
    <phoneticPr fontId="1" type="noConversion"/>
  </si>
  <si>
    <t>Δdi(mm)</t>
    <phoneticPr fontId="1" type="noConversion"/>
  </si>
  <si>
    <t>(Δdi)(mm)</t>
    <phoneticPr fontId="1" type="noConversion"/>
  </si>
  <si>
    <t>d=</t>
    <phoneticPr fontId="1" type="noConversion"/>
  </si>
  <si>
    <t>拉力mi(Rg)</t>
    <phoneticPr fontId="1" type="noConversion"/>
  </si>
  <si>
    <t>标尺读数</t>
    <phoneticPr fontId="1" type="noConversion"/>
  </si>
  <si>
    <t>ni(cm)</t>
    <phoneticPr fontId="1" type="noConversion"/>
  </si>
  <si>
    <t>ni'(cm)</t>
    <phoneticPr fontId="1" type="noConversion"/>
  </si>
  <si>
    <t>Hi(cm)</t>
    <phoneticPr fontId="1" type="noConversion"/>
  </si>
  <si>
    <t>ΔHi(cm)</t>
    <phoneticPr fontId="1" type="noConversion"/>
  </si>
  <si>
    <t>(Δhi)的平方(cm)</t>
    <phoneticPr fontId="1" type="noConversion"/>
  </si>
  <si>
    <t>H=</t>
    <phoneticPr fontId="1" type="noConversion"/>
  </si>
  <si>
    <t>σR</t>
    <phoneticPr fontId="1" type="noConversion"/>
  </si>
  <si>
    <t>σHi</t>
    <phoneticPr fontId="1" type="noConversion"/>
  </si>
  <si>
    <t>Y</t>
    <phoneticPr fontId="1" type="noConversion"/>
  </si>
  <si>
    <t>F</t>
    <phoneticPr fontId="1" type="noConversion"/>
  </si>
  <si>
    <t>σL</t>
    <phoneticPr fontId="1" type="noConversion"/>
  </si>
  <si>
    <t>σD</t>
    <phoneticPr fontId="1" type="noConversion"/>
  </si>
  <si>
    <t>L</t>
    <phoneticPr fontId="1" type="noConversion"/>
  </si>
  <si>
    <t>D</t>
    <phoneticPr fontId="1" type="noConversion"/>
  </si>
  <si>
    <t>d</t>
    <phoneticPr fontId="1" type="noConversion"/>
  </si>
  <si>
    <t>b</t>
    <phoneticPr fontId="1" type="noConversion"/>
  </si>
  <si>
    <t>H</t>
    <phoneticPr fontId="1" type="noConversion"/>
  </si>
  <si>
    <t>E</t>
    <phoneticPr fontId="1" type="noConversion"/>
  </si>
  <si>
    <t>σb</t>
    <phoneticPr fontId="1" type="noConversion"/>
  </si>
  <si>
    <t>σY</t>
    <phoneticPr fontId="1" type="noConversion"/>
  </si>
  <si>
    <t>di(cm)</t>
    <phoneticPr fontId="1" type="noConversion"/>
  </si>
  <si>
    <t>Δdi(cm)</t>
    <phoneticPr fontId="1" type="noConversion"/>
  </si>
  <si>
    <t>(Δdi)(cm)</t>
    <phoneticPr fontId="1" type="noConversion"/>
  </si>
  <si>
    <t>Ks(ms/格)</t>
    <phoneticPr fontId="1" type="noConversion"/>
  </si>
  <si>
    <t>Dx(格数)</t>
    <phoneticPr fontId="1" type="noConversion"/>
  </si>
  <si>
    <t>周期</t>
    <phoneticPr fontId="1" type="noConversion"/>
  </si>
  <si>
    <t>σd</t>
    <phoneticPr fontId="1" type="noConversion"/>
  </si>
  <si>
    <t>σ仪</t>
    <phoneticPr fontId="1" type="noConversion"/>
  </si>
  <si>
    <t>ET</t>
    <phoneticPr fontId="1" type="noConversion"/>
  </si>
  <si>
    <t>频率</t>
    <phoneticPr fontId="1" type="noConversion"/>
  </si>
  <si>
    <t>f</t>
    <phoneticPr fontId="1" type="noConversion"/>
  </si>
  <si>
    <t>Ef</t>
    <phoneticPr fontId="1" type="noConversion"/>
  </si>
  <si>
    <t>σf</t>
    <phoneticPr fontId="1" type="noConversion"/>
  </si>
  <si>
    <t>Ky(V/格)</t>
    <phoneticPr fontId="1" type="noConversion"/>
  </si>
  <si>
    <t>Dy(格数)</t>
    <phoneticPr fontId="1" type="noConversion"/>
  </si>
  <si>
    <t>V</t>
    <phoneticPr fontId="1" type="noConversion"/>
  </si>
  <si>
    <t>E</t>
    <phoneticPr fontId="1" type="noConversion"/>
  </si>
  <si>
    <t>T</t>
    <phoneticPr fontId="1" type="noConversion"/>
  </si>
  <si>
    <t>探头</t>
    <phoneticPr fontId="1" type="noConversion"/>
  </si>
  <si>
    <t>σT</t>
    <phoneticPr fontId="1" type="noConversion"/>
  </si>
  <si>
    <t>σV</t>
    <phoneticPr fontId="1" type="noConversion"/>
  </si>
  <si>
    <t>示波器的使用</t>
    <phoneticPr fontId="1" type="noConversion"/>
  </si>
  <si>
    <t>模拟法测静电场</t>
    <phoneticPr fontId="1" type="noConversion"/>
  </si>
  <si>
    <t>U(V)</t>
    <phoneticPr fontId="1" type="noConversion"/>
  </si>
  <si>
    <t>D(mm)</t>
    <phoneticPr fontId="1" type="noConversion"/>
  </si>
  <si>
    <t>r(mm)</t>
    <phoneticPr fontId="1" type="noConversion"/>
  </si>
  <si>
    <t>U理</t>
    <phoneticPr fontId="1" type="noConversion"/>
  </si>
  <si>
    <t>D1(mm)</t>
    <phoneticPr fontId="1" type="noConversion"/>
  </si>
  <si>
    <t>D2(mm)</t>
  </si>
  <si>
    <t>D3(mm)</t>
  </si>
  <si>
    <t>D4(mm)</t>
  </si>
  <si>
    <t>D5(mm)</t>
  </si>
  <si>
    <t>D1=</t>
    <phoneticPr fontId="1" type="noConversion"/>
  </si>
  <si>
    <t>D2=</t>
  </si>
  <si>
    <t>D3=</t>
  </si>
  <si>
    <t>D4=</t>
  </si>
  <si>
    <t>D5=</t>
  </si>
  <si>
    <t>r1</t>
    <phoneticPr fontId="1" type="noConversion"/>
  </si>
  <si>
    <t>r2</t>
    <phoneticPr fontId="1" type="noConversion"/>
  </si>
  <si>
    <t>U1</t>
    <phoneticPr fontId="1" type="noConversion"/>
  </si>
  <si>
    <t>ln(r2/r1)</t>
    <phoneticPr fontId="1" type="noConversion"/>
  </si>
  <si>
    <t>ln(r2/r)</t>
    <phoneticPr fontId="1" type="noConversion"/>
  </si>
  <si>
    <t>/U理</t>
    <phoneticPr fontId="1" type="noConversion"/>
  </si>
  <si>
    <t>| U测-U理|</t>
    <phoneticPr fontId="1" type="noConversion"/>
  </si>
  <si>
    <t>分光计的调节及三棱镜折射率的测定</t>
    <phoneticPr fontId="1" type="noConversion"/>
  </si>
  <si>
    <t>φ1</t>
    <phoneticPr fontId="1" type="noConversion"/>
  </si>
  <si>
    <t>φ1'</t>
    <phoneticPr fontId="1" type="noConversion"/>
  </si>
  <si>
    <t>φ2</t>
    <phoneticPr fontId="1" type="noConversion"/>
  </si>
  <si>
    <t>φ2'</t>
    <phoneticPr fontId="1" type="noConversion"/>
  </si>
  <si>
    <t>Ai</t>
    <phoneticPr fontId="1" type="noConversion"/>
  </si>
  <si>
    <t>△(Dm²-Dn²)
/mm²</t>
    <phoneticPr fontId="1" type="noConversion"/>
  </si>
  <si>
    <t>△Ai</t>
    <phoneticPr fontId="1" type="noConversion"/>
  </si>
  <si>
    <t>△Ai的平方</t>
    <phoneticPr fontId="1" type="noConversion"/>
  </si>
  <si>
    <t>∑=</t>
    <phoneticPr fontId="1" type="noConversion"/>
  </si>
  <si>
    <t>Ai=</t>
    <phoneticPr fontId="1" type="noConversion"/>
  </si>
  <si>
    <t>|φ1'-φ1|</t>
    <phoneticPr fontId="1" type="noConversion"/>
  </si>
  <si>
    <t>|φ2'-φ2|</t>
    <phoneticPr fontId="1" type="noConversion"/>
  </si>
  <si>
    <t>180°</t>
    <phoneticPr fontId="1" type="noConversion"/>
  </si>
  <si>
    <t>σA=</t>
    <phoneticPr fontId="1" type="noConversion"/>
  </si>
  <si>
    <t>E</t>
    <phoneticPr fontId="1" type="noConversion"/>
  </si>
  <si>
    <t>弧度A</t>
    <phoneticPr fontId="1" type="noConversion"/>
  </si>
  <si>
    <t>弧度σA</t>
    <phoneticPr fontId="1" type="noConversion"/>
  </si>
  <si>
    <t>弧度E</t>
    <phoneticPr fontId="1" type="noConversion"/>
  </si>
  <si>
    <t>可供选择的电流表量程及其内阻</t>
    <phoneticPr fontId="1" type="noConversion"/>
  </si>
  <si>
    <t>量程Im</t>
    <phoneticPr fontId="1" type="noConversion"/>
  </si>
  <si>
    <t>内阻Rig/Ω</t>
    <phoneticPr fontId="1" type="noConversion"/>
  </si>
  <si>
    <t>100μA</t>
    <phoneticPr fontId="1" type="noConversion"/>
  </si>
  <si>
    <t>200μA</t>
    <phoneticPr fontId="1" type="noConversion"/>
  </si>
  <si>
    <t>500μA</t>
    <phoneticPr fontId="1" type="noConversion"/>
  </si>
  <si>
    <t>1000μA</t>
    <phoneticPr fontId="1" type="noConversion"/>
  </si>
  <si>
    <t>2.5mA</t>
    <phoneticPr fontId="1" type="noConversion"/>
  </si>
  <si>
    <t>5mA</t>
    <phoneticPr fontId="1" type="noConversion"/>
  </si>
  <si>
    <t>15mA</t>
    <phoneticPr fontId="1" type="noConversion"/>
  </si>
  <si>
    <t>30mA</t>
    <phoneticPr fontId="1" type="noConversion"/>
  </si>
  <si>
    <t>75mA</t>
    <phoneticPr fontId="1" type="noConversion"/>
  </si>
  <si>
    <t>150mA</t>
    <phoneticPr fontId="1" type="noConversion"/>
  </si>
  <si>
    <t>可供选择的滑线变阻器主要技术参数表</t>
    <phoneticPr fontId="1" type="noConversion"/>
  </si>
  <si>
    <t>全电阻大小R0/Ω</t>
    <phoneticPr fontId="1" type="noConversion"/>
  </si>
  <si>
    <t>额定电流Imax/A</t>
    <phoneticPr fontId="1" type="noConversion"/>
  </si>
  <si>
    <t>14.85k</t>
    <phoneticPr fontId="1" type="noConversion"/>
  </si>
  <si>
    <t>1k</t>
    <phoneticPr fontId="1" type="noConversion"/>
  </si>
  <si>
    <t>设计题2</t>
    <phoneticPr fontId="1" type="noConversion"/>
  </si>
  <si>
    <t>Rug/Ω</t>
    <phoneticPr fontId="1" type="noConversion"/>
  </si>
  <si>
    <t>Δ仪</t>
    <phoneticPr fontId="1" type="noConversion"/>
  </si>
  <si>
    <t>U分误差</t>
    <phoneticPr fontId="1" type="noConversion"/>
  </si>
  <si>
    <t>I分误差</t>
    <phoneticPr fontId="1" type="noConversion"/>
  </si>
  <si>
    <t>电压表内阻</t>
    <phoneticPr fontId="1" type="noConversion"/>
  </si>
  <si>
    <t>U标准误差</t>
    <phoneticPr fontId="1" type="noConversion"/>
  </si>
  <si>
    <t>电压表仪器算术误差</t>
    <phoneticPr fontId="1" type="noConversion"/>
  </si>
  <si>
    <t>电压表仪器标称误差</t>
    <phoneticPr fontId="1" type="noConversion"/>
  </si>
  <si>
    <t>rm</t>
    <phoneticPr fontId="1" type="noConversion"/>
  </si>
  <si>
    <t>U测max</t>
    <phoneticPr fontId="1" type="noConversion"/>
  </si>
  <si>
    <t>Um</t>
    <phoneticPr fontId="1" type="noConversion"/>
  </si>
  <si>
    <t>Im</t>
    <phoneticPr fontId="1" type="noConversion"/>
  </si>
  <si>
    <t>I测max</t>
    <phoneticPr fontId="1" type="noConversion"/>
  </si>
  <si>
    <t>Rx</t>
    <phoneticPr fontId="1" type="noConversion"/>
  </si>
  <si>
    <t>电流表内阻</t>
    <phoneticPr fontId="1" type="noConversion"/>
  </si>
  <si>
    <t>Rig/Ω</t>
    <phoneticPr fontId="1" type="noConversion"/>
  </si>
  <si>
    <t>I标准误差</t>
    <phoneticPr fontId="1" type="noConversion"/>
  </si>
  <si>
    <t>σu/σ测</t>
    <phoneticPr fontId="1" type="noConversion"/>
  </si>
  <si>
    <t>σi/σ测</t>
    <phoneticPr fontId="1" type="noConversion"/>
  </si>
  <si>
    <t>电流表仪器算术误差</t>
    <phoneticPr fontId="1" type="noConversion"/>
  </si>
  <si>
    <t>电流表仪器标称误差</t>
    <phoneticPr fontId="1" type="noConversion"/>
  </si>
  <si>
    <t>200*Um</t>
    <phoneticPr fontId="1" type="noConversion"/>
  </si>
  <si>
    <t>√E^2/2</t>
    <phoneticPr fontId="1" type="noConversion"/>
  </si>
  <si>
    <t xml:space="preserve"> σu/U</t>
    <phoneticPr fontId="1" type="noConversion"/>
  </si>
  <si>
    <t>U测max*σu/U</t>
    <phoneticPr fontId="1" type="noConversion"/>
  </si>
  <si>
    <t>Δ仪/Um</t>
    <phoneticPr fontId="1" type="noConversion"/>
  </si>
  <si>
    <t>σI/I</t>
    <phoneticPr fontId="1" type="noConversion"/>
  </si>
  <si>
    <t>I测max*σI/I</t>
    <phoneticPr fontId="1" type="noConversion"/>
  </si>
  <si>
    <t>(√3)*σ测</t>
    <phoneticPr fontId="1" type="noConversion"/>
  </si>
  <si>
    <t>Δ仪/Im</t>
    <phoneticPr fontId="1" type="noConversion"/>
  </si>
  <si>
    <t>√Rug*Rig</t>
    <phoneticPr fontId="1" type="noConversion"/>
  </si>
  <si>
    <t>电压表仪器误差</t>
    <phoneticPr fontId="1" type="noConversion"/>
  </si>
  <si>
    <t>σu/σ仪</t>
    <phoneticPr fontId="1" type="noConversion"/>
  </si>
  <si>
    <t>Um*Sm%/(√3)</t>
    <phoneticPr fontId="1" type="noConversion"/>
  </si>
  <si>
    <t>电流表仪器误差</t>
    <phoneticPr fontId="1" type="noConversion"/>
  </si>
  <si>
    <t>σi/σ仪</t>
    <phoneticPr fontId="1" type="noConversion"/>
  </si>
  <si>
    <t>Im*Sm%/(√3)</t>
    <phoneticPr fontId="1" type="noConversion"/>
  </si>
  <si>
    <t>Sm</t>
    <phoneticPr fontId="1" type="noConversion"/>
  </si>
  <si>
    <t>RL/Ω</t>
    <phoneticPr fontId="1" type="noConversion"/>
  </si>
  <si>
    <t>1/(1/(Rig+Rx)+1/Rug)</t>
    <phoneticPr fontId="1" type="noConversion"/>
  </si>
  <si>
    <t>R0/Ω</t>
    <phoneticPr fontId="1" type="noConversion"/>
  </si>
  <si>
    <t>RL/2</t>
    <phoneticPr fontId="1" type="noConversion"/>
  </si>
  <si>
    <t>Imax</t>
    <phoneticPr fontId="1" type="noConversion"/>
  </si>
  <si>
    <t>I总max</t>
    <phoneticPr fontId="1" type="noConversion"/>
  </si>
  <si>
    <t>E*(1/R0+1/RL)</t>
    <phoneticPr fontId="1" type="noConversion"/>
  </si>
  <si>
    <t>倍率</t>
    <phoneticPr fontId="1" type="noConversion"/>
  </si>
  <si>
    <t>σu/σi</t>
    <phoneticPr fontId="1" type="noConversion"/>
  </si>
  <si>
    <t>I</t>
    <phoneticPr fontId="1" type="noConversion"/>
  </si>
  <si>
    <t>σu/(σu/U*(倍率-Rig))</t>
    <phoneticPr fontId="1" type="noConversion"/>
  </si>
  <si>
    <t>U</t>
    <phoneticPr fontId="1" type="noConversion"/>
  </si>
  <si>
    <t>倍率*I</t>
    <phoneticPr fontId="1" type="noConversion"/>
  </si>
  <si>
    <t>I测</t>
    <phoneticPr fontId="1" type="noConversion"/>
  </si>
  <si>
    <t>U/(Rx+Rig)</t>
    <phoneticPr fontId="1" type="noConversion"/>
  </si>
  <si>
    <t>√((I测max*σu)^2+(U测max*σi)^2)/(I测max*(U测max-I测max*Rig))</t>
    <phoneticPr fontId="1" type="noConversion"/>
  </si>
  <si>
    <t>设计题1</t>
    <phoneticPr fontId="1" type="noConversion"/>
  </si>
  <si>
    <t>所测电压相对误差</t>
    <phoneticPr fontId="1" type="noConversion"/>
  </si>
  <si>
    <t>σu/σ仪</t>
    <phoneticPr fontId="1" type="noConversion"/>
  </si>
  <si>
    <t>Um*Sm%/((√3)*U测)</t>
    <phoneticPr fontId="1" type="noConversion"/>
  </si>
  <si>
    <t>Im*Sm%/((√3)*I测)</t>
    <phoneticPr fontId="1" type="noConversion"/>
  </si>
  <si>
    <t>σ仪/I测</t>
    <phoneticPr fontId="1" type="noConversion"/>
  </si>
  <si>
    <t>所测电流相对误差</t>
    <phoneticPr fontId="1" type="noConversion"/>
  </si>
  <si>
    <t>E^2</t>
    <phoneticPr fontId="1" type="noConversion"/>
  </si>
  <si>
    <t>E^2-(Eu^2-Ei^2)</t>
    <phoneticPr fontId="1" type="noConversion"/>
  </si>
  <si>
    <t>Eu</t>
    <phoneticPr fontId="1" type="noConversion"/>
  </si>
  <si>
    <t>≤</t>
    <phoneticPr fontId="1" type="noConversion"/>
  </si>
  <si>
    <t>Ei</t>
    <phoneticPr fontId="1" type="noConversion"/>
  </si>
  <si>
    <t>σ仪/U测</t>
    <phoneticPr fontId="1" type="noConversion"/>
  </si>
  <si>
    <t>E/2+σ仪/U测</t>
    <phoneticPr fontId="1" type="noConversion"/>
  </si>
  <si>
    <t>E/2+σ仪/I测</t>
    <phoneticPr fontId="1" type="noConversion"/>
  </si>
  <si>
    <t>U测max*Eu</t>
    <phoneticPr fontId="1" type="noConversion"/>
  </si>
  <si>
    <t>U标准误差(新)</t>
    <phoneticPr fontId="1" type="noConversion"/>
  </si>
  <si>
    <t>电压表仪器算术误差(新)</t>
    <phoneticPr fontId="1" type="noConversion"/>
  </si>
  <si>
    <t>电压表仪器标称误差(新)</t>
    <phoneticPr fontId="1" type="noConversion"/>
  </si>
  <si>
    <t>电表名称</t>
    <phoneticPr fontId="1" type="noConversion"/>
  </si>
  <si>
    <t>电压表</t>
    <phoneticPr fontId="1" type="noConversion"/>
  </si>
  <si>
    <t>电流表</t>
    <phoneticPr fontId="1" type="noConversion"/>
  </si>
  <si>
    <t>量程Xm</t>
    <phoneticPr fontId="1" type="noConversion"/>
  </si>
  <si>
    <t>度盘小格数</t>
    <phoneticPr fontId="1" type="noConversion"/>
  </si>
  <si>
    <t>测量数据</t>
    <phoneticPr fontId="1" type="noConversion"/>
  </si>
  <si>
    <t>读数</t>
    <phoneticPr fontId="1" type="noConversion"/>
  </si>
  <si>
    <t>示值</t>
    <phoneticPr fontId="1" type="noConversion"/>
  </si>
  <si>
    <t>等级Sm</t>
    <phoneticPr fontId="1" type="noConversion"/>
  </si>
  <si>
    <t>内阻</t>
    <phoneticPr fontId="1" type="noConversion"/>
  </si>
  <si>
    <t>分度值</t>
    <phoneticPr fontId="1" type="noConversion"/>
  </si>
  <si>
    <t>仪器误差</t>
    <phoneticPr fontId="1" type="noConversion"/>
  </si>
  <si>
    <t>2.5V</t>
    <phoneticPr fontId="1" type="noConversion"/>
  </si>
  <si>
    <t>2.5mA</t>
    <phoneticPr fontId="1" type="noConversion"/>
  </si>
  <si>
    <t>1000μA</t>
    <phoneticPr fontId="1" type="noConversion"/>
  </si>
  <si>
    <t>V
表</t>
    <phoneticPr fontId="1" type="noConversion"/>
  </si>
  <si>
    <t>读
数</t>
    <phoneticPr fontId="1" type="noConversion"/>
  </si>
  <si>
    <t>示
值</t>
    <phoneticPr fontId="1" type="noConversion"/>
  </si>
  <si>
    <t>平
均</t>
    <phoneticPr fontId="1" type="noConversion"/>
  </si>
  <si>
    <t>I
表</t>
    <phoneticPr fontId="1" type="noConversion"/>
  </si>
  <si>
    <t>Rx(Ω)</t>
    <phoneticPr fontId="1" type="noConversion"/>
  </si>
  <si>
    <t>ΔRx(Ω)</t>
    <phoneticPr fontId="1" type="noConversion"/>
  </si>
  <si>
    <t>ΔRx(Ω)^2</t>
    <phoneticPr fontId="1" type="noConversion"/>
  </si>
  <si>
    <t>平
均</t>
    <phoneticPr fontId="1" type="noConversion"/>
  </si>
  <si>
    <t>R</t>
    <phoneticPr fontId="1" type="noConversion"/>
  </si>
  <si>
    <t>ER</t>
    <phoneticPr fontId="1" type="noConversion"/>
  </si>
  <si>
    <t>(U-IR)/I</t>
    <phoneticPr fontId="1" type="noConversion"/>
  </si>
  <si>
    <t>σR</t>
    <phoneticPr fontId="1" type="noConversion"/>
  </si>
  <si>
    <t>E</t>
    <phoneticPr fontId="1" type="noConversion"/>
  </si>
  <si>
    <t>ER*R</t>
    <phoneticPr fontId="1" type="noConversion"/>
  </si>
  <si>
    <t>√(∑ΔRx^2/(n*(n-1)))</t>
    <phoneticPr fontId="1" type="noConversion"/>
  </si>
  <si>
    <t>σR</t>
    <phoneticPr fontId="1" type="noConversion"/>
  </si>
  <si>
    <t>σR/Rx</t>
    <phoneticPr fontId="1" type="noConversion"/>
  </si>
  <si>
    <t>K</t>
    <phoneticPr fontId="1" type="noConversion"/>
  </si>
  <si>
    <t>Rx</t>
    <phoneticPr fontId="1" type="noConversion"/>
  </si>
  <si>
    <t>测量次数i</t>
    <phoneticPr fontId="1" type="noConversion"/>
  </si>
  <si>
    <t>光源</t>
    <phoneticPr fontId="1" type="noConversion"/>
  </si>
  <si>
    <t>级数</t>
    <phoneticPr fontId="1" type="noConversion"/>
  </si>
  <si>
    <t>颜色</t>
    <phoneticPr fontId="1" type="noConversion"/>
  </si>
  <si>
    <t>θ</t>
    <phoneticPr fontId="1" type="noConversion"/>
  </si>
  <si>
    <t>θ'</t>
    <phoneticPr fontId="1" type="noConversion"/>
  </si>
  <si>
    <t>黄Ⅱ</t>
    <phoneticPr fontId="1" type="noConversion"/>
  </si>
  <si>
    <t>黄Ⅰ</t>
    <phoneticPr fontId="1" type="noConversion"/>
  </si>
  <si>
    <t>绿光</t>
    <phoneticPr fontId="1" type="noConversion"/>
  </si>
  <si>
    <t>紫兰</t>
    <phoneticPr fontId="1" type="noConversion"/>
  </si>
  <si>
    <t>复色</t>
    <phoneticPr fontId="1" type="noConversion"/>
  </si>
  <si>
    <t>汞灯</t>
    <phoneticPr fontId="1" type="noConversion"/>
  </si>
  <si>
    <t>i</t>
    <phoneticPr fontId="1" type="noConversion"/>
  </si>
  <si>
    <t>+1</t>
    <phoneticPr fontId="1" type="noConversion"/>
  </si>
  <si>
    <t>∑</t>
    <phoneticPr fontId="1" type="noConversion"/>
  </si>
  <si>
    <t>θ-1i</t>
    <phoneticPr fontId="1" type="noConversion"/>
  </si>
  <si>
    <t>θ'-1i</t>
    <phoneticPr fontId="1" type="noConversion"/>
  </si>
  <si>
    <t>θ'+1i</t>
    <phoneticPr fontId="1" type="noConversion"/>
  </si>
  <si>
    <t>Φ1i</t>
    <phoneticPr fontId="1" type="noConversion"/>
  </si>
  <si>
    <t>Φ1
=</t>
    <phoneticPr fontId="1" type="noConversion"/>
  </si>
  <si>
    <t>Φ-1i</t>
    <phoneticPr fontId="1" type="noConversion"/>
  </si>
  <si>
    <t>(|θ-1i-θ0i|+|θ'-1i-θ'0i|)/2</t>
    <phoneticPr fontId="1" type="noConversion"/>
  </si>
  <si>
    <t>(|θ+1i-θ0i|+|θ'+1i-θ'0i|)/2</t>
    <phoneticPr fontId="1" type="noConversion"/>
  </si>
  <si>
    <t>Φ1i</t>
    <phoneticPr fontId="1" type="noConversion"/>
  </si>
  <si>
    <t>Φ+1i</t>
    <phoneticPr fontId="1" type="noConversion"/>
  </si>
  <si>
    <t>黄Ⅱ</t>
    <phoneticPr fontId="1" type="noConversion"/>
  </si>
  <si>
    <t>绿光</t>
    <phoneticPr fontId="1" type="noConversion"/>
  </si>
  <si>
    <t>0</t>
    <phoneticPr fontId="1" type="noConversion"/>
  </si>
  <si>
    <t>θ0i</t>
    <phoneticPr fontId="1" type="noConversion"/>
  </si>
  <si>
    <t>θ'0i</t>
    <phoneticPr fontId="1" type="noConversion"/>
  </si>
  <si>
    <t>θ+1i</t>
    <phoneticPr fontId="1" type="noConversion"/>
  </si>
  <si>
    <t>Δφ1i</t>
    <phoneticPr fontId="1" type="noConversion"/>
  </si>
  <si>
    <t>Δφ1i^2</t>
    <phoneticPr fontId="1" type="noConversion"/>
  </si>
  <si>
    <t>d</t>
  </si>
  <si>
    <t>d</t>
    <phoneticPr fontId="1" type="noConversion"/>
  </si>
  <si>
    <t>kλ/sinΦ</t>
    <phoneticPr fontId="1" type="noConversion"/>
  </si>
  <si>
    <t>λ</t>
    <phoneticPr fontId="1" type="noConversion"/>
  </si>
  <si>
    <t>σ</t>
    <phoneticPr fontId="1" type="noConversion"/>
  </si>
  <si>
    <t>E</t>
    <phoneticPr fontId="1" type="noConversion"/>
  </si>
  <si>
    <t>d*sinΦ</t>
    <phoneticPr fontId="1" type="noConversion"/>
  </si>
  <si>
    <t>(Φ-1i/2+Φ+1i/2)/2</t>
    <phoneticPr fontId="1" type="noConversion"/>
  </si>
  <si>
    <t>N</t>
    <phoneticPr fontId="1" type="noConversion"/>
  </si>
  <si>
    <t>l/d</t>
    <phoneticPr fontId="1" type="noConversion"/>
  </si>
  <si>
    <t>R</t>
    <phoneticPr fontId="1" type="noConversion"/>
  </si>
  <si>
    <t>kN</t>
    <phoneticPr fontId="1" type="noConversion"/>
  </si>
  <si>
    <t>光栅衍射</t>
    <phoneticPr fontId="1" type="noConversion"/>
  </si>
  <si>
    <t>设计伏安法测电阻</t>
    <phoneticPr fontId="1" type="noConversion"/>
  </si>
  <si>
    <t>迈克尔逊干涉仪的调节与使用</t>
    <phoneticPr fontId="1" type="noConversion"/>
  </si>
  <si>
    <t>条纹改变数N</t>
    <phoneticPr fontId="1" type="noConversion"/>
  </si>
  <si>
    <t>M1位置数Li/mm</t>
    <phoneticPr fontId="1" type="noConversion"/>
  </si>
  <si>
    <t>(ΔδLi())^2</t>
    <phoneticPr fontId="1" type="noConversion"/>
  </si>
  <si>
    <t>∑=</t>
    <phoneticPr fontId="1" type="noConversion"/>
  </si>
  <si>
    <t>位置改变数δLi()</t>
    <phoneticPr fontId="1" type="noConversion"/>
  </si>
  <si>
    <t>δL=</t>
    <phoneticPr fontId="1" type="noConversion"/>
  </si>
  <si>
    <t>σ</t>
    <phoneticPr fontId="1" type="noConversion"/>
  </si>
  <si>
    <t>σλ</t>
    <phoneticPr fontId="1" type="noConversion"/>
  </si>
  <si>
    <t>δN</t>
    <phoneticPr fontId="1" type="noConversion"/>
  </si>
  <si>
    <t>E</t>
    <phoneticPr fontId="1" type="noConversion"/>
  </si>
  <si>
    <t>λ标</t>
    <phoneticPr fontId="1" type="noConversion"/>
  </si>
  <si>
    <t>ΔδLi()</t>
    <phoneticPr fontId="1" type="noConversion"/>
  </si>
  <si>
    <t>编号</t>
    <phoneticPr fontId="1" type="noConversion"/>
  </si>
  <si>
    <t>N</t>
    <phoneticPr fontId="1" type="noConversion"/>
  </si>
  <si>
    <t>M1位置LA</t>
    <phoneticPr fontId="1" type="noConversion"/>
  </si>
  <si>
    <t>M1位置LB</t>
    <phoneticPr fontId="1" type="noConversion"/>
  </si>
  <si>
    <t>Di=LB-LA</t>
    <phoneticPr fontId="1" type="noConversion"/>
  </si>
  <si>
    <t>Di</t>
    <phoneticPr fontId="1" type="noConversion"/>
  </si>
  <si>
    <t>D=1/6∑Di</t>
    <phoneticPr fontId="1" type="noConversion"/>
  </si>
  <si>
    <t>ΔDi=Di-D</t>
    <phoneticPr fontId="1" type="noConversion"/>
  </si>
  <si>
    <t>Δdi^2</t>
    <phoneticPr fontId="1" type="noConversion"/>
  </si>
  <si>
    <t>ED</t>
    <phoneticPr fontId="1" type="noConversion"/>
  </si>
  <si>
    <t>σλ</t>
    <phoneticPr fontId="1" type="noConversion"/>
  </si>
  <si>
    <t>Eλ</t>
    <phoneticPr fontId="1" type="noConversion"/>
  </si>
  <si>
    <t>光电效应普朗克常数</t>
    <phoneticPr fontId="1" type="noConversion"/>
  </si>
  <si>
    <t>i</t>
    <phoneticPr fontId="1" type="noConversion"/>
  </si>
  <si>
    <t>Uka(V)</t>
    <phoneticPr fontId="1" type="noConversion"/>
  </si>
  <si>
    <t>Ika(A)</t>
    <phoneticPr fontId="1" type="noConversion"/>
  </si>
  <si>
    <t>Uka(V)</t>
    <phoneticPr fontId="1" type="noConversion"/>
  </si>
  <si>
    <t>e</t>
    <phoneticPr fontId="1" type="noConversion"/>
  </si>
  <si>
    <t>c</t>
    <phoneticPr fontId="1" type="noConversion"/>
  </si>
  <si>
    <t>波长(nm)</t>
    <phoneticPr fontId="1" type="noConversion"/>
  </si>
  <si>
    <t>频率v</t>
    <phoneticPr fontId="1" type="noConversion"/>
  </si>
  <si>
    <t>截止电压Us</t>
    <phoneticPr fontId="1" type="noConversion"/>
  </si>
  <si>
    <t>h0</t>
    <phoneticPr fontId="1" type="noConversion"/>
  </si>
  <si>
    <t>h</t>
    <phoneticPr fontId="1" type="noConversion"/>
  </si>
  <si>
    <t>Δh</t>
    <phoneticPr fontId="1" type="noConversion"/>
  </si>
  <si>
    <t>E</t>
    <phoneticPr fontId="1" type="noConversion"/>
  </si>
  <si>
    <t>密立根油滴实验</t>
    <phoneticPr fontId="1" type="noConversion"/>
  </si>
  <si>
    <t>油滴序号</t>
    <phoneticPr fontId="1" type="noConversion"/>
  </si>
  <si>
    <t>次数</t>
    <phoneticPr fontId="1" type="noConversion"/>
  </si>
  <si>
    <t>U/V</t>
    <phoneticPr fontId="1" type="noConversion"/>
  </si>
  <si>
    <t>t/s</t>
    <phoneticPr fontId="1" type="noConversion"/>
  </si>
  <si>
    <t>Q</t>
    <phoneticPr fontId="1" type="noConversion"/>
  </si>
  <si>
    <t>n</t>
    <phoneticPr fontId="1" type="noConversion"/>
  </si>
  <si>
    <t>n'</t>
    <phoneticPr fontId="1" type="noConversion"/>
  </si>
  <si>
    <t>Q</t>
    <phoneticPr fontId="1" type="noConversion"/>
  </si>
  <si>
    <t>Δe</t>
    <phoneticPr fontId="1" type="noConversion"/>
  </si>
  <si>
    <t>(Δe)^2</t>
    <phoneticPr fontId="1" type="noConversion"/>
  </si>
  <si>
    <t>∑(Δe)^2</t>
    <phoneticPr fontId="1" type="noConversion"/>
  </si>
  <si>
    <t>σe</t>
    <phoneticPr fontId="1" type="noConversion"/>
  </si>
  <si>
    <t>E</t>
    <phoneticPr fontId="1" type="noConversion"/>
  </si>
  <si>
    <t>热电转换技术的观测</t>
    <phoneticPr fontId="1" type="noConversion"/>
  </si>
  <si>
    <t>设置温度℃</t>
    <phoneticPr fontId="1" type="noConversion"/>
  </si>
  <si>
    <t>实际显示温度℃</t>
    <phoneticPr fontId="1" type="noConversion"/>
  </si>
  <si>
    <t>箱式电桥</t>
    <phoneticPr fontId="1" type="noConversion"/>
  </si>
  <si>
    <t>倍率C</t>
    <phoneticPr fontId="1" type="noConversion"/>
  </si>
  <si>
    <t>电阻值Ω</t>
    <phoneticPr fontId="1" type="noConversion"/>
  </si>
  <si>
    <t>室温</t>
    <phoneticPr fontId="1" type="noConversion"/>
  </si>
  <si>
    <t>温度值换算</t>
    <phoneticPr fontId="1" type="noConversion"/>
  </si>
  <si>
    <t>T/摄氏度</t>
    <phoneticPr fontId="1" type="noConversion"/>
  </si>
  <si>
    <t>T/开尔文</t>
    <phoneticPr fontId="1" type="noConversion"/>
  </si>
  <si>
    <t>1/T</t>
    <phoneticPr fontId="1" type="noConversion"/>
  </si>
  <si>
    <t>电阻值Rt(Ω)</t>
    <phoneticPr fontId="1" type="noConversion"/>
  </si>
  <si>
    <t>lnRt</t>
    <phoneticPr fontId="1" type="noConversion"/>
  </si>
  <si>
    <t>光学平台</t>
    <phoneticPr fontId="1" type="noConversion"/>
  </si>
  <si>
    <t>自准法</t>
    <phoneticPr fontId="1" type="noConversion"/>
  </si>
  <si>
    <t>225mm</t>
    <phoneticPr fontId="1" type="noConversion"/>
  </si>
  <si>
    <t>平均</t>
    <phoneticPr fontId="1" type="noConversion"/>
  </si>
  <si>
    <t>/</t>
    <phoneticPr fontId="1" type="noConversion"/>
  </si>
  <si>
    <t>/</t>
    <phoneticPr fontId="1" type="noConversion"/>
  </si>
  <si>
    <t>∑=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</si>
  <si>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</si>
  <si>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</si>
  <si>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</si>
  <si>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</si>
  <si>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fa</t>
    <phoneticPr fontId="1" type="noConversion"/>
  </si>
  <si>
    <t>fb</t>
    <phoneticPr fontId="1" type="noConversion"/>
  </si>
  <si>
    <t>f</t>
    <phoneticPr fontId="1" type="noConversion"/>
  </si>
  <si>
    <t>Δf</t>
    <phoneticPr fontId="1" type="noConversion"/>
  </si>
  <si>
    <t>(Δf)^2</t>
    <phoneticPr fontId="1" type="noConversion"/>
  </si>
  <si>
    <t>贝塞尔法</t>
    <phoneticPr fontId="1" type="noConversion"/>
  </si>
  <si>
    <t>190mm</t>
    <phoneticPr fontId="1" type="noConversion"/>
  </si>
  <si>
    <t>∑=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</si>
  <si>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</si>
  <si>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</si>
  <si>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</si>
  <si>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</si>
  <si>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P</t>
    <phoneticPr fontId="1" type="noConversion"/>
  </si>
  <si>
    <t>H</t>
    <phoneticPr fontId="1" type="noConversion"/>
  </si>
  <si>
    <t>da</t>
    <phoneticPr fontId="1" type="noConversion"/>
  </si>
  <si>
    <t>db</t>
    <phoneticPr fontId="1" type="noConversion"/>
  </si>
  <si>
    <t>fa</t>
    <phoneticPr fontId="1" type="noConversion"/>
  </si>
  <si>
    <t>fb</t>
    <phoneticPr fontId="1" type="noConversion"/>
  </si>
  <si>
    <t>l</t>
    <phoneticPr fontId="1" type="noConversion"/>
  </si>
  <si>
    <t>f</t>
    <phoneticPr fontId="1" type="noConversion"/>
  </si>
  <si>
    <t>(Δf)^2</t>
    <phoneticPr fontId="1" type="noConversion"/>
  </si>
  <si>
    <t>σf</t>
    <phoneticPr fontId="1" type="noConversion"/>
  </si>
  <si>
    <t>E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</si>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</sst>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6" formatCode="0.00_ "/>
    <numFmt numFmtId="177" formatCode="0.00_);[Red]\(0.00\)"/>
    <numFmt numFmtId="178" formatCode="0.0%"/>
    <numFmt numFmtId="179" formatCode="0.00000_);[Red]\(0.00000\)"/>
    <numFmt numFmtId="180" formatCode="0_);[Red]\(0\)"/>
    <numFmt numFmtId="181" formatCode="0.0000_ "/>
    <numFmt numFmtId="182" formatCode="0.0000_);[Red]\(0.0000\)"/>
    <numFmt numFmtId="183" formatCode="0.00000_ "/>
    <numFmt numFmtId="184" formatCode="0.000_ "/>
    <numFmt numFmtId="185" formatCode="0.0_ "/>
    <numFmt numFmtId="186" formatCode="0.0_);[Red]\(0.0\)"/>
    <numFmt numFmtId="187" formatCode="[h]\°mm\′ss\″"/>
    <numFmt numFmtId="188" formatCode="0.000E+00"/>
    <numFmt numFmtId="189" formatCode="0.000000E+00"/>
    <numFmt numFmtId="190" formatCode="0.0000000000000E+00"/>
    <numFmt numFmtId="191" formatCode="0.0000E+00"/>
    <numFmt numFmtId="192" formatCode="0.00000000E+00"/>
    <numFmt numFmtId="193" formatCode="0.00000000000000E+00"/>
    <numFmt numFmtId="194" formatCode="0.00000E+00"/>
    <numFmt numFmtId="195" formatCode="0.000000000000000000%"/>
    <numFmt numFmtId="196" formatCode="0.0E+00"/>
    <numFmt numFmtId="198" formatCode="0.000%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4" fontId="0" fillId="2" borderId="1" xfId="0" applyNumberFormat="1" applyFill="1" applyBorder="1" applyAlignment="1">
      <alignment horizontal="center" vertical="center"/>
    </xf>
    <xf numFmtId="187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2" fontId="0" fillId="2" borderId="1" xfId="0" applyNumberFormat="1" applyFill="1" applyBorder="1" applyAlignment="1">
      <alignment horizontal="center" vertical="center"/>
    </xf>
    <xf numFmtId="183" fontId="0" fillId="2" borderId="1" xfId="0" applyNumberFormat="1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86" fontId="0" fillId="2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85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188" fontId="0" fillId="0" borderId="5" xfId="0" applyNumberFormat="1" applyBorder="1" applyAlignment="1">
      <alignment horizontal="center" vertical="center" wrapText="1"/>
    </xf>
    <xf numFmtId="188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8" fontId="0" fillId="2" borderId="1" xfId="0" applyNumberFormat="1" applyFill="1" applyBorder="1" applyAlignment="1">
      <alignment horizontal="center" vertical="center"/>
    </xf>
    <xf numFmtId="188" fontId="0" fillId="2" borderId="0" xfId="0" applyNumberFormat="1" applyFill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90" fontId="0" fillId="0" borderId="1" xfId="0" applyNumberFormat="1" applyBorder="1" applyAlignment="1">
      <alignment horizontal="center" vertical="center"/>
    </xf>
    <xf numFmtId="191" fontId="0" fillId="0" borderId="0" xfId="0" applyNumberFormat="1" applyAlignment="1">
      <alignment horizontal="center" vertical="center"/>
    </xf>
    <xf numFmtId="19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93" fontId="0" fillId="0" borderId="0" xfId="0" applyNumberFormat="1" applyAlignment="1">
      <alignment horizontal="center" vertical="center"/>
    </xf>
    <xf numFmtId="194" fontId="0" fillId="0" borderId="1" xfId="0" applyNumberFormat="1" applyBorder="1" applyAlignment="1">
      <alignment horizontal="center" vertical="center"/>
    </xf>
    <xf numFmtId="19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9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89" fontId="0" fillId="2" borderId="1" xfId="0" applyNumberFormat="1" applyFill="1" applyBorder="1" applyAlignment="1">
      <alignment horizontal="center" vertical="center"/>
    </xf>
    <xf numFmtId="195" fontId="0" fillId="2" borderId="1" xfId="0" applyNumberFormat="1" applyFill="1" applyBorder="1" applyAlignment="1">
      <alignment horizontal="center" vertical="center"/>
    </xf>
    <xf numFmtId="196" fontId="0" fillId="0" borderId="1" xfId="0" applyNumberFormat="1" applyBorder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196" fontId="0" fillId="2" borderId="1" xfId="0" applyNumberFormat="1" applyFill="1" applyBorder="1" applyAlignment="1">
      <alignment horizontal="center" vertical="center"/>
    </xf>
    <xf numFmtId="188" fontId="0" fillId="2" borderId="1" xfId="0" applyNumberFormat="1" applyFill="1" applyBorder="1" applyAlignment="1">
      <alignment vertical="center"/>
    </xf>
    <xf numFmtId="191" fontId="0" fillId="2" borderId="1" xfId="0" applyNumberFormat="1" applyFill="1" applyBorder="1" applyAlignment="1">
      <alignment horizontal="center" vertical="center"/>
    </xf>
    <xf numFmtId="188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91" fontId="0" fillId="2" borderId="0" xfId="0" applyNumberFormat="1" applyFill="1" applyAlignment="1">
      <alignment horizontal="center" vertical="center"/>
    </xf>
    <xf numFmtId="19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81" fontId="0" fillId="2" borderId="5" xfId="0" applyNumberFormat="1" applyFill="1" applyBorder="1" applyAlignment="1">
      <alignment horizontal="center" vertical="center"/>
    </xf>
    <xf numFmtId="181" fontId="0" fillId="2" borderId="6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 wrapText="1"/>
    </xf>
    <xf numFmtId="176" fontId="0" fillId="2" borderId="6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89" fontId="0" fillId="2" borderId="1" xfId="0" applyNumberFormat="1" applyFill="1" applyBorder="1" applyAlignment="1">
      <alignment horizontal="center" vertical="center"/>
    </xf>
    <xf numFmtId="11" fontId="0" fillId="2" borderId="14" xfId="0" applyNumberFormat="1" applyFill="1" applyBorder="1" applyAlignment="1">
      <alignment horizontal="center" vertical="center"/>
    </xf>
    <xf numFmtId="11" fontId="0" fillId="2" borderId="15" xfId="0" applyNumberFormat="1" applyFill="1" applyBorder="1" applyAlignment="1">
      <alignment horizontal="center" vertical="center"/>
    </xf>
    <xf numFmtId="11" fontId="0" fillId="2" borderId="16" xfId="0" applyNumberFormat="1" applyFill="1" applyBorder="1" applyAlignment="1">
      <alignment horizontal="center" vertical="center"/>
    </xf>
    <xf numFmtId="11" fontId="0" fillId="2" borderId="10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1" fontId="0" fillId="2" borderId="1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93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9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Sheet1!$CG$13:$CQ$13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cat>
          <c:val>
            <c:numRef>
              <c:f>Sheet1!$CG$18:$CQ$18</c:f>
              <c:numCache>
                <c:formatCode>0.00_ </c:formatCode>
                <c:ptCount val="11"/>
                <c:pt idx="0">
                  <c:v>0</c:v>
                </c:pt>
                <c:pt idx="1">
                  <c:v>0.105</c:v>
                </c:pt>
                <c:pt idx="2">
                  <c:v>0.185</c:v>
                </c:pt>
                <c:pt idx="3">
                  <c:v>0.27500000000000002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0.62</c:v>
                </c:pt>
                <c:pt idx="8">
                  <c:v>0.70000000000000007</c:v>
                </c:pt>
                <c:pt idx="9">
                  <c:v>0.80500000000000005</c:v>
                </c:pt>
                <c:pt idx="10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81536"/>
        <c:axId val="197389312"/>
      </c:lineChart>
      <c:catAx>
        <c:axId val="1848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389312"/>
        <c:crosses val="autoZero"/>
        <c:auto val="1"/>
        <c:lblAlgn val="ctr"/>
        <c:lblOffset val="100"/>
        <c:noMultiLvlLbl val="0"/>
      </c:catAx>
      <c:valAx>
        <c:axId val="19738931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8488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365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Sheet1!$EF$4:$EF$13</c:f>
              <c:numCache>
                <c:formatCode>0.00_ </c:formatCode>
                <c:ptCount val="10"/>
                <c:pt idx="0">
                  <c:v>-2.4</c:v>
                </c:pt>
                <c:pt idx="1">
                  <c:v>-2.08</c:v>
                </c:pt>
                <c:pt idx="2">
                  <c:v>-1.84</c:v>
                </c:pt>
                <c:pt idx="3">
                  <c:v>-1.76</c:v>
                </c:pt>
                <c:pt idx="4">
                  <c:v>-1.71</c:v>
                </c:pt>
                <c:pt idx="5">
                  <c:v>-1.67</c:v>
                </c:pt>
                <c:pt idx="6">
                  <c:v>-1.47</c:v>
                </c:pt>
                <c:pt idx="7">
                  <c:v>-0.82</c:v>
                </c:pt>
                <c:pt idx="8">
                  <c:v>0.39</c:v>
                </c:pt>
                <c:pt idx="9">
                  <c:v>1.1000000000000001</c:v>
                </c:pt>
              </c:numCache>
            </c:numRef>
          </c:cat>
          <c:val>
            <c:numRef>
              <c:f>Sheet1!$EG$4:$EG$13</c:f>
              <c:numCache>
                <c:formatCode>0.0E+00</c:formatCode>
                <c:ptCount val="10"/>
                <c:pt idx="0">
                  <c:v>-4.0000000000000003E-5</c:v>
                </c:pt>
                <c:pt idx="1">
                  <c:v>-4.0000000000000003E-5</c:v>
                </c:pt>
                <c:pt idx="2">
                  <c:v>-2.0000000000000002E-5</c:v>
                </c:pt>
                <c:pt idx="3">
                  <c:v>-3.9999999999999998E-6</c:v>
                </c:pt>
                <c:pt idx="4">
                  <c:v>7.9000000000000006E-6</c:v>
                </c:pt>
                <c:pt idx="5">
                  <c:v>5.0000000000000002E-5</c:v>
                </c:pt>
                <c:pt idx="6">
                  <c:v>9.0000000000000006E-5</c:v>
                </c:pt>
                <c:pt idx="7">
                  <c:v>5.0000000000000001E-4</c:v>
                </c:pt>
                <c:pt idx="8" formatCode="0.00E+00">
                  <c:v>2E-3</c:v>
                </c:pt>
                <c:pt idx="9" formatCode="0.00E+00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8032"/>
        <c:axId val="184913920"/>
      </c:lineChart>
      <c:catAx>
        <c:axId val="18490803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184913920"/>
        <c:crosses val="autoZero"/>
        <c:auto val="1"/>
        <c:lblAlgn val="ctr"/>
        <c:lblOffset val="100"/>
        <c:noMultiLvlLbl val="0"/>
      </c:catAx>
      <c:valAx>
        <c:axId val="184913920"/>
        <c:scaling>
          <c:orientation val="minMax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18490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70367600697957"/>
          <c:y val="0.21795166229221347"/>
          <c:w val="0.60841478614055922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v>404.7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Sheet1!$EH$4:$EH$13</c:f>
              <c:numCache>
                <c:formatCode>0.00_ </c:formatCode>
                <c:ptCount val="10"/>
                <c:pt idx="0">
                  <c:v>-2.9</c:v>
                </c:pt>
                <c:pt idx="1">
                  <c:v>-1.76</c:v>
                </c:pt>
                <c:pt idx="2">
                  <c:v>-1.61</c:v>
                </c:pt>
                <c:pt idx="3">
                  <c:v>-1.51</c:v>
                </c:pt>
                <c:pt idx="4">
                  <c:v>-1.46</c:v>
                </c:pt>
                <c:pt idx="5">
                  <c:v>-1.3</c:v>
                </c:pt>
                <c:pt idx="6">
                  <c:v>-1.2</c:v>
                </c:pt>
                <c:pt idx="7">
                  <c:v>-0.56999999999999995</c:v>
                </c:pt>
                <c:pt idx="8">
                  <c:v>0.37</c:v>
                </c:pt>
                <c:pt idx="9">
                  <c:v>0.45</c:v>
                </c:pt>
              </c:numCache>
            </c:numRef>
          </c:cat>
          <c:val>
            <c:numRef>
              <c:f>Sheet1!$EI$4:$EI$13</c:f>
              <c:numCache>
                <c:formatCode>0.0E+00</c:formatCode>
                <c:ptCount val="10"/>
                <c:pt idx="0">
                  <c:v>-3.0000000000000001E-5</c:v>
                </c:pt>
                <c:pt idx="1">
                  <c:v>-3.0000000000000001E-5</c:v>
                </c:pt>
                <c:pt idx="2">
                  <c:v>-2.0000000000000002E-5</c:v>
                </c:pt>
                <c:pt idx="3">
                  <c:v>-3.9999999999999998E-6</c:v>
                </c:pt>
                <c:pt idx="4">
                  <c:v>7.9000000000000006E-6</c:v>
                </c:pt>
                <c:pt idx="5">
                  <c:v>5.0000000000000002E-5</c:v>
                </c:pt>
                <c:pt idx="6">
                  <c:v>9.0000000000000006E-5</c:v>
                </c:pt>
                <c:pt idx="7">
                  <c:v>5.0000000000000001E-4</c:v>
                </c:pt>
                <c:pt idx="8" formatCode="0.00E+00">
                  <c:v>2E-3</c:v>
                </c:pt>
                <c:pt idx="9" formatCode="0.00E+00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3568"/>
        <c:axId val="185535104"/>
      </c:lineChart>
      <c:catAx>
        <c:axId val="185533568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185535104"/>
        <c:crosses val="autoZero"/>
        <c:auto val="1"/>
        <c:lblAlgn val="ctr"/>
        <c:lblOffset val="100"/>
        <c:noMultiLvlLbl val="0"/>
      </c:catAx>
      <c:valAx>
        <c:axId val="185535104"/>
        <c:scaling>
          <c:orientation val="minMax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18553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435.8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Sheet1!$EJ$4:$EJ$13</c:f>
              <c:numCache>
                <c:formatCode>0.00_ </c:formatCode>
                <c:ptCount val="10"/>
                <c:pt idx="0">
                  <c:v>-2.7</c:v>
                </c:pt>
                <c:pt idx="1">
                  <c:v>-1.55</c:v>
                </c:pt>
                <c:pt idx="2">
                  <c:v>-1.42</c:v>
                </c:pt>
                <c:pt idx="3">
                  <c:v>-1.38</c:v>
                </c:pt>
                <c:pt idx="4">
                  <c:v>-1.32</c:v>
                </c:pt>
                <c:pt idx="5">
                  <c:v>-1.17</c:v>
                </c:pt>
                <c:pt idx="6">
                  <c:v>-1.07</c:v>
                </c:pt>
                <c:pt idx="7">
                  <c:v>-0.48</c:v>
                </c:pt>
                <c:pt idx="8">
                  <c:v>0.68</c:v>
                </c:pt>
                <c:pt idx="9">
                  <c:v>1.22</c:v>
                </c:pt>
              </c:numCache>
            </c:numRef>
          </c:cat>
          <c:val>
            <c:numRef>
              <c:f>Sheet1!$EK$4:$EK$13</c:f>
              <c:numCache>
                <c:formatCode>0.0E+00</c:formatCode>
                <c:ptCount val="10"/>
                <c:pt idx="0">
                  <c:v>-2.0000000000000002E-5</c:v>
                </c:pt>
                <c:pt idx="1">
                  <c:v>-2.0000000000000002E-5</c:v>
                </c:pt>
                <c:pt idx="2">
                  <c:v>-1.0000000000000001E-5</c:v>
                </c:pt>
                <c:pt idx="3">
                  <c:v>-3.9999999999999998E-6</c:v>
                </c:pt>
                <c:pt idx="4">
                  <c:v>7.9999999999999996E-6</c:v>
                </c:pt>
                <c:pt idx="5">
                  <c:v>5.0000000000000002E-5</c:v>
                </c:pt>
                <c:pt idx="6">
                  <c:v>9.0000000000000006E-5</c:v>
                </c:pt>
                <c:pt idx="7">
                  <c:v>5.0000000000000001E-4</c:v>
                </c:pt>
                <c:pt idx="8" formatCode="0.00E+00">
                  <c:v>2E-3</c:v>
                </c:pt>
                <c:pt idx="9" formatCode="0.00E+00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85664"/>
        <c:axId val="185587200"/>
      </c:lineChart>
      <c:catAx>
        <c:axId val="18558566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185587200"/>
        <c:crosses val="autoZero"/>
        <c:auto val="1"/>
        <c:lblAlgn val="ctr"/>
        <c:lblOffset val="100"/>
        <c:noMultiLvlLbl val="0"/>
      </c:catAx>
      <c:valAx>
        <c:axId val="185587200"/>
        <c:scaling>
          <c:orientation val="minMax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18558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70367600697957"/>
          <c:y val="0.18091462525517643"/>
          <c:w val="0.60841478614055922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v>546.1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Sheet1!$EL$4:$EL$13</c:f>
              <c:numCache>
                <c:formatCode>0.00_ </c:formatCode>
                <c:ptCount val="10"/>
                <c:pt idx="0">
                  <c:v>-2.8</c:v>
                </c:pt>
                <c:pt idx="1">
                  <c:v>-0.98</c:v>
                </c:pt>
                <c:pt idx="2">
                  <c:v>-0.88</c:v>
                </c:pt>
                <c:pt idx="3">
                  <c:v>-0.86</c:v>
                </c:pt>
                <c:pt idx="4">
                  <c:v>-0.8</c:v>
                </c:pt>
                <c:pt idx="5">
                  <c:v>-0.68</c:v>
                </c:pt>
                <c:pt idx="6">
                  <c:v>-0.6</c:v>
                </c:pt>
                <c:pt idx="7">
                  <c:v>-0.12</c:v>
                </c:pt>
                <c:pt idx="8">
                  <c:v>1</c:v>
                </c:pt>
                <c:pt idx="9">
                  <c:v>1.74</c:v>
                </c:pt>
              </c:numCache>
            </c:numRef>
          </c:cat>
          <c:val>
            <c:numRef>
              <c:f>Sheet1!$EM$4:$EM$13</c:f>
              <c:numCache>
                <c:formatCode>0.0E+00</c:formatCode>
                <c:ptCount val="10"/>
                <c:pt idx="0">
                  <c:v>-1.8E-5</c:v>
                </c:pt>
                <c:pt idx="1">
                  <c:v>-1.8E-5</c:v>
                </c:pt>
                <c:pt idx="2">
                  <c:v>-1.0000000000000001E-5</c:v>
                </c:pt>
                <c:pt idx="3">
                  <c:v>-3.9999999999999998E-6</c:v>
                </c:pt>
                <c:pt idx="4">
                  <c:v>8.1000000000000004E-6</c:v>
                </c:pt>
                <c:pt idx="5">
                  <c:v>5.0000000000000002E-5</c:v>
                </c:pt>
                <c:pt idx="6">
                  <c:v>9.0000000000000006E-5</c:v>
                </c:pt>
                <c:pt idx="7">
                  <c:v>5.0000000000000001E-4</c:v>
                </c:pt>
                <c:pt idx="8" formatCode="0.00E+00">
                  <c:v>2E-3</c:v>
                </c:pt>
                <c:pt idx="9" formatCode="0.00E+00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6544"/>
        <c:axId val="186718080"/>
      </c:lineChart>
      <c:catAx>
        <c:axId val="18671654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186718080"/>
        <c:crosses val="autoZero"/>
        <c:auto val="1"/>
        <c:lblAlgn val="ctr"/>
        <c:lblOffset val="100"/>
        <c:noMultiLvlLbl val="0"/>
      </c:catAx>
      <c:valAx>
        <c:axId val="186718080"/>
        <c:scaling>
          <c:orientation val="minMax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18671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Us-v曲线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RSqr val="0"/>
            <c:dispEq val="0"/>
          </c:trendline>
          <c:cat>
            <c:numRef>
              <c:f>Sheet1!$EG$17:$EJ$17</c:f>
              <c:numCache>
                <c:formatCode>0.0000E+00</c:formatCode>
                <c:ptCount val="4"/>
                <c:pt idx="0">
                  <c:v>8.2191780821917817</c:v>
                </c:pt>
                <c:pt idx="1">
                  <c:v>7.4128984432913265</c:v>
                </c:pt>
                <c:pt idx="2">
                  <c:v>6.8838916934373566</c:v>
                </c:pt>
                <c:pt idx="3">
                  <c:v>5.4934993590917403</c:v>
                </c:pt>
              </c:numCache>
            </c:numRef>
          </c:cat>
          <c:val>
            <c:numRef>
              <c:f>Sheet1!$EG$19:$EJ$19</c:f>
              <c:numCache>
                <c:formatCode>General</c:formatCode>
                <c:ptCount val="4"/>
                <c:pt idx="0">
                  <c:v>-1.73</c:v>
                </c:pt>
                <c:pt idx="1">
                  <c:v>-1.48</c:v>
                </c:pt>
                <c:pt idx="2">
                  <c:v>-1.35</c:v>
                </c:pt>
                <c:pt idx="3">
                  <c:v>-0.83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69792"/>
        <c:axId val="186771328"/>
      </c:lineChart>
      <c:catAx>
        <c:axId val="186769792"/>
        <c:scaling>
          <c:orientation val="minMax"/>
        </c:scaling>
        <c:delete val="0"/>
        <c:axPos val="b"/>
        <c:numFmt formatCode="0.0000E+00" sourceLinked="1"/>
        <c:majorTickMark val="out"/>
        <c:minorTickMark val="none"/>
        <c:tickLblPos val="nextTo"/>
        <c:crossAx val="186771328"/>
        <c:crosses val="autoZero"/>
        <c:auto val="1"/>
        <c:lblAlgn val="ctr"/>
        <c:lblOffset val="100"/>
        <c:noMultiLvlLbl val="0"/>
      </c:catAx>
      <c:valAx>
        <c:axId val="1867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6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lnRt</c:v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Sheet1!$FC$13:$FC$18</c:f>
              <c:numCache>
                <c:formatCode>0.00000_ </c:formatCode>
                <c:ptCount val="6"/>
                <c:pt idx="0">
                  <c:v>3.4054146092286739E-3</c:v>
                </c:pt>
                <c:pt idx="1">
                  <c:v>3.0945381401825778E-3</c:v>
                </c:pt>
                <c:pt idx="2">
                  <c:v>3.0016509079993999E-3</c:v>
                </c:pt>
                <c:pt idx="3">
                  <c:v>2.9141774734081308E-3</c:v>
                </c:pt>
                <c:pt idx="4">
                  <c:v>2.831657935721365E-3</c:v>
                </c:pt>
                <c:pt idx="5">
                  <c:v>2.7536830510808208E-3</c:v>
                </c:pt>
              </c:numCache>
            </c:numRef>
          </c:cat>
          <c:val>
            <c:numRef>
              <c:f>Sheet1!$FE$13:$FE$18</c:f>
              <c:numCache>
                <c:formatCode>0.00000_ </c:formatCode>
                <c:ptCount val="6"/>
                <c:pt idx="0">
                  <c:v>9.3800831465632779</c:v>
                </c:pt>
                <c:pt idx="1">
                  <c:v>8.1137260859707467</c:v>
                </c:pt>
                <c:pt idx="2">
                  <c:v>7.3714892952142774</c:v>
                </c:pt>
                <c:pt idx="3">
                  <c:v>7.0299729117063858</c:v>
                </c:pt>
                <c:pt idx="4">
                  <c:v>6.7080840838530698</c:v>
                </c:pt>
                <c:pt idx="5">
                  <c:v>6.4150969591715956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3056"/>
        <c:axId val="186814848"/>
      </c:lineChart>
      <c:catAx>
        <c:axId val="186813056"/>
        <c:scaling>
          <c:orientation val="minMax"/>
        </c:scaling>
        <c:delete val="0"/>
        <c:axPos val="b"/>
        <c:numFmt formatCode="0.00000_ " sourceLinked="1"/>
        <c:majorTickMark val="out"/>
        <c:minorTickMark val="none"/>
        <c:tickLblPos val="nextTo"/>
        <c:crossAx val="186814848"/>
        <c:crosses val="autoZero"/>
        <c:auto val="1"/>
        <c:lblAlgn val="ctr"/>
        <c:lblOffset val="100"/>
        <c:noMultiLvlLbl val="0"/>
      </c:catAx>
      <c:valAx>
        <c:axId val="186814848"/>
        <c:scaling>
          <c:orientation val="minMax"/>
        </c:scaling>
        <c:delete val="0"/>
        <c:axPos val="l"/>
        <c:majorGridlines/>
        <c:numFmt formatCode="0.00000_ " sourceLinked="1"/>
        <c:majorTickMark val="out"/>
        <c:minorTickMark val="none"/>
        <c:tickLblPos val="nextTo"/>
        <c:crossAx val="1868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11</xdr:row>
          <xdr:rowOff>0</xdr:rowOff>
        </xdr:from>
        <xdr:to>
          <xdr:col>29</xdr:col>
          <xdr:colOff>1257300</xdr:colOff>
          <xdr:row>12</xdr:row>
          <xdr:rowOff>7620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80</xdr:col>
      <xdr:colOff>609599</xdr:colOff>
      <xdr:row>24</xdr:row>
      <xdr:rowOff>8466</xdr:rowOff>
    </xdr:from>
    <xdr:to>
      <xdr:col>86</xdr:col>
      <xdr:colOff>795866</xdr:colOff>
      <xdr:row>38</xdr:row>
      <xdr:rowOff>143933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131</xdr:col>
      <xdr:colOff>819150</xdr:colOff>
      <xdr:row>24</xdr:row>
      <xdr:rowOff>114300</xdr:rowOff>
    </xdr:from>
    <xdr:to>
      <xdr:col>136</xdr:col>
      <xdr:colOff>647700</xdr:colOff>
      <xdr:row>39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131</xdr:col>
      <xdr:colOff>733426</xdr:colOff>
      <xdr:row>36</xdr:row>
      <xdr:rowOff>171450</xdr:rowOff>
    </xdr:from>
    <xdr:to>
      <xdr:col>136</xdr:col>
      <xdr:colOff>533401</xdr:colOff>
      <xdr:row>50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127</xdr:col>
      <xdr:colOff>180975</xdr:colOff>
      <xdr:row>19</xdr:row>
      <xdr:rowOff>161925</xdr:rowOff>
    </xdr:from>
    <xdr:to>
      <xdr:col>131</xdr:col>
      <xdr:colOff>266700</xdr:colOff>
      <xdr:row>35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127</xdr:col>
      <xdr:colOff>142875</xdr:colOff>
      <xdr:row>36</xdr:row>
      <xdr:rowOff>133350</xdr:rowOff>
    </xdr:from>
    <xdr:to>
      <xdr:col>131</xdr:col>
      <xdr:colOff>295275</xdr:colOff>
      <xdr:row>49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136</xdr:col>
      <xdr:colOff>476250</xdr:colOff>
      <xdr:row>27</xdr:row>
      <xdr:rowOff>161925</xdr:rowOff>
    </xdr:from>
    <xdr:to>
      <xdr:col>142</xdr:col>
      <xdr:colOff>152400</xdr:colOff>
      <xdr:row>47</xdr:row>
      <xdr:rowOff>88639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949825" y="5076825"/>
          <a:ext cx="5076825" cy="3546214"/>
        </a:xfrm>
        <a:prstGeom prst="rect">
          <a:avLst/>
        </a:prstGeom>
      </xdr:spPr>
    </xdr:pic>
    <xdr:clientData/>
  </xdr:twoCellAnchor>
  <xdr:twoCellAnchor>
    <xdr:from>
      <xdr:col>136</xdr:col>
      <xdr:colOff>781050</xdr:colOff>
      <xdr:row>42</xdr:row>
      <xdr:rowOff>123825</xdr:rowOff>
    </xdr:from>
    <xdr:to>
      <xdr:col>142</xdr:col>
      <xdr:colOff>314325</xdr:colOff>
      <xdr:row>57</xdr:row>
      <xdr:rowOff>152400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153</xdr:col>
      <xdr:colOff>190500</xdr:colOff>
      <xdr:row>23</xdr:row>
      <xdr:rowOff>57150</xdr:rowOff>
    </xdr:from>
    <xdr:to>
      <xdr:col>156</xdr:col>
      <xdr:colOff>781050</xdr:colOff>
      <xdr:row>38</xdr:row>
      <xdr:rowOff>85725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156</xdr:col>
      <xdr:colOff>1129660</xdr:colOff>
      <xdr:row>23</xdr:row>
      <xdr:rowOff>114301</xdr:rowOff>
    </xdr:from>
    <xdr:to>
      <xdr:col>163</xdr:col>
      <xdr:colOff>438150</xdr:colOff>
      <xdr:row>42</xdr:row>
      <xdr:rowOff>58321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00935" y="4305301"/>
          <a:ext cx="4842515" cy="3382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134"/>
  <sheetViews>
    <sheetView tabSelected="1" topLeftCell="DS1" zoomScale="80" zoomScaleNormal="80" workbookViewId="0">
      <selection activeCell="DV31" sqref="DV31"/>
    </sheetView>
  </sheetViews>
  <sheetFormatPr defaultRowHeight="14.4" x14ac:dyDescent="0.25"/>
  <cols>
    <col min="1" max="1" width="31.44140625" style="1" bestFit="1" customWidth="1"/>
    <col min="2" max="3" width="8.88671875" style="1"/>
    <col min="4" max="4" width="3.5546875" style="1" bestFit="1" customWidth="1"/>
    <col min="5" max="5" width="5.5546875" style="1" bestFit="1" customWidth="1"/>
    <col min="6" max="6" width="8.88671875" style="1"/>
    <col min="7" max="7" width="9.5546875" style="1" bestFit="1" customWidth="1"/>
    <col min="8" max="8" width="10.5546875" style="1" customWidth="1"/>
    <col min="9" max="9" width="11.88671875" style="1" bestFit="1" customWidth="1"/>
    <col min="10" max="10" width="10.5546875" style="1" bestFit="1" customWidth="1"/>
    <col min="11" max="11" width="10.77734375" style="1" bestFit="1" customWidth="1"/>
    <col min="12" max="14" width="11.88671875" style="1" bestFit="1" customWidth="1"/>
    <col min="15" max="15" width="10.5546875" style="1" bestFit="1" customWidth="1"/>
    <col min="16" max="17" width="11.88671875" style="1" bestFit="1" customWidth="1"/>
    <col min="18" max="18" width="8.88671875" style="1"/>
    <col min="19" max="19" width="13.88671875" style="1" bestFit="1" customWidth="1"/>
    <col min="20" max="20" width="9.5546875" style="1" bestFit="1" customWidth="1"/>
    <col min="21" max="21" width="8.88671875" style="1"/>
    <col min="22" max="22" width="18.33203125" style="1" bestFit="1" customWidth="1"/>
    <col min="23" max="23" width="8.88671875" style="1"/>
    <col min="24" max="24" width="12.77734375" style="1" bestFit="1" customWidth="1"/>
    <col min="25" max="25" width="10.5546875" style="1" bestFit="1" customWidth="1"/>
    <col min="26" max="26" width="12.77734375" style="1" bestFit="1" customWidth="1"/>
    <col min="27" max="29" width="8.88671875" style="1"/>
    <col min="30" max="30" width="19.33203125" style="1" customWidth="1"/>
    <col min="31" max="31" width="17.21875" style="1" bestFit="1" customWidth="1"/>
    <col min="32" max="32" width="21.5546875" style="1" customWidth="1"/>
    <col min="33" max="33" width="8.88671875" style="1"/>
    <col min="34" max="34" width="16.109375" style="1" bestFit="1" customWidth="1"/>
    <col min="35" max="35" width="15.44140625" style="1" bestFit="1" customWidth="1"/>
    <col min="36" max="36" width="17.5546875" style="1" bestFit="1" customWidth="1"/>
    <col min="37" max="37" width="28.5546875" style="1" bestFit="1" customWidth="1"/>
    <col min="38" max="39" width="8.88671875" style="1"/>
    <col min="40" max="40" width="18.33203125" style="1" bestFit="1" customWidth="1"/>
    <col min="41" max="41" width="9.5546875" style="1" bestFit="1" customWidth="1"/>
    <col min="42" max="42" width="11.6640625" style="1" bestFit="1" customWidth="1"/>
    <col min="43" max="43" width="8.88671875" style="1"/>
    <col min="44" max="44" width="13.88671875" style="1" bestFit="1" customWidth="1"/>
    <col min="45" max="45" width="10.5546875" style="1" bestFit="1" customWidth="1"/>
    <col min="46" max="46" width="8.88671875" style="1"/>
    <col min="47" max="47" width="16.109375" style="1" bestFit="1" customWidth="1"/>
    <col min="48" max="49" width="8.88671875" style="1"/>
    <col min="50" max="50" width="10.5546875" style="1" bestFit="1" customWidth="1"/>
    <col min="51" max="51" width="8.88671875" style="1"/>
    <col min="52" max="53" width="13.88671875" style="1" bestFit="1" customWidth="1"/>
    <col min="54" max="54" width="10.5546875" style="1" bestFit="1" customWidth="1"/>
    <col min="55" max="56" width="8.88671875" style="1"/>
    <col min="57" max="57" width="35.88671875" style="1" bestFit="1" customWidth="1"/>
    <col min="58" max="58" width="16.109375" style="1" bestFit="1" customWidth="1"/>
    <col min="59" max="67" width="15" style="1" bestFit="1" customWidth="1"/>
    <col min="68" max="68" width="13.88671875" style="1" bestFit="1" customWidth="1"/>
    <col min="69" max="69" width="8.88671875" style="1"/>
    <col min="70" max="70" width="24.88671875" style="1" bestFit="1" customWidth="1"/>
    <col min="71" max="71" width="10.5546875" style="1" bestFit="1" customWidth="1"/>
    <col min="72" max="72" width="68.77734375" style="1" bestFit="1" customWidth="1"/>
    <col min="73" max="73" width="20.44140625" style="1" bestFit="1" customWidth="1"/>
    <col min="74" max="74" width="8.5546875" style="1" bestFit="1" customWidth="1"/>
    <col min="75" max="75" width="24.88671875" style="1" bestFit="1" customWidth="1"/>
    <col min="76" max="76" width="9.5546875" style="1" bestFit="1" customWidth="1"/>
    <col min="77" max="77" width="68.77734375" style="1" bestFit="1" customWidth="1"/>
    <col min="78" max="78" width="20.44140625" style="1" bestFit="1" customWidth="1"/>
    <col min="79" max="84" width="8.88671875" style="1"/>
    <col min="85" max="86" width="14.21875" style="1" bestFit="1" customWidth="1"/>
    <col min="87" max="87" width="11.6640625" style="1" bestFit="1" customWidth="1"/>
    <col min="88" max="88" width="12.88671875" style="1" bestFit="1" customWidth="1"/>
    <col min="89" max="89" width="11.6640625" style="1" bestFit="1" customWidth="1"/>
    <col min="90" max="93" width="13" style="1" bestFit="1" customWidth="1"/>
    <col min="94" max="94" width="11.6640625" style="1" bestFit="1" customWidth="1"/>
    <col min="95" max="95" width="13" style="1" bestFit="1" customWidth="1"/>
    <col min="96" max="96" width="27.109375" style="1" bestFit="1" customWidth="1"/>
    <col min="97" max="98" width="8.88671875" style="1"/>
    <col min="99" max="99" width="38.21875" style="1" bestFit="1" customWidth="1"/>
    <col min="100" max="100" width="14.109375" style="1" bestFit="1" customWidth="1"/>
    <col min="101" max="106" width="8.88671875" style="1"/>
    <col min="107" max="107" width="34.77734375" style="1" bestFit="1" customWidth="1"/>
    <col min="108" max="108" width="14.109375" style="1" bestFit="1" customWidth="1"/>
    <col min="109" max="109" width="8.88671875" style="1"/>
    <col min="110" max="110" width="7.5546875" style="1" bestFit="1" customWidth="1"/>
    <col min="111" max="111" width="34.77734375" style="1" bestFit="1" customWidth="1"/>
    <col min="112" max="122" width="8.88671875" style="1"/>
    <col min="123" max="123" width="12.77734375" style="1" bestFit="1" customWidth="1"/>
    <col min="124" max="124" width="14.44140625" style="1" bestFit="1" customWidth="1"/>
    <col min="125" max="125" width="5.21875" style="1" customWidth="1"/>
    <col min="126" max="126" width="30.88671875" style="1" bestFit="1" customWidth="1"/>
    <col min="127" max="127" width="26.5546875" style="1" bestFit="1" customWidth="1"/>
    <col min="128" max="128" width="11.6640625" style="1" bestFit="1" customWidth="1"/>
    <col min="129" max="129" width="15.6640625" style="1" bestFit="1" customWidth="1"/>
    <col min="130" max="130" width="24.44140625" style="1" bestFit="1" customWidth="1"/>
    <col min="131" max="131" width="13.5546875" style="1" bestFit="1" customWidth="1"/>
    <col min="132" max="133" width="13.5546875" style="1" customWidth="1"/>
    <col min="134" max="134" width="16.44140625" style="1" bestFit="1" customWidth="1"/>
    <col min="135" max="135" width="19.6640625" style="1" bestFit="1" customWidth="1"/>
    <col min="136" max="141" width="12.88671875" style="1" bestFit="1" customWidth="1"/>
    <col min="142" max="142" width="14.109375" style="1" bestFit="1" customWidth="1"/>
    <col min="143" max="143" width="12.88671875" style="1" bestFit="1" customWidth="1"/>
    <col min="144" max="144" width="8.88671875" style="1"/>
    <col min="145" max="145" width="16.77734375" style="1" bestFit="1" customWidth="1"/>
    <col min="146" max="147" width="8.88671875" style="1"/>
    <col min="148" max="148" width="10.5546875" style="1" bestFit="1" customWidth="1"/>
    <col min="149" max="150" width="8.88671875" style="1"/>
    <col min="151" max="151" width="11.33203125" style="1" bestFit="1" customWidth="1"/>
    <col min="152" max="152" width="26.5546875" style="1" bestFit="1" customWidth="1"/>
    <col min="153" max="154" width="27.77734375" style="1" bestFit="1" customWidth="1"/>
    <col min="155" max="155" width="8.88671875" style="1"/>
    <col min="156" max="156" width="21.33203125" style="1" bestFit="1" customWidth="1"/>
    <col min="157" max="157" width="16.77734375" style="1" bestFit="1" customWidth="1"/>
    <col min="158" max="158" width="10.109375" style="1" bestFit="1" customWidth="1"/>
    <col min="159" max="159" width="10.5546875" style="1" bestFit="1" customWidth="1"/>
    <col min="160" max="160" width="14.88671875" style="1" bestFit="1" customWidth="1"/>
    <col min="161" max="161" width="10.5546875" style="1" bestFit="1" customWidth="1"/>
    <col min="162" max="171" width="8.88671875" style="1"/>
    <col min="172" max="172" width="12.88671875" style="1" bestFit="1" customWidth="1"/>
    <col min="173" max="176" width="8.88671875" style="1"/>
    <col min="177" max="177" width="12.88671875" style="1" bestFit="1" customWidth="1"/>
    <col min="178" max="16384" width="8.88671875" style="1"/>
  </cols>
  <sheetData>
    <row r="1" spans="1:180" x14ac:dyDescent="0.25">
      <c r="A1" s="96" t="s">
        <v>0</v>
      </c>
      <c r="B1" s="96"/>
      <c r="D1" s="108" t="s">
        <v>7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V1" s="96" t="s">
        <v>26</v>
      </c>
      <c r="W1" s="96"/>
      <c r="X1" s="96"/>
      <c r="Y1" s="96"/>
      <c r="Z1" s="96"/>
      <c r="AA1" s="96"/>
      <c r="AB1" s="96"/>
      <c r="AC1" s="96"/>
      <c r="AD1" s="96"/>
      <c r="AE1" s="96"/>
      <c r="AF1" s="96"/>
      <c r="AH1" s="1" t="s">
        <v>44</v>
      </c>
      <c r="AR1" s="102" t="s">
        <v>101</v>
      </c>
      <c r="AS1" s="102"/>
      <c r="AU1" s="96" t="s">
        <v>102</v>
      </c>
      <c r="AV1" s="96"/>
      <c r="AW1" s="96"/>
      <c r="AX1" s="96"/>
      <c r="AY1" s="96"/>
      <c r="AZ1" s="96"/>
      <c r="BE1" s="1" t="s">
        <v>124</v>
      </c>
      <c r="BR1" s="1" t="s">
        <v>316</v>
      </c>
      <c r="CT1" s="1" t="s">
        <v>315</v>
      </c>
      <c r="DV1" s="1" t="s">
        <v>317</v>
      </c>
      <c r="EE1" s="1" t="s">
        <v>342</v>
      </c>
      <c r="EO1" s="1" t="s">
        <v>356</v>
      </c>
      <c r="EZ1" s="1" t="s">
        <v>370</v>
      </c>
      <c r="FG1" s="1" t="s">
        <v>383</v>
      </c>
    </row>
    <row r="2" spans="1:180" ht="16.8" x14ac:dyDescent="0.25">
      <c r="A2" s="2" t="s">
        <v>1</v>
      </c>
      <c r="B2" s="2">
        <v>1.05</v>
      </c>
      <c r="D2" s="109" t="s">
        <v>8</v>
      </c>
      <c r="E2" s="108" t="s">
        <v>11</v>
      </c>
      <c r="F2" s="108"/>
      <c r="G2" s="3">
        <v>0</v>
      </c>
      <c r="H2" s="3">
        <v>10</v>
      </c>
      <c r="I2" s="3">
        <v>20</v>
      </c>
      <c r="J2" s="3">
        <v>30</v>
      </c>
      <c r="K2" s="3">
        <v>40</v>
      </c>
      <c r="L2" s="3">
        <v>50</v>
      </c>
      <c r="M2" s="3">
        <v>60</v>
      </c>
      <c r="N2" s="3">
        <v>70</v>
      </c>
      <c r="O2" s="3">
        <v>80</v>
      </c>
      <c r="P2" s="3">
        <v>90</v>
      </c>
      <c r="Q2" s="3">
        <v>100</v>
      </c>
      <c r="V2" s="2" t="s">
        <v>27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>
        <v>13</v>
      </c>
      <c r="AF2" s="2">
        <v>14</v>
      </c>
      <c r="AH2" s="2" t="s">
        <v>45</v>
      </c>
      <c r="AI2" s="2" t="s">
        <v>46</v>
      </c>
      <c r="AJ2" s="2" t="s">
        <v>47</v>
      </c>
      <c r="AK2" s="2" t="s">
        <v>48</v>
      </c>
      <c r="AR2" s="14" t="s">
        <v>83</v>
      </c>
      <c r="AS2" s="14">
        <v>5</v>
      </c>
      <c r="AU2" s="12"/>
      <c r="AV2" s="12" t="s">
        <v>107</v>
      </c>
      <c r="AW2" s="12" t="s">
        <v>108</v>
      </c>
      <c r="AX2" s="12" t="s">
        <v>109</v>
      </c>
      <c r="AY2" s="12" t="s">
        <v>110</v>
      </c>
      <c r="AZ2" s="12" t="s">
        <v>111</v>
      </c>
      <c r="BE2" s="13"/>
      <c r="BF2" s="13" t="s">
        <v>125</v>
      </c>
      <c r="BG2" s="13" t="s">
        <v>127</v>
      </c>
      <c r="BH2" s="13" t="s">
        <v>126</v>
      </c>
      <c r="BI2" s="13" t="s">
        <v>128</v>
      </c>
      <c r="BJ2" s="13" t="s">
        <v>135</v>
      </c>
      <c r="BK2" s="13" t="s">
        <v>136</v>
      </c>
      <c r="BL2" s="13" t="s">
        <v>137</v>
      </c>
      <c r="BM2" s="13"/>
      <c r="BN2" s="13" t="s">
        <v>129</v>
      </c>
      <c r="BO2" s="13" t="s">
        <v>131</v>
      </c>
      <c r="BP2" s="13" t="s">
        <v>132</v>
      </c>
      <c r="BR2" s="96" t="s">
        <v>143</v>
      </c>
      <c r="BS2" s="96"/>
      <c r="BT2" s="96"/>
      <c r="BU2" s="96"/>
      <c r="BV2" s="96"/>
      <c r="BW2" s="96"/>
      <c r="BX2" s="96"/>
      <c r="BY2" s="96"/>
      <c r="BZ2" s="96"/>
      <c r="CA2" s="96"/>
      <c r="CB2" s="96"/>
      <c r="CD2" s="96" t="s">
        <v>235</v>
      </c>
      <c r="CE2" s="96" t="s">
        <v>238</v>
      </c>
      <c r="CF2" s="96" t="s">
        <v>243</v>
      </c>
      <c r="CG2" s="96" t="s">
        <v>244</v>
      </c>
      <c r="CH2" s="96" t="s">
        <v>239</v>
      </c>
      <c r="CI2" s="96" t="s">
        <v>245</v>
      </c>
      <c r="CJ2" s="96" t="s">
        <v>246</v>
      </c>
      <c r="CK2" s="96" t="s">
        <v>240</v>
      </c>
      <c r="CL2" s="96"/>
      <c r="DV2" s="25" t="s">
        <v>330</v>
      </c>
      <c r="DW2" s="25" t="s">
        <v>331</v>
      </c>
      <c r="DX2" s="96" t="s">
        <v>332</v>
      </c>
      <c r="DY2" s="96"/>
      <c r="DZ2" s="25" t="s">
        <v>331</v>
      </c>
      <c r="EA2" s="96" t="s">
        <v>333</v>
      </c>
      <c r="EB2" s="96"/>
      <c r="EC2" s="25" t="s">
        <v>334</v>
      </c>
      <c r="EE2" s="96" t="s">
        <v>343</v>
      </c>
      <c r="EF2" s="96">
        <v>365</v>
      </c>
      <c r="EG2" s="96"/>
      <c r="EH2" s="96">
        <v>404.7</v>
      </c>
      <c r="EI2" s="96"/>
      <c r="EJ2" s="96">
        <v>435.8</v>
      </c>
      <c r="EK2" s="96"/>
      <c r="EL2" s="96">
        <v>546.1</v>
      </c>
      <c r="EM2" s="96"/>
      <c r="EO2" s="72" t="s">
        <v>357</v>
      </c>
      <c r="EP2" s="72" t="s">
        <v>358</v>
      </c>
      <c r="EQ2" s="72" t="s">
        <v>359</v>
      </c>
      <c r="ER2" s="72" t="s">
        <v>360</v>
      </c>
      <c r="ES2" s="72" t="s">
        <v>361</v>
      </c>
      <c r="EU2" s="1" t="s">
        <v>347</v>
      </c>
      <c r="EV2" s="86">
        <v>1.602E-19</v>
      </c>
      <c r="EZ2" s="96" t="s">
        <v>371</v>
      </c>
      <c r="FA2" s="96" t="s">
        <v>372</v>
      </c>
      <c r="FB2" s="96" t="s">
        <v>373</v>
      </c>
      <c r="FC2" s="96"/>
      <c r="FG2" s="72" t="s">
        <v>384</v>
      </c>
      <c r="FH2" s="72" t="s">
        <v>385</v>
      </c>
      <c r="FI2" s="74"/>
      <c r="FJ2" s="75"/>
      <c r="FK2" s="75"/>
      <c r="FL2" s="75"/>
      <c r="FM2" s="75"/>
      <c r="FN2" s="75"/>
      <c r="FO2" s="75"/>
      <c r="FP2" s="75"/>
    </row>
    <row r="3" spans="1:180" x14ac:dyDescent="0.25">
      <c r="A3" s="2" t="s">
        <v>2</v>
      </c>
      <c r="B3" s="2">
        <v>1</v>
      </c>
      <c r="D3" s="108"/>
      <c r="E3" s="108" t="s">
        <v>12</v>
      </c>
      <c r="F3" s="108"/>
      <c r="G3" s="3">
        <v>0</v>
      </c>
      <c r="H3" s="3">
        <v>0.25</v>
      </c>
      <c r="I3" s="3">
        <v>0.5</v>
      </c>
      <c r="J3" s="3">
        <v>0.75</v>
      </c>
      <c r="K3" s="3">
        <v>1</v>
      </c>
      <c r="L3" s="3">
        <v>1.25</v>
      </c>
      <c r="M3" s="3">
        <v>1.5</v>
      </c>
      <c r="N3" s="3">
        <v>1.75</v>
      </c>
      <c r="O3" s="3">
        <v>2</v>
      </c>
      <c r="P3" s="3">
        <v>2.25</v>
      </c>
      <c r="Q3" s="3">
        <v>2.5</v>
      </c>
      <c r="V3" s="2" t="s">
        <v>28</v>
      </c>
      <c r="W3" s="2">
        <v>1351</v>
      </c>
      <c r="X3" s="2">
        <v>1448</v>
      </c>
      <c r="Y3" s="2">
        <v>1537</v>
      </c>
      <c r="Z3" s="2">
        <v>1620</v>
      </c>
      <c r="AA3" s="2">
        <v>1703</v>
      </c>
      <c r="AB3" s="2">
        <v>1785</v>
      </c>
      <c r="AC3" s="2">
        <v>1860</v>
      </c>
      <c r="AD3" s="2">
        <v>1930</v>
      </c>
      <c r="AE3" s="2">
        <v>2000</v>
      </c>
      <c r="AF3" s="2">
        <v>2068</v>
      </c>
      <c r="AH3" s="2" t="s">
        <v>50</v>
      </c>
      <c r="AI3" s="2">
        <v>87.4</v>
      </c>
      <c r="AJ3" s="2">
        <v>0.05</v>
      </c>
      <c r="AK3" s="27">
        <f>AJ3/AN$3</f>
        <v>2.8867513459481291E-2</v>
      </c>
      <c r="AM3" s="2" t="s">
        <v>49</v>
      </c>
      <c r="AN3" s="27">
        <f>SQRT(3)</f>
        <v>1.7320508075688772</v>
      </c>
      <c r="AR3" s="14" t="s">
        <v>84</v>
      </c>
      <c r="AS3" s="14">
        <v>6</v>
      </c>
      <c r="AU3" s="12">
        <v>1</v>
      </c>
      <c r="AV3" s="15">
        <v>78</v>
      </c>
      <c r="AW3" s="15">
        <v>44</v>
      </c>
      <c r="AX3" s="15">
        <v>26</v>
      </c>
      <c r="AY3" s="15">
        <v>15</v>
      </c>
      <c r="AZ3" s="15">
        <v>10</v>
      </c>
      <c r="BB3" s="16" t="s">
        <v>117</v>
      </c>
      <c r="BC3" s="16">
        <v>5</v>
      </c>
      <c r="BE3" s="13">
        <v>1</v>
      </c>
      <c r="BF3" s="17">
        <v>8.7006944444444443</v>
      </c>
      <c r="BG3" s="17">
        <v>7.9305555555555562</v>
      </c>
      <c r="BH3" s="17">
        <v>1.1972222222222222</v>
      </c>
      <c r="BI3" s="17">
        <v>0.43055555555555558</v>
      </c>
      <c r="BJ3" s="28">
        <f t="shared" ref="BJ3:BK6" si="0">ABS(BH3-BF3)</f>
        <v>7.5034722222222223</v>
      </c>
      <c r="BK3" s="28">
        <f t="shared" si="0"/>
        <v>7.5000000000000009</v>
      </c>
      <c r="BL3" s="17">
        <v>7.5</v>
      </c>
      <c r="BM3" s="28">
        <f>(BJ3+BK3)/2</f>
        <v>7.5017361111111116</v>
      </c>
      <c r="BN3" s="28">
        <f>ABS(BL3-BM3)</f>
        <v>1.7361111111116045E-3</v>
      </c>
      <c r="BO3" s="28">
        <f>ABS(BN3-BM$7)</f>
        <v>1.1394097222222219</v>
      </c>
      <c r="BP3" s="28">
        <f>BO3*BO3</f>
        <v>1.2982545150945208</v>
      </c>
      <c r="BR3" s="18" t="s">
        <v>144</v>
      </c>
      <c r="BS3" s="18" t="s">
        <v>146</v>
      </c>
      <c r="BT3" s="18" t="s">
        <v>147</v>
      </c>
      <c r="BU3" s="18" t="s">
        <v>148</v>
      </c>
      <c r="BV3" s="18" t="s">
        <v>149</v>
      </c>
      <c r="BW3" s="18" t="s">
        <v>150</v>
      </c>
      <c r="BX3" s="18" t="s">
        <v>151</v>
      </c>
      <c r="BY3" s="18" t="s">
        <v>152</v>
      </c>
      <c r="BZ3" s="18" t="s">
        <v>153</v>
      </c>
      <c r="CA3" s="18" t="s">
        <v>154</v>
      </c>
      <c r="CB3" s="18" t="s">
        <v>155</v>
      </c>
      <c r="CD3" s="96"/>
      <c r="CE3" s="96"/>
      <c r="CF3" s="96"/>
      <c r="CG3" s="96"/>
      <c r="CH3" s="96"/>
      <c r="CI3" s="96"/>
      <c r="CJ3" s="96"/>
      <c r="CK3" s="18" t="s">
        <v>241</v>
      </c>
      <c r="CL3" s="18" t="s">
        <v>242</v>
      </c>
      <c r="CT3" s="96" t="s">
        <v>270</v>
      </c>
      <c r="CU3" s="96"/>
      <c r="CV3" s="96"/>
      <c r="CW3" s="96">
        <v>1</v>
      </c>
      <c r="CX3" s="96"/>
      <c r="CY3" s="96"/>
      <c r="CZ3" s="96"/>
      <c r="DA3" s="96"/>
      <c r="DB3" s="96"/>
      <c r="DC3" s="96"/>
      <c r="DD3" s="96"/>
      <c r="DE3" s="96">
        <v>2</v>
      </c>
      <c r="DF3" s="96"/>
      <c r="DG3" s="96"/>
      <c r="DH3" s="96"/>
      <c r="DI3" s="96"/>
      <c r="DJ3" s="96"/>
      <c r="DK3" s="96"/>
      <c r="DL3" s="96"/>
      <c r="DM3" s="96">
        <v>3</v>
      </c>
      <c r="DN3" s="96"/>
      <c r="DO3" s="96"/>
      <c r="DP3" s="96"/>
      <c r="DQ3" s="96"/>
      <c r="DR3" s="96"/>
      <c r="DS3" s="96"/>
      <c r="DT3" s="96"/>
      <c r="DV3" s="25">
        <v>1</v>
      </c>
      <c r="DW3" s="25">
        <v>0</v>
      </c>
      <c r="DX3" s="25">
        <v>30</v>
      </c>
      <c r="DY3" s="83">
        <f t="shared" ref="DY3:DY8" si="1">DX3/1000</f>
        <v>0.03</v>
      </c>
      <c r="DZ3" s="25">
        <v>300</v>
      </c>
      <c r="EA3" s="25">
        <v>30.09057</v>
      </c>
      <c r="EB3" s="80">
        <f t="shared" ref="EB3:EB8" si="2">EA3/1000</f>
        <v>3.0090570000000001E-2</v>
      </c>
      <c r="EC3" s="80">
        <f t="shared" ref="EC3:EC8" si="3">EB3-DY3</f>
        <v>9.0570000000001621E-5</v>
      </c>
      <c r="EE3" s="96"/>
      <c r="EF3" s="72" t="s">
        <v>346</v>
      </c>
      <c r="EG3" s="72" t="s">
        <v>345</v>
      </c>
      <c r="EH3" s="72" t="s">
        <v>344</v>
      </c>
      <c r="EI3" s="72" t="s">
        <v>345</v>
      </c>
      <c r="EJ3" s="72" t="s">
        <v>344</v>
      </c>
      <c r="EK3" s="72" t="s">
        <v>345</v>
      </c>
      <c r="EL3" s="72" t="s">
        <v>344</v>
      </c>
      <c r="EM3" s="72" t="s">
        <v>345</v>
      </c>
      <c r="EO3" s="96">
        <v>1</v>
      </c>
      <c r="EP3" s="72">
        <v>1</v>
      </c>
      <c r="EQ3" s="72">
        <v>30</v>
      </c>
      <c r="ER3" s="7">
        <v>55.01</v>
      </c>
      <c r="ES3" s="107">
        <v>6.7290000000000001</v>
      </c>
      <c r="EU3" s="72"/>
      <c r="EV3" s="72">
        <v>1</v>
      </c>
      <c r="EW3" s="72">
        <v>2</v>
      </c>
      <c r="EX3" s="72">
        <v>3</v>
      </c>
      <c r="EZ3" s="96"/>
      <c r="FA3" s="96"/>
      <c r="FB3" s="72" t="s">
        <v>374</v>
      </c>
      <c r="FC3" s="72" t="s">
        <v>375</v>
      </c>
      <c r="FG3" s="72" t="s">
        <v>358</v>
      </c>
      <c r="FH3" s="72" t="s">
        <v>390</v>
      </c>
      <c r="FI3" s="72" t="s">
        <v>391</v>
      </c>
      <c r="FJ3" s="72" t="s">
        <v>392</v>
      </c>
      <c r="FK3" s="72" t="s">
        <v>393</v>
      </c>
      <c r="FL3" s="72" t="s">
        <v>394</v>
      </c>
      <c r="FM3" s="72" t="s">
        <v>395</v>
      </c>
      <c r="FN3" s="72" t="s">
        <v>396</v>
      </c>
      <c r="FO3" s="72" t="s">
        <v>397</v>
      </c>
      <c r="FP3" s="72" t="s">
        <v>398</v>
      </c>
    </row>
    <row r="4" spans="1:180" x14ac:dyDescent="0.25">
      <c r="A4" s="2" t="s">
        <v>3</v>
      </c>
      <c r="B4" s="2">
        <v>1.5</v>
      </c>
      <c r="D4" s="109" t="s">
        <v>9</v>
      </c>
      <c r="E4" s="109" t="s">
        <v>13</v>
      </c>
      <c r="F4" s="3" t="s">
        <v>15</v>
      </c>
      <c r="G4" s="3">
        <v>0</v>
      </c>
      <c r="H4" s="3">
        <v>10.1</v>
      </c>
      <c r="I4" s="3">
        <v>20.2</v>
      </c>
      <c r="J4" s="3">
        <v>29.9</v>
      </c>
      <c r="K4" s="3">
        <v>39.700000000000003</v>
      </c>
      <c r="L4" s="3">
        <v>49.9</v>
      </c>
      <c r="M4" s="3">
        <v>59.7</v>
      </c>
      <c r="N4" s="3">
        <v>70.5</v>
      </c>
      <c r="O4" s="3">
        <v>80.7</v>
      </c>
      <c r="P4" s="3">
        <v>90.2</v>
      </c>
      <c r="Q4" s="3">
        <v>100</v>
      </c>
      <c r="AH4" s="2" t="s">
        <v>51</v>
      </c>
      <c r="AI4" s="2">
        <v>81.2</v>
      </c>
      <c r="AJ4" s="2">
        <v>0.05</v>
      </c>
      <c r="AK4" s="27">
        <f>AJ4/AN$3</f>
        <v>2.8867513459481291E-2</v>
      </c>
      <c r="AR4" s="14" t="s">
        <v>85</v>
      </c>
      <c r="AS4" s="14"/>
      <c r="AU4" s="12">
        <v>2</v>
      </c>
      <c r="AV4" s="15">
        <v>79</v>
      </c>
      <c r="AW4" s="15">
        <v>45</v>
      </c>
      <c r="AX4" s="15">
        <v>24</v>
      </c>
      <c r="AY4" s="15">
        <v>14</v>
      </c>
      <c r="AZ4" s="15">
        <v>9</v>
      </c>
      <c r="BB4" s="16" t="s">
        <v>118</v>
      </c>
      <c r="BC4" s="16">
        <v>50</v>
      </c>
      <c r="BE4" s="13">
        <v>2</v>
      </c>
      <c r="BF4" s="17">
        <v>5.729861111111112</v>
      </c>
      <c r="BG4" s="17">
        <v>5.083333333333333</v>
      </c>
      <c r="BH4" s="17">
        <v>13.22638888888889</v>
      </c>
      <c r="BI4" s="17">
        <v>1.3298611111111112</v>
      </c>
      <c r="BJ4" s="28">
        <f t="shared" si="0"/>
        <v>7.4965277777777777</v>
      </c>
      <c r="BK4" s="28">
        <f t="shared" si="0"/>
        <v>3.7534722222222219</v>
      </c>
      <c r="BL4" s="17">
        <v>7.5</v>
      </c>
      <c r="BM4" s="28">
        <f>(BJ4+BK4)/2</f>
        <v>5.625</v>
      </c>
      <c r="BN4" s="28">
        <f>ABS(BL4-BM4)</f>
        <v>1.875</v>
      </c>
      <c r="BO4" s="28">
        <f>ABS(BN4-BM$7)</f>
        <v>0.73385416666666647</v>
      </c>
      <c r="BP4" s="28">
        <f>BO4*BO4</f>
        <v>0.53854193793402749</v>
      </c>
      <c r="BR4" s="18" t="s">
        <v>145</v>
      </c>
      <c r="BS4" s="18">
        <v>1200</v>
      </c>
      <c r="BT4" s="18">
        <v>110</v>
      </c>
      <c r="BU4" s="18">
        <v>560</v>
      </c>
      <c r="BV4" s="18">
        <v>300</v>
      </c>
      <c r="BW4" s="18">
        <v>78</v>
      </c>
      <c r="BX4" s="18">
        <v>58</v>
      </c>
      <c r="BY4" s="18">
        <v>2.4</v>
      </c>
      <c r="BZ4" s="18">
        <v>1.2</v>
      </c>
      <c r="CA4" s="18">
        <v>0.6</v>
      </c>
      <c r="CB4" s="18">
        <v>0.3</v>
      </c>
      <c r="CD4" s="18" t="s">
        <v>236</v>
      </c>
      <c r="CE4" s="18" t="s">
        <v>247</v>
      </c>
      <c r="CF4" s="18">
        <v>0.5</v>
      </c>
      <c r="CG4" s="18">
        <v>500</v>
      </c>
      <c r="CH4" s="18">
        <v>100</v>
      </c>
      <c r="CI4" s="18">
        <v>2.5000000000000001E-2</v>
      </c>
      <c r="CJ4" s="8">
        <v>7.2168783648703227E-3</v>
      </c>
      <c r="CK4" s="18">
        <v>80</v>
      </c>
      <c r="CL4" s="81">
        <f>CK4*CI4</f>
        <v>2</v>
      </c>
      <c r="CT4" s="25" t="s">
        <v>271</v>
      </c>
      <c r="CU4" s="25" t="s">
        <v>272</v>
      </c>
      <c r="CV4" s="25" t="s">
        <v>273</v>
      </c>
      <c r="CW4" s="96" t="s">
        <v>274</v>
      </c>
      <c r="CX4" s="96"/>
      <c r="CY4" s="96"/>
      <c r="CZ4" s="96"/>
      <c r="DA4" s="96" t="s">
        <v>275</v>
      </c>
      <c r="DB4" s="96"/>
      <c r="DC4" s="96"/>
      <c r="DD4" s="96"/>
      <c r="DE4" s="96" t="s">
        <v>274</v>
      </c>
      <c r="DF4" s="96"/>
      <c r="DG4" s="96"/>
      <c r="DH4" s="96"/>
      <c r="DI4" s="96" t="s">
        <v>275</v>
      </c>
      <c r="DJ4" s="96"/>
      <c r="DK4" s="96"/>
      <c r="DL4" s="96"/>
      <c r="DM4" s="96" t="s">
        <v>274</v>
      </c>
      <c r="DN4" s="96"/>
      <c r="DO4" s="96"/>
      <c r="DP4" s="96"/>
      <c r="DQ4" s="96" t="s">
        <v>275</v>
      </c>
      <c r="DR4" s="96"/>
      <c r="DS4" s="96"/>
      <c r="DT4" s="96"/>
      <c r="DV4" s="25">
        <v>2</v>
      </c>
      <c r="DW4" s="25">
        <v>10</v>
      </c>
      <c r="DX4" s="25">
        <v>30.00414</v>
      </c>
      <c r="DY4" s="83">
        <f t="shared" si="1"/>
        <v>3.0004139999999999E-2</v>
      </c>
      <c r="DZ4" s="25">
        <v>310</v>
      </c>
      <c r="EA4" s="25">
        <v>30.0947</v>
      </c>
      <c r="EB4" s="80">
        <f t="shared" si="2"/>
        <v>3.0094699999999999E-2</v>
      </c>
      <c r="EC4" s="80">
        <f t="shared" si="3"/>
        <v>9.0559999999999946E-5</v>
      </c>
      <c r="EE4" s="72">
        <v>1</v>
      </c>
      <c r="EF4" s="7">
        <v>-2.4</v>
      </c>
      <c r="EG4" s="88">
        <f>-0.00004</f>
        <v>-4.0000000000000003E-5</v>
      </c>
      <c r="EH4" s="7">
        <v>-2.9</v>
      </c>
      <c r="EI4" s="85">
        <v>-3.0000000000000001E-5</v>
      </c>
      <c r="EJ4" s="7">
        <v>-2.7</v>
      </c>
      <c r="EK4" s="85">
        <v>-2.0000000000000002E-5</v>
      </c>
      <c r="EL4" s="7">
        <v>-2.8</v>
      </c>
      <c r="EM4" s="85">
        <v>-1.8E-5</v>
      </c>
      <c r="EO4" s="96"/>
      <c r="EP4" s="72">
        <v>2</v>
      </c>
      <c r="EQ4" s="72">
        <v>30</v>
      </c>
      <c r="ER4" s="7">
        <v>53.5</v>
      </c>
      <c r="ES4" s="122"/>
      <c r="EU4" s="72" t="s">
        <v>364</v>
      </c>
      <c r="EV4" s="72">
        <v>6.7290000000000001</v>
      </c>
      <c r="EW4" s="72">
        <v>56.648000000000003</v>
      </c>
      <c r="EX4" s="72">
        <v>7.15</v>
      </c>
      <c r="EZ4" s="72" t="s">
        <v>376</v>
      </c>
      <c r="FA4" s="72">
        <v>20.5</v>
      </c>
      <c r="FB4" s="72">
        <v>10</v>
      </c>
      <c r="FC4" s="72">
        <v>1185</v>
      </c>
      <c r="FG4" s="72">
        <v>1</v>
      </c>
      <c r="FH4" s="7">
        <v>14.25</v>
      </c>
      <c r="FI4" s="7">
        <v>36.64</v>
      </c>
      <c r="FJ4" s="7">
        <v>14.25</v>
      </c>
      <c r="FK4" s="7">
        <v>36.5</v>
      </c>
      <c r="FL4" s="42">
        <f>FI4-FH4</f>
        <v>22.39</v>
      </c>
      <c r="FM4" s="42">
        <f>FK4-FJ4</f>
        <v>22.25</v>
      </c>
      <c r="FN4" s="42">
        <f>AVERAGE(FL4,FM4)</f>
        <v>22.32</v>
      </c>
      <c r="FO4" s="42">
        <f>FN4-$FN$9</f>
        <v>-0.14799999999999969</v>
      </c>
      <c r="FP4" s="90">
        <f>FO4^2</f>
        <v>2.1903999999999906E-2</v>
      </c>
    </row>
    <row r="5" spans="1:180" x14ac:dyDescent="0.25">
      <c r="A5" s="2" t="s">
        <v>4</v>
      </c>
      <c r="B5" s="2">
        <v>1.55</v>
      </c>
      <c r="D5" s="108"/>
      <c r="E5" s="108"/>
      <c r="F5" s="3" t="s">
        <v>16</v>
      </c>
      <c r="G5" s="3">
        <v>0</v>
      </c>
      <c r="H5" s="3">
        <v>10</v>
      </c>
      <c r="I5" s="3">
        <v>19.899999999999999</v>
      </c>
      <c r="J5" s="3">
        <v>29.8</v>
      </c>
      <c r="K5" s="3">
        <v>39.700000000000003</v>
      </c>
      <c r="L5" s="3">
        <v>49.7</v>
      </c>
      <c r="M5" s="3">
        <v>59.6</v>
      </c>
      <c r="N5" s="3">
        <v>69.7</v>
      </c>
      <c r="O5" s="3">
        <v>80.2</v>
      </c>
      <c r="P5" s="3">
        <v>90.3</v>
      </c>
      <c r="Q5" s="3">
        <v>100</v>
      </c>
      <c r="S5" s="107" t="s">
        <v>20</v>
      </c>
      <c r="T5" s="30">
        <f>MAX(G8:Q8)</f>
        <v>0.10000000000000009</v>
      </c>
      <c r="V5" s="103" t="s">
        <v>30</v>
      </c>
      <c r="W5" s="107" t="s">
        <v>29</v>
      </c>
      <c r="X5" s="103" t="s">
        <v>31</v>
      </c>
      <c r="Y5" s="103" t="s">
        <v>32</v>
      </c>
      <c r="Z5" s="103" t="s">
        <v>33</v>
      </c>
      <c r="AA5" s="107" t="s">
        <v>29</v>
      </c>
      <c r="AB5" s="103" t="s">
        <v>34</v>
      </c>
      <c r="AC5" s="103" t="s">
        <v>35</v>
      </c>
      <c r="AD5" s="103" t="s">
        <v>39</v>
      </c>
      <c r="AE5" s="103" t="s">
        <v>130</v>
      </c>
      <c r="AF5" s="103" t="s">
        <v>36</v>
      </c>
      <c r="AH5" s="2" t="s">
        <v>52</v>
      </c>
      <c r="AI5" s="2">
        <v>7.1</v>
      </c>
      <c r="AJ5" s="2">
        <v>0.05</v>
      </c>
      <c r="AK5" s="27">
        <f>AJ5/AN$3</f>
        <v>2.8867513459481291E-2</v>
      </c>
      <c r="AR5" s="14" t="s">
        <v>97</v>
      </c>
      <c r="AS5" s="39">
        <f>AS2*AS3/3/100</f>
        <v>0.1</v>
      </c>
      <c r="AU5" s="12">
        <v>3</v>
      </c>
      <c r="AV5" s="15">
        <v>77</v>
      </c>
      <c r="AW5" s="15">
        <v>44</v>
      </c>
      <c r="AX5" s="15">
        <v>26</v>
      </c>
      <c r="AY5" s="15">
        <v>15</v>
      </c>
      <c r="AZ5" s="15">
        <v>9</v>
      </c>
      <c r="BB5" s="16" t="s">
        <v>119</v>
      </c>
      <c r="BC5" s="16">
        <v>10</v>
      </c>
      <c r="BE5" s="13">
        <v>3</v>
      </c>
      <c r="BF5" s="17">
        <v>3.4208333333333329</v>
      </c>
      <c r="BG5" s="17">
        <v>2.3472222222222223</v>
      </c>
      <c r="BH5" s="17">
        <v>1.0847222222222224</v>
      </c>
      <c r="BI5" s="17">
        <v>9.6354166666666661</v>
      </c>
      <c r="BJ5" s="28">
        <f t="shared" si="0"/>
        <v>2.3361111111111104</v>
      </c>
      <c r="BK5" s="28">
        <f t="shared" si="0"/>
        <v>7.2881944444444438</v>
      </c>
      <c r="BL5" s="17">
        <v>7.5</v>
      </c>
      <c r="BM5" s="28">
        <f>(BJ5+BK5)/2</f>
        <v>4.8121527777777775</v>
      </c>
      <c r="BN5" s="28">
        <f>ABS(BL5-BM5)</f>
        <v>2.6878472222222225</v>
      </c>
      <c r="BO5" s="28">
        <f>ABS(BN5-BM$7)</f>
        <v>1.546701388888889</v>
      </c>
      <c r="BP5" s="28">
        <f>BO5*BO5</f>
        <v>2.3922851863908181</v>
      </c>
      <c r="CD5" s="18" t="s">
        <v>237</v>
      </c>
      <c r="CE5" s="18" t="s">
        <v>248</v>
      </c>
      <c r="CF5" s="18">
        <v>0.5</v>
      </c>
      <c r="CG5" s="18">
        <v>78</v>
      </c>
      <c r="CH5" s="18">
        <v>100</v>
      </c>
      <c r="CI5" s="18">
        <v>2.5000000000000001E-2</v>
      </c>
      <c r="CJ5" s="8">
        <v>7.2168783648703227E-3</v>
      </c>
      <c r="CK5" s="18">
        <v>87</v>
      </c>
      <c r="CL5" s="81">
        <f>CK5*CI5</f>
        <v>2.1750000000000003</v>
      </c>
      <c r="CT5" s="96" t="s">
        <v>281</v>
      </c>
      <c r="CU5" s="96">
        <v>-1</v>
      </c>
      <c r="CV5" s="25" t="s">
        <v>279</v>
      </c>
      <c r="CW5" s="25">
        <v>55</v>
      </c>
      <c r="CX5" s="25">
        <v>9</v>
      </c>
      <c r="CY5" s="25">
        <v>0</v>
      </c>
      <c r="CZ5" s="81">
        <f>CW5+CX5/60</f>
        <v>55.15</v>
      </c>
      <c r="DA5" s="25">
        <v>55</v>
      </c>
      <c r="DB5" s="25">
        <v>11</v>
      </c>
      <c r="DC5" s="25">
        <v>0</v>
      </c>
      <c r="DD5" s="81">
        <f>DA5+DB5/60</f>
        <v>55.18333333333333</v>
      </c>
      <c r="DE5" s="25">
        <v>178</v>
      </c>
      <c r="DF5" s="25">
        <v>5</v>
      </c>
      <c r="DG5" s="25">
        <v>0</v>
      </c>
      <c r="DH5" s="81">
        <f>DE5+DF5/60</f>
        <v>178.08333333333334</v>
      </c>
      <c r="DI5" s="25">
        <v>178</v>
      </c>
      <c r="DJ5" s="25">
        <v>7</v>
      </c>
      <c r="DK5" s="25">
        <v>0</v>
      </c>
      <c r="DL5" s="81">
        <f>DI5+DJ5/60</f>
        <v>178.11666666666667</v>
      </c>
      <c r="DM5" s="25">
        <v>294</v>
      </c>
      <c r="DN5" s="25">
        <v>3</v>
      </c>
      <c r="DO5" s="25">
        <v>0</v>
      </c>
      <c r="DP5" s="81">
        <f>DM5+DN5/60</f>
        <v>294.05</v>
      </c>
      <c r="DQ5" s="25">
        <v>294</v>
      </c>
      <c r="DR5" s="25">
        <v>5</v>
      </c>
      <c r="DS5" s="25">
        <v>0</v>
      </c>
      <c r="DT5" s="81">
        <f>DQ5+DR5/60</f>
        <v>294.08333333333331</v>
      </c>
      <c r="DV5" s="25">
        <v>3</v>
      </c>
      <c r="DW5" s="25">
        <v>20</v>
      </c>
      <c r="DX5" s="25">
        <v>30.007439999999999</v>
      </c>
      <c r="DY5" s="83">
        <f t="shared" si="1"/>
        <v>3.000744E-2</v>
      </c>
      <c r="DZ5" s="25">
        <v>320</v>
      </c>
      <c r="EA5" s="25">
        <v>30.097860000000001</v>
      </c>
      <c r="EB5" s="80">
        <f t="shared" si="2"/>
        <v>3.0097860000000001E-2</v>
      </c>
      <c r="EC5" s="80">
        <f t="shared" si="3"/>
        <v>9.0420000000000778E-5</v>
      </c>
      <c r="EE5" s="72">
        <v>2</v>
      </c>
      <c r="EF5" s="7">
        <v>-2.08</v>
      </c>
      <c r="EG5" s="85">
        <v>-4.0000000000000003E-5</v>
      </c>
      <c r="EH5" s="7">
        <v>-1.76</v>
      </c>
      <c r="EI5" s="85">
        <v>-3.0000000000000001E-5</v>
      </c>
      <c r="EJ5" s="7">
        <v>-1.55</v>
      </c>
      <c r="EK5" s="85">
        <v>-2.0000000000000002E-5</v>
      </c>
      <c r="EL5" s="7">
        <v>-0.98</v>
      </c>
      <c r="EM5" s="85">
        <v>-1.8E-5</v>
      </c>
      <c r="EO5" s="96"/>
      <c r="EP5" s="72">
        <v>3</v>
      </c>
      <c r="EQ5" s="72">
        <v>30</v>
      </c>
      <c r="ER5" s="7">
        <v>53.29</v>
      </c>
      <c r="ES5" s="122"/>
      <c r="EU5" s="72" t="s">
        <v>362</v>
      </c>
      <c r="EV5" s="89">
        <f>EV4/$EV$2</f>
        <v>4.200374531835206E+19</v>
      </c>
      <c r="EW5" s="89">
        <f t="shared" ref="EW5:EX5" si="4">EW4/$EV$2</f>
        <v>3.5360799001248439E+20</v>
      </c>
      <c r="EX5" s="89">
        <f t="shared" si="4"/>
        <v>4.4631710362047447E+19</v>
      </c>
      <c r="EZ5" s="72">
        <v>50</v>
      </c>
      <c r="FA5" s="72">
        <v>50</v>
      </c>
      <c r="FB5" s="72">
        <v>10</v>
      </c>
      <c r="FC5" s="72">
        <v>334</v>
      </c>
      <c r="FG5" s="72">
        <v>2</v>
      </c>
      <c r="FH5" s="7">
        <v>16</v>
      </c>
      <c r="FI5" s="7">
        <v>38.35</v>
      </c>
      <c r="FJ5" s="7">
        <v>16</v>
      </c>
      <c r="FK5" s="7">
        <v>38.33</v>
      </c>
      <c r="FL5" s="42">
        <f t="shared" ref="FL5:FL8" si="5">FI5-FH5</f>
        <v>22.35</v>
      </c>
      <c r="FM5" s="42">
        <f t="shared" ref="FM5:FM8" si="6">FK5-FJ5</f>
        <v>22.33</v>
      </c>
      <c r="FN5" s="42">
        <f t="shared" ref="FN5:FN8" si="7">AVERAGE(FL5,FM5)</f>
        <v>22.34</v>
      </c>
      <c r="FO5" s="42">
        <f t="shared" ref="FO5:FO8" si="8">FN5-$FN$9</f>
        <v>-0.12800000000000011</v>
      </c>
      <c r="FP5" s="90">
        <f t="shared" ref="FP5:FP8" si="9">FO5^2</f>
        <v>1.638400000000003E-2</v>
      </c>
    </row>
    <row r="6" spans="1:180" x14ac:dyDescent="0.25">
      <c r="A6" s="2"/>
      <c r="B6" s="2"/>
      <c r="D6" s="108"/>
      <c r="E6" s="109" t="s">
        <v>14</v>
      </c>
      <c r="F6" s="3" t="s">
        <v>17</v>
      </c>
      <c r="G6" s="29">
        <f>AVERAGE(G4:G5)</f>
        <v>0</v>
      </c>
      <c r="H6" s="29">
        <f t="shared" ref="H6:Q6" si="10">AVERAGE(H4:H5)</f>
        <v>10.050000000000001</v>
      </c>
      <c r="I6" s="29">
        <f t="shared" si="10"/>
        <v>20.049999999999997</v>
      </c>
      <c r="J6" s="29">
        <f t="shared" si="10"/>
        <v>29.85</v>
      </c>
      <c r="K6" s="29">
        <f t="shared" si="10"/>
        <v>39.700000000000003</v>
      </c>
      <c r="L6" s="29">
        <f t="shared" si="10"/>
        <v>49.8</v>
      </c>
      <c r="M6" s="29">
        <f t="shared" si="10"/>
        <v>59.650000000000006</v>
      </c>
      <c r="N6" s="29">
        <f t="shared" si="10"/>
        <v>70.099999999999994</v>
      </c>
      <c r="O6" s="29">
        <f t="shared" si="10"/>
        <v>80.45</v>
      </c>
      <c r="P6" s="29">
        <f t="shared" si="10"/>
        <v>90.25</v>
      </c>
      <c r="Q6" s="29">
        <f t="shared" si="10"/>
        <v>100</v>
      </c>
      <c r="S6" s="104"/>
      <c r="T6" s="29">
        <f>MATCH(T5,G8:Q8,0)</f>
        <v>9</v>
      </c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R6" s="14" t="s">
        <v>87</v>
      </c>
      <c r="AS6" s="32">
        <f>0.1*AS2/AN3</f>
        <v>0.28867513459481292</v>
      </c>
      <c r="AU6" s="12">
        <v>4</v>
      </c>
      <c r="AV6" s="15">
        <v>77</v>
      </c>
      <c r="AW6" s="15">
        <v>44</v>
      </c>
      <c r="AX6" s="15">
        <v>26</v>
      </c>
      <c r="AY6" s="15">
        <v>15</v>
      </c>
      <c r="AZ6" s="15">
        <v>11</v>
      </c>
      <c r="BB6" s="16" t="s">
        <v>106</v>
      </c>
      <c r="BC6" s="16"/>
      <c r="BE6" s="13">
        <v>4</v>
      </c>
      <c r="BF6" s="17">
        <v>6.5763888888888893</v>
      </c>
      <c r="BG6" s="17">
        <v>14.243055555555555</v>
      </c>
      <c r="BH6" s="17">
        <v>14.072916666666666</v>
      </c>
      <c r="BI6" s="17">
        <v>6.739583333333333</v>
      </c>
      <c r="BJ6" s="28">
        <f t="shared" si="0"/>
        <v>7.4965277777777768</v>
      </c>
      <c r="BK6" s="28">
        <f t="shared" si="0"/>
        <v>7.5034722222222223</v>
      </c>
      <c r="BL6" s="17">
        <v>7.5</v>
      </c>
      <c r="BM6" s="28">
        <f>(BJ6+BK6)/2</f>
        <v>7.5</v>
      </c>
      <c r="BN6" s="28">
        <f>ABS(BL6-BM6)</f>
        <v>0</v>
      </c>
      <c r="BO6" s="28">
        <f>ABS(BN6-BM$7)</f>
        <v>1.1411458333333335</v>
      </c>
      <c r="BP6" s="28">
        <f>BO6*BO6</f>
        <v>1.3022138129340282</v>
      </c>
      <c r="BR6" s="96" t="s">
        <v>156</v>
      </c>
      <c r="BS6" s="96"/>
      <c r="BT6" s="96"/>
      <c r="BU6" s="96"/>
      <c r="BV6" s="96"/>
      <c r="BW6" s="96"/>
      <c r="BX6" s="96"/>
      <c r="CT6" s="96"/>
      <c r="CU6" s="96"/>
      <c r="CV6" s="25" t="s">
        <v>296</v>
      </c>
      <c r="CW6" s="25">
        <v>52</v>
      </c>
      <c r="CX6" s="25">
        <v>10</v>
      </c>
      <c r="CY6" s="25">
        <v>0</v>
      </c>
      <c r="CZ6" s="81">
        <f t="shared" ref="CZ6:CZ14" si="11">CW6+CX6/60</f>
        <v>52.166666666666664</v>
      </c>
      <c r="DA6" s="25">
        <v>52</v>
      </c>
      <c r="DB6" s="25">
        <v>12</v>
      </c>
      <c r="DC6" s="25">
        <v>0</v>
      </c>
      <c r="DD6" s="81">
        <f t="shared" ref="DD6:DD14" si="12">DA6+DB6/60</f>
        <v>52.2</v>
      </c>
      <c r="DE6" s="25">
        <v>174</v>
      </c>
      <c r="DF6" s="25">
        <v>10</v>
      </c>
      <c r="DG6" s="25">
        <v>0</v>
      </c>
      <c r="DH6" s="81">
        <f t="shared" ref="DH6:DH14" si="13">DE6+DF6/60</f>
        <v>174.16666666666666</v>
      </c>
      <c r="DI6" s="25">
        <v>174</v>
      </c>
      <c r="DJ6" s="25">
        <v>12</v>
      </c>
      <c r="DK6" s="25">
        <v>0</v>
      </c>
      <c r="DL6" s="81">
        <f t="shared" ref="DL6:DL14" si="14">DI6+DJ6/60</f>
        <v>174.2</v>
      </c>
      <c r="DM6" s="25">
        <v>290</v>
      </c>
      <c r="DN6" s="25">
        <v>7</v>
      </c>
      <c r="DO6" s="25">
        <v>0</v>
      </c>
      <c r="DP6" s="81">
        <f t="shared" ref="DP6:DP14" si="15">DM6+DN6/60</f>
        <v>290.11666666666667</v>
      </c>
      <c r="DQ6" s="25">
        <v>290</v>
      </c>
      <c r="DR6" s="25">
        <v>6</v>
      </c>
      <c r="DS6" s="25">
        <v>0</v>
      </c>
      <c r="DT6" s="81">
        <f t="shared" ref="DT6:DT14" si="16">DQ6+DR6/60</f>
        <v>290.10000000000002</v>
      </c>
      <c r="DV6" s="25">
        <v>4</v>
      </c>
      <c r="DW6" s="25">
        <v>30</v>
      </c>
      <c r="DX6" s="25">
        <v>30.010719999999999</v>
      </c>
      <c r="DY6" s="83">
        <f t="shared" si="1"/>
        <v>3.0010719999999998E-2</v>
      </c>
      <c r="DZ6" s="25">
        <v>330</v>
      </c>
      <c r="EA6" s="25">
        <v>30.100999999999999</v>
      </c>
      <c r="EB6" s="80">
        <f t="shared" si="2"/>
        <v>3.0100999999999999E-2</v>
      </c>
      <c r="EC6" s="80">
        <f t="shared" si="3"/>
        <v>9.0280000000001609E-5</v>
      </c>
      <c r="EE6" s="72">
        <v>3</v>
      </c>
      <c r="EF6" s="7">
        <v>-1.84</v>
      </c>
      <c r="EG6" s="85">
        <v>-2.0000000000000002E-5</v>
      </c>
      <c r="EH6" s="7">
        <v>-1.61</v>
      </c>
      <c r="EI6" s="85">
        <v>-2.0000000000000002E-5</v>
      </c>
      <c r="EJ6" s="7">
        <v>-1.42</v>
      </c>
      <c r="EK6" s="88">
        <f>-0.00001</f>
        <v>-1.0000000000000001E-5</v>
      </c>
      <c r="EL6" s="7">
        <v>-0.88</v>
      </c>
      <c r="EM6" s="85">
        <v>-1.0000000000000001E-5</v>
      </c>
      <c r="EO6" s="96"/>
      <c r="EP6" s="72">
        <v>4</v>
      </c>
      <c r="EQ6" s="72">
        <v>30</v>
      </c>
      <c r="ER6" s="7">
        <v>57.35</v>
      </c>
      <c r="ES6" s="122"/>
      <c r="EU6" s="96" t="s">
        <v>363</v>
      </c>
      <c r="EV6" s="89">
        <f>TRUNC(EV5/(10000000000000000000))</f>
        <v>4</v>
      </c>
      <c r="EW6" s="89">
        <f>TRUNC(EW5/(10000000000000000000))</f>
        <v>35</v>
      </c>
      <c r="EX6" s="89">
        <f t="shared" ref="EX6" si="17">TRUNC(EX5/(10000000000000000000))</f>
        <v>4</v>
      </c>
      <c r="EZ6" s="72">
        <v>60</v>
      </c>
      <c r="FA6" s="72">
        <v>60</v>
      </c>
      <c r="FB6" s="72">
        <v>10</v>
      </c>
      <c r="FC6" s="72">
        <v>159</v>
      </c>
      <c r="FG6" s="72">
        <v>3</v>
      </c>
      <c r="FH6" s="7">
        <v>18.22</v>
      </c>
      <c r="FI6" s="7">
        <v>40.6</v>
      </c>
      <c r="FJ6" s="7">
        <v>18.22</v>
      </c>
      <c r="FK6" s="7">
        <v>41.15</v>
      </c>
      <c r="FL6" s="42">
        <f t="shared" si="5"/>
        <v>22.380000000000003</v>
      </c>
      <c r="FM6" s="42">
        <f t="shared" si="6"/>
        <v>22.93</v>
      </c>
      <c r="FN6" s="42">
        <f t="shared" si="7"/>
        <v>22.655000000000001</v>
      </c>
      <c r="FO6" s="42">
        <f t="shared" si="8"/>
        <v>0.18700000000000117</v>
      </c>
      <c r="FP6" s="90">
        <f t="shared" si="9"/>
        <v>3.4969000000000437E-2</v>
      </c>
      <c r="FR6" s="76" t="s">
        <v>415</v>
      </c>
      <c r="FS6" s="39">
        <f>SQRT(FP9/20)</f>
        <v>6.2381888397194489E-2</v>
      </c>
    </row>
    <row r="7" spans="1:180" x14ac:dyDescent="0.25">
      <c r="A7" s="2" t="s">
        <v>5</v>
      </c>
      <c r="B7" s="81">
        <f>AVERAGE(B2:B5)</f>
        <v>1.2749999999999999</v>
      </c>
      <c r="D7" s="108"/>
      <c r="E7" s="108"/>
      <c r="F7" s="3" t="s">
        <v>18</v>
      </c>
      <c r="G7" s="5">
        <v>0</v>
      </c>
      <c r="H7" s="4">
        <v>0.255</v>
      </c>
      <c r="I7" s="4">
        <v>0.49864999999999998</v>
      </c>
      <c r="J7" s="4">
        <v>0.75149999999999995</v>
      </c>
      <c r="K7" s="4">
        <v>1.0037499999999999</v>
      </c>
      <c r="L7" s="4">
        <v>1.23</v>
      </c>
      <c r="M7" s="4">
        <v>1.4937499999999999</v>
      </c>
      <c r="N7" s="4">
        <v>1.72875</v>
      </c>
      <c r="O7" s="4">
        <v>2.1</v>
      </c>
      <c r="P7" s="4">
        <v>2.2662499999999999</v>
      </c>
      <c r="Q7" s="4">
        <v>2.4</v>
      </c>
      <c r="S7" s="2" t="s">
        <v>19</v>
      </c>
      <c r="T7" s="31">
        <f>(O4-O2)/100</f>
        <v>7.0000000000000288E-3</v>
      </c>
      <c r="V7" s="2">
        <v>5</v>
      </c>
      <c r="W7" s="2">
        <v>1351</v>
      </c>
      <c r="X7" s="32">
        <f>(W$14/W$15)*W7</f>
        <v>1.3234285714285714</v>
      </c>
      <c r="Y7" s="32">
        <f>X7*X7</f>
        <v>1.7514631836734693</v>
      </c>
      <c r="Z7" s="2">
        <v>10</v>
      </c>
      <c r="AA7" s="2">
        <v>1785</v>
      </c>
      <c r="AB7" s="32">
        <f>W$14/W$15*AA7</f>
        <v>1.7485714285714284</v>
      </c>
      <c r="AC7" s="32">
        <f>AB7*AB7</f>
        <v>3.0575020408163263</v>
      </c>
      <c r="AD7" s="33">
        <f>AC7-Y7</f>
        <v>1.3060388571428569</v>
      </c>
      <c r="AE7" s="34">
        <f>AD7-AE$12</f>
        <v>-6.3997654310701257E-3</v>
      </c>
      <c r="AF7" s="35">
        <f>AE7*AE7</f>
        <v>4.0956997572720195E-5</v>
      </c>
      <c r="AH7" s="2" t="s">
        <v>53</v>
      </c>
      <c r="AI7" s="2" t="s">
        <v>80</v>
      </c>
      <c r="AJ7" s="2" t="s">
        <v>81</v>
      </c>
      <c r="AK7" s="2" t="s">
        <v>82</v>
      </c>
      <c r="AM7" s="10" t="s">
        <v>53</v>
      </c>
      <c r="AN7" s="10" t="s">
        <v>54</v>
      </c>
      <c r="AO7" s="10" t="s">
        <v>55</v>
      </c>
      <c r="AP7" s="10" t="s">
        <v>56</v>
      </c>
      <c r="AR7" s="14" t="s">
        <v>88</v>
      </c>
      <c r="AS7" s="32">
        <f>AS6/AS5</f>
        <v>2.8867513459481291</v>
      </c>
      <c r="AU7" s="12"/>
      <c r="AV7" s="12" t="s">
        <v>112</v>
      </c>
      <c r="AW7" s="12" t="s">
        <v>113</v>
      </c>
      <c r="AX7" s="12" t="s">
        <v>114</v>
      </c>
      <c r="AY7" s="12" t="s">
        <v>115</v>
      </c>
      <c r="AZ7" s="12" t="s">
        <v>116</v>
      </c>
      <c r="BB7" s="16" t="s">
        <v>120</v>
      </c>
      <c r="BC7" s="37">
        <f>LN(BC$4/BC$3)</f>
        <v>2.3025850929940459</v>
      </c>
      <c r="BE7" s="96"/>
      <c r="BF7" s="96"/>
      <c r="BG7" s="96"/>
      <c r="BH7" s="96"/>
      <c r="BI7" s="13"/>
      <c r="BJ7" s="13"/>
      <c r="BK7" s="13"/>
      <c r="BL7" s="13" t="s">
        <v>134</v>
      </c>
      <c r="BM7" s="28">
        <f>AVERAGE(BN3:BN6)</f>
        <v>1.1411458333333335</v>
      </c>
      <c r="BN7" s="13" t="s">
        <v>133</v>
      </c>
      <c r="BO7" s="28">
        <f>SUM(BP3:BP6)</f>
        <v>5.5312954523533939</v>
      </c>
      <c r="BP7" s="81">
        <f>BO7*BO7</f>
        <v>30.595229381225337</v>
      </c>
      <c r="BR7" s="18" t="s">
        <v>157</v>
      </c>
      <c r="BS7" s="18" t="s">
        <v>159</v>
      </c>
      <c r="BT7" s="18" t="s">
        <v>160</v>
      </c>
      <c r="BU7" s="18">
        <v>240</v>
      </c>
      <c r="BV7" s="18">
        <v>105</v>
      </c>
      <c r="BW7" s="18">
        <v>22.1</v>
      </c>
      <c r="BX7" s="18">
        <v>10.7</v>
      </c>
      <c r="CD7" s="96" t="s">
        <v>235</v>
      </c>
      <c r="CE7" s="96" t="s">
        <v>238</v>
      </c>
      <c r="CF7" s="96" t="s">
        <v>243</v>
      </c>
      <c r="CG7" s="96" t="s">
        <v>244</v>
      </c>
      <c r="CH7" s="96" t="s">
        <v>239</v>
      </c>
      <c r="CI7" s="96" t="s">
        <v>245</v>
      </c>
      <c r="CJ7" s="96" t="s">
        <v>246</v>
      </c>
      <c r="CT7" s="96"/>
      <c r="CU7" s="96"/>
      <c r="CV7" s="25" t="s">
        <v>277</v>
      </c>
      <c r="CW7" s="25">
        <v>50</v>
      </c>
      <c r="CX7" s="25">
        <v>8</v>
      </c>
      <c r="CY7" s="25">
        <v>0</v>
      </c>
      <c r="CZ7" s="81">
        <f t="shared" si="11"/>
        <v>50.133333333333333</v>
      </c>
      <c r="DA7" s="25">
        <v>50</v>
      </c>
      <c r="DB7" s="25">
        <v>6</v>
      </c>
      <c r="DC7" s="25">
        <v>0</v>
      </c>
      <c r="DD7" s="81">
        <f t="shared" si="12"/>
        <v>50.1</v>
      </c>
      <c r="DE7" s="25">
        <v>172</v>
      </c>
      <c r="DF7" s="25">
        <v>59</v>
      </c>
      <c r="DG7" s="25">
        <v>0</v>
      </c>
      <c r="DH7" s="81">
        <f t="shared" si="13"/>
        <v>172.98333333333332</v>
      </c>
      <c r="DI7" s="25">
        <v>172</v>
      </c>
      <c r="DJ7" s="25">
        <v>60</v>
      </c>
      <c r="DK7" s="25">
        <v>0</v>
      </c>
      <c r="DL7" s="81">
        <f t="shared" si="14"/>
        <v>173</v>
      </c>
      <c r="DM7" s="25">
        <v>289</v>
      </c>
      <c r="DN7" s="25">
        <v>56</v>
      </c>
      <c r="DO7" s="25">
        <v>0</v>
      </c>
      <c r="DP7" s="81">
        <f t="shared" si="15"/>
        <v>289.93333333333334</v>
      </c>
      <c r="DQ7" s="25">
        <v>289</v>
      </c>
      <c r="DR7" s="25">
        <v>56</v>
      </c>
      <c r="DS7" s="25">
        <v>0</v>
      </c>
      <c r="DT7" s="81">
        <f t="shared" si="16"/>
        <v>289.93333333333334</v>
      </c>
      <c r="DV7" s="25">
        <v>5</v>
      </c>
      <c r="DW7" s="25">
        <v>40</v>
      </c>
      <c r="DX7" s="25">
        <v>30.013929999999998</v>
      </c>
      <c r="DY7" s="83">
        <f t="shared" si="1"/>
        <v>3.0013929999999998E-2</v>
      </c>
      <c r="DZ7" s="25">
        <v>340</v>
      </c>
      <c r="EA7" s="25">
        <v>30.104189999999999</v>
      </c>
      <c r="EB7" s="80">
        <f t="shared" si="2"/>
        <v>3.0104189999999999E-2</v>
      </c>
      <c r="EC7" s="80">
        <f t="shared" si="3"/>
        <v>9.0260000000001728E-5</v>
      </c>
      <c r="EE7" s="72">
        <v>4</v>
      </c>
      <c r="EF7" s="7">
        <v>-1.76</v>
      </c>
      <c r="EG7" s="85">
        <v>-3.9999999999999998E-6</v>
      </c>
      <c r="EH7" s="7">
        <v>-1.51</v>
      </c>
      <c r="EI7" s="85">
        <v>-3.9999999999999998E-6</v>
      </c>
      <c r="EJ7" s="7">
        <v>-1.38</v>
      </c>
      <c r="EK7" s="85">
        <v>-3.9999999999999998E-6</v>
      </c>
      <c r="EL7" s="7">
        <v>-0.86</v>
      </c>
      <c r="EM7" s="85">
        <v>-3.9999999999999998E-6</v>
      </c>
      <c r="EO7" s="96"/>
      <c r="EP7" s="72">
        <v>5</v>
      </c>
      <c r="EQ7" s="72">
        <v>30</v>
      </c>
      <c r="ER7" s="7">
        <v>54.38</v>
      </c>
      <c r="ES7" s="104"/>
      <c r="EU7" s="96"/>
      <c r="EV7" s="89">
        <f>EV6*(10000000000000000000)</f>
        <v>4E+19</v>
      </c>
      <c r="EW7" s="89">
        <f t="shared" ref="EW7:EX7" si="18">EW6*(10000000000000000000)</f>
        <v>3.5E+20</v>
      </c>
      <c r="EX7" s="89">
        <f t="shared" si="18"/>
        <v>4E+19</v>
      </c>
      <c r="EZ7" s="72">
        <v>70</v>
      </c>
      <c r="FA7" s="72">
        <v>70</v>
      </c>
      <c r="FB7" s="72">
        <v>10</v>
      </c>
      <c r="FC7" s="72">
        <v>113</v>
      </c>
      <c r="FG7" s="72">
        <v>4</v>
      </c>
      <c r="FH7" s="7">
        <v>19.5</v>
      </c>
      <c r="FI7" s="7">
        <v>42.29</v>
      </c>
      <c r="FJ7" s="7">
        <v>19.5</v>
      </c>
      <c r="FK7" s="7">
        <v>41.7</v>
      </c>
      <c r="FL7" s="42">
        <f t="shared" si="5"/>
        <v>22.79</v>
      </c>
      <c r="FM7" s="42">
        <f t="shared" si="6"/>
        <v>22.200000000000003</v>
      </c>
      <c r="FN7" s="42">
        <f t="shared" si="7"/>
        <v>22.495000000000001</v>
      </c>
      <c r="FO7" s="42">
        <f t="shared" si="8"/>
        <v>2.7000000000001023E-2</v>
      </c>
      <c r="FP7" s="90">
        <f t="shared" si="9"/>
        <v>7.2900000000005523E-4</v>
      </c>
      <c r="FR7" s="76" t="s">
        <v>416</v>
      </c>
      <c r="FS7" s="82">
        <f>FS6/FN9</f>
        <v>2.7764771406976361E-3</v>
      </c>
    </row>
    <row r="8" spans="1:180" x14ac:dyDescent="0.25">
      <c r="A8" s="6" t="s">
        <v>6</v>
      </c>
      <c r="B8" s="81">
        <f>(B7-4.9)/4.9</f>
        <v>-0.73979591836734693</v>
      </c>
      <c r="D8" s="108" t="s">
        <v>10</v>
      </c>
      <c r="E8" s="108"/>
      <c r="F8" s="108"/>
      <c r="G8" s="38">
        <f>G7-G3</f>
        <v>0</v>
      </c>
      <c r="H8" s="30">
        <f t="shared" ref="H8:Q8" si="19">H7-H3</f>
        <v>5.0000000000000044E-3</v>
      </c>
      <c r="I8" s="30">
        <f t="shared" si="19"/>
        <v>-1.3500000000000179E-3</v>
      </c>
      <c r="J8" s="30">
        <f t="shared" si="19"/>
        <v>1.4999999999999458E-3</v>
      </c>
      <c r="K8" s="30">
        <f t="shared" si="19"/>
        <v>3.7499999999999201E-3</v>
      </c>
      <c r="L8" s="30">
        <f t="shared" si="19"/>
        <v>-2.0000000000000018E-2</v>
      </c>
      <c r="M8" s="30">
        <f t="shared" si="19"/>
        <v>-6.2500000000000888E-3</v>
      </c>
      <c r="N8" s="30">
        <f t="shared" si="19"/>
        <v>-2.1249999999999991E-2</v>
      </c>
      <c r="O8" s="30">
        <f t="shared" si="19"/>
        <v>0.10000000000000009</v>
      </c>
      <c r="P8" s="30">
        <f t="shared" si="19"/>
        <v>1.6249999999999876E-2</v>
      </c>
      <c r="Q8" s="30">
        <f t="shared" si="19"/>
        <v>-0.10000000000000009</v>
      </c>
      <c r="V8" s="2">
        <v>6</v>
      </c>
      <c r="W8" s="2">
        <v>1448</v>
      </c>
      <c r="X8" s="32">
        <f>(W$14/W$15)*W8</f>
        <v>1.4184489795918367</v>
      </c>
      <c r="Y8" s="32">
        <f>X8*X8</f>
        <v>2.0119975077051229</v>
      </c>
      <c r="Z8" s="2">
        <v>11</v>
      </c>
      <c r="AA8" s="2">
        <v>1860</v>
      </c>
      <c r="AB8" s="32">
        <f>W$14/W$15*AA8</f>
        <v>1.8220408163265305</v>
      </c>
      <c r="AC8" s="32">
        <f>AB8*AB8</f>
        <v>3.3198327363598494</v>
      </c>
      <c r="AD8" s="33">
        <f>AC8-Y8</f>
        <v>1.3078352286547266</v>
      </c>
      <c r="AE8" s="34">
        <f>AD8-AE$12</f>
        <v>-4.6033939192005047E-3</v>
      </c>
      <c r="AF8" s="35">
        <f>AE8*AE8</f>
        <v>2.1191235575332181E-5</v>
      </c>
      <c r="AH8" s="2">
        <v>1</v>
      </c>
      <c r="AI8" s="32">
        <f>AN8/10</f>
        <v>4.8000000000000001E-2</v>
      </c>
      <c r="AJ8" s="81">
        <f>AI8-AJ$13</f>
        <v>-3.199999999999939E-4</v>
      </c>
      <c r="AK8" s="81">
        <f>AJ8*AJ8</f>
        <v>1.023999999999961E-7</v>
      </c>
      <c r="AM8" s="10">
        <v>1</v>
      </c>
      <c r="AN8" s="9">
        <v>0.48</v>
      </c>
      <c r="AO8" s="81">
        <f>AN8-AO$13</f>
        <v>-3.1999999999999806E-3</v>
      </c>
      <c r="AP8" s="81">
        <f>AO8*AO8</f>
        <v>1.0239999999999877E-5</v>
      </c>
      <c r="AR8" s="14" t="s">
        <v>99</v>
      </c>
      <c r="AS8" s="32">
        <f>AS7*AS5</f>
        <v>0.28867513459481292</v>
      </c>
      <c r="AU8" s="12"/>
      <c r="AV8" s="40">
        <f>AVERAGE(AV3:AV6)</f>
        <v>77.75</v>
      </c>
      <c r="AW8" s="40">
        <f>AVERAGE(AW3:AW6)</f>
        <v>44.25</v>
      </c>
      <c r="AX8" s="40">
        <f>AVERAGE(AX3:AX6)</f>
        <v>25.5</v>
      </c>
      <c r="AY8" s="40">
        <f>AVERAGE(AY3:AY6)</f>
        <v>14.75</v>
      </c>
      <c r="AZ8" s="40">
        <f>AVERAGE(AZ3:AZ6)</f>
        <v>9.75</v>
      </c>
      <c r="BR8" s="18" t="s">
        <v>158</v>
      </c>
      <c r="BS8" s="18">
        <v>0.1</v>
      </c>
      <c r="BT8" s="18">
        <v>0.5</v>
      </c>
      <c r="BU8" s="18">
        <v>1</v>
      </c>
      <c r="BV8" s="18">
        <v>2</v>
      </c>
      <c r="BW8" s="18">
        <v>4.5</v>
      </c>
      <c r="BX8" s="18">
        <v>4.5</v>
      </c>
      <c r="CD8" s="96"/>
      <c r="CE8" s="96"/>
      <c r="CF8" s="96"/>
      <c r="CG8" s="96"/>
      <c r="CH8" s="96"/>
      <c r="CI8" s="96"/>
      <c r="CJ8" s="96"/>
      <c r="CL8" s="18" t="s">
        <v>259</v>
      </c>
      <c r="CM8" s="36">
        <f>(CL4-CL5*CG5/1000)/CL5</f>
        <v>0.84154022988505728</v>
      </c>
      <c r="CN8" s="18" t="s">
        <v>261</v>
      </c>
      <c r="CP8" s="18" t="s">
        <v>266</v>
      </c>
      <c r="CQ8" s="42">
        <f>SQRT(SUM(CH22:CQ22)/(10*9))</f>
        <v>46.845858903070685</v>
      </c>
      <c r="CR8" s="18" t="s">
        <v>265</v>
      </c>
      <c r="CT8" s="96"/>
      <c r="CU8" s="96"/>
      <c r="CV8" s="25" t="s">
        <v>295</v>
      </c>
      <c r="CW8" s="25">
        <v>50</v>
      </c>
      <c r="CX8" s="25">
        <v>2</v>
      </c>
      <c r="CY8" s="25">
        <v>0</v>
      </c>
      <c r="CZ8" s="81">
        <f t="shared" si="11"/>
        <v>50.033333333333331</v>
      </c>
      <c r="DA8" s="25">
        <v>50</v>
      </c>
      <c r="DB8" s="25">
        <v>4</v>
      </c>
      <c r="DC8" s="25">
        <v>0</v>
      </c>
      <c r="DD8" s="81">
        <f t="shared" si="12"/>
        <v>50.06666666666667</v>
      </c>
      <c r="DE8" s="25">
        <v>172</v>
      </c>
      <c r="DF8" s="25">
        <v>55</v>
      </c>
      <c r="DG8" s="25">
        <v>0</v>
      </c>
      <c r="DH8" s="81">
        <f t="shared" si="13"/>
        <v>172.91666666666666</v>
      </c>
      <c r="DI8" s="25">
        <v>172</v>
      </c>
      <c r="DJ8" s="25">
        <v>53</v>
      </c>
      <c r="DK8" s="25">
        <v>0</v>
      </c>
      <c r="DL8" s="81">
        <f t="shared" si="14"/>
        <v>172.88333333333333</v>
      </c>
      <c r="DM8" s="25">
        <v>289</v>
      </c>
      <c r="DN8" s="25">
        <v>52</v>
      </c>
      <c r="DO8" s="25">
        <v>0</v>
      </c>
      <c r="DP8" s="81">
        <f t="shared" si="15"/>
        <v>289.86666666666667</v>
      </c>
      <c r="DQ8" s="25">
        <v>289</v>
      </c>
      <c r="DR8" s="25">
        <v>50</v>
      </c>
      <c r="DS8" s="25">
        <v>0</v>
      </c>
      <c r="DT8" s="81">
        <f t="shared" si="16"/>
        <v>289.83333333333331</v>
      </c>
      <c r="DV8" s="25">
        <v>6</v>
      </c>
      <c r="DW8" s="25">
        <v>50</v>
      </c>
      <c r="DX8" s="25">
        <v>30.017189999999999</v>
      </c>
      <c r="DY8" s="83">
        <f t="shared" si="1"/>
        <v>3.0017189999999999E-2</v>
      </c>
      <c r="DZ8" s="25">
        <v>350</v>
      </c>
      <c r="EA8" s="25">
        <v>30.107289999999999</v>
      </c>
      <c r="EB8" s="80">
        <f t="shared" si="2"/>
        <v>3.0107289999999998E-2</v>
      </c>
      <c r="EC8" s="80">
        <f t="shared" si="3"/>
        <v>9.0099999999999208E-5</v>
      </c>
      <c r="EE8" s="72">
        <v>5</v>
      </c>
      <c r="EF8" s="7">
        <v>-1.71</v>
      </c>
      <c r="EG8" s="85">
        <v>7.9000000000000006E-6</v>
      </c>
      <c r="EH8" s="7">
        <v>-1.46</v>
      </c>
      <c r="EI8" s="85">
        <v>7.9000000000000006E-6</v>
      </c>
      <c r="EJ8" s="7">
        <v>-1.32</v>
      </c>
      <c r="EK8" s="85">
        <v>7.9999999999999996E-6</v>
      </c>
      <c r="EL8" s="7">
        <v>-0.8</v>
      </c>
      <c r="EM8" s="85">
        <v>8.1000000000000004E-6</v>
      </c>
      <c r="EO8" s="96">
        <v>2</v>
      </c>
      <c r="EP8" s="72">
        <v>1</v>
      </c>
      <c r="EQ8" s="72">
        <v>17</v>
      </c>
      <c r="ER8" s="7">
        <v>20.7</v>
      </c>
      <c r="ES8" s="107">
        <v>56.648000000000003</v>
      </c>
      <c r="EU8" s="72" t="s">
        <v>347</v>
      </c>
      <c r="EV8" s="87">
        <v>1.6020954999999999</v>
      </c>
      <c r="EW8" s="87">
        <v>1.6014733000000001</v>
      </c>
      <c r="EX8" s="87">
        <v>1.6017247999999999</v>
      </c>
      <c r="EZ8" s="72">
        <v>80</v>
      </c>
      <c r="FA8" s="72">
        <v>80</v>
      </c>
      <c r="FB8" s="72">
        <v>1</v>
      </c>
      <c r="FC8" s="72">
        <v>819</v>
      </c>
      <c r="FG8" s="72">
        <v>5</v>
      </c>
      <c r="FH8" s="7">
        <v>21.72</v>
      </c>
      <c r="FI8" s="7">
        <v>44</v>
      </c>
      <c r="FJ8" s="7">
        <v>21.72</v>
      </c>
      <c r="FK8" s="7">
        <v>44.5</v>
      </c>
      <c r="FL8" s="42">
        <f t="shared" si="5"/>
        <v>22.28</v>
      </c>
      <c r="FM8" s="42">
        <f t="shared" si="6"/>
        <v>22.78</v>
      </c>
      <c r="FN8" s="42">
        <f t="shared" si="7"/>
        <v>22.53</v>
      </c>
      <c r="FO8" s="42">
        <f t="shared" si="8"/>
        <v>6.2000000000001165E-2</v>
      </c>
      <c r="FP8" s="90">
        <f t="shared" si="9"/>
        <v>3.8440000000001446E-3</v>
      </c>
    </row>
    <row r="9" spans="1:180" x14ac:dyDescent="0.25">
      <c r="V9" s="2">
        <v>7</v>
      </c>
      <c r="W9" s="2">
        <v>1537</v>
      </c>
      <c r="X9" s="32">
        <f>(W$14/W$15)*W9</f>
        <v>1.5056326530612245</v>
      </c>
      <c r="Y9" s="32">
        <f>X9*X9</f>
        <v>2.2669296859641817</v>
      </c>
      <c r="Z9" s="2">
        <v>12</v>
      </c>
      <c r="AA9" s="2">
        <v>1930</v>
      </c>
      <c r="AB9" s="32">
        <f>W$14/W$15*AA9</f>
        <v>1.890612244897959</v>
      </c>
      <c r="AC9" s="32">
        <f>AB9*AB9</f>
        <v>3.5744146605581002</v>
      </c>
      <c r="AD9" s="33">
        <f>AC9-Y9</f>
        <v>1.3074849745939185</v>
      </c>
      <c r="AE9" s="34">
        <f>AD9-AE$12</f>
        <v>-4.9536479800085242E-3</v>
      </c>
      <c r="AF9" s="35">
        <f>AE9*AE9</f>
        <v>2.4538628309842534E-5</v>
      </c>
      <c r="AH9" s="2">
        <v>2</v>
      </c>
      <c r="AI9" s="32">
        <f>AN9/10</f>
        <v>4.8799999999999996E-2</v>
      </c>
      <c r="AJ9" s="81">
        <f>AI9-AJ$13</f>
        <v>4.8000000000000126E-4</v>
      </c>
      <c r="AK9" s="81">
        <f>AJ9*AJ9</f>
        <v>2.3040000000000122E-7</v>
      </c>
      <c r="AM9" s="10">
        <v>2</v>
      </c>
      <c r="AN9" s="9">
        <v>0.48799999999999999</v>
      </c>
      <c r="AO9" s="81">
        <f>AN9-AO$13</f>
        <v>4.8000000000000265E-3</v>
      </c>
      <c r="AP9" s="81">
        <f>AO9*AO9</f>
        <v>2.3040000000000254E-5</v>
      </c>
      <c r="AR9" s="14" t="s">
        <v>89</v>
      </c>
      <c r="AS9" s="14"/>
      <c r="CD9" s="18" t="s">
        <v>236</v>
      </c>
      <c r="CE9" s="18" t="s">
        <v>247</v>
      </c>
      <c r="CF9" s="18">
        <v>0.5</v>
      </c>
      <c r="CG9" s="18">
        <v>500</v>
      </c>
      <c r="CH9" s="18">
        <v>100</v>
      </c>
      <c r="CI9" s="18">
        <v>2.5000000000000001E-2</v>
      </c>
      <c r="CJ9" s="8">
        <v>7.2168783648703227E-3</v>
      </c>
      <c r="CL9" s="18" t="s">
        <v>260</v>
      </c>
      <c r="CM9" s="8">
        <v>5.2143554260680649E-3</v>
      </c>
      <c r="CN9" s="18"/>
      <c r="CP9" s="18" t="s">
        <v>263</v>
      </c>
      <c r="CQ9" s="82">
        <f>CQ8/CR20</f>
        <v>1.8994736150302956E-2</v>
      </c>
      <c r="CR9" s="18" t="s">
        <v>267</v>
      </c>
      <c r="CT9" s="96"/>
      <c r="CU9" s="25">
        <v>0</v>
      </c>
      <c r="CV9" s="25" t="s">
        <v>280</v>
      </c>
      <c r="CW9" s="25">
        <v>70</v>
      </c>
      <c r="CX9" s="25">
        <v>20</v>
      </c>
      <c r="CY9" s="25">
        <v>0</v>
      </c>
      <c r="CZ9" s="81">
        <f t="shared" si="11"/>
        <v>70.333333333333329</v>
      </c>
      <c r="DA9" s="25"/>
      <c r="DB9" s="25"/>
      <c r="DC9" s="25">
        <v>0</v>
      </c>
      <c r="DD9" s="81">
        <f t="shared" si="12"/>
        <v>0</v>
      </c>
      <c r="DE9" s="25">
        <v>193</v>
      </c>
      <c r="DF9" s="25">
        <v>15</v>
      </c>
      <c r="DG9" s="25">
        <v>0</v>
      </c>
      <c r="DH9" s="81">
        <f t="shared" si="13"/>
        <v>193.25</v>
      </c>
      <c r="DI9" s="25"/>
      <c r="DJ9" s="25"/>
      <c r="DK9" s="25">
        <v>0</v>
      </c>
      <c r="DL9" s="81">
        <f t="shared" si="14"/>
        <v>0</v>
      </c>
      <c r="DM9" s="25">
        <v>308</v>
      </c>
      <c r="DN9" s="25">
        <v>4</v>
      </c>
      <c r="DO9" s="25">
        <v>0</v>
      </c>
      <c r="DP9" s="81">
        <f t="shared" si="15"/>
        <v>308.06666666666666</v>
      </c>
      <c r="DQ9" s="25"/>
      <c r="DR9" s="25"/>
      <c r="DS9" s="25">
        <v>0</v>
      </c>
      <c r="DT9" s="81">
        <f t="shared" si="16"/>
        <v>0</v>
      </c>
      <c r="EE9" s="72">
        <v>6</v>
      </c>
      <c r="EF9" s="7">
        <v>-1.67</v>
      </c>
      <c r="EG9" s="85">
        <v>5.0000000000000002E-5</v>
      </c>
      <c r="EH9" s="7">
        <v>-1.3</v>
      </c>
      <c r="EI9" s="85">
        <v>5.0000000000000002E-5</v>
      </c>
      <c r="EJ9" s="7">
        <v>-1.17</v>
      </c>
      <c r="EK9" s="85">
        <v>5.0000000000000002E-5</v>
      </c>
      <c r="EL9" s="7">
        <v>-0.68</v>
      </c>
      <c r="EM9" s="85">
        <v>5.0000000000000002E-5</v>
      </c>
      <c r="EO9" s="96"/>
      <c r="EP9" s="72">
        <v>2</v>
      </c>
      <c r="EQ9" s="72">
        <v>17</v>
      </c>
      <c r="ER9" s="7">
        <v>20.14</v>
      </c>
      <c r="ES9" s="122"/>
      <c r="EU9" s="72" t="s">
        <v>347</v>
      </c>
      <c r="EV9" s="132">
        <f>AVERAGE(EV8:EX8)</f>
        <v>1.6017645333333335</v>
      </c>
      <c r="EW9" s="132"/>
      <c r="EX9" s="132"/>
      <c r="EZ9" s="72">
        <v>90</v>
      </c>
      <c r="FA9" s="72">
        <v>90</v>
      </c>
      <c r="FB9" s="72">
        <v>1</v>
      </c>
      <c r="FC9" s="72">
        <v>611</v>
      </c>
      <c r="FG9" s="72" t="s">
        <v>386</v>
      </c>
      <c r="FH9" s="72" t="s">
        <v>387</v>
      </c>
      <c r="FI9" s="72" t="s">
        <v>387</v>
      </c>
      <c r="FJ9" s="72" t="s">
        <v>387</v>
      </c>
      <c r="FK9" s="72" t="s">
        <v>388</v>
      </c>
      <c r="FL9" s="72" t="s">
        <v>388</v>
      </c>
      <c r="FM9" s="72" t="s">
        <v>387</v>
      </c>
      <c r="FN9" s="42">
        <f>AVERAGE(FN4:FN8)</f>
        <v>22.468</v>
      </c>
      <c r="FO9" s="72" t="s">
        <v>389</v>
      </c>
      <c r="FP9" s="90">
        <f>SUM(FP4:FP8)</f>
        <v>7.7830000000000565E-2</v>
      </c>
    </row>
    <row r="10" spans="1:180" x14ac:dyDescent="0.25">
      <c r="D10" s="108" t="s">
        <v>7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V10" s="2">
        <v>8</v>
      </c>
      <c r="W10" s="2">
        <v>1620</v>
      </c>
      <c r="X10" s="32">
        <f>(W$14/W$15)*W10</f>
        <v>1.586938775510204</v>
      </c>
      <c r="Y10" s="32">
        <f>X10*X10</f>
        <v>2.5183746772178255</v>
      </c>
      <c r="Z10" s="2">
        <v>13</v>
      </c>
      <c r="AA10" s="2">
        <v>2000</v>
      </c>
      <c r="AB10" s="32">
        <f>W$14/W$15*AA10</f>
        <v>1.9591836734693877</v>
      </c>
      <c r="AC10" s="32">
        <f>AB10*AB10</f>
        <v>3.8384006663890045</v>
      </c>
      <c r="AD10" s="33">
        <f>AC10-Y10</f>
        <v>1.320025989171179</v>
      </c>
      <c r="AE10" s="34">
        <f>AD10-AE$12</f>
        <v>7.5873665972518989E-3</v>
      </c>
      <c r="AF10" s="35">
        <f>AE10*AE10</f>
        <v>5.7568131881093857E-5</v>
      </c>
      <c r="AH10" s="2">
        <v>3</v>
      </c>
      <c r="AI10" s="32">
        <f>AN10/10</f>
        <v>4.87E-2</v>
      </c>
      <c r="AJ10" s="81">
        <f>AI10-AJ$13</f>
        <v>3.8000000000000533E-4</v>
      </c>
      <c r="AK10" s="81">
        <f>AJ10*AJ10</f>
        <v>1.4440000000000405E-7</v>
      </c>
      <c r="AM10" s="10">
        <v>3</v>
      </c>
      <c r="AN10" s="9">
        <v>0.48699999999999999</v>
      </c>
      <c r="AO10" s="81">
        <f>AN10-AO$13</f>
        <v>3.8000000000000256E-3</v>
      </c>
      <c r="AP10" s="81">
        <f>AO10*AO10</f>
        <v>1.4440000000000194E-5</v>
      </c>
      <c r="AR10" s="14" t="s">
        <v>90</v>
      </c>
      <c r="AS10" s="39">
        <f>1/AS5</f>
        <v>10</v>
      </c>
      <c r="AU10" s="12" t="s">
        <v>103</v>
      </c>
      <c r="AV10" s="12" t="s">
        <v>104</v>
      </c>
      <c r="AW10" s="12" t="s">
        <v>105</v>
      </c>
      <c r="AX10" s="12" t="s">
        <v>120</v>
      </c>
      <c r="AY10" s="12" t="s">
        <v>121</v>
      </c>
      <c r="AZ10" s="12" t="s">
        <v>106</v>
      </c>
      <c r="BA10" s="12" t="s">
        <v>123</v>
      </c>
      <c r="BB10" s="12" t="s">
        <v>122</v>
      </c>
      <c r="BN10" s="13" t="s">
        <v>138</v>
      </c>
      <c r="BO10" s="28">
        <f>SQRT(BO7/12)</f>
        <v>0.67892657017980684</v>
      </c>
      <c r="BR10" s="18" t="s">
        <v>161</v>
      </c>
      <c r="BS10" s="45"/>
      <c r="BT10" s="18" t="s">
        <v>175</v>
      </c>
      <c r="BU10" s="18">
        <v>2600</v>
      </c>
      <c r="BV10" s="46"/>
      <c r="BW10" s="18" t="s">
        <v>192</v>
      </c>
      <c r="BX10" s="42">
        <f>SQRT(BT15*BY15)</f>
        <v>387.29833462074168</v>
      </c>
      <c r="BY10" s="46"/>
      <c r="BZ10" s="47"/>
      <c r="CA10" s="47"/>
      <c r="CD10" s="18" t="s">
        <v>237</v>
      </c>
      <c r="CE10" s="18" t="s">
        <v>249</v>
      </c>
      <c r="CF10" s="18">
        <v>0.5</v>
      </c>
      <c r="CG10" s="18">
        <v>300</v>
      </c>
      <c r="CH10" s="18">
        <v>100</v>
      </c>
      <c r="CI10" s="18">
        <v>0.01</v>
      </c>
      <c r="CJ10" s="8">
        <v>7.2168783648703227E-3</v>
      </c>
      <c r="CL10" s="18" t="s">
        <v>262</v>
      </c>
      <c r="CM10" s="36">
        <f>CM8*BS59</f>
        <v>4.3880898639557155E-3</v>
      </c>
      <c r="CN10" s="18" t="s">
        <v>264</v>
      </c>
      <c r="CT10" s="96"/>
      <c r="CU10" s="96">
        <v>1</v>
      </c>
      <c r="CV10" s="25" t="s">
        <v>279</v>
      </c>
      <c r="CW10" s="25">
        <v>86</v>
      </c>
      <c r="CX10" s="25">
        <v>4</v>
      </c>
      <c r="CY10" s="25">
        <v>0</v>
      </c>
      <c r="CZ10" s="81">
        <f t="shared" si="11"/>
        <v>86.066666666666663</v>
      </c>
      <c r="DA10" s="25">
        <v>86</v>
      </c>
      <c r="DB10" s="25">
        <v>1</v>
      </c>
      <c r="DC10" s="25">
        <v>0</v>
      </c>
      <c r="DD10" s="81">
        <f t="shared" si="12"/>
        <v>86.016666666666666</v>
      </c>
      <c r="DE10" s="25">
        <v>208</v>
      </c>
      <c r="DF10" s="25">
        <v>25</v>
      </c>
      <c r="DG10" s="25">
        <v>0</v>
      </c>
      <c r="DH10" s="81">
        <f t="shared" si="13"/>
        <v>208.41666666666666</v>
      </c>
      <c r="DI10" s="25">
        <v>208</v>
      </c>
      <c r="DJ10" s="25">
        <v>25</v>
      </c>
      <c r="DK10" s="25">
        <v>0</v>
      </c>
      <c r="DL10" s="81">
        <f t="shared" si="14"/>
        <v>208.41666666666666</v>
      </c>
      <c r="DM10" s="25">
        <v>324</v>
      </c>
      <c r="DN10" s="25">
        <v>23</v>
      </c>
      <c r="DO10" s="25">
        <v>0</v>
      </c>
      <c r="DP10" s="81">
        <f t="shared" si="15"/>
        <v>324.38333333333333</v>
      </c>
      <c r="DQ10" s="25">
        <v>324</v>
      </c>
      <c r="DR10" s="25">
        <v>20</v>
      </c>
      <c r="DS10" s="25">
        <v>0</v>
      </c>
      <c r="DT10" s="81">
        <f t="shared" si="16"/>
        <v>324.33333333333331</v>
      </c>
      <c r="DV10" s="25" t="s">
        <v>330</v>
      </c>
      <c r="DW10" s="25" t="s">
        <v>335</v>
      </c>
      <c r="DX10" s="25" t="s">
        <v>336</v>
      </c>
      <c r="DY10" s="25" t="s">
        <v>337</v>
      </c>
      <c r="DZ10" s="25" t="s">
        <v>338</v>
      </c>
      <c r="EA10" s="25" t="s">
        <v>71</v>
      </c>
      <c r="EB10" s="25" t="s">
        <v>339</v>
      </c>
      <c r="EE10" s="72">
        <v>7</v>
      </c>
      <c r="EF10" s="7">
        <v>-1.47</v>
      </c>
      <c r="EG10" s="85">
        <v>9.0000000000000006E-5</v>
      </c>
      <c r="EH10" s="7">
        <v>-1.2</v>
      </c>
      <c r="EI10" s="85">
        <v>9.0000000000000006E-5</v>
      </c>
      <c r="EJ10" s="7">
        <v>-1.07</v>
      </c>
      <c r="EK10" s="85">
        <v>9.0000000000000006E-5</v>
      </c>
      <c r="EL10" s="7">
        <v>-0.6</v>
      </c>
      <c r="EM10" s="85">
        <v>9.0000000000000006E-5</v>
      </c>
      <c r="EO10" s="96"/>
      <c r="EP10" s="72">
        <v>3</v>
      </c>
      <c r="EQ10" s="72">
        <v>17</v>
      </c>
      <c r="ER10" s="7">
        <v>20.309999999999999</v>
      </c>
      <c r="ES10" s="122"/>
      <c r="EU10" s="72" t="s">
        <v>365</v>
      </c>
      <c r="EV10" s="95">
        <f>EV8-$EV$9</f>
        <v>3.3096666666643237E-4</v>
      </c>
      <c r="EW10" s="95">
        <f t="shared" ref="EW10:EX10" si="20">EW8-$EV$9</f>
        <v>-2.9123333333336276E-4</v>
      </c>
      <c r="EX10" s="95">
        <f t="shared" si="20"/>
        <v>-3.9733333333513698E-5</v>
      </c>
    </row>
    <row r="11" spans="1:180" x14ac:dyDescent="0.25">
      <c r="D11" s="109" t="s">
        <v>21</v>
      </c>
      <c r="E11" s="108" t="s">
        <v>11</v>
      </c>
      <c r="F11" s="108"/>
      <c r="G11" s="3">
        <v>0</v>
      </c>
      <c r="H11" s="3">
        <v>10</v>
      </c>
      <c r="I11" s="3">
        <v>20</v>
      </c>
      <c r="J11" s="3">
        <v>30</v>
      </c>
      <c r="K11" s="3">
        <v>40</v>
      </c>
      <c r="L11" s="3">
        <v>50</v>
      </c>
      <c r="M11" s="3">
        <v>60</v>
      </c>
      <c r="N11" s="3">
        <v>70</v>
      </c>
      <c r="O11" s="3">
        <v>80</v>
      </c>
      <c r="P11" s="3">
        <v>90</v>
      </c>
      <c r="Q11" s="3">
        <v>100</v>
      </c>
      <c r="V11" s="2">
        <v>9</v>
      </c>
      <c r="W11" s="2">
        <v>1703</v>
      </c>
      <c r="X11" s="32">
        <f>(W$14/W$15)*W11</f>
        <v>1.6682448979591835</v>
      </c>
      <c r="Y11" s="32">
        <f>X11*X11</f>
        <v>2.7830410395668466</v>
      </c>
      <c r="Z11" s="2">
        <v>14</v>
      </c>
      <c r="AA11" s="2">
        <v>2068</v>
      </c>
      <c r="AB11" s="32">
        <f>W$14/W$15*AA11</f>
        <v>2.0257959183673466</v>
      </c>
      <c r="AC11" s="32">
        <f>AB11*AB11</f>
        <v>4.1038491028738013</v>
      </c>
      <c r="AD11" s="33">
        <f>AC11-Y11</f>
        <v>1.3208080633069548</v>
      </c>
      <c r="AE11" s="34">
        <f>AD11-AE$12</f>
        <v>8.3694407330276999E-3</v>
      </c>
      <c r="AF11" s="35">
        <f>AE11*AE11</f>
        <v>7.0047538183663245E-5</v>
      </c>
      <c r="AH11" s="2">
        <v>4</v>
      </c>
      <c r="AI11" s="32">
        <f>AN11/10</f>
        <v>4.7699999999999999E-2</v>
      </c>
      <c r="AJ11" s="81">
        <f>AI11-AJ$13</f>
        <v>-6.1999999999999555E-4</v>
      </c>
      <c r="AK11" s="81">
        <f>AJ11*AJ11</f>
        <v>3.8439999999999447E-7</v>
      </c>
      <c r="AM11" s="10">
        <v>4</v>
      </c>
      <c r="AN11" s="9">
        <v>0.47699999999999998</v>
      </c>
      <c r="AO11" s="81">
        <f>AN11-AO$13</f>
        <v>-6.1999999999999833E-3</v>
      </c>
      <c r="AP11" s="81">
        <f>AO11*AO11</f>
        <v>3.8439999999999795E-5</v>
      </c>
      <c r="AR11" s="14" t="s">
        <v>91</v>
      </c>
      <c r="AS11" s="32">
        <f>AS7</f>
        <v>2.8867513459481291</v>
      </c>
      <c r="AU11" s="7">
        <v>1</v>
      </c>
      <c r="AV11" s="16">
        <v>77.8</v>
      </c>
      <c r="AW11" s="16">
        <v>38.875</v>
      </c>
      <c r="AX11" s="37">
        <f>LN(BC$4/BC$3)</f>
        <v>2.3025850929940459</v>
      </c>
      <c r="AY11" s="37">
        <f>LN(BC$4/AW11)</f>
        <v>0.25167163492874789</v>
      </c>
      <c r="AZ11" s="37">
        <f>BC$5*AY11/AX11</f>
        <v>1.0929960230112488</v>
      </c>
      <c r="BA11" s="37">
        <f>ABS(AU11-AZ11)</f>
        <v>9.2996023011248763E-2</v>
      </c>
      <c r="BB11" s="31">
        <f>BA11/AZ11</f>
        <v>8.5083587728929627E-2</v>
      </c>
      <c r="BL11" s="41">
        <f>23/60</f>
        <v>0.38333333333333336</v>
      </c>
      <c r="BN11" s="13"/>
      <c r="BO11" s="13"/>
      <c r="BR11" s="21"/>
      <c r="BS11" s="48"/>
      <c r="BT11" s="21"/>
      <c r="BU11" s="48"/>
      <c r="BV11" s="47"/>
      <c r="BW11" s="21"/>
      <c r="BX11" s="49"/>
      <c r="BY11" s="48"/>
      <c r="BZ11" s="48"/>
      <c r="CT11" s="96"/>
      <c r="CU11" s="96"/>
      <c r="CV11" s="25" t="s">
        <v>296</v>
      </c>
      <c r="CW11" s="25">
        <v>89</v>
      </c>
      <c r="CX11" s="25">
        <v>1</v>
      </c>
      <c r="CY11" s="25">
        <v>0</v>
      </c>
      <c r="CZ11" s="81">
        <f t="shared" si="11"/>
        <v>89.016666666666666</v>
      </c>
      <c r="DA11" s="25">
        <v>89</v>
      </c>
      <c r="DB11" s="25">
        <v>2</v>
      </c>
      <c r="DC11" s="25">
        <v>0</v>
      </c>
      <c r="DD11" s="81">
        <f t="shared" si="12"/>
        <v>89.033333333333331</v>
      </c>
      <c r="DE11" s="25">
        <v>212</v>
      </c>
      <c r="DF11" s="25">
        <v>20</v>
      </c>
      <c r="DG11" s="25">
        <v>0</v>
      </c>
      <c r="DH11" s="81">
        <f t="shared" si="13"/>
        <v>212.33333333333334</v>
      </c>
      <c r="DI11" s="25">
        <v>212</v>
      </c>
      <c r="DJ11" s="25">
        <v>21</v>
      </c>
      <c r="DK11" s="25">
        <v>0</v>
      </c>
      <c r="DL11" s="81">
        <f t="shared" si="14"/>
        <v>212.35</v>
      </c>
      <c r="DM11" s="25">
        <v>328</v>
      </c>
      <c r="DN11" s="25">
        <v>47</v>
      </c>
      <c r="DO11" s="25">
        <v>0</v>
      </c>
      <c r="DP11" s="81">
        <f t="shared" si="15"/>
        <v>328.78333333333336</v>
      </c>
      <c r="DQ11" s="25">
        <v>328</v>
      </c>
      <c r="DR11" s="25">
        <v>50</v>
      </c>
      <c r="DS11" s="25">
        <v>0</v>
      </c>
      <c r="DT11" s="81">
        <f t="shared" si="16"/>
        <v>328.83333333333331</v>
      </c>
      <c r="DV11" s="25">
        <v>1</v>
      </c>
      <c r="DW11" s="80">
        <f t="shared" ref="DW11:DW16" si="21">EC3</f>
        <v>9.0570000000001621E-5</v>
      </c>
      <c r="DX11" s="132">
        <f>AVERAGE(DW11:DW16)</f>
        <v>9.036500000000082E-5</v>
      </c>
      <c r="DY11" s="80">
        <f t="shared" ref="DY11:DY16" si="22">DW11-$DX$11</f>
        <v>2.0500000000080187E-7</v>
      </c>
      <c r="DZ11" s="80">
        <f t="shared" ref="DZ11:DZ16" si="23">DY11^2</f>
        <v>4.2025000000328768E-14</v>
      </c>
      <c r="EA11" s="132">
        <f>SQRT(SUM(DZ11:DZ16)/30)</f>
        <v>7.5619662346180939E-8</v>
      </c>
      <c r="EB11" s="133">
        <f>EA11/DX11</f>
        <v>8.3682468152692139E-4</v>
      </c>
      <c r="EE11" s="72">
        <v>8</v>
      </c>
      <c r="EF11" s="7">
        <v>-0.82</v>
      </c>
      <c r="EG11" s="85">
        <v>5.0000000000000001E-4</v>
      </c>
      <c r="EH11" s="7">
        <v>-0.56999999999999995</v>
      </c>
      <c r="EI11" s="85">
        <v>5.0000000000000001E-4</v>
      </c>
      <c r="EJ11" s="7">
        <v>-0.48</v>
      </c>
      <c r="EK11" s="85">
        <v>5.0000000000000001E-4</v>
      </c>
      <c r="EL11" s="7">
        <v>-0.12</v>
      </c>
      <c r="EM11" s="85">
        <v>5.0000000000000001E-4</v>
      </c>
      <c r="EO11" s="96"/>
      <c r="EP11" s="72">
        <v>4</v>
      </c>
      <c r="EQ11" s="72">
        <v>17</v>
      </c>
      <c r="ER11" s="7">
        <v>20.5</v>
      </c>
      <c r="ES11" s="122"/>
      <c r="EU11" s="72" t="s">
        <v>366</v>
      </c>
      <c r="EV11" s="95">
        <f>EV10^2</f>
        <v>1.0953893444428936E-7</v>
      </c>
      <c r="EW11" s="95">
        <f t="shared" ref="EW11:EX11" si="24">EW10^2</f>
        <v>8.4816854444461584E-8</v>
      </c>
      <c r="EX11" s="95">
        <f t="shared" si="24"/>
        <v>1.5787377777921107E-9</v>
      </c>
      <c r="EZ11" s="96" t="s">
        <v>371</v>
      </c>
      <c r="FA11" s="96" t="s">
        <v>377</v>
      </c>
      <c r="FB11" s="96"/>
      <c r="FC11" s="96"/>
      <c r="FD11" s="96" t="s">
        <v>381</v>
      </c>
      <c r="FE11" s="96" t="s">
        <v>382</v>
      </c>
      <c r="FG11" s="73" t="s">
        <v>399</v>
      </c>
      <c r="FH11" s="73" t="s">
        <v>400</v>
      </c>
    </row>
    <row r="12" spans="1:180" x14ac:dyDescent="0.25">
      <c r="D12" s="108"/>
      <c r="E12" s="108" t="s">
        <v>23</v>
      </c>
      <c r="F12" s="108"/>
      <c r="G12" s="3">
        <v>0</v>
      </c>
      <c r="H12" s="3">
        <v>0.25</v>
      </c>
      <c r="I12" s="3">
        <v>0.5</v>
      </c>
      <c r="J12" s="3">
        <v>0.75</v>
      </c>
      <c r="K12" s="3">
        <v>1</v>
      </c>
      <c r="L12" s="3">
        <v>1.25</v>
      </c>
      <c r="M12" s="3">
        <v>1.5</v>
      </c>
      <c r="N12" s="3">
        <v>1.75</v>
      </c>
      <c r="O12" s="3">
        <v>2</v>
      </c>
      <c r="P12" s="3">
        <v>2.25</v>
      </c>
      <c r="Q12" s="3">
        <v>2.5</v>
      </c>
      <c r="V12" s="105"/>
      <c r="W12" s="106"/>
      <c r="X12" s="106"/>
      <c r="Y12" s="106"/>
      <c r="Z12" s="106"/>
      <c r="AA12" s="106"/>
      <c r="AB12" s="106"/>
      <c r="AC12" s="101"/>
      <c r="AD12"/>
      <c r="AE12" s="32">
        <f>AVERAGE(AD7:AD11)</f>
        <v>1.3124386225739271</v>
      </c>
      <c r="AF12" s="36">
        <f>SUM(AF7:AF11)</f>
        <v>2.1430253152265202E-4</v>
      </c>
      <c r="AH12" s="2">
        <v>5</v>
      </c>
      <c r="AI12" s="32">
        <f>AN12/10</f>
        <v>4.8399999999999999E-2</v>
      </c>
      <c r="AJ12" s="81">
        <f>AI12-AJ$13</f>
        <v>8.0000000000003679E-5</v>
      </c>
      <c r="AK12" s="81">
        <f>AJ12*AJ12</f>
        <v>6.4000000000005884E-9</v>
      </c>
      <c r="AM12" s="10">
        <v>5</v>
      </c>
      <c r="AN12" s="9">
        <v>0.48399999999999999</v>
      </c>
      <c r="AO12" s="81">
        <f>AN12-AO$13</f>
        <v>8.0000000000002292E-4</v>
      </c>
      <c r="AP12" s="81">
        <f>AO12*AO12</f>
        <v>6.4000000000003665E-7</v>
      </c>
      <c r="AR12" s="14" t="s">
        <v>92</v>
      </c>
      <c r="AS12" s="32">
        <f>AS11*AS10</f>
        <v>28.867513459481291</v>
      </c>
      <c r="AU12" s="7">
        <v>3</v>
      </c>
      <c r="AV12" s="16">
        <v>44.3</v>
      </c>
      <c r="AW12" s="16">
        <v>22.125</v>
      </c>
      <c r="AX12" s="37">
        <f>LN(BC$4/BC$3)</f>
        <v>2.3025850929940459</v>
      </c>
      <c r="AY12" s="37">
        <f>LN(BC$4/AW12)</f>
        <v>0.81531481453415289</v>
      </c>
      <c r="AZ12" s="37">
        <f>BC$5*AY12/AX12</f>
        <v>3.5408672496615576</v>
      </c>
      <c r="BA12" s="37">
        <f>ABS(AU12-AZ12)</f>
        <v>0.54086724966155764</v>
      </c>
      <c r="BB12" s="31">
        <f>BA12/AZ12</f>
        <v>0.1527499370989564</v>
      </c>
      <c r="BL12" s="41">
        <f>17/60</f>
        <v>0.28333333333333333</v>
      </c>
      <c r="BN12" s="13" t="s">
        <v>139</v>
      </c>
      <c r="BO12" s="28">
        <f>SQRT(BO10/BM7)</f>
        <v>0.77133107482755259</v>
      </c>
      <c r="BR12" s="104" t="s">
        <v>171</v>
      </c>
      <c r="BS12" s="104"/>
      <c r="BT12" s="19">
        <v>2.5</v>
      </c>
      <c r="BU12" s="50"/>
      <c r="BV12" s="45"/>
      <c r="BW12" s="112" t="s">
        <v>174</v>
      </c>
      <c r="BX12" s="104"/>
      <c r="BY12" s="54">
        <f>BT12/BU10</f>
        <v>9.6153846153846159E-4</v>
      </c>
      <c r="BZ12" s="19"/>
      <c r="CD12" s="113" t="s">
        <v>250</v>
      </c>
      <c r="CE12" s="96" t="s">
        <v>241</v>
      </c>
      <c r="CF12" s="96"/>
      <c r="CG12" s="15">
        <v>0</v>
      </c>
      <c r="CH12" s="15">
        <v>10</v>
      </c>
      <c r="CI12" s="15">
        <v>20</v>
      </c>
      <c r="CJ12" s="15">
        <v>30</v>
      </c>
      <c r="CK12" s="15">
        <v>40</v>
      </c>
      <c r="CL12" s="15">
        <v>50</v>
      </c>
      <c r="CM12" s="15">
        <v>60</v>
      </c>
      <c r="CN12" s="15">
        <v>70</v>
      </c>
      <c r="CO12" s="15">
        <v>80</v>
      </c>
      <c r="CP12" s="15">
        <v>90</v>
      </c>
      <c r="CQ12" s="15">
        <v>100</v>
      </c>
      <c r="CR12" s="113" t="s">
        <v>258</v>
      </c>
      <c r="CT12" s="96"/>
      <c r="CU12" s="96"/>
      <c r="CV12" s="25" t="s">
        <v>277</v>
      </c>
      <c r="CW12" s="25">
        <v>91</v>
      </c>
      <c r="CX12" s="25">
        <v>39</v>
      </c>
      <c r="CY12" s="25">
        <v>0</v>
      </c>
      <c r="CZ12" s="81">
        <f t="shared" si="11"/>
        <v>91.65</v>
      </c>
      <c r="DA12" s="25">
        <v>91</v>
      </c>
      <c r="DB12" s="25">
        <v>40</v>
      </c>
      <c r="DC12" s="25">
        <v>0</v>
      </c>
      <c r="DD12" s="81">
        <f t="shared" si="12"/>
        <v>91.666666666666671</v>
      </c>
      <c r="DE12" s="25">
        <v>213</v>
      </c>
      <c r="DF12" s="25">
        <v>27</v>
      </c>
      <c r="DG12" s="25">
        <v>0</v>
      </c>
      <c r="DH12" s="81">
        <f t="shared" si="13"/>
        <v>213.45</v>
      </c>
      <c r="DI12" s="25">
        <v>213</v>
      </c>
      <c r="DJ12" s="25">
        <v>27</v>
      </c>
      <c r="DK12" s="25">
        <v>0</v>
      </c>
      <c r="DL12" s="81">
        <f t="shared" si="14"/>
        <v>213.45</v>
      </c>
      <c r="DM12" s="25">
        <v>329</v>
      </c>
      <c r="DN12" s="25">
        <v>30</v>
      </c>
      <c r="DO12" s="25">
        <v>0</v>
      </c>
      <c r="DP12" s="81">
        <f t="shared" si="15"/>
        <v>329.5</v>
      </c>
      <c r="DQ12" s="25">
        <v>329</v>
      </c>
      <c r="DR12" s="25">
        <v>29</v>
      </c>
      <c r="DS12" s="25">
        <v>0</v>
      </c>
      <c r="DT12" s="81">
        <f t="shared" si="16"/>
        <v>329.48333333333335</v>
      </c>
      <c r="DV12" s="25">
        <v>2</v>
      </c>
      <c r="DW12" s="80">
        <f t="shared" si="21"/>
        <v>9.0559999999999946E-5</v>
      </c>
      <c r="DX12" s="132"/>
      <c r="DY12" s="80">
        <f t="shared" si="22"/>
        <v>1.9499999999912654E-7</v>
      </c>
      <c r="DZ12" s="80">
        <f t="shared" si="23"/>
        <v>3.8024999999659352E-14</v>
      </c>
      <c r="EA12" s="132"/>
      <c r="EB12" s="133"/>
      <c r="EE12" s="72">
        <v>9</v>
      </c>
      <c r="EF12" s="7">
        <v>0.39</v>
      </c>
      <c r="EG12" s="8">
        <v>2E-3</v>
      </c>
      <c r="EH12" s="7">
        <v>0.37</v>
      </c>
      <c r="EI12" s="8">
        <v>2E-3</v>
      </c>
      <c r="EJ12" s="7">
        <v>0.68</v>
      </c>
      <c r="EK12" s="8">
        <v>2E-3</v>
      </c>
      <c r="EL12" s="7">
        <v>1</v>
      </c>
      <c r="EM12" s="8">
        <v>2E-3</v>
      </c>
      <c r="EO12" s="96"/>
      <c r="EP12" s="72">
        <v>5</v>
      </c>
      <c r="EQ12" s="72">
        <v>17</v>
      </c>
      <c r="ER12" s="7">
        <v>20.440000000000001</v>
      </c>
      <c r="ES12" s="104"/>
      <c r="EU12" s="72" t="s">
        <v>367</v>
      </c>
      <c r="EV12" s="134">
        <f>SUM(EV11:EX11)</f>
        <v>1.9593452666654305E-7</v>
      </c>
      <c r="EW12" s="134"/>
      <c r="EX12" s="134"/>
      <c r="EZ12" s="96"/>
      <c r="FA12" s="72" t="s">
        <v>378</v>
      </c>
      <c r="FB12" s="72" t="s">
        <v>379</v>
      </c>
      <c r="FC12" s="72" t="s">
        <v>380</v>
      </c>
      <c r="FD12" s="96"/>
      <c r="FE12" s="96"/>
      <c r="FG12" s="72" t="s">
        <v>358</v>
      </c>
      <c r="FH12" s="72" t="s">
        <v>402</v>
      </c>
      <c r="FI12" s="72" t="s">
        <v>403</v>
      </c>
      <c r="FJ12" s="72" t="s">
        <v>404</v>
      </c>
      <c r="FK12" s="72" t="s">
        <v>405</v>
      </c>
      <c r="FL12" s="72" t="s">
        <v>406</v>
      </c>
      <c r="FM12" s="72" t="s">
        <v>407</v>
      </c>
      <c r="FN12" s="72" t="s">
        <v>408</v>
      </c>
      <c r="FO12" s="72" t="s">
        <v>409</v>
      </c>
      <c r="FP12" s="72" t="s">
        <v>410</v>
      </c>
      <c r="FQ12" s="72" t="s">
        <v>411</v>
      </c>
      <c r="FR12" s="72" t="s">
        <v>412</v>
      </c>
      <c r="FS12" s="72" t="s">
        <v>413</v>
      </c>
      <c r="FT12" s="72" t="s">
        <v>397</v>
      </c>
      <c r="FU12" s="72" t="s">
        <v>414</v>
      </c>
    </row>
    <row r="13" spans="1:180" ht="14.4" customHeight="1" x14ac:dyDescent="0.25">
      <c r="D13" s="109" t="s">
        <v>22</v>
      </c>
      <c r="E13" s="109" t="s">
        <v>13</v>
      </c>
      <c r="F13" s="3" t="s">
        <v>15</v>
      </c>
      <c r="G13" s="3">
        <v>0.9</v>
      </c>
      <c r="H13" s="3">
        <v>10.8</v>
      </c>
      <c r="I13" s="3">
        <v>20.9</v>
      </c>
      <c r="J13" s="3">
        <v>31</v>
      </c>
      <c r="K13" s="3">
        <v>41.4</v>
      </c>
      <c r="L13" s="3">
        <v>51.5</v>
      </c>
      <c r="M13" s="3">
        <v>61</v>
      </c>
      <c r="N13" s="3">
        <v>71.099999999999994</v>
      </c>
      <c r="O13" s="3">
        <v>81.099999999999994</v>
      </c>
      <c r="P13" s="3">
        <v>91.2</v>
      </c>
      <c r="Q13" s="3">
        <v>100</v>
      </c>
      <c r="AH13" s="2"/>
      <c r="AI13" s="2" t="s">
        <v>57</v>
      </c>
      <c r="AJ13" s="32">
        <f>AVERAGE(AI8:AI12)</f>
        <v>4.8319999999999995E-2</v>
      </c>
      <c r="AK13" s="81">
        <f>SUM(AK8:AK12)</f>
        <v>8.6799999999999639E-7</v>
      </c>
      <c r="AM13" s="10"/>
      <c r="AN13" s="10" t="s">
        <v>57</v>
      </c>
      <c r="AO13" s="27">
        <f>AVERAGE(AN8:AN12)</f>
        <v>0.48319999999999996</v>
      </c>
      <c r="AP13" s="81">
        <f>SUM(AP8:AP12)</f>
        <v>8.6800000000000145E-5</v>
      </c>
      <c r="AR13" s="14" t="s">
        <v>93</v>
      </c>
      <c r="AS13" s="14">
        <v>10</v>
      </c>
      <c r="AU13" s="7">
        <v>5</v>
      </c>
      <c r="AV13" s="16">
        <v>25.5</v>
      </c>
      <c r="AW13" s="16">
        <v>12.75</v>
      </c>
      <c r="AX13" s="37">
        <f>LN(BC$4/BC$3)</f>
        <v>2.3025850929940459</v>
      </c>
      <c r="AY13" s="37">
        <f>LN(BC$4/AW13)</f>
        <v>1.3664917338237108</v>
      </c>
      <c r="AZ13" s="37">
        <f>BC$5*AY13/AX13</f>
        <v>5.9345981956604472</v>
      </c>
      <c r="BA13" s="37">
        <f>ABS(AU13-AZ13)</f>
        <v>0.93459819566044722</v>
      </c>
      <c r="BB13" s="31">
        <f>BA13/AZ13</f>
        <v>0.15748297775978379</v>
      </c>
      <c r="BL13" s="41">
        <f>27*60</f>
        <v>1620</v>
      </c>
      <c r="BN13" s="13" t="s">
        <v>140</v>
      </c>
      <c r="BO13" s="32">
        <f>RADIANS(BM7)</f>
        <v>1.9916752037081129E-2</v>
      </c>
      <c r="BR13" s="96" t="s">
        <v>172</v>
      </c>
      <c r="BS13" s="96"/>
      <c r="BT13" s="18">
        <v>2.5</v>
      </c>
      <c r="BU13" s="20"/>
      <c r="BV13" s="45"/>
      <c r="BW13" s="101" t="s">
        <v>173</v>
      </c>
      <c r="BX13" s="96"/>
      <c r="BY13" s="8">
        <v>1E-3</v>
      </c>
      <c r="BZ13" s="18" t="s">
        <v>149</v>
      </c>
      <c r="CD13" s="96"/>
      <c r="CE13" s="96" t="s">
        <v>242</v>
      </c>
      <c r="CF13" s="96"/>
      <c r="CG13" s="81">
        <f>$CI9*CG12</f>
        <v>0</v>
      </c>
      <c r="CH13" s="81">
        <f t="shared" ref="CH13:CQ13" si="25">$CI9*CH12</f>
        <v>0.25</v>
      </c>
      <c r="CI13" s="81">
        <f t="shared" si="25"/>
        <v>0.5</v>
      </c>
      <c r="CJ13" s="81">
        <f t="shared" si="25"/>
        <v>0.75</v>
      </c>
      <c r="CK13" s="81">
        <f t="shared" si="25"/>
        <v>1</v>
      </c>
      <c r="CL13" s="81">
        <f t="shared" si="25"/>
        <v>1.25</v>
      </c>
      <c r="CM13" s="81">
        <f t="shared" si="25"/>
        <v>1.5</v>
      </c>
      <c r="CN13" s="81">
        <f t="shared" si="25"/>
        <v>1.75</v>
      </c>
      <c r="CO13" s="81">
        <f t="shared" si="25"/>
        <v>2</v>
      </c>
      <c r="CP13" s="81">
        <f t="shared" si="25"/>
        <v>2.25</v>
      </c>
      <c r="CQ13" s="81">
        <f t="shared" si="25"/>
        <v>2.5</v>
      </c>
      <c r="CR13" s="96"/>
      <c r="CT13" s="96"/>
      <c r="CU13" s="96"/>
      <c r="CV13" s="25" t="s">
        <v>295</v>
      </c>
      <c r="CW13" s="25">
        <v>91</v>
      </c>
      <c r="CX13" s="25">
        <v>45</v>
      </c>
      <c r="CY13" s="25">
        <v>0</v>
      </c>
      <c r="CZ13" s="81">
        <f t="shared" si="11"/>
        <v>91.75</v>
      </c>
      <c r="DA13" s="25">
        <v>91</v>
      </c>
      <c r="DB13" s="25">
        <v>46</v>
      </c>
      <c r="DC13" s="25">
        <v>0</v>
      </c>
      <c r="DD13" s="81">
        <f t="shared" si="12"/>
        <v>91.766666666666666</v>
      </c>
      <c r="DE13" s="25">
        <v>213</v>
      </c>
      <c r="DF13" s="25">
        <v>33</v>
      </c>
      <c r="DG13" s="25">
        <v>0</v>
      </c>
      <c r="DH13" s="81">
        <f t="shared" si="13"/>
        <v>213.55</v>
      </c>
      <c r="DI13" s="25">
        <v>213</v>
      </c>
      <c r="DJ13" s="25">
        <v>34</v>
      </c>
      <c r="DK13" s="25">
        <v>0</v>
      </c>
      <c r="DL13" s="81">
        <f t="shared" si="14"/>
        <v>213.56666666666666</v>
      </c>
      <c r="DM13" s="25">
        <v>329</v>
      </c>
      <c r="DN13" s="25">
        <v>34</v>
      </c>
      <c r="DO13" s="25">
        <v>0</v>
      </c>
      <c r="DP13" s="81">
        <f t="shared" si="15"/>
        <v>329.56666666666666</v>
      </c>
      <c r="DQ13" s="25">
        <v>329</v>
      </c>
      <c r="DR13" s="25">
        <v>33</v>
      </c>
      <c r="DS13" s="25">
        <v>0</v>
      </c>
      <c r="DT13" s="81">
        <f t="shared" si="16"/>
        <v>329.55</v>
      </c>
      <c r="DV13" s="25">
        <v>3</v>
      </c>
      <c r="DW13" s="80">
        <f t="shared" si="21"/>
        <v>9.0420000000000778E-5</v>
      </c>
      <c r="DX13" s="132"/>
      <c r="DY13" s="80">
        <f t="shared" si="22"/>
        <v>5.4999999999957969E-8</v>
      </c>
      <c r="DZ13" s="80">
        <f t="shared" si="23"/>
        <v>3.0249999999953765E-15</v>
      </c>
      <c r="EA13" s="132"/>
      <c r="EB13" s="133"/>
      <c r="EE13" s="72">
        <v>10</v>
      </c>
      <c r="EF13" s="7">
        <v>1.1000000000000001</v>
      </c>
      <c r="EG13" s="8">
        <v>3.0000000000000001E-3</v>
      </c>
      <c r="EH13" s="7">
        <v>0.45</v>
      </c>
      <c r="EI13" s="8">
        <v>3.0000000000000001E-3</v>
      </c>
      <c r="EJ13" s="7">
        <v>1.22</v>
      </c>
      <c r="EK13" s="8">
        <v>3.0000000000000001E-3</v>
      </c>
      <c r="EL13" s="7">
        <v>1.74</v>
      </c>
      <c r="EM13" s="8">
        <v>3.0000000000000001E-3</v>
      </c>
      <c r="EO13" s="96">
        <v>3</v>
      </c>
      <c r="EP13" s="72">
        <v>1</v>
      </c>
      <c r="EQ13" s="72">
        <v>24</v>
      </c>
      <c r="ER13" s="7">
        <v>58.66</v>
      </c>
      <c r="ES13" s="107">
        <v>7.15</v>
      </c>
      <c r="EU13" s="72" t="s">
        <v>368</v>
      </c>
      <c r="EV13" s="134">
        <f>SQRT(EV12/6)</f>
        <v>1.8070903254797154E-4</v>
      </c>
      <c r="EW13" s="134"/>
      <c r="EX13" s="134"/>
      <c r="EZ13" s="72" t="s">
        <v>376</v>
      </c>
      <c r="FA13" s="72">
        <v>20.5</v>
      </c>
      <c r="FB13" s="81">
        <f>FA13+273.15</f>
        <v>293.64999999999998</v>
      </c>
      <c r="FC13" s="34">
        <f>1/FB13</f>
        <v>3.4054146092286739E-3</v>
      </c>
      <c r="FD13" s="81">
        <f>FC4*FB4</f>
        <v>11850</v>
      </c>
      <c r="FE13" s="34">
        <f>LN(FD13)</f>
        <v>9.3800831465632779</v>
      </c>
      <c r="FG13" s="72">
        <v>1</v>
      </c>
      <c r="FH13" s="7">
        <v>45.6</v>
      </c>
      <c r="FI13" s="7">
        <v>56.08</v>
      </c>
      <c r="FJ13" s="7">
        <v>44</v>
      </c>
      <c r="FK13" s="7">
        <v>56.35</v>
      </c>
      <c r="FL13" s="7">
        <v>12.15</v>
      </c>
      <c r="FM13" s="7">
        <v>88.75</v>
      </c>
      <c r="FN13" s="42">
        <f>FI13-FH13</f>
        <v>10.479999999999997</v>
      </c>
      <c r="FO13" s="42">
        <f>FK13-FJ13</f>
        <v>12.350000000000001</v>
      </c>
      <c r="FP13" s="42">
        <f>(FR13^2-FN13^2)/(4*FR13)</f>
        <v>18.791545691906006</v>
      </c>
      <c r="FQ13" s="42">
        <f>(FR13^2-FO13^2)/(4*FR13)</f>
        <v>18.652211161879894</v>
      </c>
      <c r="FR13" s="42">
        <f>FM13-FL13</f>
        <v>76.599999999999994</v>
      </c>
      <c r="FS13" s="42">
        <f>AVERAGE(FP13:FQ13)</f>
        <v>18.72187842689295</v>
      </c>
      <c r="FT13" s="42">
        <f>FS13-$FS$18</f>
        <v>-3.6154765769357056E-2</v>
      </c>
      <c r="FU13" s="90">
        <f>FT13^2</f>
        <v>1.3071670878370726E-3</v>
      </c>
    </row>
    <row r="14" spans="1:180" x14ac:dyDescent="0.25">
      <c r="D14" s="108"/>
      <c r="E14" s="108"/>
      <c r="F14" s="3" t="s">
        <v>16</v>
      </c>
      <c r="G14" s="3">
        <v>0</v>
      </c>
      <c r="H14" s="3">
        <v>9.1</v>
      </c>
      <c r="I14" s="3">
        <v>19.2</v>
      </c>
      <c r="J14" s="3">
        <v>28.8</v>
      </c>
      <c r="K14" s="3">
        <v>39.1</v>
      </c>
      <c r="L14" s="3">
        <v>48.9</v>
      </c>
      <c r="M14" s="3">
        <v>58.8</v>
      </c>
      <c r="N14" s="3">
        <v>69</v>
      </c>
      <c r="O14" s="3">
        <v>78.900000000000006</v>
      </c>
      <c r="P14" s="3">
        <v>88.5</v>
      </c>
      <c r="Q14" s="3">
        <v>98.7</v>
      </c>
      <c r="S14" s="107" t="s">
        <v>20</v>
      </c>
      <c r="T14" s="30">
        <f>MAX(G17:Q17)</f>
        <v>5.7499999999999996E-2</v>
      </c>
      <c r="V14" s="2" t="s">
        <v>37</v>
      </c>
      <c r="W14" s="7">
        <v>1.2</v>
      </c>
      <c r="Y14" s="2" t="s">
        <v>40</v>
      </c>
      <c r="Z14" s="36">
        <f>SQRT(AF12/(20))</f>
        <v>3.273396794788649E-3</v>
      </c>
      <c r="AR14" s="14" t="s">
        <v>94</v>
      </c>
      <c r="AS14" s="14">
        <v>2.8</v>
      </c>
      <c r="AU14" s="7">
        <v>7</v>
      </c>
      <c r="AV14" s="16">
        <v>14.8</v>
      </c>
      <c r="AW14" s="16">
        <v>7.375</v>
      </c>
      <c r="AX14" s="37">
        <f>LN(BC$4/BC$3)</f>
        <v>2.3025850929940459</v>
      </c>
      <c r="AY14" s="37">
        <f>LN(BC$4/AW14)</f>
        <v>1.9139271032022624</v>
      </c>
      <c r="AZ14" s="37">
        <f>BC$5*AY14/AX14</f>
        <v>8.3120797968581801</v>
      </c>
      <c r="BA14" s="37">
        <f>ABS(AU14-AZ14)</f>
        <v>1.3120797968581801</v>
      </c>
      <c r="BB14" s="31">
        <f>BA14/AZ14</f>
        <v>0.15785216563418017</v>
      </c>
      <c r="BL14" s="41">
        <f>18*60</f>
        <v>1080</v>
      </c>
      <c r="BN14" s="13" t="s">
        <v>141</v>
      </c>
      <c r="BO14" s="32">
        <f>RADIANS(BO10)</f>
        <v>1.1849504028909979E-2</v>
      </c>
      <c r="BR14" s="96" t="s">
        <v>43</v>
      </c>
      <c r="BS14" s="96"/>
      <c r="BT14" s="24">
        <v>8.0000000000000002E-3</v>
      </c>
      <c r="BU14" s="51"/>
      <c r="BV14" s="45"/>
      <c r="BW14" s="101" t="s">
        <v>43</v>
      </c>
      <c r="BX14" s="96"/>
      <c r="BY14" s="24">
        <v>8.0000000000000002E-3</v>
      </c>
      <c r="BZ14" s="18"/>
      <c r="CD14" s="113" t="s">
        <v>254</v>
      </c>
      <c r="CE14" s="113" t="s">
        <v>251</v>
      </c>
      <c r="CF14" s="55"/>
      <c r="CG14" s="18">
        <v>0</v>
      </c>
      <c r="CH14" s="18">
        <v>10</v>
      </c>
      <c r="CI14" s="18">
        <v>18</v>
      </c>
      <c r="CJ14" s="18">
        <v>28</v>
      </c>
      <c r="CK14" s="18">
        <v>35</v>
      </c>
      <c r="CL14" s="18">
        <v>45</v>
      </c>
      <c r="CM14" s="18">
        <v>53</v>
      </c>
      <c r="CN14" s="18">
        <v>62</v>
      </c>
      <c r="CO14" s="18">
        <v>70</v>
      </c>
      <c r="CP14" s="18">
        <v>80</v>
      </c>
      <c r="CQ14" s="18">
        <v>88</v>
      </c>
      <c r="CR14" s="96"/>
      <c r="CT14" s="25"/>
      <c r="CU14" s="25"/>
      <c r="CV14" s="25"/>
      <c r="CW14" s="25">
        <v>70</v>
      </c>
      <c r="CX14" s="25">
        <v>20</v>
      </c>
      <c r="CY14" s="25"/>
      <c r="CZ14" s="81">
        <f t="shared" si="11"/>
        <v>70.333333333333329</v>
      </c>
      <c r="DA14" s="25">
        <v>70</v>
      </c>
      <c r="DB14" s="25">
        <v>19</v>
      </c>
      <c r="DC14" s="25"/>
      <c r="DD14" s="81">
        <f t="shared" si="12"/>
        <v>70.316666666666663</v>
      </c>
      <c r="DE14" s="25">
        <v>193</v>
      </c>
      <c r="DF14" s="25">
        <v>15</v>
      </c>
      <c r="DG14" s="25"/>
      <c r="DH14" s="81">
        <f t="shared" si="13"/>
        <v>193.25</v>
      </c>
      <c r="DI14" s="25">
        <v>193</v>
      </c>
      <c r="DJ14" s="25">
        <v>16</v>
      </c>
      <c r="DK14" s="25"/>
      <c r="DL14" s="81">
        <f t="shared" si="14"/>
        <v>193.26666666666668</v>
      </c>
      <c r="DM14" s="25">
        <v>308</v>
      </c>
      <c r="DN14" s="25">
        <v>4</v>
      </c>
      <c r="DO14" s="25"/>
      <c r="DP14" s="81">
        <f t="shared" si="15"/>
        <v>308.06666666666666</v>
      </c>
      <c r="DQ14" s="25">
        <v>308</v>
      </c>
      <c r="DR14" s="25">
        <v>2</v>
      </c>
      <c r="DS14" s="25"/>
      <c r="DT14" s="81">
        <f t="shared" si="16"/>
        <v>308.03333333333336</v>
      </c>
      <c r="DV14" s="25">
        <v>4</v>
      </c>
      <c r="DW14" s="80">
        <f t="shared" si="21"/>
        <v>9.0280000000001609E-5</v>
      </c>
      <c r="DX14" s="132"/>
      <c r="DY14" s="80">
        <f t="shared" si="22"/>
        <v>-8.4999999999210599E-8</v>
      </c>
      <c r="DZ14" s="80">
        <f t="shared" si="23"/>
        <v>7.224999999865801E-15</v>
      </c>
      <c r="EA14" s="132"/>
      <c r="EB14" s="133"/>
      <c r="EF14" s="66"/>
      <c r="EG14" s="71"/>
      <c r="EH14" s="66"/>
      <c r="EI14" s="67"/>
      <c r="EJ14" s="66"/>
      <c r="EL14" s="66"/>
      <c r="EO14" s="96"/>
      <c r="EP14" s="72">
        <v>2</v>
      </c>
      <c r="EQ14" s="72">
        <v>24</v>
      </c>
      <c r="ER14" s="7">
        <v>61.2</v>
      </c>
      <c r="ES14" s="122"/>
      <c r="EU14" s="72" t="s">
        <v>369</v>
      </c>
      <c r="EV14" s="133">
        <f>EV13/EV9</f>
        <v>1.1281872509182677E-4</v>
      </c>
      <c r="EW14" s="133"/>
      <c r="EX14" s="133"/>
      <c r="EZ14" s="72">
        <v>50</v>
      </c>
      <c r="FA14" s="72">
        <v>50</v>
      </c>
      <c r="FB14" s="81">
        <f t="shared" ref="FB14:FB18" si="26">FA14+273.15</f>
        <v>323.14999999999998</v>
      </c>
      <c r="FC14" s="34">
        <f t="shared" ref="FC14:FC18" si="27">1/FB14</f>
        <v>3.0945381401825778E-3</v>
      </c>
      <c r="FD14" s="81">
        <f t="shared" ref="FD14:FD18" si="28">FC5*FB5</f>
        <v>3340</v>
      </c>
      <c r="FE14" s="34">
        <f t="shared" ref="FE14:FE18" si="29">LN(FD14)</f>
        <v>8.1137260859707467</v>
      </c>
      <c r="FG14" s="72">
        <v>2</v>
      </c>
      <c r="FH14" s="7">
        <v>42.18</v>
      </c>
      <c r="FI14" s="7">
        <v>61.15</v>
      </c>
      <c r="FJ14" s="7">
        <v>42.75</v>
      </c>
      <c r="FK14" s="7">
        <v>61.84</v>
      </c>
      <c r="FL14" s="7">
        <v>12.15</v>
      </c>
      <c r="FM14" s="7">
        <v>91.8</v>
      </c>
      <c r="FN14" s="42">
        <f t="shared" ref="FN14:FN17" si="30">FI14-FH14</f>
        <v>18.97</v>
      </c>
      <c r="FO14" s="42">
        <f t="shared" ref="FO14:FO17" si="31">FK14-FJ14</f>
        <v>19.090000000000003</v>
      </c>
      <c r="FP14" s="42">
        <f t="shared" ref="FP14:FP17" si="32">(FR14^2-FN14^2)/(4*FR14)</f>
        <v>18.782993094789703</v>
      </c>
      <c r="FQ14" s="42">
        <f t="shared" ref="FQ14:FQ17" si="33">(FR14^2-FO14^2)/(4*FR14)</f>
        <v>18.768657878217198</v>
      </c>
      <c r="FR14" s="42">
        <f t="shared" ref="FR14:FR17" si="34">FM14-FL14</f>
        <v>79.649999999999991</v>
      </c>
      <c r="FS14" s="42">
        <f t="shared" ref="FS14:FS17" si="35">AVERAGE(FP14:FQ14)</f>
        <v>18.77582548650345</v>
      </c>
      <c r="FT14" s="42">
        <f t="shared" ref="FT14:FT17" si="36">FS14-$FS$18</f>
        <v>1.7792293841143447E-2</v>
      </c>
      <c r="FU14" s="90">
        <f t="shared" ref="FU14:FU17" si="37">FT14^2</f>
        <v>3.1656572012959104E-4</v>
      </c>
    </row>
    <row r="15" spans="1:180" x14ac:dyDescent="0.25">
      <c r="D15" s="108"/>
      <c r="E15" s="109" t="s">
        <v>14</v>
      </c>
      <c r="F15" s="3" t="s">
        <v>17</v>
      </c>
      <c r="G15" s="29">
        <f>AVERAGE(G13:G14)</f>
        <v>0.45</v>
      </c>
      <c r="H15" s="29">
        <f t="shared" ref="H15:Q15" si="38">AVERAGE(H13:H14)</f>
        <v>9.9499999999999993</v>
      </c>
      <c r="I15" s="29">
        <f t="shared" si="38"/>
        <v>20.049999999999997</v>
      </c>
      <c r="J15" s="29">
        <f t="shared" si="38"/>
        <v>29.9</v>
      </c>
      <c r="K15" s="29">
        <f t="shared" si="38"/>
        <v>40.25</v>
      </c>
      <c r="L15" s="29">
        <f t="shared" si="38"/>
        <v>50.2</v>
      </c>
      <c r="M15" s="29">
        <f t="shared" si="38"/>
        <v>59.9</v>
      </c>
      <c r="N15" s="29">
        <f t="shared" si="38"/>
        <v>70.05</v>
      </c>
      <c r="O15" s="29">
        <f t="shared" si="38"/>
        <v>80</v>
      </c>
      <c r="P15" s="29">
        <f t="shared" si="38"/>
        <v>89.85</v>
      </c>
      <c r="Q15" s="29">
        <f t="shared" si="38"/>
        <v>99.35</v>
      </c>
      <c r="S15" s="104"/>
      <c r="T15" s="29">
        <f>MATCH(T14,G17:Q17,0)</f>
        <v>3</v>
      </c>
      <c r="V15" s="2" t="s">
        <v>38</v>
      </c>
      <c r="W15" s="2">
        <v>1225</v>
      </c>
      <c r="Y15" s="2" t="s">
        <v>41</v>
      </c>
      <c r="Z15" s="36">
        <f>AE12/(20*Z17)</f>
        <v>111.41244673802436</v>
      </c>
      <c r="AH15" s="107" t="s">
        <v>58</v>
      </c>
      <c r="AI15" s="105" t="s">
        <v>59</v>
      </c>
      <c r="AJ15" s="106"/>
      <c r="AK15" s="101"/>
      <c r="AL15" s="107" t="s">
        <v>62</v>
      </c>
      <c r="AM15" s="107" t="s">
        <v>63</v>
      </c>
      <c r="AN15" s="107" t="s">
        <v>64</v>
      </c>
      <c r="AR15" s="14" t="s">
        <v>95</v>
      </c>
      <c r="AS15" s="39">
        <f>AS13*AS14/AS19</f>
        <v>5.6</v>
      </c>
      <c r="AU15" s="7">
        <v>9</v>
      </c>
      <c r="AV15" s="16">
        <v>9.8000000000000007</v>
      </c>
      <c r="AW15" s="16">
        <v>4.875</v>
      </c>
      <c r="AX15" s="37">
        <f>LN(BC$4/BC$3)</f>
        <v>2.3025850929940459</v>
      </c>
      <c r="AY15" s="37">
        <f>LN(BC$4/AW15)</f>
        <v>2.3279029009783359</v>
      </c>
      <c r="AZ15" s="37">
        <f>BC$5*AY15/AX15</f>
        <v>10.109953843014631</v>
      </c>
      <c r="BA15" s="37">
        <f>ABS(AU15-AZ15)</f>
        <v>1.1099538430146314</v>
      </c>
      <c r="BB15" s="31">
        <f>BA15/AZ15</f>
        <v>0.10978822062392922</v>
      </c>
      <c r="BL15" s="41">
        <f>16*60</f>
        <v>960</v>
      </c>
      <c r="BN15" s="13" t="s">
        <v>142</v>
      </c>
      <c r="BO15" s="32">
        <f>RADIANS(BO12)</f>
        <v>1.3462266878687545E-2</v>
      </c>
      <c r="BR15" s="18" t="s">
        <v>166</v>
      </c>
      <c r="BS15" s="18" t="s">
        <v>162</v>
      </c>
      <c r="BT15" s="81">
        <f>200*2.5</f>
        <v>500</v>
      </c>
      <c r="BU15" s="20" t="s">
        <v>183</v>
      </c>
      <c r="BV15" s="45"/>
      <c r="BW15" s="22" t="s">
        <v>176</v>
      </c>
      <c r="BX15" s="18" t="s">
        <v>177</v>
      </c>
      <c r="BY15" s="5">
        <v>300</v>
      </c>
      <c r="BZ15" s="18"/>
      <c r="CD15" s="96"/>
      <c r="CE15" s="96"/>
      <c r="CF15" s="56"/>
      <c r="CG15" s="18">
        <v>0</v>
      </c>
      <c r="CH15" s="18">
        <v>11</v>
      </c>
      <c r="CI15" s="18">
        <v>19</v>
      </c>
      <c r="CJ15" s="18">
        <v>27</v>
      </c>
      <c r="CK15" s="18">
        <v>37</v>
      </c>
      <c r="CL15" s="18">
        <v>43</v>
      </c>
      <c r="CM15" s="18">
        <v>51</v>
      </c>
      <c r="CN15" s="18">
        <v>62</v>
      </c>
      <c r="CO15" s="18">
        <v>70</v>
      </c>
      <c r="CP15" s="18">
        <v>81</v>
      </c>
      <c r="CQ15" s="18">
        <v>86</v>
      </c>
      <c r="CR15" s="96"/>
      <c r="DV15" s="25">
        <v>5</v>
      </c>
      <c r="DW15" s="80">
        <f t="shared" si="21"/>
        <v>9.0260000000001728E-5</v>
      </c>
      <c r="DX15" s="132"/>
      <c r="DY15" s="80">
        <f t="shared" si="22"/>
        <v>-1.0499999999909182E-7</v>
      </c>
      <c r="DZ15" s="80">
        <f t="shared" si="23"/>
        <v>1.1024999999809283E-14</v>
      </c>
      <c r="EA15" s="132"/>
      <c r="EB15" s="133"/>
      <c r="ED15" s="1" t="s">
        <v>347</v>
      </c>
      <c r="EE15" s="86">
        <v>1.602E-19</v>
      </c>
      <c r="EF15" s="72" t="s">
        <v>349</v>
      </c>
      <c r="EG15" s="87">
        <v>365</v>
      </c>
      <c r="EH15" s="87">
        <v>404.7</v>
      </c>
      <c r="EI15" s="87">
        <v>435.8</v>
      </c>
      <c r="EJ15" s="87">
        <v>546.1</v>
      </c>
      <c r="EO15" s="96"/>
      <c r="EP15" s="72">
        <v>3</v>
      </c>
      <c r="EQ15" s="72">
        <v>24</v>
      </c>
      <c r="ER15" s="7">
        <v>62</v>
      </c>
      <c r="ES15" s="122"/>
      <c r="EZ15" s="72">
        <v>60</v>
      </c>
      <c r="FA15" s="72">
        <v>60</v>
      </c>
      <c r="FB15" s="81">
        <f t="shared" si="26"/>
        <v>333.15</v>
      </c>
      <c r="FC15" s="34">
        <f t="shared" si="27"/>
        <v>3.0016509079993999E-3</v>
      </c>
      <c r="FD15" s="81">
        <f t="shared" si="28"/>
        <v>1590</v>
      </c>
      <c r="FE15" s="34">
        <f t="shared" si="29"/>
        <v>7.3714892952142774</v>
      </c>
      <c r="FG15" s="72">
        <v>3</v>
      </c>
      <c r="FH15" s="7">
        <v>46.35</v>
      </c>
      <c r="FI15" s="7">
        <v>60.38</v>
      </c>
      <c r="FJ15" s="7">
        <v>45.68</v>
      </c>
      <c r="FK15" s="7">
        <v>60.09</v>
      </c>
      <c r="FL15" s="7">
        <v>14.1</v>
      </c>
      <c r="FM15" s="7">
        <v>91.8</v>
      </c>
      <c r="FN15" s="42">
        <f t="shared" si="30"/>
        <v>14.030000000000001</v>
      </c>
      <c r="FO15" s="42">
        <f t="shared" si="31"/>
        <v>14.410000000000004</v>
      </c>
      <c r="FP15" s="42">
        <f t="shared" si="32"/>
        <v>18.791663770913772</v>
      </c>
      <c r="FQ15" s="42">
        <f t="shared" si="33"/>
        <v>18.756891570141573</v>
      </c>
      <c r="FR15" s="42">
        <f t="shared" si="34"/>
        <v>77.7</v>
      </c>
      <c r="FS15" s="42">
        <f t="shared" si="35"/>
        <v>18.774277670527674</v>
      </c>
      <c r="FT15" s="42">
        <f t="shared" si="36"/>
        <v>1.6244477865367202E-2</v>
      </c>
      <c r="FU15" s="90">
        <f t="shared" si="37"/>
        <v>2.6388306111840495E-4</v>
      </c>
    </row>
    <row r="16" spans="1:180" x14ac:dyDescent="0.25">
      <c r="D16" s="108"/>
      <c r="E16" s="108"/>
      <c r="F16" s="3" t="s">
        <v>24</v>
      </c>
      <c r="G16" s="5">
        <v>0</v>
      </c>
      <c r="H16" s="4">
        <v>0.28749999999999998</v>
      </c>
      <c r="I16" s="4">
        <v>0.5575</v>
      </c>
      <c r="J16" s="4">
        <v>0.79249999999999998</v>
      </c>
      <c r="K16" s="4">
        <v>1.0249999999999999</v>
      </c>
      <c r="L16" s="4">
        <v>1.27125</v>
      </c>
      <c r="M16" s="4">
        <v>1.4962500000000001</v>
      </c>
      <c r="N16" s="4">
        <v>1.74875</v>
      </c>
      <c r="O16" s="4">
        <v>2</v>
      </c>
      <c r="P16" s="4">
        <v>2.23875</v>
      </c>
      <c r="Q16" s="4">
        <v>2.4624999999999999</v>
      </c>
      <c r="S16" s="2" t="s">
        <v>19</v>
      </c>
      <c r="T16" s="31">
        <f>(I13-I11)/100</f>
        <v>8.9999999999999854E-3</v>
      </c>
      <c r="Y16" s="2" t="s">
        <v>66</v>
      </c>
      <c r="Z16" s="36">
        <f>Z14/(20*Z17)</f>
        <v>0.27787748682416374</v>
      </c>
      <c r="AH16" s="104"/>
      <c r="AI16" s="2" t="s">
        <v>60</v>
      </c>
      <c r="AJ16" s="2" t="s">
        <v>61</v>
      </c>
      <c r="AK16" s="2" t="s">
        <v>60</v>
      </c>
      <c r="AL16" s="104"/>
      <c r="AM16" s="104"/>
      <c r="AN16" s="104"/>
      <c r="AR16" s="14" t="s">
        <v>87</v>
      </c>
      <c r="AS16" s="32">
        <f>0.1*AS13/AN3</f>
        <v>0.57735026918962584</v>
      </c>
      <c r="BR16" s="18" t="s">
        <v>164</v>
      </c>
      <c r="BS16" s="18" t="s">
        <v>185</v>
      </c>
      <c r="BT16" s="36">
        <f>SQRT(BT$14*BT$14/2)</f>
        <v>5.6568542494923801E-3</v>
      </c>
      <c r="BU16" s="52" t="s">
        <v>184</v>
      </c>
      <c r="BV16" s="45"/>
      <c r="BW16" s="22" t="s">
        <v>165</v>
      </c>
      <c r="BX16" s="18" t="s">
        <v>188</v>
      </c>
      <c r="BY16" s="36">
        <f>SQRT(BT$14*BT$14/2)</f>
        <v>5.6568542494923801E-3</v>
      </c>
      <c r="BZ16" s="8" t="s">
        <v>184</v>
      </c>
      <c r="CD16" s="96"/>
      <c r="CE16" s="113" t="s">
        <v>253</v>
      </c>
      <c r="CF16" s="113" t="s">
        <v>251</v>
      </c>
      <c r="CG16" s="97">
        <f>AVERAGE(CG14,CG15)</f>
        <v>0</v>
      </c>
      <c r="CH16" s="97">
        <f t="shared" ref="CH16:CQ16" si="39">AVERAGE(CH14,CH15)</f>
        <v>10.5</v>
      </c>
      <c r="CI16" s="97">
        <f t="shared" si="39"/>
        <v>18.5</v>
      </c>
      <c r="CJ16" s="97">
        <f t="shared" si="39"/>
        <v>27.5</v>
      </c>
      <c r="CK16" s="97">
        <f t="shared" si="39"/>
        <v>36</v>
      </c>
      <c r="CL16" s="97">
        <f t="shared" si="39"/>
        <v>44</v>
      </c>
      <c r="CM16" s="97">
        <f t="shared" si="39"/>
        <v>52</v>
      </c>
      <c r="CN16" s="97">
        <f t="shared" si="39"/>
        <v>62</v>
      </c>
      <c r="CO16" s="97">
        <f t="shared" si="39"/>
        <v>70</v>
      </c>
      <c r="CP16" s="97">
        <f t="shared" si="39"/>
        <v>80.5</v>
      </c>
      <c r="CQ16" s="97">
        <f t="shared" si="39"/>
        <v>87</v>
      </c>
      <c r="CR16" s="96"/>
      <c r="CT16" s="47" t="s">
        <v>278</v>
      </c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57"/>
      <c r="DT16" s="57"/>
      <c r="DV16" s="25">
        <v>6</v>
      </c>
      <c r="DW16" s="80">
        <f t="shared" si="21"/>
        <v>9.0099999999999208E-5</v>
      </c>
      <c r="DX16" s="132"/>
      <c r="DY16" s="80">
        <f t="shared" si="22"/>
        <v>-2.6500000000161106E-7</v>
      </c>
      <c r="DZ16" s="80">
        <f t="shared" si="23"/>
        <v>7.0225000000853862E-14</v>
      </c>
      <c r="EA16" s="132"/>
      <c r="EB16" s="133"/>
      <c r="ED16" s="1" t="s">
        <v>348</v>
      </c>
      <c r="EE16" s="53">
        <v>300000000</v>
      </c>
      <c r="EF16" s="107" t="s">
        <v>350</v>
      </c>
      <c r="EG16" s="61">
        <f>EF2*(0.000000001)</f>
        <v>3.65E-7</v>
      </c>
      <c r="EH16" s="61">
        <f>EH2*(0.000000001)</f>
        <v>4.0470000000000002E-7</v>
      </c>
      <c r="EI16" s="61">
        <f>EJ2*(0.000000001)</f>
        <v>4.3580000000000002E-7</v>
      </c>
      <c r="EJ16" s="61">
        <f>EL2*(0.000000001)</f>
        <v>5.4610000000000005E-7</v>
      </c>
      <c r="EO16" s="96"/>
      <c r="EP16" s="72">
        <v>4</v>
      </c>
      <c r="EQ16" s="72">
        <v>24</v>
      </c>
      <c r="ER16" s="7">
        <v>61.5</v>
      </c>
      <c r="ES16" s="122"/>
      <c r="EZ16" s="72">
        <v>70</v>
      </c>
      <c r="FA16" s="72">
        <v>70</v>
      </c>
      <c r="FB16" s="81">
        <f t="shared" si="26"/>
        <v>343.15</v>
      </c>
      <c r="FC16" s="34">
        <f t="shared" si="27"/>
        <v>2.9141774734081308E-3</v>
      </c>
      <c r="FD16" s="81">
        <f t="shared" si="28"/>
        <v>1130</v>
      </c>
      <c r="FE16" s="34">
        <f t="shared" si="29"/>
        <v>7.0299729117063858</v>
      </c>
      <c r="FG16" s="72">
        <v>4</v>
      </c>
      <c r="FH16" s="7">
        <v>44.12</v>
      </c>
      <c r="FI16" s="7">
        <v>63.21</v>
      </c>
      <c r="FJ16" s="7">
        <v>44.92</v>
      </c>
      <c r="FK16" s="7">
        <v>63.59</v>
      </c>
      <c r="FL16" s="7">
        <v>14.1</v>
      </c>
      <c r="FM16" s="7">
        <v>93.61</v>
      </c>
      <c r="FN16" s="42">
        <f t="shared" si="30"/>
        <v>19.090000000000003</v>
      </c>
      <c r="FO16" s="42">
        <f t="shared" si="31"/>
        <v>18.670000000000002</v>
      </c>
      <c r="FP16" s="42">
        <f t="shared" si="32"/>
        <v>18.731643818387628</v>
      </c>
      <c r="FQ16" s="42">
        <f t="shared" si="33"/>
        <v>18.78150924412024</v>
      </c>
      <c r="FR16" s="42">
        <f t="shared" si="34"/>
        <v>79.510000000000005</v>
      </c>
      <c r="FS16" s="42">
        <f t="shared" si="35"/>
        <v>18.756576531253934</v>
      </c>
      <c r="FT16" s="42">
        <f t="shared" si="36"/>
        <v>-1.4566614083726392E-3</v>
      </c>
      <c r="FU16" s="90">
        <f t="shared" si="37"/>
        <v>2.121862458642161E-6</v>
      </c>
      <c r="FW16" s="72" t="s">
        <v>415</v>
      </c>
      <c r="FX16" s="81">
        <f>SQRT(FU18/20)</f>
        <v>9.7532453400947568E-3</v>
      </c>
    </row>
    <row r="17" spans="4:180" x14ac:dyDescent="0.25">
      <c r="D17" s="108" t="s">
        <v>25</v>
      </c>
      <c r="E17" s="108"/>
      <c r="F17" s="108"/>
      <c r="G17" s="38">
        <f t="shared" ref="G17:Q17" si="40">G16-G12</f>
        <v>0</v>
      </c>
      <c r="H17" s="30">
        <f t="shared" si="40"/>
        <v>3.7499999999999978E-2</v>
      </c>
      <c r="I17" s="30">
        <f t="shared" si="40"/>
        <v>5.7499999999999996E-2</v>
      </c>
      <c r="J17" s="30">
        <f t="shared" si="40"/>
        <v>4.2499999999999982E-2</v>
      </c>
      <c r="K17" s="30">
        <f t="shared" si="40"/>
        <v>2.4999999999999911E-2</v>
      </c>
      <c r="L17" s="30">
        <f t="shared" si="40"/>
        <v>2.1249999999999991E-2</v>
      </c>
      <c r="M17" s="30">
        <f t="shared" si="40"/>
        <v>-3.7499999999999201E-3</v>
      </c>
      <c r="N17" s="30">
        <f t="shared" si="40"/>
        <v>-1.2499999999999734E-3</v>
      </c>
      <c r="O17" s="30">
        <f t="shared" si="40"/>
        <v>0</v>
      </c>
      <c r="P17" s="30">
        <f t="shared" si="40"/>
        <v>-1.1249999999999982E-2</v>
      </c>
      <c r="Q17" s="30">
        <f t="shared" si="40"/>
        <v>-3.7500000000000089E-2</v>
      </c>
      <c r="Y17" s="2" t="s">
        <v>42</v>
      </c>
      <c r="Z17" s="8">
        <v>5.8900000000000001E-4</v>
      </c>
      <c r="AH17" s="7">
        <v>0</v>
      </c>
      <c r="AI17" s="7">
        <v>14</v>
      </c>
      <c r="AJ17" s="7">
        <v>13.9</v>
      </c>
      <c r="AK17" s="42">
        <f t="shared" ref="AK17:AK24" si="41">AVERAGE(AI17:AJ17)</f>
        <v>13.95</v>
      </c>
      <c r="AL17" s="99">
        <f>AK21-AK17</f>
        <v>2.3499999999999979</v>
      </c>
      <c r="AM17" s="99">
        <f>AL17-AM$25</f>
        <v>0.22499999999999876</v>
      </c>
      <c r="AN17" s="110">
        <f>AM17*AM17</f>
        <v>5.0624999999999441E-2</v>
      </c>
      <c r="AR17" s="14" t="s">
        <v>96</v>
      </c>
      <c r="AS17" s="32">
        <f>AS16/AS15</f>
        <v>0.10309826235529033</v>
      </c>
      <c r="BR17" s="18" t="s">
        <v>167</v>
      </c>
      <c r="BS17" s="18" t="s">
        <v>179</v>
      </c>
      <c r="BT17" s="36">
        <f>BT13*BT16</f>
        <v>1.4142135623730951E-2</v>
      </c>
      <c r="BU17" s="52" t="s">
        <v>186</v>
      </c>
      <c r="BV17" s="45"/>
      <c r="BW17" s="22" t="s">
        <v>178</v>
      </c>
      <c r="BX17" s="18" t="s">
        <v>180</v>
      </c>
      <c r="BY17" s="36">
        <f>BY12*BY16</f>
        <v>5.4392829322042121E-6</v>
      </c>
      <c r="BZ17" s="8" t="s">
        <v>189</v>
      </c>
      <c r="CD17" s="96"/>
      <c r="CE17" s="96"/>
      <c r="CF17" s="96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6"/>
      <c r="CT17" s="96" t="s">
        <v>282</v>
      </c>
      <c r="CU17" s="114">
        <v>-1</v>
      </c>
      <c r="CV17" s="114"/>
      <c r="CW17" s="114"/>
      <c r="CX17" s="114"/>
      <c r="CY17" s="114"/>
      <c r="CZ17" s="114"/>
      <c r="DA17" s="114"/>
      <c r="DB17" s="114"/>
      <c r="DC17" s="114" t="s">
        <v>297</v>
      </c>
      <c r="DD17" s="114"/>
      <c r="DE17" s="114"/>
      <c r="DF17" s="114"/>
      <c r="DG17" s="114"/>
      <c r="DH17" s="114"/>
      <c r="DI17" s="114"/>
      <c r="DJ17" s="114"/>
      <c r="DK17" s="114" t="s">
        <v>283</v>
      </c>
      <c r="DL17" s="114"/>
      <c r="DM17" s="114"/>
      <c r="DN17" s="114"/>
      <c r="DO17" s="114"/>
      <c r="DP17" s="114"/>
      <c r="DQ17" s="114"/>
      <c r="DR17" s="114"/>
      <c r="ED17" s="1" t="s">
        <v>352</v>
      </c>
      <c r="EE17" s="86">
        <v>6.6259999999999998E-34</v>
      </c>
      <c r="EF17" s="122"/>
      <c r="EG17" s="90">
        <f>$EE$16/EG16/(100000000000000)</f>
        <v>8.2191780821917817</v>
      </c>
      <c r="EH17" s="90">
        <f t="shared" ref="EH17:EJ17" si="42">$EE$16/EH16/(100000000000000)</f>
        <v>7.4128984432913265</v>
      </c>
      <c r="EI17" s="90">
        <f t="shared" si="42"/>
        <v>6.8838916934373566</v>
      </c>
      <c r="EJ17" s="90">
        <f t="shared" si="42"/>
        <v>5.4934993590917403</v>
      </c>
      <c r="EL17" s="91"/>
      <c r="EO17" s="96"/>
      <c r="EP17" s="72">
        <v>5</v>
      </c>
      <c r="EQ17" s="72">
        <v>24</v>
      </c>
      <c r="ER17" s="7">
        <v>59.25</v>
      </c>
      <c r="ES17" s="104"/>
      <c r="EZ17" s="72">
        <v>80</v>
      </c>
      <c r="FA17" s="72">
        <v>80</v>
      </c>
      <c r="FB17" s="81">
        <f t="shared" si="26"/>
        <v>353.15</v>
      </c>
      <c r="FC17" s="34">
        <f t="shared" si="27"/>
        <v>2.831657935721365E-3</v>
      </c>
      <c r="FD17" s="81">
        <f t="shared" si="28"/>
        <v>819</v>
      </c>
      <c r="FE17" s="34">
        <f t="shared" si="29"/>
        <v>6.7080840838530698</v>
      </c>
      <c r="FG17" s="72">
        <v>5</v>
      </c>
      <c r="FH17" s="7">
        <v>46.45</v>
      </c>
      <c r="FI17" s="7">
        <v>63</v>
      </c>
      <c r="FJ17" s="7">
        <v>45.85</v>
      </c>
      <c r="FK17" s="7">
        <v>62.18</v>
      </c>
      <c r="FL17" s="7">
        <v>15.12</v>
      </c>
      <c r="FM17" s="7">
        <v>93.61</v>
      </c>
      <c r="FN17" s="42">
        <f t="shared" si="30"/>
        <v>16.549999999999997</v>
      </c>
      <c r="FO17" s="42">
        <f t="shared" si="31"/>
        <v>16.329999999999998</v>
      </c>
      <c r="FP17" s="42">
        <f t="shared" si="32"/>
        <v>18.750087909287807</v>
      </c>
      <c r="FQ17" s="42">
        <f t="shared" si="33"/>
        <v>18.773127786979234</v>
      </c>
      <c r="FR17" s="42">
        <f t="shared" si="34"/>
        <v>78.489999999999995</v>
      </c>
      <c r="FS17" s="42">
        <f t="shared" si="35"/>
        <v>18.761607848133522</v>
      </c>
      <c r="FT17" s="42">
        <f t="shared" si="36"/>
        <v>3.5746554712154932E-3</v>
      </c>
      <c r="FU17" s="90">
        <f t="shared" si="37"/>
        <v>1.277816173789086E-5</v>
      </c>
      <c r="FW17" s="72" t="s">
        <v>416</v>
      </c>
      <c r="FX17" s="82">
        <f>FX16/FS18</f>
        <v>5.1995031888044595E-4</v>
      </c>
    </row>
    <row r="18" spans="4:180" x14ac:dyDescent="0.25">
      <c r="Y18" s="2" t="s">
        <v>43</v>
      </c>
      <c r="Z18" s="36">
        <f>Z16/Z15</f>
        <v>2.4941332405845631E-3</v>
      </c>
      <c r="AH18" s="7">
        <v>1</v>
      </c>
      <c r="AI18" s="7">
        <v>14.5</v>
      </c>
      <c r="AJ18" s="7">
        <v>14.6</v>
      </c>
      <c r="AK18" s="42">
        <f t="shared" si="41"/>
        <v>14.55</v>
      </c>
      <c r="AL18" s="100"/>
      <c r="AM18" s="100"/>
      <c r="AN18" s="111"/>
      <c r="AR18" s="14" t="s">
        <v>100</v>
      </c>
      <c r="AS18" s="32">
        <f>AS17*AS15</f>
        <v>0.57735026918962584</v>
      </c>
      <c r="BR18" s="18" t="s">
        <v>168</v>
      </c>
      <c r="BS18" s="18" t="s">
        <v>163</v>
      </c>
      <c r="BT18" s="36">
        <f>SQRT(3)*BT17</f>
        <v>2.4494897427831779E-2</v>
      </c>
      <c r="BU18" s="52" t="s">
        <v>190</v>
      </c>
      <c r="BV18" s="45"/>
      <c r="BW18" s="22" t="s">
        <v>181</v>
      </c>
      <c r="BX18" s="18" t="s">
        <v>163</v>
      </c>
      <c r="BY18" s="36">
        <f>SQRT(3)*BY17</f>
        <v>9.421114395319916E-6</v>
      </c>
      <c r="BZ18" s="8" t="s">
        <v>190</v>
      </c>
      <c r="CD18" s="96"/>
      <c r="CE18" s="96"/>
      <c r="CF18" s="113" t="s">
        <v>252</v>
      </c>
      <c r="CG18" s="99">
        <f>CG16*$CI10</f>
        <v>0</v>
      </c>
      <c r="CH18" s="99">
        <f t="shared" ref="CH18:CQ18" si="43">CH16*$CI10</f>
        <v>0.105</v>
      </c>
      <c r="CI18" s="99">
        <f t="shared" si="43"/>
        <v>0.185</v>
      </c>
      <c r="CJ18" s="99">
        <f t="shared" si="43"/>
        <v>0.27500000000000002</v>
      </c>
      <c r="CK18" s="99">
        <f t="shared" si="43"/>
        <v>0.36</v>
      </c>
      <c r="CL18" s="99">
        <f t="shared" si="43"/>
        <v>0.44</v>
      </c>
      <c r="CM18" s="99">
        <f t="shared" si="43"/>
        <v>0.52</v>
      </c>
      <c r="CN18" s="99">
        <f t="shared" si="43"/>
        <v>0.62</v>
      </c>
      <c r="CO18" s="99">
        <f t="shared" si="43"/>
        <v>0.70000000000000007</v>
      </c>
      <c r="CP18" s="99">
        <f t="shared" si="43"/>
        <v>0.80500000000000005</v>
      </c>
      <c r="CQ18" s="99">
        <f t="shared" si="43"/>
        <v>0.87</v>
      </c>
      <c r="CR18" s="96"/>
      <c r="CT18" s="96"/>
      <c r="CU18" s="96" t="s">
        <v>285</v>
      </c>
      <c r="CV18" s="96"/>
      <c r="CW18" s="96"/>
      <c r="CX18" s="96"/>
      <c r="CY18" s="96" t="s">
        <v>286</v>
      </c>
      <c r="CZ18" s="96"/>
      <c r="DA18" s="96"/>
      <c r="DB18" s="96"/>
      <c r="DC18" s="96" t="s">
        <v>298</v>
      </c>
      <c r="DD18" s="96"/>
      <c r="DE18" s="96"/>
      <c r="DF18" s="96"/>
      <c r="DG18" s="96" t="s">
        <v>299</v>
      </c>
      <c r="DH18" s="96"/>
      <c r="DI18" s="96"/>
      <c r="DJ18" s="96"/>
      <c r="DK18" s="96" t="s">
        <v>300</v>
      </c>
      <c r="DL18" s="96"/>
      <c r="DM18" s="96"/>
      <c r="DN18" s="96"/>
      <c r="DO18" s="96" t="s">
        <v>287</v>
      </c>
      <c r="DP18" s="96"/>
      <c r="DQ18" s="96"/>
      <c r="DR18" s="96"/>
      <c r="DV18" s="72" t="s">
        <v>306</v>
      </c>
      <c r="DW18" s="81">
        <f>2*DX11/300</f>
        <v>6.0243333333333875E-7</v>
      </c>
      <c r="ED18" s="1" t="s">
        <v>417</v>
      </c>
      <c r="EE18" s="94">
        <f>(EJ19-EG19)/(EJ18-EG18)</f>
        <v>-3.301929872998342E-15</v>
      </c>
      <c r="EF18" s="104"/>
      <c r="EG18" s="90">
        <f>$EE$16/EG16</f>
        <v>821917808219178.12</v>
      </c>
      <c r="EH18" s="90">
        <f t="shared" ref="EH18:EJ18" si="44">$EE$16/EH16</f>
        <v>741289844329132.62</v>
      </c>
      <c r="EI18" s="90">
        <f t="shared" si="44"/>
        <v>688389169343735.62</v>
      </c>
      <c r="EJ18" s="90">
        <f t="shared" si="44"/>
        <v>549349935909174.06</v>
      </c>
      <c r="EZ18" s="72">
        <v>90</v>
      </c>
      <c r="FA18" s="72">
        <v>90</v>
      </c>
      <c r="FB18" s="81">
        <f t="shared" si="26"/>
        <v>363.15</v>
      </c>
      <c r="FC18" s="34">
        <f t="shared" si="27"/>
        <v>2.7536830510808208E-3</v>
      </c>
      <c r="FD18" s="81">
        <f t="shared" si="28"/>
        <v>611</v>
      </c>
      <c r="FE18" s="34">
        <f t="shared" si="29"/>
        <v>6.4150969591715956</v>
      </c>
      <c r="FG18" s="72" t="s">
        <v>386</v>
      </c>
      <c r="FH18" s="72" t="s">
        <v>387</v>
      </c>
      <c r="FI18" s="72" t="s">
        <v>387</v>
      </c>
      <c r="FJ18" s="72" t="s">
        <v>387</v>
      </c>
      <c r="FK18" s="72" t="s">
        <v>387</v>
      </c>
      <c r="FL18" s="72" t="s">
        <v>387</v>
      </c>
      <c r="FM18" s="72" t="s">
        <v>387</v>
      </c>
      <c r="FN18" s="72" t="s">
        <v>387</v>
      </c>
      <c r="FO18" s="72" t="s">
        <v>387</v>
      </c>
      <c r="FP18" s="72" t="s">
        <v>387</v>
      </c>
      <c r="FQ18" s="72" t="s">
        <v>387</v>
      </c>
      <c r="FR18" s="72" t="s">
        <v>387</v>
      </c>
      <c r="FS18" s="42">
        <f>AVERAGE(FS13:FS17)</f>
        <v>18.758033192662307</v>
      </c>
      <c r="FT18" s="72" t="s">
        <v>401</v>
      </c>
      <c r="FU18" s="90">
        <f>SUM(FU13:FU17)</f>
        <v>1.9025158932816017E-3</v>
      </c>
    </row>
    <row r="19" spans="4:180" x14ac:dyDescent="0.25">
      <c r="Y19" s="96" t="s">
        <v>41</v>
      </c>
      <c r="Z19" s="36">
        <f>Z15-Z16</f>
        <v>111.13456925120019</v>
      </c>
      <c r="AH19" s="7">
        <v>2</v>
      </c>
      <c r="AI19" s="7">
        <v>15</v>
      </c>
      <c r="AJ19" s="7">
        <v>15.1</v>
      </c>
      <c r="AK19" s="42">
        <f t="shared" si="41"/>
        <v>15.05</v>
      </c>
      <c r="AL19" s="99">
        <f>AK22-AK18</f>
        <v>2</v>
      </c>
      <c r="AM19" s="99">
        <f>AL19-AM$25</f>
        <v>-0.12499999999999911</v>
      </c>
      <c r="AN19" s="110">
        <f>AM19*AM19</f>
        <v>1.5624999999999778E-2</v>
      </c>
      <c r="AR19" s="14" t="s">
        <v>98</v>
      </c>
      <c r="AS19" s="14">
        <v>5</v>
      </c>
      <c r="BR19" s="18" t="s">
        <v>169</v>
      </c>
      <c r="BS19" s="18" t="s">
        <v>170</v>
      </c>
      <c r="BT19" s="82">
        <f>BT18/BT13</f>
        <v>9.7979589711327114E-3</v>
      </c>
      <c r="BU19" s="51" t="s">
        <v>187</v>
      </c>
      <c r="BV19" s="45"/>
      <c r="BW19" s="22" t="s">
        <v>182</v>
      </c>
      <c r="BX19" s="18" t="s">
        <v>170</v>
      </c>
      <c r="BY19" s="82">
        <f>BY18/BY13</f>
        <v>9.4211143953199152E-3</v>
      </c>
      <c r="BZ19" s="24" t="s">
        <v>191</v>
      </c>
      <c r="CD19" s="96"/>
      <c r="CE19" s="96"/>
      <c r="CF19" s="96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96"/>
      <c r="CT19" s="77">
        <v>1</v>
      </c>
      <c r="CU19" s="77">
        <v>52</v>
      </c>
      <c r="CV19" s="77">
        <v>10</v>
      </c>
      <c r="CW19" s="77">
        <v>0</v>
      </c>
      <c r="CX19" s="81">
        <f>CU19+CV19/60</f>
        <v>52.166666666666664</v>
      </c>
      <c r="CY19" s="77">
        <v>52</v>
      </c>
      <c r="CZ19" s="77">
        <v>12</v>
      </c>
      <c r="DA19" s="77">
        <v>0</v>
      </c>
      <c r="DB19" s="81">
        <f>CY19+CZ19/60</f>
        <v>52.2</v>
      </c>
      <c r="DC19" s="77">
        <v>70</v>
      </c>
      <c r="DD19" s="77">
        <v>20</v>
      </c>
      <c r="DE19" s="77">
        <v>0</v>
      </c>
      <c r="DF19" s="81">
        <f>DC19+DD19/60</f>
        <v>70.333333333333329</v>
      </c>
      <c r="DG19" s="77">
        <v>70</v>
      </c>
      <c r="DH19" s="77">
        <v>19</v>
      </c>
      <c r="DI19" s="77"/>
      <c r="DJ19" s="81">
        <f>DG19+DH19/60</f>
        <v>70.316666666666663</v>
      </c>
      <c r="DK19" s="77">
        <v>89</v>
      </c>
      <c r="DL19" s="77">
        <v>1</v>
      </c>
      <c r="DM19" s="77">
        <v>0</v>
      </c>
      <c r="DN19" s="81">
        <f>DK19+DL19/60</f>
        <v>89.016666666666666</v>
      </c>
      <c r="DO19" s="77">
        <v>89</v>
      </c>
      <c r="DP19" s="77">
        <v>2</v>
      </c>
      <c r="DQ19" s="77">
        <v>0</v>
      </c>
      <c r="DR19" s="81">
        <f>DO19+DP19/60</f>
        <v>89.033333333333331</v>
      </c>
      <c r="DV19" s="72" t="s">
        <v>341</v>
      </c>
      <c r="DW19" s="84">
        <f>(2/(300*DX11))*EA11</f>
        <v>5.5788312101794763E-6</v>
      </c>
      <c r="ED19" s="1" t="s">
        <v>353</v>
      </c>
      <c r="EE19" s="94">
        <f>EE18*EE15</f>
        <v>-5.2896916565433434E-34</v>
      </c>
      <c r="EF19" s="72" t="s">
        <v>351</v>
      </c>
      <c r="EG19" s="72">
        <v>-1.73</v>
      </c>
      <c r="EH19" s="72">
        <v>-1.48</v>
      </c>
      <c r="EI19" s="72">
        <v>-1.35</v>
      </c>
      <c r="EJ19" s="72">
        <v>-0.83</v>
      </c>
    </row>
    <row r="20" spans="4:180" x14ac:dyDescent="0.25">
      <c r="Y20" s="96"/>
      <c r="Z20" s="36">
        <f>Z15+Z16</f>
        <v>111.69032422484852</v>
      </c>
      <c r="AH20" s="7">
        <v>3</v>
      </c>
      <c r="AI20" s="7">
        <v>15.6</v>
      </c>
      <c r="AJ20" s="7">
        <v>15.5</v>
      </c>
      <c r="AK20" s="42">
        <f t="shared" si="41"/>
        <v>15.55</v>
      </c>
      <c r="AL20" s="100"/>
      <c r="AM20" s="100"/>
      <c r="AN20" s="111"/>
      <c r="BR20" s="18" t="s">
        <v>193</v>
      </c>
      <c r="BS20" s="18" t="s">
        <v>194</v>
      </c>
      <c r="BT20" s="36">
        <f>(BT13*(BS22)%)/SQRT(3)</f>
        <v>7.2168783648703227E-3</v>
      </c>
      <c r="BU20" s="18" t="s">
        <v>195</v>
      </c>
      <c r="BW20" s="18" t="s">
        <v>196</v>
      </c>
      <c r="BX20" s="18" t="s">
        <v>197</v>
      </c>
      <c r="BY20" s="36">
        <f>(BY13*(BS22)%)/SQRT(3)</f>
        <v>2.8867513459481293E-6</v>
      </c>
      <c r="BZ20" s="18" t="s">
        <v>198</v>
      </c>
      <c r="CD20" s="96" t="s">
        <v>255</v>
      </c>
      <c r="CE20" s="96"/>
      <c r="CF20" s="96"/>
      <c r="CG20" s="23">
        <v>0</v>
      </c>
      <c r="CH20" s="29">
        <f>(CH13-CH18*$CG10/1000)/CH18*1000</f>
        <v>2080.9523809523812</v>
      </c>
      <c r="CI20" s="29">
        <f t="shared" ref="CI20:CQ20" si="45">(CI13-CI18*$CG10/1000)/CI18*1000</f>
        <v>2402.7027027027029</v>
      </c>
      <c r="CJ20" s="29">
        <f t="shared" si="45"/>
        <v>2427.272727272727</v>
      </c>
      <c r="CK20" s="29">
        <f t="shared" si="45"/>
        <v>2477.7777777777778</v>
      </c>
      <c r="CL20" s="29">
        <f t="shared" si="45"/>
        <v>2540.9090909090905</v>
      </c>
      <c r="CM20" s="29">
        <f t="shared" si="45"/>
        <v>2584.6153846153848</v>
      </c>
      <c r="CN20" s="29">
        <f t="shared" si="45"/>
        <v>2522.5806451612902</v>
      </c>
      <c r="CO20" s="29">
        <f t="shared" si="45"/>
        <v>2557.1428571428569</v>
      </c>
      <c r="CP20" s="29">
        <f t="shared" si="45"/>
        <v>2495.0310559006211</v>
      </c>
      <c r="CQ20" s="29">
        <f t="shared" si="45"/>
        <v>2573.5632183908046</v>
      </c>
      <c r="CR20" s="29">
        <f>AVERAGE(CH20:CQ20)</f>
        <v>2466.2547840825637</v>
      </c>
      <c r="CT20" s="77">
        <v>2</v>
      </c>
      <c r="CU20" s="77">
        <v>174</v>
      </c>
      <c r="CV20" s="77">
        <v>10</v>
      </c>
      <c r="CW20" s="77">
        <v>0</v>
      </c>
      <c r="CX20" s="81">
        <f>CU20+CV20/60</f>
        <v>174.16666666666666</v>
      </c>
      <c r="CY20" s="77">
        <v>174</v>
      </c>
      <c r="CZ20" s="77">
        <v>12</v>
      </c>
      <c r="DA20" s="77">
        <v>0</v>
      </c>
      <c r="DB20" s="81">
        <f>CY20+CZ20/60</f>
        <v>174.2</v>
      </c>
      <c r="DC20" s="77">
        <v>193</v>
      </c>
      <c r="DD20" s="77">
        <v>15</v>
      </c>
      <c r="DE20" s="77">
        <v>0</v>
      </c>
      <c r="DF20" s="81">
        <f>DC20+DD20/60</f>
        <v>193.25</v>
      </c>
      <c r="DG20" s="77">
        <v>193</v>
      </c>
      <c r="DH20" s="77">
        <v>16</v>
      </c>
      <c r="DI20" s="77"/>
      <c r="DJ20" s="81">
        <f>DG20+DH20/60</f>
        <v>193.26666666666668</v>
      </c>
      <c r="DK20" s="77">
        <v>212</v>
      </c>
      <c r="DL20" s="77">
        <v>20</v>
      </c>
      <c r="DM20" s="77">
        <v>0</v>
      </c>
      <c r="DN20" s="81">
        <f>DK20+DL20/60</f>
        <v>212.33333333333334</v>
      </c>
      <c r="DO20" s="77">
        <v>212</v>
      </c>
      <c r="DP20" s="77">
        <v>21</v>
      </c>
      <c r="DQ20" s="77">
        <v>0</v>
      </c>
      <c r="DR20" s="81">
        <f>DO20+DP20/60</f>
        <v>212.35</v>
      </c>
      <c r="DV20" s="70" t="s">
        <v>340</v>
      </c>
      <c r="DW20" s="81">
        <f>DW19*DW18</f>
        <v>3.360873882052486E-12</v>
      </c>
      <c r="ED20" s="1" t="s">
        <v>354</v>
      </c>
      <c r="EE20" s="92">
        <f>EE19-EE17</f>
        <v>-1.1915691656543343E-33</v>
      </c>
      <c r="EF20" s="66"/>
      <c r="EG20" s="66"/>
      <c r="EH20" s="67"/>
      <c r="EI20" s="67"/>
    </row>
    <row r="21" spans="4:180" x14ac:dyDescent="0.25">
      <c r="AH21" s="7">
        <v>4</v>
      </c>
      <c r="AI21" s="7">
        <v>16.2</v>
      </c>
      <c r="AJ21" s="7">
        <v>16.399999999999999</v>
      </c>
      <c r="AK21" s="42">
        <f t="shared" si="41"/>
        <v>16.299999999999997</v>
      </c>
      <c r="AL21" s="99">
        <f>AK23-AK19</f>
        <v>2.1499999999999986</v>
      </c>
      <c r="AM21" s="99">
        <f>AL21-AM$25</f>
        <v>2.4999999999999467E-2</v>
      </c>
      <c r="AN21" s="110">
        <f>AM21*AM21</f>
        <v>6.2499999999997334E-4</v>
      </c>
      <c r="BT21" s="53"/>
      <c r="CD21" s="96" t="s">
        <v>256</v>
      </c>
      <c r="CE21" s="96"/>
      <c r="CF21" s="96"/>
      <c r="CG21" s="23">
        <v>0</v>
      </c>
      <c r="CH21" s="29">
        <f t="shared" ref="CH21:CQ21" si="46">CH20-$CR20</f>
        <v>-385.30240313018248</v>
      </c>
      <c r="CI21" s="29">
        <f t="shared" si="46"/>
        <v>-63.552081379860738</v>
      </c>
      <c r="CJ21" s="29">
        <f t="shared" si="46"/>
        <v>-38.982056809836649</v>
      </c>
      <c r="CK21" s="29">
        <f t="shared" si="46"/>
        <v>11.522993695214154</v>
      </c>
      <c r="CL21" s="29">
        <f t="shared" si="46"/>
        <v>74.654306826526863</v>
      </c>
      <c r="CM21" s="29">
        <f t="shared" si="46"/>
        <v>118.36060053282108</v>
      </c>
      <c r="CN21" s="29">
        <f t="shared" si="46"/>
        <v>56.325861078726575</v>
      </c>
      <c r="CO21" s="29">
        <f t="shared" si="46"/>
        <v>90.888073060293209</v>
      </c>
      <c r="CP21" s="29">
        <f t="shared" si="46"/>
        <v>28.776271818057467</v>
      </c>
      <c r="CQ21" s="29">
        <f t="shared" si="46"/>
        <v>107.30843430824098</v>
      </c>
      <c r="CR21" s="29">
        <f>AVERAGE(CH21:CQ21)</f>
        <v>4.5474735088646414E-14</v>
      </c>
      <c r="CT21" s="77">
        <v>3</v>
      </c>
      <c r="CU21" s="77">
        <v>290</v>
      </c>
      <c r="CV21" s="77">
        <v>7</v>
      </c>
      <c r="CW21" s="77">
        <v>0</v>
      </c>
      <c r="CX21" s="81">
        <f>CU21+CV21/60</f>
        <v>290.11666666666667</v>
      </c>
      <c r="CY21" s="77">
        <v>290</v>
      </c>
      <c r="CZ21" s="77">
        <v>6</v>
      </c>
      <c r="DA21" s="77">
        <v>0</v>
      </c>
      <c r="DB21" s="81">
        <f>CY21+CZ21/60</f>
        <v>290.10000000000002</v>
      </c>
      <c r="DC21" s="77">
        <v>308</v>
      </c>
      <c r="DD21" s="77">
        <v>4</v>
      </c>
      <c r="DE21" s="77">
        <v>0</v>
      </c>
      <c r="DF21" s="81">
        <f>DC21+DD21/60</f>
        <v>308.06666666666666</v>
      </c>
      <c r="DG21" s="77">
        <v>308</v>
      </c>
      <c r="DH21" s="77">
        <v>2</v>
      </c>
      <c r="DI21" s="77"/>
      <c r="DJ21" s="81">
        <f>DG21+DH21/60</f>
        <v>308.03333333333336</v>
      </c>
      <c r="DK21" s="77">
        <v>328</v>
      </c>
      <c r="DL21" s="77">
        <v>47</v>
      </c>
      <c r="DM21" s="77">
        <v>0</v>
      </c>
      <c r="DN21" s="81">
        <f>DK21+DL21/60</f>
        <v>328.78333333333336</v>
      </c>
      <c r="DO21" s="77">
        <v>328</v>
      </c>
      <c r="DP21" s="77">
        <v>50</v>
      </c>
      <c r="DQ21" s="77">
        <v>0</v>
      </c>
      <c r="DR21" s="81">
        <f>DO21+DP21/60</f>
        <v>328.83333333333331</v>
      </c>
      <c r="DV21" s="71"/>
      <c r="ED21" s="1" t="s">
        <v>355</v>
      </c>
      <c r="EE21" s="93">
        <f>(ABS(EE19)-EE17)/EE17</f>
        <v>-0.20167647803450897</v>
      </c>
      <c r="FC21" s="1">
        <f>(8.63572-6.5672)/(0.00324-0.00281)</f>
        <v>4810.5116279069771</v>
      </c>
    </row>
    <row r="22" spans="4:180" x14ac:dyDescent="0.25">
      <c r="AH22" s="7">
        <v>5</v>
      </c>
      <c r="AI22" s="7">
        <v>16.600000000000001</v>
      </c>
      <c r="AJ22" s="7">
        <v>16.5</v>
      </c>
      <c r="AK22" s="42">
        <f t="shared" si="41"/>
        <v>16.55</v>
      </c>
      <c r="AL22" s="100"/>
      <c r="AM22" s="100"/>
      <c r="AN22" s="111"/>
      <c r="BR22" s="18" t="s">
        <v>199</v>
      </c>
      <c r="BS22" s="18">
        <v>0.5</v>
      </c>
      <c r="BT22" s="18"/>
      <c r="CD22" s="96" t="s">
        <v>257</v>
      </c>
      <c r="CE22" s="96"/>
      <c r="CF22" s="96"/>
      <c r="CG22" s="29">
        <f>CG21^2</f>
        <v>0</v>
      </c>
      <c r="CH22" s="29">
        <f t="shared" ref="CH22:CQ22" si="47">CH21^2</f>
        <v>148457.94185789366</v>
      </c>
      <c r="CI22" s="29">
        <f t="shared" si="47"/>
        <v>4038.8670477124419</v>
      </c>
      <c r="CJ22" s="29">
        <f t="shared" si="47"/>
        <v>1519.6007531253319</v>
      </c>
      <c r="CK22" s="29">
        <f t="shared" si="47"/>
        <v>132.77938369994516</v>
      </c>
      <c r="CL22" s="29">
        <f t="shared" si="47"/>
        <v>5573.2655277492149</v>
      </c>
      <c r="CM22" s="29">
        <f t="shared" si="47"/>
        <v>14009.231758490047</v>
      </c>
      <c r="CN22" s="29">
        <f t="shared" si="47"/>
        <v>3172.6026262600053</v>
      </c>
      <c r="CO22" s="29">
        <f t="shared" si="47"/>
        <v>8260.6418246131961</v>
      </c>
      <c r="CP22" s="29">
        <f t="shared" si="47"/>
        <v>828.07381974672842</v>
      </c>
      <c r="CQ22" s="29">
        <f t="shared" si="47"/>
        <v>11515.10007368607</v>
      </c>
      <c r="CR22" s="29">
        <f>AVERAGE(CH22:CQ22)</f>
        <v>19750.810467297662</v>
      </c>
      <c r="CT22" s="117"/>
      <c r="CU22" s="118"/>
      <c r="CV22" s="118"/>
      <c r="CW22" s="118"/>
      <c r="CX22" s="118"/>
      <c r="CY22" s="118"/>
      <c r="CZ22" s="118"/>
      <c r="DA22" s="118"/>
      <c r="DB22" s="118"/>
      <c r="DC22" s="118"/>
      <c r="DD22" s="118"/>
      <c r="DE22" s="118"/>
      <c r="DF22" s="118"/>
      <c r="DG22" s="118"/>
      <c r="DH22" s="118"/>
      <c r="DI22" s="118"/>
      <c r="DJ22" s="118"/>
      <c r="DK22" s="118"/>
      <c r="DL22" s="118"/>
      <c r="DM22" s="118"/>
      <c r="DN22" s="118"/>
      <c r="DO22" s="118"/>
      <c r="DP22" s="118"/>
      <c r="DQ22" s="118"/>
      <c r="DR22" s="119"/>
      <c r="DV22" s="71"/>
      <c r="FC22" s="1">
        <v>-6.9503399999999997</v>
      </c>
    </row>
    <row r="23" spans="4:180" x14ac:dyDescent="0.25">
      <c r="AH23" s="7">
        <v>6</v>
      </c>
      <c r="AI23" s="7">
        <v>17.2</v>
      </c>
      <c r="AJ23" s="7">
        <v>17.2</v>
      </c>
      <c r="AK23" s="42">
        <f t="shared" si="41"/>
        <v>17.2</v>
      </c>
      <c r="AL23" s="99">
        <f>AK24-AK20</f>
        <v>2</v>
      </c>
      <c r="AM23" s="99">
        <f>AL23-AM$25</f>
        <v>-0.12499999999999911</v>
      </c>
      <c r="AN23" s="110">
        <f>AM23*AM23</f>
        <v>1.5624999999999778E-2</v>
      </c>
      <c r="BR23" s="18" t="s">
        <v>200</v>
      </c>
      <c r="BS23" s="42">
        <f>1/(1/(BY15+BU10)+1/BT15)</f>
        <v>426.47058823529409</v>
      </c>
      <c r="BT23" s="18" t="s">
        <v>201</v>
      </c>
      <c r="CT23" s="120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  <c r="DO23" s="121"/>
      <c r="DP23" s="121"/>
      <c r="DQ23" s="121"/>
      <c r="DR23" s="112"/>
      <c r="DV23" s="71"/>
      <c r="FK23" s="1">
        <v>8.6357199999999992</v>
      </c>
      <c r="FL23" s="1">
        <v>3.2399999999999998E-3</v>
      </c>
    </row>
    <row r="24" spans="4:180" x14ac:dyDescent="0.25">
      <c r="AH24" s="7">
        <v>7</v>
      </c>
      <c r="AI24" s="7">
        <v>17.600000000000001</v>
      </c>
      <c r="AJ24" s="7">
        <v>17.5</v>
      </c>
      <c r="AK24" s="42">
        <f t="shared" si="41"/>
        <v>17.55</v>
      </c>
      <c r="AL24" s="100"/>
      <c r="AM24" s="100"/>
      <c r="AN24" s="111"/>
      <c r="BR24" s="18" t="s">
        <v>202</v>
      </c>
      <c r="BS24" s="42">
        <f>BS23/2</f>
        <v>213.23529411764704</v>
      </c>
      <c r="BT24" s="18" t="s">
        <v>203</v>
      </c>
      <c r="CT24" s="104" t="s">
        <v>288</v>
      </c>
      <c r="CU24" s="104"/>
      <c r="CV24" s="104"/>
      <c r="CW24" s="104"/>
      <c r="CX24" s="104" t="s">
        <v>301</v>
      </c>
      <c r="CY24" s="104"/>
      <c r="CZ24" s="104"/>
      <c r="DA24" s="104"/>
      <c r="DB24" s="104" t="s">
        <v>302</v>
      </c>
      <c r="DC24" s="104"/>
      <c r="DD24" s="104"/>
      <c r="DE24" s="104"/>
      <c r="DQ24" s="47"/>
      <c r="DR24" s="47"/>
      <c r="DS24" s="47"/>
      <c r="DT24" s="57"/>
      <c r="DU24" s="57"/>
      <c r="DV24" s="71"/>
      <c r="FK24" s="1">
        <v>6.5671999999999997</v>
      </c>
      <c r="FL24" s="1">
        <v>2.81E-3</v>
      </c>
    </row>
    <row r="25" spans="4:180" x14ac:dyDescent="0.25">
      <c r="AH25" s="2"/>
      <c r="AI25" s="2"/>
      <c r="AJ25" s="2"/>
      <c r="AK25" s="2"/>
      <c r="AL25" s="2" t="s">
        <v>65</v>
      </c>
      <c r="AM25" s="42">
        <f>AVERAGE(AL17:AL24)</f>
        <v>2.1249999999999991</v>
      </c>
      <c r="AN25" s="32">
        <f>SUM(AN17:AN24)</f>
        <v>8.2499999999998977E-2</v>
      </c>
      <c r="BR25" s="18" t="s">
        <v>204</v>
      </c>
      <c r="BS25" s="7">
        <v>2</v>
      </c>
      <c r="BT25" s="18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Q25" s="47"/>
      <c r="DR25" s="47"/>
      <c r="DV25" s="1">
        <v>8.3000000000000007</v>
      </c>
      <c r="DW25" s="135">
        <v>-1.69</v>
      </c>
    </row>
    <row r="26" spans="4:180" x14ac:dyDescent="0.25">
      <c r="BR26" s="18" t="s">
        <v>205</v>
      </c>
      <c r="BS26" s="36">
        <f>BT13*(1/BS24+1/BS23)</f>
        <v>1.7586206896551725E-2</v>
      </c>
      <c r="BT26" s="18" t="s">
        <v>206</v>
      </c>
      <c r="CT26" s="77">
        <v>9.25</v>
      </c>
      <c r="CU26" s="77">
        <v>6.625</v>
      </c>
      <c r="CV26" s="77">
        <v>0</v>
      </c>
      <c r="CW26" s="7">
        <v>9.2104166666666671</v>
      </c>
      <c r="CX26" s="81">
        <f>CT26-CU$38</f>
        <v>-0.16666666666666607</v>
      </c>
      <c r="CY26" s="81">
        <f>CU26-CV$38</f>
        <v>-0.45833333333333304</v>
      </c>
      <c r="CZ26" s="81">
        <f>CV26-$CW$38</f>
        <v>0</v>
      </c>
      <c r="DA26" s="42">
        <f>CW26-CX$38</f>
        <v>-0.2645833333333325</v>
      </c>
      <c r="DB26" s="81">
        <f t="shared" ref="DB26:DE28" si="48">CX26^2</f>
        <v>2.7777777777777582E-2</v>
      </c>
      <c r="DC26" s="81">
        <f t="shared" si="48"/>
        <v>0.21006944444444417</v>
      </c>
      <c r="DD26" s="81">
        <f t="shared" si="48"/>
        <v>0</v>
      </c>
      <c r="DE26" s="32">
        <f t="shared" si="48"/>
        <v>7.0004340277777341E-2</v>
      </c>
      <c r="DL26" s="47"/>
      <c r="DM26" s="47"/>
      <c r="DN26" s="47"/>
      <c r="DO26" s="47"/>
      <c r="DP26" s="47"/>
      <c r="DQ26" s="47"/>
      <c r="DR26" s="47"/>
      <c r="DV26" s="1">
        <v>5.6</v>
      </c>
      <c r="DW26" s="1">
        <v>-0.78</v>
      </c>
    </row>
    <row r="27" spans="4:180" x14ac:dyDescent="0.25">
      <c r="AH27" s="1" t="s">
        <v>86</v>
      </c>
      <c r="AI27" s="43">
        <f>SQRT(AK13/20)</f>
        <v>2.0832666655999616E-4</v>
      </c>
      <c r="BR27" s="18" t="s">
        <v>207</v>
      </c>
      <c r="BS27" s="36">
        <f>BT20/BY20</f>
        <v>2499.9999999999995</v>
      </c>
      <c r="BT27" s="18" t="s">
        <v>208</v>
      </c>
      <c r="CT27" s="77">
        <v>9.5</v>
      </c>
      <c r="CU27" s="77">
        <v>2.375</v>
      </c>
      <c r="CV27" s="77">
        <v>0</v>
      </c>
      <c r="CW27" s="7">
        <v>9.5395833333333364</v>
      </c>
      <c r="CX27" s="81">
        <f t="shared" ref="CX27:CX28" si="49">CT27-CU$38</f>
        <v>8.3333333333333925E-2</v>
      </c>
      <c r="CY27" s="81">
        <f t="shared" ref="CY27:CY28" si="50">CU27-CV$38</f>
        <v>-4.708333333333333</v>
      </c>
      <c r="CZ27" s="81">
        <f>CV27-$CW$38</f>
        <v>0</v>
      </c>
      <c r="DA27" s="42">
        <f t="shared" ref="DA27:DA28" si="51">CW27-CX$38</f>
        <v>6.4583333333336768E-2</v>
      </c>
      <c r="DB27" s="81">
        <f t="shared" si="48"/>
        <v>6.9444444444445429E-3</v>
      </c>
      <c r="DC27" s="81">
        <f t="shared" si="48"/>
        <v>22.168402777777775</v>
      </c>
      <c r="DD27" s="81">
        <f t="shared" si="48"/>
        <v>0</v>
      </c>
      <c r="DE27" s="32">
        <f t="shared" si="48"/>
        <v>4.1710069444448883E-3</v>
      </c>
      <c r="DL27" s="47"/>
      <c r="DM27" s="47"/>
      <c r="DN27" s="47"/>
      <c r="DO27" s="47"/>
      <c r="DP27" s="47"/>
      <c r="DQ27" s="47"/>
      <c r="DR27" s="47"/>
    </row>
    <row r="28" spans="4:180" x14ac:dyDescent="0.25">
      <c r="AH28" s="1" t="s">
        <v>67</v>
      </c>
      <c r="AI28" s="43">
        <f>SQRT(AN25/12)</f>
        <v>8.2915619758884479E-2</v>
      </c>
      <c r="BR28" s="18" t="s">
        <v>209</v>
      </c>
      <c r="BS28" s="36">
        <f>BT20/(BT16*(BS27-BY15))</f>
        <v>5.7989813986344203E-4</v>
      </c>
      <c r="BT28" s="18" t="s">
        <v>210</v>
      </c>
      <c r="CK28" s="23" t="s">
        <v>268</v>
      </c>
      <c r="CL28" s="29">
        <f>(0.87-0.11)/(2.5-0.25)</f>
        <v>0.33777777777777779</v>
      </c>
      <c r="CT28" s="77">
        <v>9.5</v>
      </c>
      <c r="CU28" s="77">
        <v>12.25</v>
      </c>
      <c r="CV28" s="77">
        <v>0</v>
      </c>
      <c r="CW28" s="7">
        <v>9.6749999999999972</v>
      </c>
      <c r="CX28" s="81">
        <f t="shared" si="49"/>
        <v>8.3333333333333925E-2</v>
      </c>
      <c r="CY28" s="81">
        <f t="shared" si="50"/>
        <v>5.166666666666667</v>
      </c>
      <c r="CZ28" s="81">
        <f>CV28-$CW$38</f>
        <v>0</v>
      </c>
      <c r="DA28" s="42">
        <f t="shared" si="51"/>
        <v>0.19999999999999751</v>
      </c>
      <c r="DB28" s="81">
        <f t="shared" si="48"/>
        <v>6.9444444444445429E-3</v>
      </c>
      <c r="DC28" s="81">
        <f t="shared" si="48"/>
        <v>26.694444444444446</v>
      </c>
      <c r="DD28" s="81">
        <f t="shared" si="48"/>
        <v>0</v>
      </c>
      <c r="DE28" s="32">
        <f t="shared" si="48"/>
        <v>3.9999999999999009E-2</v>
      </c>
      <c r="DV28" s="135">
        <f>(DW26-DW25)/(DV26-DV25)</f>
        <v>-0.33703703703703686</v>
      </c>
    </row>
    <row r="29" spans="4:180" x14ac:dyDescent="0.25">
      <c r="AH29" s="1" t="s">
        <v>68</v>
      </c>
      <c r="AI29" s="44">
        <f>8*(AI$30*AI$3*AI$4)/(3.14*AJ$13*AJ$13*AI$5*AM$25)</f>
        <v>20120683.67869081</v>
      </c>
      <c r="BR29" s="18" t="s">
        <v>211</v>
      </c>
      <c r="BS29" s="36">
        <f>BS27*BS28</f>
        <v>1.4497453496586048</v>
      </c>
      <c r="BT29" s="18" t="s">
        <v>212</v>
      </c>
      <c r="CK29" s="23" t="s">
        <v>269</v>
      </c>
      <c r="CL29" s="29">
        <f>1/CL28*1000</f>
        <v>2960.5263157894733</v>
      </c>
      <c r="CT29" s="104" t="s">
        <v>290</v>
      </c>
      <c r="CU29" s="104" t="s">
        <v>291</v>
      </c>
      <c r="CV29" s="78">
        <f t="shared" ref="CV29:CY31" si="52">(ABS(CU19-DC19)+ABS(CY19-DG19))/2</f>
        <v>18</v>
      </c>
      <c r="CW29" s="78">
        <f t="shared" si="52"/>
        <v>8.5</v>
      </c>
      <c r="CX29" s="78">
        <f t="shared" si="52"/>
        <v>0</v>
      </c>
      <c r="CY29" s="78">
        <f t="shared" si="52"/>
        <v>18.141666666666662</v>
      </c>
      <c r="DA29" s="107" t="s">
        <v>284</v>
      </c>
      <c r="DB29" s="97">
        <f>SUM(DB26:DB28)</f>
        <v>4.1666666666666671E-2</v>
      </c>
      <c r="DC29" s="97">
        <f>SUM(DC26:DC28)</f>
        <v>49.072916666666664</v>
      </c>
      <c r="DD29" s="97">
        <f>SUM(DD26:DD28)</f>
        <v>0</v>
      </c>
      <c r="DE29" s="110">
        <f>SUM(DE26:DE28)</f>
        <v>0.11417534722222124</v>
      </c>
      <c r="DV29" s="1">
        <f>DV28*EE15*(0.00000000000001)</f>
        <v>-5.3993333333333301E-34</v>
      </c>
      <c r="ED29" s="68"/>
      <c r="EE29" s="68"/>
      <c r="FK29" s="1">
        <f>EXP(FC21/323.15)</f>
        <v>2917716.0874086018</v>
      </c>
    </row>
    <row r="30" spans="4:180" x14ac:dyDescent="0.25">
      <c r="AH30" s="1" t="s">
        <v>69</v>
      </c>
      <c r="AI30" s="41">
        <f>4*9.8</f>
        <v>39.200000000000003</v>
      </c>
      <c r="BR30" s="18" t="s">
        <v>213</v>
      </c>
      <c r="BS30" s="36">
        <f>BS29/(BU10+BY15)</f>
        <v>4.999121895374499E-4</v>
      </c>
      <c r="BT30" s="18" t="s">
        <v>214</v>
      </c>
      <c r="CT30" s="96"/>
      <c r="CU30" s="96"/>
      <c r="CV30" s="81">
        <f t="shared" si="52"/>
        <v>19</v>
      </c>
      <c r="CW30" s="81">
        <f t="shared" si="52"/>
        <v>4.5</v>
      </c>
      <c r="CX30" s="81">
        <f t="shared" si="52"/>
        <v>0</v>
      </c>
      <c r="CY30" s="81">
        <f t="shared" si="52"/>
        <v>19.075000000000017</v>
      </c>
      <c r="DA30" s="104"/>
      <c r="DB30" s="98"/>
      <c r="DC30" s="98"/>
      <c r="DD30" s="98"/>
      <c r="DE30" s="111"/>
      <c r="DV30" s="86">
        <f>DV29-EE17</f>
        <v>-1.2025333333333329E-33</v>
      </c>
      <c r="FK30" s="1">
        <f>1/EXP(FC22)</f>
        <v>1043.5044593887721</v>
      </c>
    </row>
    <row r="31" spans="4:180" x14ac:dyDescent="0.25">
      <c r="AH31" s="1" t="s">
        <v>70</v>
      </c>
      <c r="AI31" s="11">
        <v>2.8867513459481291E-2</v>
      </c>
      <c r="BR31" s="18" t="s">
        <v>43</v>
      </c>
      <c r="BS31" s="82">
        <f>SQRT((BY12*BT20)^2+(BT12*BY20)^2)/(BY12*(BT12-BY12*BY15))</f>
        <v>4.7081850995173233E-3</v>
      </c>
      <c r="BT31" s="18" t="s">
        <v>215</v>
      </c>
      <c r="CT31" s="96"/>
      <c r="CU31" s="96"/>
      <c r="CV31" s="81">
        <f t="shared" si="52"/>
        <v>18</v>
      </c>
      <c r="CW31" s="81">
        <f t="shared" si="52"/>
        <v>3.5</v>
      </c>
      <c r="CX31" s="81">
        <f t="shared" si="52"/>
        <v>0</v>
      </c>
      <c r="CY31" s="81">
        <f t="shared" si="52"/>
        <v>17.941666666666663</v>
      </c>
      <c r="DV31" s="136">
        <f>DV30/DV29</f>
        <v>2.2271885417952841</v>
      </c>
    </row>
    <row r="32" spans="4:180" x14ac:dyDescent="0.25">
      <c r="AH32" s="1" t="s">
        <v>71</v>
      </c>
      <c r="AI32" s="11">
        <v>2.8867513459481291E-2</v>
      </c>
      <c r="CT32" s="96" t="s">
        <v>294</v>
      </c>
      <c r="CU32" s="96" t="s">
        <v>292</v>
      </c>
      <c r="CV32" s="81">
        <f t="shared" ref="CV32:CY34" si="53">(ABS(DK19-DC19)+ABS(DO19-DG19))/2</f>
        <v>19</v>
      </c>
      <c r="CW32" s="81">
        <f t="shared" si="53"/>
        <v>18</v>
      </c>
      <c r="CX32" s="81">
        <f t="shared" si="53"/>
        <v>0</v>
      </c>
      <c r="CY32" s="81">
        <f t="shared" si="53"/>
        <v>18.700000000000003</v>
      </c>
    </row>
    <row r="33" spans="34:143" x14ac:dyDescent="0.25">
      <c r="AH33" s="1" t="s">
        <v>78</v>
      </c>
      <c r="AI33" s="11">
        <v>2.8867513459481291E-2</v>
      </c>
      <c r="BR33" s="18" t="s">
        <v>216</v>
      </c>
      <c r="BT33" s="18" t="s">
        <v>175</v>
      </c>
      <c r="BU33" s="18">
        <v>850</v>
      </c>
      <c r="BW33" s="18" t="s">
        <v>192</v>
      </c>
      <c r="BX33" s="42">
        <f>SQRT(BT38*BY38)</f>
        <v>197.48417658131498</v>
      </c>
      <c r="CT33" s="96"/>
      <c r="CU33" s="96"/>
      <c r="CV33" s="81">
        <f t="shared" si="53"/>
        <v>19</v>
      </c>
      <c r="CW33" s="81">
        <f t="shared" si="53"/>
        <v>5</v>
      </c>
      <c r="CX33" s="81">
        <f t="shared" si="53"/>
        <v>0</v>
      </c>
      <c r="CY33" s="81">
        <f t="shared" si="53"/>
        <v>19.083333333333329</v>
      </c>
    </row>
    <row r="34" spans="34:143" x14ac:dyDescent="0.25">
      <c r="AH34" s="1" t="s">
        <v>72</v>
      </c>
      <c r="AI34" s="44">
        <f>8*(AI$30*AI$3*AI$4)/(3.14*AJ$13*AJ$13*AI$5*AM$25)</f>
        <v>20120683.67869081</v>
      </c>
      <c r="CT34" s="96"/>
      <c r="CU34" s="96"/>
      <c r="CV34" s="81">
        <f t="shared" si="53"/>
        <v>20</v>
      </c>
      <c r="CW34" s="81">
        <f t="shared" si="53"/>
        <v>45.5</v>
      </c>
      <c r="CX34" s="81">
        <f t="shared" si="53"/>
        <v>0</v>
      </c>
      <c r="CY34" s="81">
        <f t="shared" si="53"/>
        <v>20.758333333333326</v>
      </c>
    </row>
    <row r="35" spans="34:143" x14ac:dyDescent="0.25">
      <c r="AH35" s="1" t="s">
        <v>73</v>
      </c>
      <c r="AI35" s="44">
        <f>8*(AI$30*AI$3*AI$4)/(3.14*AJ$13*AJ$13*AI$5*AM$25)</f>
        <v>20120683.67869081</v>
      </c>
      <c r="BR35" s="96" t="s">
        <v>171</v>
      </c>
      <c r="BS35" s="96"/>
      <c r="BT35" s="18">
        <v>2</v>
      </c>
      <c r="BU35" s="18"/>
      <c r="BV35" s="47"/>
      <c r="BW35" s="96" t="s">
        <v>174</v>
      </c>
      <c r="BX35" s="96"/>
      <c r="BY35" s="36">
        <f>BT35/BU33</f>
        <v>2.352941176470588E-3</v>
      </c>
      <c r="BZ35" s="18"/>
      <c r="CT35" s="107" t="s">
        <v>288</v>
      </c>
      <c r="CU35" s="107" t="s">
        <v>310</v>
      </c>
      <c r="CV35" s="81">
        <f t="shared" ref="CV35:CY37" si="54">AVERAGE(CV29/2,CV32/2)</f>
        <v>9.25</v>
      </c>
      <c r="CW35" s="81">
        <f t="shared" si="54"/>
        <v>6.625</v>
      </c>
      <c r="CX35" s="81">
        <f t="shared" si="54"/>
        <v>0</v>
      </c>
      <c r="CY35" s="81">
        <f t="shared" si="54"/>
        <v>9.2104166666666671</v>
      </c>
      <c r="DB35" s="1" t="s">
        <v>304</v>
      </c>
      <c r="DC35" s="1" t="s">
        <v>305</v>
      </c>
      <c r="DD35" s="1">
        <v>3.3173924781277574E-6</v>
      </c>
    </row>
    <row r="36" spans="34:143" x14ac:dyDescent="0.25">
      <c r="AH36" s="1" t="s">
        <v>74</v>
      </c>
      <c r="AI36" s="44">
        <f>8*(AI$30*AI$3*AI$4)/(3.14*AJ$13*AJ$13*AI$5*AM$25)</f>
        <v>20120683.67869081</v>
      </c>
      <c r="BR36" s="96" t="s">
        <v>172</v>
      </c>
      <c r="BS36" s="96"/>
      <c r="BT36" s="18">
        <v>2.5</v>
      </c>
      <c r="BU36" s="18"/>
      <c r="BV36" s="47"/>
      <c r="BW36" s="96" t="s">
        <v>173</v>
      </c>
      <c r="BX36" s="96"/>
      <c r="BY36" s="8">
        <v>2.5000000000000001E-3</v>
      </c>
      <c r="BZ36" s="18" t="s">
        <v>150</v>
      </c>
      <c r="CT36" s="122"/>
      <c r="CU36" s="122"/>
      <c r="CV36" s="81">
        <f t="shared" si="54"/>
        <v>9.5</v>
      </c>
      <c r="CW36" s="81">
        <f t="shared" si="54"/>
        <v>2.375</v>
      </c>
      <c r="CX36" s="81">
        <f t="shared" si="54"/>
        <v>0</v>
      </c>
      <c r="CY36" s="81">
        <f t="shared" si="54"/>
        <v>9.5395833333333364</v>
      </c>
      <c r="DB36" s="1" t="s">
        <v>311</v>
      </c>
      <c r="DC36" s="1" t="s">
        <v>312</v>
      </c>
      <c r="DD36" s="1">
        <f>0.03/DD35</f>
        <v>9043.2471279163055</v>
      </c>
    </row>
    <row r="37" spans="34:143" x14ac:dyDescent="0.25">
      <c r="AH37" s="1" t="s">
        <v>75</v>
      </c>
      <c r="AI37" s="44">
        <f>8*(AI$30*AI$3*AI$4)/(3.14*AJ$13*AJ$13*AI$5*AM$25)</f>
        <v>20120683.67869081</v>
      </c>
      <c r="BR37" s="96" t="s">
        <v>43</v>
      </c>
      <c r="BS37" s="96"/>
      <c r="BT37" s="24">
        <v>8.0000000000000002E-3</v>
      </c>
      <c r="BU37" s="24"/>
      <c r="BV37" s="47"/>
      <c r="BW37" s="96" t="s">
        <v>43</v>
      </c>
      <c r="BX37" s="96"/>
      <c r="BY37" s="24">
        <v>8.0000000000000002E-3</v>
      </c>
      <c r="BZ37" s="18"/>
      <c r="CT37" s="104"/>
      <c r="CU37" s="104"/>
      <c r="CV37" s="81">
        <f t="shared" si="54"/>
        <v>9.5</v>
      </c>
      <c r="CW37" s="81">
        <f t="shared" si="54"/>
        <v>12.25</v>
      </c>
      <c r="CX37" s="81">
        <f t="shared" si="54"/>
        <v>0</v>
      </c>
      <c r="CY37" s="81">
        <f t="shared" si="54"/>
        <v>9.6749999999999972</v>
      </c>
      <c r="DB37" s="1" t="s">
        <v>313</v>
      </c>
      <c r="DC37" s="1" t="s">
        <v>314</v>
      </c>
      <c r="DD37" s="1">
        <f>1*DD36</f>
        <v>9043.2471279163055</v>
      </c>
    </row>
    <row r="38" spans="34:143" ht="14.4" customHeight="1" x14ac:dyDescent="0.25">
      <c r="AH38" s="1" t="s">
        <v>76</v>
      </c>
      <c r="AI38" s="44">
        <f>8*(AI$30*AI$3*AI$4)/(3.14*AJ$13*AJ$13*AI$5*AM$25)</f>
        <v>20120683.67869081</v>
      </c>
      <c r="BR38" s="18" t="s">
        <v>166</v>
      </c>
      <c r="BS38" s="18" t="s">
        <v>162</v>
      </c>
      <c r="BT38" s="81">
        <f>200*2.5</f>
        <v>500</v>
      </c>
      <c r="BU38" s="18" t="s">
        <v>183</v>
      </c>
      <c r="BV38" s="47"/>
      <c r="BW38" s="18" t="s">
        <v>176</v>
      </c>
      <c r="BX38" s="18" t="s">
        <v>177</v>
      </c>
      <c r="BY38" s="5">
        <v>78</v>
      </c>
      <c r="BZ38" s="18"/>
      <c r="CT38" s="113" t="s">
        <v>289</v>
      </c>
      <c r="CU38" s="123">
        <f>AVERAGE(CT26:CT28)</f>
        <v>9.4166666666666661</v>
      </c>
      <c r="CV38" s="123">
        <f>AVERAGE(CU26:CU28)</f>
        <v>7.083333333333333</v>
      </c>
      <c r="CW38" s="123">
        <f>AVERAGE(CV26:CV28)</f>
        <v>0</v>
      </c>
      <c r="CX38" s="115">
        <f>AVERAGE(CW26:CW28)</f>
        <v>9.4749999999999996</v>
      </c>
      <c r="CY38" s="97">
        <f>CX38*PI()/180</f>
        <v>0.1653699466264627</v>
      </c>
      <c r="ED38" s="53"/>
      <c r="EM38" s="53"/>
    </row>
    <row r="39" spans="34:143" x14ac:dyDescent="0.25">
      <c r="AH39" s="1" t="s">
        <v>77</v>
      </c>
      <c r="AI39" s="43">
        <f>SQRT((AI31/AI3)*(AI31/AI3)+(AI32/AI4)*(AI32/AI4)+(2*AI27/AJ13)*(2*AI27/AJ13)+(AI33/AI5)*(AI33/AI5)+(AI28/AM25)*(AI28/AM25))</f>
        <v>4.0169770877588246E-2</v>
      </c>
      <c r="BR39" s="18" t="s">
        <v>164</v>
      </c>
      <c r="BS39" s="18" t="s">
        <v>185</v>
      </c>
      <c r="BT39" s="36">
        <f>SQRT(BT$14*BT$14/2)</f>
        <v>5.6568542494923801E-3</v>
      </c>
      <c r="BU39" s="8" t="s">
        <v>184</v>
      </c>
      <c r="BV39" s="47"/>
      <c r="BW39" s="18" t="s">
        <v>165</v>
      </c>
      <c r="BX39" s="18" t="s">
        <v>188</v>
      </c>
      <c r="BY39" s="36">
        <f>SQRT(BT$14*BT$14/2)</f>
        <v>5.6568542494923801E-3</v>
      </c>
      <c r="BZ39" s="8" t="s">
        <v>184</v>
      </c>
      <c r="CT39" s="96"/>
      <c r="CU39" s="124"/>
      <c r="CV39" s="124"/>
      <c r="CW39" s="124"/>
      <c r="CX39" s="116"/>
      <c r="CY39" s="98"/>
      <c r="EM39" s="69"/>
    </row>
    <row r="40" spans="34:143" x14ac:dyDescent="0.25">
      <c r="AH40" s="1" t="s">
        <v>79</v>
      </c>
      <c r="AI40" s="44">
        <f>AI39*AI29</f>
        <v>808243.25327343924</v>
      </c>
      <c r="BR40" s="18" t="s">
        <v>167</v>
      </c>
      <c r="BS40" s="18" t="s">
        <v>179</v>
      </c>
      <c r="BT40" s="36">
        <f>BT36*BT39</f>
        <v>1.4142135623730951E-2</v>
      </c>
      <c r="BU40" s="8" t="s">
        <v>186</v>
      </c>
      <c r="BV40" s="47"/>
      <c r="BW40" s="18" t="s">
        <v>178</v>
      </c>
      <c r="BX40" s="18" t="s">
        <v>180</v>
      </c>
      <c r="BY40" s="36">
        <f>BY35*BY39</f>
        <v>1.3310245292923246E-5</v>
      </c>
      <c r="BZ40" s="8" t="s">
        <v>189</v>
      </c>
      <c r="CT40" s="79" t="s">
        <v>42</v>
      </c>
      <c r="CU40" s="58">
        <v>5.4610000000000005E-7</v>
      </c>
      <c r="CV40" s="62"/>
      <c r="EM40" s="60"/>
    </row>
    <row r="41" spans="34:143" x14ac:dyDescent="0.25">
      <c r="BR41" s="18" t="s">
        <v>232</v>
      </c>
      <c r="BS41" s="18" t="s">
        <v>179</v>
      </c>
      <c r="BT41" s="36">
        <f>BT35*BT48</f>
        <v>7.2772650836203222E-3</v>
      </c>
      <c r="BU41" s="8" t="s">
        <v>231</v>
      </c>
      <c r="BV41" s="47"/>
      <c r="BW41" s="18" t="s">
        <v>232</v>
      </c>
      <c r="BX41" s="18" t="s">
        <v>179</v>
      </c>
      <c r="BY41" s="36">
        <f>BY35*BY48</f>
        <v>7.2879215633997357E-6</v>
      </c>
      <c r="BZ41" s="8" t="s">
        <v>231</v>
      </c>
      <c r="CT41" s="77" t="s">
        <v>304</v>
      </c>
      <c r="CU41" s="59" t="s">
        <v>305</v>
      </c>
      <c r="CV41" s="1">
        <f>CU40/SIN(CY38)</f>
        <v>3.3173924781277574E-6</v>
      </c>
    </row>
    <row r="42" spans="34:143" x14ac:dyDescent="0.25">
      <c r="BR42" s="18" t="s">
        <v>168</v>
      </c>
      <c r="BS42" s="18" t="s">
        <v>163</v>
      </c>
      <c r="BT42" s="36">
        <f>SQRT(3)*BT40</f>
        <v>2.4494897427831779E-2</v>
      </c>
      <c r="BU42" s="8" t="s">
        <v>190</v>
      </c>
      <c r="BV42" s="47"/>
      <c r="BW42" s="18" t="s">
        <v>181</v>
      </c>
      <c r="BX42" s="18" t="s">
        <v>163</v>
      </c>
      <c r="BY42" s="36">
        <f>SQRT(3)*BY40</f>
        <v>2.3054021108547554E-5</v>
      </c>
      <c r="BZ42" s="8" t="s">
        <v>190</v>
      </c>
      <c r="CT42" s="77" t="s">
        <v>307</v>
      </c>
      <c r="CU42" s="95">
        <f>SQRT(DE29/2)</f>
        <v>0.2389302693488429</v>
      </c>
    </row>
    <row r="43" spans="34:143" x14ac:dyDescent="0.25">
      <c r="BR43" s="18" t="s">
        <v>233</v>
      </c>
      <c r="BS43" s="18" t="s">
        <v>163</v>
      </c>
      <c r="BT43" s="36">
        <f>SQRT(3)*BT41</f>
        <v>1.2604592864977372E-2</v>
      </c>
      <c r="BU43" s="8" t="s">
        <v>190</v>
      </c>
      <c r="BW43" s="18" t="s">
        <v>233</v>
      </c>
      <c r="BX43" s="18" t="s">
        <v>163</v>
      </c>
      <c r="BY43" s="36">
        <f>SQRT(3)*BY41</f>
        <v>1.2623050429385146E-5</v>
      </c>
      <c r="BZ43" s="8" t="s">
        <v>190</v>
      </c>
      <c r="CT43" s="77" t="s">
        <v>43</v>
      </c>
      <c r="CU43" s="82">
        <f>CU42/CX38</f>
        <v>2.5216914970854133E-2</v>
      </c>
    </row>
    <row r="44" spans="34:143" x14ac:dyDescent="0.25">
      <c r="BR44" s="18" t="s">
        <v>169</v>
      </c>
      <c r="BS44" s="18" t="s">
        <v>170</v>
      </c>
      <c r="BT44" s="82">
        <f>BT42/BT36</f>
        <v>9.7979589711327114E-3</v>
      </c>
      <c r="BU44" s="24" t="s">
        <v>187</v>
      </c>
      <c r="BW44" s="18" t="s">
        <v>182</v>
      </c>
      <c r="BX44" s="18" t="s">
        <v>170</v>
      </c>
      <c r="BY44" s="82">
        <f>BY42/BY36</f>
        <v>9.2216084434190212E-3</v>
      </c>
      <c r="BZ44" s="24" t="s">
        <v>191</v>
      </c>
      <c r="CT44" s="77" t="s">
        <v>307</v>
      </c>
      <c r="CU44" s="61">
        <f>CU43*CU40</f>
        <v>1.3770957265583444E-8</v>
      </c>
    </row>
    <row r="45" spans="34:143" x14ac:dyDescent="0.25">
      <c r="BR45" s="18" t="s">
        <v>234</v>
      </c>
      <c r="BS45" s="18" t="s">
        <v>170</v>
      </c>
      <c r="BT45" s="82">
        <f>BT43/BT36</f>
        <v>5.0418371459909489E-3</v>
      </c>
      <c r="BU45" s="24" t="s">
        <v>187</v>
      </c>
      <c r="BW45" s="18" t="s">
        <v>234</v>
      </c>
      <c r="BX45" s="18" t="s">
        <v>170</v>
      </c>
      <c r="BY45" s="82">
        <f>BY43/BY36</f>
        <v>5.0492201717540581E-3</v>
      </c>
      <c r="BZ45" s="24" t="s">
        <v>187</v>
      </c>
    </row>
    <row r="46" spans="34:143" x14ac:dyDescent="0.25">
      <c r="BR46" s="18" t="s">
        <v>193</v>
      </c>
      <c r="BS46" s="18" t="s">
        <v>218</v>
      </c>
      <c r="BT46" s="36">
        <f>(BT36*(BS50)%)/SQRT(3)</f>
        <v>7.2168783648703227E-3</v>
      </c>
      <c r="BU46" s="18" t="s">
        <v>195</v>
      </c>
      <c r="BW46" s="18" t="s">
        <v>196</v>
      </c>
      <c r="BX46" s="18" t="s">
        <v>197</v>
      </c>
      <c r="BY46" s="36">
        <f>(BY36*(BS50)%)/SQRT(3)</f>
        <v>7.2168783648703231E-6</v>
      </c>
      <c r="BZ46" s="18" t="s">
        <v>198</v>
      </c>
      <c r="CT46" s="1" t="s">
        <v>279</v>
      </c>
    </row>
    <row r="47" spans="34:143" x14ac:dyDescent="0.25">
      <c r="BR47" s="18" t="s">
        <v>217</v>
      </c>
      <c r="BS47" s="18" t="s">
        <v>228</v>
      </c>
      <c r="BT47" s="36">
        <f>BT46/BT35</f>
        <v>3.6084391824351613E-3</v>
      </c>
      <c r="BU47" s="18" t="s">
        <v>219</v>
      </c>
      <c r="BW47" s="18" t="s">
        <v>222</v>
      </c>
      <c r="BX47" s="18" t="s">
        <v>221</v>
      </c>
      <c r="BY47" s="36">
        <f>BY46/BY35</f>
        <v>3.0671733050698876E-3</v>
      </c>
      <c r="BZ47" s="18" t="s">
        <v>220</v>
      </c>
      <c r="CT47" s="96" t="s">
        <v>282</v>
      </c>
      <c r="CU47" s="114">
        <v>-1</v>
      </c>
      <c r="CV47" s="114"/>
      <c r="CW47" s="114"/>
      <c r="CX47" s="114"/>
      <c r="CY47" s="114"/>
      <c r="CZ47" s="114"/>
      <c r="DA47" s="114"/>
      <c r="DB47" s="114"/>
      <c r="DC47" s="114" t="s">
        <v>297</v>
      </c>
      <c r="DD47" s="114"/>
      <c r="DE47" s="114"/>
      <c r="DF47" s="114"/>
      <c r="DG47" s="114"/>
      <c r="DH47" s="114"/>
      <c r="DI47" s="114"/>
      <c r="DJ47" s="114"/>
      <c r="DK47" s="114" t="s">
        <v>283</v>
      </c>
      <c r="DL47" s="114"/>
      <c r="DM47" s="114"/>
      <c r="DN47" s="114"/>
      <c r="DO47" s="114"/>
      <c r="DP47" s="114"/>
      <c r="DQ47" s="114"/>
      <c r="DR47" s="114"/>
    </row>
    <row r="48" spans="34:143" x14ac:dyDescent="0.25">
      <c r="BR48" s="18" t="s">
        <v>225</v>
      </c>
      <c r="BS48" s="18" t="s">
        <v>226</v>
      </c>
      <c r="BT48" s="36">
        <f>BS60/2+BT47</f>
        <v>3.6386325418101611E-3</v>
      </c>
      <c r="BU48" s="18" t="s">
        <v>229</v>
      </c>
      <c r="BW48" s="18" t="s">
        <v>227</v>
      </c>
      <c r="BX48" s="18" t="s">
        <v>226</v>
      </c>
      <c r="BY48" s="36">
        <f>BS60/2+BY47</f>
        <v>3.0973666644448878E-3</v>
      </c>
      <c r="BZ48" s="18" t="s">
        <v>230</v>
      </c>
      <c r="CT48" s="96"/>
      <c r="CU48" s="96" t="s">
        <v>285</v>
      </c>
      <c r="CV48" s="96"/>
      <c r="CW48" s="96"/>
      <c r="CX48" s="96"/>
      <c r="CY48" s="96" t="s">
        <v>286</v>
      </c>
      <c r="CZ48" s="96"/>
      <c r="DA48" s="96"/>
      <c r="DB48" s="96"/>
      <c r="DC48" s="96" t="s">
        <v>298</v>
      </c>
      <c r="DD48" s="96"/>
      <c r="DE48" s="96"/>
      <c r="DF48" s="96"/>
      <c r="DG48" s="96" t="s">
        <v>299</v>
      </c>
      <c r="DH48" s="96"/>
      <c r="DI48" s="96"/>
      <c r="DJ48" s="96"/>
      <c r="DK48" s="96" t="s">
        <v>300</v>
      </c>
      <c r="DL48" s="96"/>
      <c r="DM48" s="96"/>
      <c r="DN48" s="96"/>
      <c r="DO48" s="96" t="s">
        <v>287</v>
      </c>
      <c r="DP48" s="96"/>
      <c r="DQ48" s="96"/>
      <c r="DR48" s="96"/>
    </row>
    <row r="49" spans="70:122" x14ac:dyDescent="0.25">
      <c r="CT49" s="25">
        <v>1</v>
      </c>
      <c r="CU49" s="25">
        <v>55</v>
      </c>
      <c r="CV49" s="25">
        <v>9</v>
      </c>
      <c r="CW49" s="25">
        <v>0</v>
      </c>
      <c r="CX49" s="81">
        <f>CU49+CV49/60</f>
        <v>55.15</v>
      </c>
      <c r="CY49" s="25">
        <v>55</v>
      </c>
      <c r="CZ49" s="25">
        <v>11</v>
      </c>
      <c r="DA49" s="25">
        <v>0</v>
      </c>
      <c r="DB49" s="81">
        <f>CY49+CZ49/60</f>
        <v>55.18333333333333</v>
      </c>
      <c r="DC49" s="25">
        <v>70</v>
      </c>
      <c r="DD49" s="25">
        <v>20</v>
      </c>
      <c r="DE49" s="25">
        <v>0</v>
      </c>
      <c r="DF49" s="81">
        <f>DC49+DD49/60</f>
        <v>70.333333333333329</v>
      </c>
      <c r="DG49" s="25">
        <v>70</v>
      </c>
      <c r="DH49" s="25">
        <v>19</v>
      </c>
      <c r="DI49" s="25"/>
      <c r="DJ49" s="81">
        <f>DG49+DH49/60</f>
        <v>70.316666666666663</v>
      </c>
      <c r="DK49" s="25">
        <v>86</v>
      </c>
      <c r="DL49" s="25">
        <v>4</v>
      </c>
      <c r="DM49" s="25">
        <v>0</v>
      </c>
      <c r="DN49" s="81">
        <f>DK49+DL49/60</f>
        <v>86.066666666666663</v>
      </c>
      <c r="DO49" s="25">
        <v>86</v>
      </c>
      <c r="DP49" s="25">
        <v>1</v>
      </c>
      <c r="DQ49" s="25">
        <v>0</v>
      </c>
      <c r="DR49" s="81">
        <f>DO49+DP49/60</f>
        <v>86.016666666666666</v>
      </c>
    </row>
    <row r="50" spans="70:122" x14ac:dyDescent="0.25">
      <c r="BR50" s="18" t="s">
        <v>199</v>
      </c>
      <c r="BS50" s="18">
        <v>0.5</v>
      </c>
      <c r="BT50" s="18"/>
      <c r="CT50" s="25">
        <v>2</v>
      </c>
      <c r="CU50" s="25">
        <v>178</v>
      </c>
      <c r="CV50" s="25">
        <v>5</v>
      </c>
      <c r="CW50" s="25">
        <v>0</v>
      </c>
      <c r="CX50" s="81">
        <f>CU50+CV50/60</f>
        <v>178.08333333333334</v>
      </c>
      <c r="CY50" s="25">
        <v>178</v>
      </c>
      <c r="CZ50" s="25">
        <v>7</v>
      </c>
      <c r="DA50" s="25">
        <v>0</v>
      </c>
      <c r="DB50" s="81">
        <f>CY50+CZ50/60</f>
        <v>178.11666666666667</v>
      </c>
      <c r="DC50" s="25">
        <v>193</v>
      </c>
      <c r="DD50" s="25">
        <v>15</v>
      </c>
      <c r="DE50" s="25">
        <v>0</v>
      </c>
      <c r="DF50" s="81">
        <f>DC50+DD50/60</f>
        <v>193.25</v>
      </c>
      <c r="DG50" s="25">
        <v>193</v>
      </c>
      <c r="DH50" s="25">
        <v>16</v>
      </c>
      <c r="DI50" s="25"/>
      <c r="DJ50" s="81">
        <f>DG50+DH50/60</f>
        <v>193.26666666666668</v>
      </c>
      <c r="DK50" s="25">
        <v>213</v>
      </c>
      <c r="DL50" s="25">
        <v>33</v>
      </c>
      <c r="DM50" s="25">
        <v>0</v>
      </c>
      <c r="DN50" s="81">
        <f>DK50+DL50/60</f>
        <v>213.55</v>
      </c>
      <c r="DO50" s="25">
        <v>213</v>
      </c>
      <c r="DP50" s="25">
        <v>34</v>
      </c>
      <c r="DQ50" s="25">
        <v>0</v>
      </c>
      <c r="DR50" s="81">
        <f>DO50+DP50/60</f>
        <v>213.56666666666666</v>
      </c>
    </row>
    <row r="51" spans="70:122" x14ac:dyDescent="0.25">
      <c r="BR51" s="18" t="s">
        <v>200</v>
      </c>
      <c r="BS51" s="42">
        <f>1/(1/(BY38+BU33)+1/BT38)</f>
        <v>324.9299719887955</v>
      </c>
      <c r="BT51" s="18" t="s">
        <v>201</v>
      </c>
      <c r="CT51" s="25">
        <v>3</v>
      </c>
      <c r="CU51" s="25">
        <v>294</v>
      </c>
      <c r="CV51" s="25">
        <v>3</v>
      </c>
      <c r="CW51" s="25">
        <v>0</v>
      </c>
      <c r="CX51" s="81">
        <f>CU51+CV51/60</f>
        <v>294.05</v>
      </c>
      <c r="CY51" s="25">
        <v>294</v>
      </c>
      <c r="CZ51" s="25">
        <v>5</v>
      </c>
      <c r="DA51" s="25">
        <v>0</v>
      </c>
      <c r="DB51" s="81">
        <f>CY51+CZ51/60</f>
        <v>294.08333333333331</v>
      </c>
      <c r="DC51" s="25">
        <v>308</v>
      </c>
      <c r="DD51" s="25">
        <v>4</v>
      </c>
      <c r="DE51" s="25">
        <v>0</v>
      </c>
      <c r="DF51" s="81">
        <f>DC51+DD51/60</f>
        <v>308.06666666666666</v>
      </c>
      <c r="DG51" s="25">
        <v>308</v>
      </c>
      <c r="DH51" s="25">
        <v>2</v>
      </c>
      <c r="DI51" s="25"/>
      <c r="DJ51" s="81">
        <f>DG51+DH51/60</f>
        <v>308.03333333333336</v>
      </c>
      <c r="DK51" s="25">
        <v>324</v>
      </c>
      <c r="DL51" s="25">
        <v>23</v>
      </c>
      <c r="DM51" s="25">
        <v>0</v>
      </c>
      <c r="DN51" s="81">
        <f>DK51+DL51/60</f>
        <v>324.38333333333333</v>
      </c>
      <c r="DO51" s="25">
        <v>324</v>
      </c>
      <c r="DP51" s="25">
        <v>20</v>
      </c>
      <c r="DQ51" s="25">
        <v>0</v>
      </c>
      <c r="DR51" s="81">
        <f>DO51+DP51/60</f>
        <v>324.33333333333331</v>
      </c>
    </row>
    <row r="52" spans="70:122" x14ac:dyDescent="0.25">
      <c r="BR52" s="18" t="s">
        <v>202</v>
      </c>
      <c r="BS52" s="42">
        <f>BS51/2</f>
        <v>162.46498599439775</v>
      </c>
      <c r="BT52" s="18" t="s">
        <v>203</v>
      </c>
      <c r="CT52" s="117"/>
      <c r="CU52" s="118"/>
      <c r="CV52" s="118"/>
      <c r="CW52" s="118"/>
      <c r="CX52" s="118"/>
      <c r="CY52" s="118"/>
      <c r="CZ52" s="118"/>
      <c r="DA52" s="118"/>
      <c r="DB52" s="118"/>
      <c r="DC52" s="118"/>
      <c r="DD52" s="118"/>
      <c r="DE52" s="118"/>
      <c r="DF52" s="118"/>
      <c r="DG52" s="118"/>
      <c r="DH52" s="118"/>
      <c r="DI52" s="118"/>
      <c r="DJ52" s="118"/>
      <c r="DK52" s="118"/>
      <c r="DL52" s="118"/>
      <c r="DM52" s="118"/>
      <c r="DN52" s="118"/>
      <c r="DO52" s="118"/>
      <c r="DP52" s="118"/>
      <c r="DQ52" s="118"/>
      <c r="DR52" s="119"/>
    </row>
    <row r="53" spans="70:122" x14ac:dyDescent="0.25">
      <c r="BR53" s="18" t="s">
        <v>204</v>
      </c>
      <c r="BS53" s="7">
        <v>2</v>
      </c>
      <c r="BT53" s="18"/>
      <c r="CT53" s="120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  <c r="DO53" s="121"/>
      <c r="DP53" s="121"/>
      <c r="DQ53" s="121"/>
      <c r="DR53" s="112"/>
    </row>
    <row r="54" spans="70:122" x14ac:dyDescent="0.25">
      <c r="BR54" s="18" t="s">
        <v>205</v>
      </c>
      <c r="BS54" s="36">
        <f>BT36*(1/BS52+1/BS51)</f>
        <v>2.3081896551724136E-2</v>
      </c>
      <c r="BT54" s="18" t="s">
        <v>206</v>
      </c>
      <c r="CT54" s="104" t="s">
        <v>288</v>
      </c>
      <c r="CU54" s="104"/>
      <c r="CV54" s="104"/>
      <c r="CW54" s="104"/>
      <c r="CX54" s="104" t="s">
        <v>301</v>
      </c>
      <c r="CY54" s="104"/>
      <c r="CZ54" s="104"/>
      <c r="DA54" s="104"/>
      <c r="DB54" s="104" t="s">
        <v>302</v>
      </c>
      <c r="DC54" s="104"/>
      <c r="DD54" s="104"/>
      <c r="DE54" s="104"/>
      <c r="DQ54" s="47"/>
      <c r="DR54" s="47"/>
    </row>
    <row r="55" spans="70:122" x14ac:dyDescent="0.25">
      <c r="BR55" s="18" t="s">
        <v>207</v>
      </c>
      <c r="BS55" s="36">
        <f>BY48*BT46/(BT48*BY46)</f>
        <v>851.24469944524753</v>
      </c>
      <c r="BT55" s="18" t="s">
        <v>208</v>
      </c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Q55" s="47"/>
      <c r="DR55" s="47"/>
    </row>
    <row r="56" spans="70:122" x14ac:dyDescent="0.25">
      <c r="BR56" s="18" t="s">
        <v>209</v>
      </c>
      <c r="BS56" s="36">
        <f>BT46/(BT39*(BS55-BY38))</f>
        <v>1.6498993250323704E-3</v>
      </c>
      <c r="BT56" s="18" t="s">
        <v>210</v>
      </c>
      <c r="CT56" s="25">
        <v>7.75</v>
      </c>
      <c r="CU56" s="25">
        <v>6.625</v>
      </c>
      <c r="CV56" s="25">
        <v>0</v>
      </c>
      <c r="CW56" s="7">
        <v>7.71875</v>
      </c>
      <c r="CX56" s="81">
        <f t="shared" ref="CX56:DA58" si="55">CT56-CU$68</f>
        <v>0.16666666666666696</v>
      </c>
      <c r="CY56" s="81">
        <f t="shared" si="55"/>
        <v>1.125</v>
      </c>
      <c r="CZ56" s="81">
        <f t="shared" si="55"/>
        <v>0</v>
      </c>
      <c r="DA56" s="42">
        <f t="shared" si="55"/>
        <v>9.5138888888890882E-2</v>
      </c>
      <c r="DB56" s="81">
        <f t="shared" ref="DB56:DE58" si="56">CX56^2</f>
        <v>2.7777777777777877E-2</v>
      </c>
      <c r="DC56" s="81">
        <f t="shared" si="56"/>
        <v>1.265625</v>
      </c>
      <c r="DD56" s="81">
        <f t="shared" si="56"/>
        <v>0</v>
      </c>
      <c r="DE56" s="32">
        <f t="shared" si="56"/>
        <v>9.0514081790127252E-3</v>
      </c>
      <c r="DL56" s="47"/>
      <c r="DM56" s="47"/>
      <c r="DN56" s="47"/>
      <c r="DO56" s="47"/>
      <c r="DP56" s="47"/>
      <c r="DQ56" s="47"/>
      <c r="DR56" s="47"/>
    </row>
    <row r="57" spans="70:122" x14ac:dyDescent="0.25">
      <c r="BR57" s="18" t="s">
        <v>211</v>
      </c>
      <c r="BS57" s="36">
        <f>BS55*BS56</f>
        <v>1.4044680550520969</v>
      </c>
      <c r="BT57" s="18" t="s">
        <v>212</v>
      </c>
      <c r="CT57" s="25">
        <v>7.5</v>
      </c>
      <c r="CU57" s="25">
        <v>4.75</v>
      </c>
      <c r="CV57" s="25">
        <v>0</v>
      </c>
      <c r="CW57" s="7">
        <v>7.5791666666666622</v>
      </c>
      <c r="CX57" s="81">
        <f t="shared" si="55"/>
        <v>-8.3333333333333037E-2</v>
      </c>
      <c r="CY57" s="81">
        <f t="shared" si="55"/>
        <v>-0.75</v>
      </c>
      <c r="CZ57" s="81">
        <f t="shared" si="55"/>
        <v>0</v>
      </c>
      <c r="DA57" s="42">
        <f t="shared" si="55"/>
        <v>-4.4444444444446951E-2</v>
      </c>
      <c r="DB57" s="81">
        <f t="shared" si="56"/>
        <v>6.9444444444443955E-3</v>
      </c>
      <c r="DC57" s="81">
        <f t="shared" si="56"/>
        <v>0.5625</v>
      </c>
      <c r="DD57" s="81">
        <f t="shared" si="56"/>
        <v>0</v>
      </c>
      <c r="DE57" s="32">
        <f t="shared" si="56"/>
        <v>1.9753086419755316E-3</v>
      </c>
      <c r="DL57" s="47"/>
      <c r="DM57" s="47"/>
      <c r="DN57" s="47"/>
      <c r="DO57" s="47"/>
      <c r="DP57" s="47"/>
      <c r="DQ57" s="47"/>
      <c r="DR57" s="47"/>
    </row>
    <row r="58" spans="70:122" x14ac:dyDescent="0.25">
      <c r="BR58" s="18" t="s">
        <v>213</v>
      </c>
      <c r="BS58" s="36">
        <f>BS57/(BU33+BY38)</f>
        <v>1.5134354041509664E-3</v>
      </c>
      <c r="BT58" s="18" t="s">
        <v>214</v>
      </c>
      <c r="CT58" s="25">
        <v>7.5</v>
      </c>
      <c r="CU58" s="25">
        <v>5.125</v>
      </c>
      <c r="CV58" s="25">
        <v>0</v>
      </c>
      <c r="CW58" s="7">
        <v>7.5729166666666643</v>
      </c>
      <c r="CX58" s="81">
        <f t="shared" si="55"/>
        <v>-8.3333333333333037E-2</v>
      </c>
      <c r="CY58" s="81">
        <f t="shared" si="55"/>
        <v>-0.375</v>
      </c>
      <c r="CZ58" s="81">
        <f t="shared" si="55"/>
        <v>0</v>
      </c>
      <c r="DA58" s="42">
        <f t="shared" si="55"/>
        <v>-5.0694444444444819E-2</v>
      </c>
      <c r="DB58" s="81">
        <f t="shared" si="56"/>
        <v>6.9444444444443955E-3</v>
      </c>
      <c r="DC58" s="81">
        <f t="shared" si="56"/>
        <v>0.140625</v>
      </c>
      <c r="DD58" s="81">
        <f t="shared" si="56"/>
        <v>0</v>
      </c>
      <c r="DE58" s="32">
        <f t="shared" si="56"/>
        <v>2.5699266975309021E-3</v>
      </c>
    </row>
    <row r="59" spans="70:122" x14ac:dyDescent="0.25">
      <c r="BR59" s="18" t="s">
        <v>43</v>
      </c>
      <c r="BS59" s="82">
        <f>SQRT((BY35*BT46)^2+(BT35*BY46)^2)/(BY35*(BT35-BY35*BY38))</f>
        <v>5.2143554260680649E-3</v>
      </c>
      <c r="BT59" s="18" t="s">
        <v>215</v>
      </c>
      <c r="CT59" s="104" t="s">
        <v>290</v>
      </c>
      <c r="CU59" s="104" t="s">
        <v>291</v>
      </c>
      <c r="CV59" s="78">
        <f t="shared" ref="CV59:CY61" si="57">(ABS(CU49-DC49)+ABS(CY49-DG49))/2</f>
        <v>15</v>
      </c>
      <c r="CW59" s="78">
        <f t="shared" si="57"/>
        <v>9.5</v>
      </c>
      <c r="CX59" s="78">
        <f t="shared" si="57"/>
        <v>0</v>
      </c>
      <c r="CY59" s="78">
        <f t="shared" si="57"/>
        <v>15.158333333333331</v>
      </c>
      <c r="DA59" s="107" t="s">
        <v>284</v>
      </c>
      <c r="DB59" s="97">
        <f>SUM(DB56:DB58)</f>
        <v>4.1666666666666671E-2</v>
      </c>
      <c r="DC59" s="97">
        <f>SUM(DC56:DC58)</f>
        <v>1.96875</v>
      </c>
      <c r="DD59" s="97">
        <f>SUM(DD56:DD58)</f>
        <v>0</v>
      </c>
      <c r="DE59" s="110">
        <f>SUM(DE56:DE58)</f>
        <v>1.359664351851916E-2</v>
      </c>
    </row>
    <row r="60" spans="70:122" x14ac:dyDescent="0.25">
      <c r="BR60" s="18" t="s">
        <v>223</v>
      </c>
      <c r="BS60" s="36">
        <f>BT37^2-(BT47^2-BY47^2)</f>
        <v>6.0386718750000002E-5</v>
      </c>
      <c r="BT60" s="18" t="s">
        <v>224</v>
      </c>
      <c r="CT60" s="96"/>
      <c r="CU60" s="96"/>
      <c r="CV60" s="81">
        <f t="shared" si="57"/>
        <v>15</v>
      </c>
      <c r="CW60" s="81">
        <f t="shared" si="57"/>
        <v>9.5</v>
      </c>
      <c r="CX60" s="81">
        <f t="shared" si="57"/>
        <v>0</v>
      </c>
      <c r="CY60" s="81">
        <f t="shared" si="57"/>
        <v>15.158333333333331</v>
      </c>
      <c r="DA60" s="104"/>
      <c r="DB60" s="98"/>
      <c r="DC60" s="98"/>
      <c r="DD60" s="98"/>
      <c r="DE60" s="111"/>
    </row>
    <row r="61" spans="70:122" x14ac:dyDescent="0.25">
      <c r="CT61" s="96"/>
      <c r="CU61" s="96"/>
      <c r="CV61" s="81">
        <f t="shared" si="57"/>
        <v>14</v>
      </c>
      <c r="CW61" s="81">
        <f t="shared" si="57"/>
        <v>2</v>
      </c>
      <c r="CX61" s="81">
        <f t="shared" si="57"/>
        <v>0</v>
      </c>
      <c r="CY61" s="81">
        <f t="shared" si="57"/>
        <v>13.983333333333348</v>
      </c>
    </row>
    <row r="62" spans="70:122" x14ac:dyDescent="0.25">
      <c r="CT62" s="96" t="s">
        <v>294</v>
      </c>
      <c r="CU62" s="96" t="s">
        <v>292</v>
      </c>
      <c r="CV62" s="81">
        <f t="shared" ref="CV62:CY64" si="58">(ABS(DK49-DC49)+ABS(DO49-DG49))/2</f>
        <v>16</v>
      </c>
      <c r="CW62" s="81">
        <f t="shared" si="58"/>
        <v>17</v>
      </c>
      <c r="CX62" s="81">
        <f t="shared" si="58"/>
        <v>0</v>
      </c>
      <c r="CY62" s="81">
        <f t="shared" si="58"/>
        <v>15.716666666666669</v>
      </c>
    </row>
    <row r="63" spans="70:122" x14ac:dyDescent="0.25">
      <c r="CT63" s="96"/>
      <c r="CU63" s="96"/>
      <c r="CV63" s="81">
        <f t="shared" si="58"/>
        <v>20</v>
      </c>
      <c r="CW63" s="81">
        <f t="shared" si="58"/>
        <v>18</v>
      </c>
      <c r="CX63" s="81">
        <f t="shared" si="58"/>
        <v>0</v>
      </c>
      <c r="CY63" s="81">
        <f t="shared" si="58"/>
        <v>20.299999999999997</v>
      </c>
    </row>
    <row r="64" spans="70:122" x14ac:dyDescent="0.25">
      <c r="CT64" s="96"/>
      <c r="CU64" s="96"/>
      <c r="CV64" s="81">
        <f t="shared" si="58"/>
        <v>16</v>
      </c>
      <c r="CW64" s="81">
        <f t="shared" si="58"/>
        <v>18.5</v>
      </c>
      <c r="CX64" s="81">
        <f t="shared" si="58"/>
        <v>0</v>
      </c>
      <c r="CY64" s="81">
        <f t="shared" si="58"/>
        <v>16.308333333333309</v>
      </c>
    </row>
    <row r="65" spans="98:133" x14ac:dyDescent="0.25">
      <c r="CT65" s="107" t="s">
        <v>293</v>
      </c>
      <c r="CU65" s="107" t="s">
        <v>310</v>
      </c>
      <c r="CV65" s="81">
        <f t="shared" ref="CV65:CY67" si="59">AVERAGE(CV59/2,CV62/2)</f>
        <v>7.75</v>
      </c>
      <c r="CW65" s="81">
        <f t="shared" si="59"/>
        <v>6.625</v>
      </c>
      <c r="CX65" s="81">
        <f t="shared" si="59"/>
        <v>0</v>
      </c>
      <c r="CY65" s="81">
        <f t="shared" si="59"/>
        <v>7.71875</v>
      </c>
    </row>
    <row r="66" spans="98:133" x14ac:dyDescent="0.25">
      <c r="CT66" s="122"/>
      <c r="CU66" s="122"/>
      <c r="CV66" s="81">
        <f t="shared" si="59"/>
        <v>8.75</v>
      </c>
      <c r="CW66" s="81">
        <f t="shared" si="59"/>
        <v>6.875</v>
      </c>
      <c r="CX66" s="81">
        <f t="shared" si="59"/>
        <v>0</v>
      </c>
      <c r="CY66" s="81">
        <f t="shared" si="59"/>
        <v>8.8645833333333321</v>
      </c>
    </row>
    <row r="67" spans="98:133" x14ac:dyDescent="0.25">
      <c r="CT67" s="104"/>
      <c r="CU67" s="104"/>
      <c r="CV67" s="81">
        <f t="shared" si="59"/>
        <v>7.5</v>
      </c>
      <c r="CW67" s="81">
        <f t="shared" si="59"/>
        <v>5.125</v>
      </c>
      <c r="CX67" s="81">
        <f t="shared" si="59"/>
        <v>0</v>
      </c>
      <c r="CY67" s="81">
        <f t="shared" si="59"/>
        <v>7.5729166666666643</v>
      </c>
    </row>
    <row r="68" spans="98:133" x14ac:dyDescent="0.25">
      <c r="CT68" s="113" t="s">
        <v>289</v>
      </c>
      <c r="CU68" s="123">
        <f>AVERAGE(CT56:CT58)</f>
        <v>7.583333333333333</v>
      </c>
      <c r="CV68" s="123">
        <f>AVERAGE(CU56:CU58)</f>
        <v>5.5</v>
      </c>
      <c r="CW68" s="123">
        <f>AVERAGE(CV56:CV58)</f>
        <v>0</v>
      </c>
      <c r="CX68" s="115">
        <f>AVERAGE(CW56:CW58)</f>
        <v>7.6236111111111091</v>
      </c>
      <c r="CY68" s="97">
        <f>CX68*PI()/180</f>
        <v>0.1330571147805121</v>
      </c>
    </row>
    <row r="69" spans="98:133" x14ac:dyDescent="0.25">
      <c r="CT69" s="96"/>
      <c r="CU69" s="124"/>
      <c r="CV69" s="124"/>
      <c r="CW69" s="124"/>
      <c r="CX69" s="116"/>
      <c r="CY69" s="98"/>
    </row>
    <row r="70" spans="98:133" x14ac:dyDescent="0.25">
      <c r="CT70" s="26" t="s">
        <v>306</v>
      </c>
      <c r="CU70" s="58" t="s">
        <v>309</v>
      </c>
      <c r="CV70" s="62">
        <f>CU71*SIN(CY68)</f>
        <v>4.4010137763277384E-7</v>
      </c>
    </row>
    <row r="71" spans="98:133" x14ac:dyDescent="0.25">
      <c r="CT71" s="25" t="s">
        <v>303</v>
      </c>
      <c r="CU71" s="59">
        <v>3.3173924781277574E-6</v>
      </c>
      <c r="DW71" s="25" t="s">
        <v>318</v>
      </c>
      <c r="DX71" s="25" t="s">
        <v>319</v>
      </c>
      <c r="DY71" s="105" t="s">
        <v>322</v>
      </c>
      <c r="DZ71" s="106"/>
      <c r="EA71" s="101"/>
      <c r="EB71" s="25" t="s">
        <v>329</v>
      </c>
      <c r="EC71" s="25" t="s">
        <v>320</v>
      </c>
    </row>
    <row r="72" spans="98:133" x14ac:dyDescent="0.25">
      <c r="CT72" s="25" t="s">
        <v>307</v>
      </c>
      <c r="CU72" s="95">
        <f>SQRT(DE59/2)</f>
        <v>8.2451936055253305E-2</v>
      </c>
      <c r="DW72" s="25">
        <v>10</v>
      </c>
      <c r="DX72" s="63">
        <v>30.00414</v>
      </c>
      <c r="DY72" s="25"/>
      <c r="DZ72" s="25"/>
      <c r="EA72" s="25"/>
      <c r="EB72" s="59"/>
      <c r="EC72" s="64"/>
    </row>
    <row r="73" spans="98:133" x14ac:dyDescent="0.25">
      <c r="CT73" s="25" t="s">
        <v>308</v>
      </c>
      <c r="CU73" s="82">
        <f>CU72/CX68</f>
        <v>1.0815338670027763E-2</v>
      </c>
      <c r="DW73" s="25">
        <v>20</v>
      </c>
      <c r="DX73" s="63">
        <v>30.007439999999999</v>
      </c>
      <c r="DY73" s="34">
        <f>DX73-DX72</f>
        <v>3.2999999999994145E-3</v>
      </c>
      <c r="DZ73" s="36">
        <f>2*DY73/10</f>
        <v>6.599999999998829E-4</v>
      </c>
      <c r="EA73" s="36">
        <f>DZ73/1000</f>
        <v>6.5999999999988293E-7</v>
      </c>
      <c r="EB73" s="36">
        <f>EA73-DX82</f>
        <v>1.8999999999991263E-8</v>
      </c>
      <c r="EC73" s="36">
        <f>EB73^2</f>
        <v>3.6099999999966799E-16</v>
      </c>
    </row>
    <row r="74" spans="98:133" x14ac:dyDescent="0.25">
      <c r="CT74" s="25" t="s">
        <v>307</v>
      </c>
      <c r="CU74" s="61">
        <f>CU73*CV70</f>
        <v>4.7598454482442302E-9</v>
      </c>
      <c r="DW74" s="25">
        <v>30</v>
      </c>
      <c r="DX74" s="63">
        <v>30.010719999999999</v>
      </c>
      <c r="DY74" s="34">
        <f>DX74-DX73</f>
        <v>3.2800000000001717E-3</v>
      </c>
      <c r="DZ74" s="36">
        <f>2*DY74/10</f>
        <v>6.5600000000003438E-4</v>
      </c>
      <c r="EA74" s="36">
        <f>DZ74/1000</f>
        <v>6.5600000000003436E-7</v>
      </c>
      <c r="EB74" s="36">
        <f>EA74-DX83</f>
        <v>6.5600000000003436E-7</v>
      </c>
      <c r="EC74" s="36">
        <f>EB74^2</f>
        <v>4.3033600000004506E-13</v>
      </c>
    </row>
    <row r="75" spans="98:133" x14ac:dyDescent="0.25">
      <c r="DW75" s="25">
        <v>40</v>
      </c>
      <c r="DX75" s="63">
        <v>30.013929999999998</v>
      </c>
      <c r="DY75" s="34">
        <f>DX75-DX74</f>
        <v>3.209999999999269E-3</v>
      </c>
      <c r="DZ75" s="36">
        <f>2*DY75/10</f>
        <v>6.4199999999985384E-4</v>
      </c>
      <c r="EA75" s="36">
        <f>DZ75/1000</f>
        <v>6.4199999999985384E-7</v>
      </c>
      <c r="EB75" s="36">
        <f>EA75-DX84</f>
        <v>6.4199999999985384E-7</v>
      </c>
      <c r="EC75" s="36">
        <f>EB75^2</f>
        <v>4.1216399999981231E-13</v>
      </c>
    </row>
    <row r="76" spans="98:133" x14ac:dyDescent="0.25">
      <c r="CT76" s="1" t="s">
        <v>277</v>
      </c>
      <c r="DW76" s="25">
        <v>50</v>
      </c>
      <c r="DX76" s="63">
        <v>30.017189999999999</v>
      </c>
      <c r="DY76" s="34">
        <f>DX76-DX75</f>
        <v>3.2600000000009288E-3</v>
      </c>
      <c r="DZ76" s="36">
        <f>2*DY76/10</f>
        <v>6.5200000000018574E-4</v>
      </c>
      <c r="EA76" s="36">
        <f>DZ76/1000</f>
        <v>6.5200000000018578E-7</v>
      </c>
      <c r="EB76" s="36">
        <f>EA76-DX85</f>
        <v>6.5200000000018578E-7</v>
      </c>
      <c r="EC76" s="36">
        <f>EB76^2</f>
        <v>4.2510400000024225E-13</v>
      </c>
    </row>
    <row r="77" spans="98:133" x14ac:dyDescent="0.25">
      <c r="CT77" s="96" t="s">
        <v>282</v>
      </c>
      <c r="CU77" s="114">
        <v>-1</v>
      </c>
      <c r="CV77" s="114"/>
      <c r="CW77" s="114"/>
      <c r="CX77" s="114"/>
      <c r="CY77" s="114"/>
      <c r="CZ77" s="114"/>
      <c r="DA77" s="114"/>
      <c r="DB77" s="114"/>
      <c r="DC77" s="114" t="s">
        <v>297</v>
      </c>
      <c r="DD77" s="114"/>
      <c r="DE77" s="114"/>
      <c r="DF77" s="114"/>
      <c r="DG77" s="114"/>
      <c r="DH77" s="114"/>
      <c r="DI77" s="114"/>
      <c r="DJ77" s="114"/>
      <c r="DK77" s="114" t="s">
        <v>283</v>
      </c>
      <c r="DL77" s="114"/>
      <c r="DM77" s="114"/>
      <c r="DN77" s="114"/>
      <c r="DO77" s="114"/>
      <c r="DP77" s="114"/>
      <c r="DQ77" s="114"/>
      <c r="DR77" s="114"/>
      <c r="DW77" s="25">
        <v>310</v>
      </c>
      <c r="DX77" s="63">
        <v>35.094700000000003</v>
      </c>
      <c r="DY77" s="25"/>
      <c r="DZ77" s="25"/>
      <c r="EA77" s="25"/>
      <c r="EB77" s="8"/>
      <c r="EC77" s="64"/>
    </row>
    <row r="78" spans="98:133" x14ac:dyDescent="0.25">
      <c r="CT78" s="96"/>
      <c r="CU78" s="96" t="s">
        <v>285</v>
      </c>
      <c r="CV78" s="96"/>
      <c r="CW78" s="96"/>
      <c r="CX78" s="96"/>
      <c r="CY78" s="96" t="s">
        <v>286</v>
      </c>
      <c r="CZ78" s="96"/>
      <c r="DA78" s="96"/>
      <c r="DB78" s="96"/>
      <c r="DC78" s="96" t="s">
        <v>298</v>
      </c>
      <c r="DD78" s="96"/>
      <c r="DE78" s="96"/>
      <c r="DF78" s="96"/>
      <c r="DG78" s="96" t="s">
        <v>299</v>
      </c>
      <c r="DH78" s="96"/>
      <c r="DI78" s="96"/>
      <c r="DJ78" s="96"/>
      <c r="DK78" s="96" t="s">
        <v>300</v>
      </c>
      <c r="DL78" s="96"/>
      <c r="DM78" s="96"/>
      <c r="DN78" s="96"/>
      <c r="DO78" s="96" t="s">
        <v>287</v>
      </c>
      <c r="DP78" s="96"/>
      <c r="DQ78" s="96"/>
      <c r="DR78" s="96"/>
      <c r="DW78" s="25">
        <v>320</v>
      </c>
      <c r="DX78" s="63">
        <v>35.097859999999997</v>
      </c>
      <c r="DY78" s="34">
        <f>DX78-DX77</f>
        <v>3.1599999999940565E-3</v>
      </c>
      <c r="DZ78" s="36">
        <f>2*DY78/10</f>
        <v>6.3199999999881125E-4</v>
      </c>
      <c r="EA78" s="36">
        <f>DZ78/1000</f>
        <v>6.3199999999881124E-7</v>
      </c>
      <c r="EB78" s="36">
        <f>EA78-DX87</f>
        <v>6.3199999999881124E-7</v>
      </c>
      <c r="EC78" s="36">
        <f>EB78^2</f>
        <v>3.9942399999849742E-13</v>
      </c>
    </row>
    <row r="79" spans="98:133" x14ac:dyDescent="0.25">
      <c r="CT79" s="77">
        <v>1</v>
      </c>
      <c r="CU79" s="77">
        <v>50</v>
      </c>
      <c r="CV79" s="77">
        <v>8</v>
      </c>
      <c r="CW79" s="77">
        <v>0</v>
      </c>
      <c r="CX79" s="81">
        <f>CU79+CV79/60</f>
        <v>50.133333333333333</v>
      </c>
      <c r="CY79" s="77">
        <v>50</v>
      </c>
      <c r="CZ79" s="77">
        <v>6</v>
      </c>
      <c r="DA79" s="77">
        <v>0</v>
      </c>
      <c r="DB79" s="81">
        <f>CY79+CZ79/60</f>
        <v>50.1</v>
      </c>
      <c r="DC79" s="77">
        <v>70</v>
      </c>
      <c r="DD79" s="77">
        <v>20</v>
      </c>
      <c r="DE79" s="77">
        <v>0</v>
      </c>
      <c r="DF79" s="81">
        <f>DC79+DD79/60</f>
        <v>70.333333333333329</v>
      </c>
      <c r="DG79" s="77">
        <v>70</v>
      </c>
      <c r="DH79" s="77">
        <v>19</v>
      </c>
      <c r="DI79" s="77"/>
      <c r="DJ79" s="81">
        <f>DG79+DH79/60</f>
        <v>70.316666666666663</v>
      </c>
      <c r="DK79" s="77">
        <v>91</v>
      </c>
      <c r="DL79" s="77">
        <v>39</v>
      </c>
      <c r="DM79" s="77">
        <v>0</v>
      </c>
      <c r="DN79" s="81">
        <f>DK79+DL79/60</f>
        <v>91.65</v>
      </c>
      <c r="DO79" s="77">
        <v>91</v>
      </c>
      <c r="DP79" s="77">
        <v>40</v>
      </c>
      <c r="DQ79" s="77">
        <v>0</v>
      </c>
      <c r="DR79" s="81">
        <f>DO79+DP79/60</f>
        <v>91.666666666666671</v>
      </c>
      <c r="DW79" s="25">
        <v>330</v>
      </c>
      <c r="DX79" s="63">
        <v>35.100999999999999</v>
      </c>
      <c r="DY79" s="34">
        <f>DX79-DX78</f>
        <v>3.140000000001919E-3</v>
      </c>
      <c r="DZ79" s="36">
        <f>2*DY79/10</f>
        <v>6.2800000000038379E-4</v>
      </c>
      <c r="EA79" s="36">
        <f>DZ79/1000</f>
        <v>6.2800000000038377E-7</v>
      </c>
      <c r="EB79" s="36">
        <f>EA79-DX88</f>
        <v>6.2800000000038377E-7</v>
      </c>
      <c r="EC79" s="36">
        <f>EB79^2</f>
        <v>3.9438400000048202E-13</v>
      </c>
    </row>
    <row r="80" spans="98:133" x14ac:dyDescent="0.25">
      <c r="CT80" s="77">
        <v>2</v>
      </c>
      <c r="CU80" s="77">
        <v>172</v>
      </c>
      <c r="CV80" s="77">
        <v>59</v>
      </c>
      <c r="CW80" s="77">
        <v>0</v>
      </c>
      <c r="CX80" s="81">
        <f>CU80+CV80/60</f>
        <v>172.98333333333332</v>
      </c>
      <c r="CY80" s="77">
        <v>172</v>
      </c>
      <c r="CZ80" s="77">
        <v>60</v>
      </c>
      <c r="DA80" s="77">
        <v>0</v>
      </c>
      <c r="DB80" s="81">
        <f>CY80+CZ80/60</f>
        <v>173</v>
      </c>
      <c r="DC80" s="77">
        <v>193</v>
      </c>
      <c r="DD80" s="77">
        <v>15</v>
      </c>
      <c r="DE80" s="77">
        <v>0</v>
      </c>
      <c r="DF80" s="81">
        <f>DC80+DD80/60</f>
        <v>193.25</v>
      </c>
      <c r="DG80" s="77">
        <v>193</v>
      </c>
      <c r="DH80" s="77">
        <v>16</v>
      </c>
      <c r="DI80" s="77"/>
      <c r="DJ80" s="81">
        <f>DG80+DH80/60</f>
        <v>193.26666666666668</v>
      </c>
      <c r="DK80" s="77">
        <v>213</v>
      </c>
      <c r="DL80" s="77">
        <v>27</v>
      </c>
      <c r="DM80" s="77">
        <v>0</v>
      </c>
      <c r="DN80" s="81">
        <f>DK80+DL80/60</f>
        <v>213.45</v>
      </c>
      <c r="DO80" s="77">
        <v>213</v>
      </c>
      <c r="DP80" s="77">
        <v>27</v>
      </c>
      <c r="DQ80" s="77">
        <v>0</v>
      </c>
      <c r="DR80" s="81">
        <f>DO80+DP80/60</f>
        <v>213.45</v>
      </c>
      <c r="DW80" s="25">
        <v>340</v>
      </c>
      <c r="DX80" s="63">
        <v>35.104190000000003</v>
      </c>
      <c r="DY80" s="34">
        <f>DX80-DX79</f>
        <v>3.1900000000035789E-3</v>
      </c>
      <c r="DZ80" s="36">
        <f>2*DY80/10</f>
        <v>6.3800000000071579E-4</v>
      </c>
      <c r="EA80" s="36">
        <f>DZ80/1000</f>
        <v>6.3800000000071582E-7</v>
      </c>
      <c r="EB80" s="36">
        <f>EA80-DX89</f>
        <v>5.2000000007158159E-9</v>
      </c>
      <c r="EC80" s="36">
        <f>EB80^2</f>
        <v>2.7040000007444484E-17</v>
      </c>
    </row>
    <row r="81" spans="98:133" x14ac:dyDescent="0.25">
      <c r="CT81" s="77">
        <v>3</v>
      </c>
      <c r="CU81" s="77">
        <v>289</v>
      </c>
      <c r="CV81" s="77">
        <v>56</v>
      </c>
      <c r="CW81" s="77">
        <v>0</v>
      </c>
      <c r="CX81" s="81">
        <f>CU81+CV81/60</f>
        <v>289.93333333333334</v>
      </c>
      <c r="CY81" s="77">
        <v>289</v>
      </c>
      <c r="CZ81" s="77">
        <v>56</v>
      </c>
      <c r="DA81" s="77">
        <v>0</v>
      </c>
      <c r="DB81" s="81">
        <f>CY81+CZ81/60</f>
        <v>289.93333333333334</v>
      </c>
      <c r="DC81" s="77">
        <v>308</v>
      </c>
      <c r="DD81" s="77">
        <v>4</v>
      </c>
      <c r="DE81" s="77">
        <v>0</v>
      </c>
      <c r="DF81" s="81">
        <f>DC81+DD81/60</f>
        <v>308.06666666666666</v>
      </c>
      <c r="DG81" s="77">
        <v>308</v>
      </c>
      <c r="DH81" s="77">
        <v>2</v>
      </c>
      <c r="DI81" s="77"/>
      <c r="DJ81" s="81">
        <f>DG81+DH81/60</f>
        <v>308.03333333333336</v>
      </c>
      <c r="DK81" s="77">
        <v>329</v>
      </c>
      <c r="DL81" s="77">
        <v>30</v>
      </c>
      <c r="DM81" s="77">
        <v>0</v>
      </c>
      <c r="DN81" s="81">
        <f>DK81+DL81/60</f>
        <v>329.5</v>
      </c>
      <c r="DO81" s="77">
        <v>329</v>
      </c>
      <c r="DP81" s="77">
        <v>29</v>
      </c>
      <c r="DQ81" s="77">
        <v>0</v>
      </c>
      <c r="DR81" s="81">
        <f>DO81+DP81/60</f>
        <v>329.48333333333335</v>
      </c>
      <c r="DW81" s="25">
        <v>350</v>
      </c>
      <c r="DX81" s="63">
        <v>35.107289999999999</v>
      </c>
      <c r="DY81" s="34">
        <f>DX81-DX80</f>
        <v>3.0999999999963279E-3</v>
      </c>
      <c r="DZ81" s="36">
        <f>2*DY81/10</f>
        <v>6.1999999999926556E-4</v>
      </c>
      <c r="EA81" s="36">
        <f>DZ81/1000</f>
        <v>6.1999999999926551E-7</v>
      </c>
      <c r="EB81" s="36">
        <f>EA81-DZ21</f>
        <v>6.1999999999926551E-7</v>
      </c>
      <c r="EC81" s="36">
        <f>EB81^2</f>
        <v>3.8439999999908922E-13</v>
      </c>
    </row>
    <row r="82" spans="98:133" x14ac:dyDescent="0.25">
      <c r="CT82" s="117"/>
      <c r="CU82" s="118"/>
      <c r="CV82" s="118"/>
      <c r="CW82" s="118"/>
      <c r="CX82" s="118"/>
      <c r="CY82" s="118"/>
      <c r="CZ82" s="118"/>
      <c r="DA82" s="118"/>
      <c r="DB82" s="118"/>
      <c r="DC82" s="118"/>
      <c r="DD82" s="118"/>
      <c r="DE82" s="118"/>
      <c r="DF82" s="118"/>
      <c r="DG82" s="118"/>
      <c r="DH82" s="118"/>
      <c r="DI82" s="118"/>
      <c r="DJ82" s="118"/>
      <c r="DK82" s="118"/>
      <c r="DL82" s="118"/>
      <c r="DM82" s="118"/>
      <c r="DN82" s="118"/>
      <c r="DO82" s="118"/>
      <c r="DP82" s="118"/>
      <c r="DQ82" s="118"/>
      <c r="DR82" s="119"/>
      <c r="DW82" s="96" t="s">
        <v>323</v>
      </c>
      <c r="DX82" s="126">
        <f>AVERAGE(EA73:EA76,EA78:EA81)</f>
        <v>6.4099999999989167E-7</v>
      </c>
      <c r="DY82" s="127"/>
      <c r="DZ82" s="127"/>
      <c r="EA82" s="128"/>
      <c r="EB82" s="96" t="s">
        <v>321</v>
      </c>
      <c r="EC82" s="125">
        <f>SUM(EC73:EC76,EC78:EC81)</f>
        <v>2.4462000399981754E-12</v>
      </c>
    </row>
    <row r="83" spans="98:133" x14ac:dyDescent="0.25">
      <c r="CT83" s="120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  <c r="DO83" s="121"/>
      <c r="DP83" s="121"/>
      <c r="DQ83" s="121"/>
      <c r="DR83" s="112"/>
      <c r="DW83" s="96"/>
      <c r="DX83" s="129"/>
      <c r="DY83" s="130"/>
      <c r="DZ83" s="130"/>
      <c r="EA83" s="131"/>
      <c r="EB83" s="96"/>
      <c r="EC83" s="125"/>
    </row>
    <row r="84" spans="98:133" x14ac:dyDescent="0.25">
      <c r="CT84" s="104" t="s">
        <v>288</v>
      </c>
      <c r="CU84" s="104"/>
      <c r="CV84" s="104"/>
      <c r="CW84" s="104"/>
      <c r="CX84" s="104" t="s">
        <v>301</v>
      </c>
      <c r="CY84" s="104"/>
      <c r="CZ84" s="104"/>
      <c r="DA84" s="104"/>
      <c r="DB84" s="104" t="s">
        <v>302</v>
      </c>
      <c r="DC84" s="104"/>
      <c r="DD84" s="104"/>
      <c r="DE84" s="104"/>
      <c r="DQ84" s="47"/>
      <c r="DR84" s="47"/>
    </row>
    <row r="85" spans="98:133" x14ac:dyDescent="0.25">
      <c r="CT85" s="96"/>
      <c r="CU85" s="96"/>
      <c r="CV85" s="96"/>
      <c r="CW85" s="96"/>
      <c r="CX85" s="96"/>
      <c r="CY85" s="96"/>
      <c r="CZ85" s="96"/>
      <c r="DA85" s="96"/>
      <c r="DB85" s="96"/>
      <c r="DC85" s="96"/>
      <c r="DD85" s="96"/>
      <c r="DE85" s="96"/>
      <c r="DQ85" s="47"/>
      <c r="DR85" s="47"/>
      <c r="DY85" s="25" t="s">
        <v>324</v>
      </c>
      <c r="DZ85" s="65"/>
      <c r="EA85" s="25"/>
    </row>
    <row r="86" spans="98:133" x14ac:dyDescent="0.25">
      <c r="CT86" s="77">
        <v>10.25</v>
      </c>
      <c r="CU86" s="77">
        <v>8.125</v>
      </c>
      <c r="CV86" s="77">
        <v>0</v>
      </c>
      <c r="CW86" s="7">
        <v>10.385416666666668</v>
      </c>
      <c r="CX86" s="81">
        <f t="shared" ref="CX86:DA88" si="60">CT86-CU$98</f>
        <v>8.3333333333333925E-2</v>
      </c>
      <c r="CY86" s="81">
        <f t="shared" si="60"/>
        <v>-5.8333333333333339</v>
      </c>
      <c r="CZ86" s="81">
        <f t="shared" si="60"/>
        <v>0</v>
      </c>
      <c r="DA86" s="42">
        <f t="shared" si="60"/>
        <v>0.25555555555555642</v>
      </c>
      <c r="DB86" s="81">
        <f t="shared" ref="DB86:DE88" si="61">CX86^2</f>
        <v>6.9444444444445429E-3</v>
      </c>
      <c r="DC86" s="81">
        <f t="shared" si="61"/>
        <v>34.027777777777786</v>
      </c>
      <c r="DD86" s="81">
        <f t="shared" si="61"/>
        <v>0</v>
      </c>
      <c r="DE86" s="32">
        <f t="shared" si="61"/>
        <v>6.5308641975309084E-2</v>
      </c>
      <c r="DL86" s="47"/>
      <c r="DM86" s="47"/>
      <c r="DN86" s="47"/>
      <c r="DO86" s="47"/>
      <c r="DP86" s="47"/>
      <c r="DQ86" s="47"/>
      <c r="DR86" s="47"/>
      <c r="DY86" s="25" t="s">
        <v>325</v>
      </c>
      <c r="DZ86" s="81">
        <f>SQRT(EC82/56)</f>
        <v>2.0900273579883108E-7</v>
      </c>
      <c r="EA86" s="25"/>
    </row>
    <row r="87" spans="98:133" x14ac:dyDescent="0.25">
      <c r="CT87" s="77">
        <v>10.25</v>
      </c>
      <c r="CU87" s="77">
        <v>13.875</v>
      </c>
      <c r="CV87" s="77">
        <v>0</v>
      </c>
      <c r="CW87" s="7">
        <v>10.114583333333332</v>
      </c>
      <c r="CX87" s="81">
        <f t="shared" si="60"/>
        <v>8.3333333333333925E-2</v>
      </c>
      <c r="CY87" s="81">
        <f t="shared" si="60"/>
        <v>-8.3333333333333925E-2</v>
      </c>
      <c r="CZ87" s="81">
        <f t="shared" si="60"/>
        <v>0</v>
      </c>
      <c r="DA87" s="42">
        <f t="shared" si="60"/>
        <v>-1.5277777777779278E-2</v>
      </c>
      <c r="DB87" s="81">
        <f t="shared" si="61"/>
        <v>6.9444444444445429E-3</v>
      </c>
      <c r="DC87" s="81">
        <f t="shared" si="61"/>
        <v>6.9444444444445429E-3</v>
      </c>
      <c r="DD87" s="81">
        <f t="shared" si="61"/>
        <v>0</v>
      </c>
      <c r="DE87" s="32">
        <f t="shared" si="61"/>
        <v>2.3341049382720632E-4</v>
      </c>
      <c r="DL87" s="47"/>
      <c r="DM87" s="47"/>
      <c r="DN87" s="47"/>
      <c r="DO87" s="47"/>
      <c r="DP87" s="47"/>
      <c r="DQ87" s="47"/>
      <c r="DR87" s="47"/>
      <c r="DY87" s="25" t="s">
        <v>326</v>
      </c>
      <c r="DZ87" s="25"/>
      <c r="EA87" s="25"/>
    </row>
    <row r="88" spans="98:133" x14ac:dyDescent="0.25">
      <c r="CT88" s="77">
        <v>10</v>
      </c>
      <c r="CU88" s="77">
        <v>19.875</v>
      </c>
      <c r="CV88" s="77">
        <v>0</v>
      </c>
      <c r="CW88" s="7">
        <v>9.8895833333333343</v>
      </c>
      <c r="CX88" s="81">
        <f t="shared" si="60"/>
        <v>-0.16666666666666607</v>
      </c>
      <c r="CY88" s="81">
        <f t="shared" si="60"/>
        <v>5.9166666666666661</v>
      </c>
      <c r="CZ88" s="81">
        <f t="shared" si="60"/>
        <v>0</v>
      </c>
      <c r="DA88" s="42">
        <f t="shared" si="60"/>
        <v>-0.24027777777777715</v>
      </c>
      <c r="DB88" s="81">
        <f t="shared" si="61"/>
        <v>2.7777777777777582E-2</v>
      </c>
      <c r="DC88" s="81">
        <f t="shared" si="61"/>
        <v>35.006944444444436</v>
      </c>
      <c r="DD88" s="81">
        <f t="shared" si="61"/>
        <v>0</v>
      </c>
      <c r="DE88" s="32">
        <f t="shared" si="61"/>
        <v>5.773341049382686E-2</v>
      </c>
      <c r="DY88" s="25" t="s">
        <v>327</v>
      </c>
      <c r="DZ88" s="82">
        <f>ABS(DX89-DX82)/DX89</f>
        <v>1.2958280657224505E-2</v>
      </c>
      <c r="EA88" s="25"/>
    </row>
    <row r="89" spans="98:133" x14ac:dyDescent="0.25">
      <c r="CT89" s="104" t="s">
        <v>290</v>
      </c>
      <c r="CU89" s="104" t="s">
        <v>291</v>
      </c>
      <c r="CV89" s="78">
        <f t="shared" ref="CV89:CY91" si="62">(ABS(CU79-DC79)+ABS(CY79-DG79))/2</f>
        <v>20</v>
      </c>
      <c r="CW89" s="78">
        <f t="shared" si="62"/>
        <v>12.5</v>
      </c>
      <c r="CX89" s="78">
        <f t="shared" si="62"/>
        <v>0</v>
      </c>
      <c r="CY89" s="78">
        <f t="shared" si="62"/>
        <v>20.208333333333329</v>
      </c>
      <c r="DA89" s="107" t="s">
        <v>284</v>
      </c>
      <c r="DB89" s="97">
        <f>SUM(DB86:DB88)</f>
        <v>4.1666666666666671E-2</v>
      </c>
      <c r="DC89" s="97">
        <f>SUM(DC86:DC88)</f>
        <v>69.041666666666657</v>
      </c>
      <c r="DD89" s="97">
        <f>SUM(DD86:DD88)</f>
        <v>0</v>
      </c>
      <c r="DE89" s="110">
        <f>SUM(DE86:DE88)</f>
        <v>0.12327546296296316</v>
      </c>
      <c r="DW89" s="25" t="s">
        <v>328</v>
      </c>
      <c r="DX89" s="8">
        <v>6.328E-7</v>
      </c>
      <c r="DY89" s="25" t="s">
        <v>306</v>
      </c>
      <c r="DZ89" s="36">
        <f>DZ88*DX82</f>
        <v>8.306257901279504E-9</v>
      </c>
      <c r="EA89" s="25"/>
    </row>
    <row r="90" spans="98:133" x14ac:dyDescent="0.25">
      <c r="CT90" s="96"/>
      <c r="CU90" s="96"/>
      <c r="CV90" s="81">
        <f t="shared" si="62"/>
        <v>21</v>
      </c>
      <c r="CW90" s="81">
        <f t="shared" si="62"/>
        <v>44</v>
      </c>
      <c r="CX90" s="81">
        <f t="shared" si="62"/>
        <v>0</v>
      </c>
      <c r="CY90" s="81">
        <f t="shared" si="62"/>
        <v>20.26666666666668</v>
      </c>
      <c r="DA90" s="104"/>
      <c r="DB90" s="98"/>
      <c r="DC90" s="98"/>
      <c r="DD90" s="98"/>
      <c r="DE90" s="111"/>
    </row>
    <row r="91" spans="98:133" x14ac:dyDescent="0.25">
      <c r="CT91" s="96"/>
      <c r="CU91" s="96"/>
      <c r="CV91" s="81">
        <f t="shared" si="62"/>
        <v>19</v>
      </c>
      <c r="CW91" s="81">
        <f t="shared" si="62"/>
        <v>53</v>
      </c>
      <c r="CX91" s="81">
        <f t="shared" si="62"/>
        <v>0</v>
      </c>
      <c r="CY91" s="81">
        <f t="shared" si="62"/>
        <v>18.116666666666674</v>
      </c>
    </row>
    <row r="92" spans="98:133" x14ac:dyDescent="0.25">
      <c r="CT92" s="96" t="s">
        <v>294</v>
      </c>
      <c r="CU92" s="96" t="s">
        <v>292</v>
      </c>
      <c r="CV92" s="81">
        <f t="shared" ref="CV92:CY94" si="63">(ABS(DK79-DC79)+ABS(DO79-DG79))/2</f>
        <v>21</v>
      </c>
      <c r="CW92" s="81">
        <f t="shared" si="63"/>
        <v>20</v>
      </c>
      <c r="CX92" s="81">
        <f t="shared" si="63"/>
        <v>0</v>
      </c>
      <c r="CY92" s="81">
        <f t="shared" si="63"/>
        <v>21.333333333333343</v>
      </c>
    </row>
    <row r="93" spans="98:133" x14ac:dyDescent="0.25">
      <c r="CT93" s="96"/>
      <c r="CU93" s="96"/>
      <c r="CV93" s="81">
        <f t="shared" si="63"/>
        <v>20</v>
      </c>
      <c r="CW93" s="81">
        <f t="shared" si="63"/>
        <v>11.5</v>
      </c>
      <c r="CX93" s="81">
        <f t="shared" si="63"/>
        <v>0</v>
      </c>
      <c r="CY93" s="81">
        <f t="shared" si="63"/>
        <v>20.191666666666649</v>
      </c>
    </row>
    <row r="94" spans="98:133" x14ac:dyDescent="0.25">
      <c r="CT94" s="96"/>
      <c r="CU94" s="96"/>
      <c r="CV94" s="81">
        <f t="shared" si="63"/>
        <v>21</v>
      </c>
      <c r="CW94" s="81">
        <f t="shared" si="63"/>
        <v>26.5</v>
      </c>
      <c r="CX94" s="81">
        <f t="shared" si="63"/>
        <v>0</v>
      </c>
      <c r="CY94" s="81">
        <f t="shared" si="63"/>
        <v>21.441666666666663</v>
      </c>
    </row>
    <row r="95" spans="98:133" x14ac:dyDescent="0.25">
      <c r="CT95" s="107" t="s">
        <v>288</v>
      </c>
      <c r="CU95" s="107" t="s">
        <v>310</v>
      </c>
      <c r="CV95" s="81">
        <f t="shared" ref="CV95:CY97" si="64">AVERAGE(CV89/2,CV92/2)</f>
        <v>10.25</v>
      </c>
      <c r="CW95" s="81">
        <f t="shared" si="64"/>
        <v>8.125</v>
      </c>
      <c r="CX95" s="81">
        <f t="shared" si="64"/>
        <v>0</v>
      </c>
      <c r="CY95" s="81">
        <f t="shared" si="64"/>
        <v>10.385416666666668</v>
      </c>
    </row>
    <row r="96" spans="98:133" x14ac:dyDescent="0.25">
      <c r="CT96" s="122"/>
      <c r="CU96" s="122"/>
      <c r="CV96" s="81">
        <f t="shared" si="64"/>
        <v>10.25</v>
      </c>
      <c r="CW96" s="81">
        <f t="shared" si="64"/>
        <v>13.875</v>
      </c>
      <c r="CX96" s="81">
        <f t="shared" si="64"/>
        <v>0</v>
      </c>
      <c r="CY96" s="81">
        <f t="shared" si="64"/>
        <v>10.114583333333332</v>
      </c>
    </row>
    <row r="97" spans="98:122" x14ac:dyDescent="0.25">
      <c r="CT97" s="104"/>
      <c r="CU97" s="104"/>
      <c r="CV97" s="81">
        <f t="shared" si="64"/>
        <v>10</v>
      </c>
      <c r="CW97" s="81">
        <f t="shared" si="64"/>
        <v>19.875</v>
      </c>
      <c r="CX97" s="81">
        <f t="shared" si="64"/>
        <v>0</v>
      </c>
      <c r="CY97" s="81">
        <f t="shared" si="64"/>
        <v>9.8895833333333343</v>
      </c>
    </row>
    <row r="98" spans="98:122" ht="14.4" customHeight="1" x14ac:dyDescent="0.25">
      <c r="CT98" s="113" t="s">
        <v>289</v>
      </c>
      <c r="CU98" s="123">
        <f>AVERAGE(CT86:CT88)</f>
        <v>10.166666666666666</v>
      </c>
      <c r="CV98" s="123">
        <f>AVERAGE(CU86:CU88)</f>
        <v>13.958333333333334</v>
      </c>
      <c r="CW98" s="123">
        <f>AVERAGE(CV86:CV88)</f>
        <v>0</v>
      </c>
      <c r="CX98" s="115">
        <f>AVERAGE(CW86:CW88)</f>
        <v>10.129861111111111</v>
      </c>
      <c r="CY98" s="97">
        <f>CX98*PI()/180</f>
        <v>0.17679942915862004</v>
      </c>
    </row>
    <row r="99" spans="98:122" x14ac:dyDescent="0.25">
      <c r="CT99" s="96"/>
      <c r="CU99" s="124"/>
      <c r="CV99" s="124"/>
      <c r="CW99" s="124"/>
      <c r="CX99" s="116"/>
      <c r="CY99" s="98"/>
    </row>
    <row r="100" spans="98:122" x14ac:dyDescent="0.25">
      <c r="CT100" s="79" t="s">
        <v>42</v>
      </c>
      <c r="CU100" s="58" t="s">
        <v>309</v>
      </c>
      <c r="CV100" s="62">
        <f>CU101*SIN(CY98)</f>
        <v>5.8346232692973008E-7</v>
      </c>
    </row>
    <row r="101" spans="98:122" x14ac:dyDescent="0.25">
      <c r="CT101" s="77" t="s">
        <v>303</v>
      </c>
      <c r="CU101" s="59">
        <v>3.3173924781277574E-6</v>
      </c>
    </row>
    <row r="102" spans="98:122" x14ac:dyDescent="0.25">
      <c r="CT102" s="77" t="s">
        <v>307</v>
      </c>
      <c r="CU102" s="95">
        <f>SQRT(DE89/2)</f>
        <v>0.2482694735191614</v>
      </c>
    </row>
    <row r="103" spans="98:122" x14ac:dyDescent="0.25">
      <c r="CT103" s="77" t="s">
        <v>43</v>
      </c>
      <c r="CU103" s="82">
        <f>CU102/CX98</f>
        <v>2.4508674975498211E-2</v>
      </c>
    </row>
    <row r="104" spans="98:122" x14ac:dyDescent="0.25">
      <c r="CT104" s="77" t="s">
        <v>307</v>
      </c>
      <c r="CU104" s="61">
        <f>CU103*CV100</f>
        <v>1.4299888531168632E-8</v>
      </c>
    </row>
    <row r="106" spans="98:122" x14ac:dyDescent="0.25">
      <c r="CT106" s="1" t="s">
        <v>276</v>
      </c>
    </row>
    <row r="107" spans="98:122" x14ac:dyDescent="0.25">
      <c r="CT107" s="96" t="s">
        <v>282</v>
      </c>
      <c r="CU107" s="114">
        <v>-1</v>
      </c>
      <c r="CV107" s="114"/>
      <c r="CW107" s="114"/>
      <c r="CX107" s="114"/>
      <c r="CY107" s="114"/>
      <c r="CZ107" s="114"/>
      <c r="DA107" s="114"/>
      <c r="DB107" s="114"/>
      <c r="DC107" s="114" t="s">
        <v>297</v>
      </c>
      <c r="DD107" s="114"/>
      <c r="DE107" s="114"/>
      <c r="DF107" s="114"/>
      <c r="DG107" s="114"/>
      <c r="DH107" s="114"/>
      <c r="DI107" s="114"/>
      <c r="DJ107" s="114"/>
      <c r="DK107" s="114" t="s">
        <v>283</v>
      </c>
      <c r="DL107" s="114"/>
      <c r="DM107" s="114"/>
      <c r="DN107" s="114"/>
      <c r="DO107" s="114"/>
      <c r="DP107" s="114"/>
      <c r="DQ107" s="114"/>
      <c r="DR107" s="114"/>
    </row>
    <row r="108" spans="98:122" x14ac:dyDescent="0.25">
      <c r="CT108" s="96"/>
      <c r="CU108" s="96" t="s">
        <v>285</v>
      </c>
      <c r="CV108" s="96"/>
      <c r="CW108" s="96"/>
      <c r="CX108" s="96"/>
      <c r="CY108" s="96" t="s">
        <v>286</v>
      </c>
      <c r="CZ108" s="96"/>
      <c r="DA108" s="96"/>
      <c r="DB108" s="96"/>
      <c r="DC108" s="96" t="s">
        <v>298</v>
      </c>
      <c r="DD108" s="96"/>
      <c r="DE108" s="96"/>
      <c r="DF108" s="96"/>
      <c r="DG108" s="96" t="s">
        <v>299</v>
      </c>
      <c r="DH108" s="96"/>
      <c r="DI108" s="96"/>
      <c r="DJ108" s="96"/>
      <c r="DK108" s="96" t="s">
        <v>300</v>
      </c>
      <c r="DL108" s="96"/>
      <c r="DM108" s="96"/>
      <c r="DN108" s="96"/>
      <c r="DO108" s="96" t="s">
        <v>287</v>
      </c>
      <c r="DP108" s="96"/>
      <c r="DQ108" s="96"/>
      <c r="DR108" s="96"/>
    </row>
    <row r="109" spans="98:122" x14ac:dyDescent="0.25">
      <c r="CT109" s="77">
        <v>1</v>
      </c>
      <c r="CU109" s="77">
        <v>50</v>
      </c>
      <c r="CV109" s="77">
        <v>2</v>
      </c>
      <c r="CW109" s="77">
        <v>0</v>
      </c>
      <c r="CX109" s="81">
        <f>CU109+CV109/60</f>
        <v>50.033333333333331</v>
      </c>
      <c r="CY109" s="77">
        <v>50</v>
      </c>
      <c r="CZ109" s="77">
        <v>4</v>
      </c>
      <c r="DA109" s="77">
        <v>0</v>
      </c>
      <c r="DB109" s="81">
        <f>CY109+CZ109/60</f>
        <v>50.06666666666667</v>
      </c>
      <c r="DC109" s="77">
        <v>70</v>
      </c>
      <c r="DD109" s="77">
        <v>20</v>
      </c>
      <c r="DE109" s="77">
        <v>0</v>
      </c>
      <c r="DF109" s="81">
        <f>DC109+DD109/60</f>
        <v>70.333333333333329</v>
      </c>
      <c r="DG109" s="77">
        <v>70</v>
      </c>
      <c r="DH109" s="77">
        <v>19</v>
      </c>
      <c r="DI109" s="77"/>
      <c r="DJ109" s="81">
        <f>DG109+DH109/60</f>
        <v>70.316666666666663</v>
      </c>
      <c r="DK109" s="77">
        <v>91</v>
      </c>
      <c r="DL109" s="77">
        <v>45</v>
      </c>
      <c r="DM109" s="77">
        <v>0</v>
      </c>
      <c r="DN109" s="81">
        <f>DK109+DL109/60</f>
        <v>91.75</v>
      </c>
      <c r="DO109" s="77">
        <v>91</v>
      </c>
      <c r="DP109" s="77">
        <v>46</v>
      </c>
      <c r="DQ109" s="77">
        <v>0</v>
      </c>
      <c r="DR109" s="81">
        <f>DO109+DP109/60</f>
        <v>91.766666666666666</v>
      </c>
    </row>
    <row r="110" spans="98:122" x14ac:dyDescent="0.25">
      <c r="CT110" s="77">
        <v>2</v>
      </c>
      <c r="CU110" s="77">
        <v>172</v>
      </c>
      <c r="CV110" s="77">
        <v>55</v>
      </c>
      <c r="CW110" s="77">
        <v>0</v>
      </c>
      <c r="CX110" s="81">
        <f>CU110+CV110/60</f>
        <v>172.91666666666666</v>
      </c>
      <c r="CY110" s="77">
        <v>172</v>
      </c>
      <c r="CZ110" s="77">
        <v>53</v>
      </c>
      <c r="DA110" s="77">
        <v>0</v>
      </c>
      <c r="DB110" s="81">
        <f>CY110+CZ110/60</f>
        <v>172.88333333333333</v>
      </c>
      <c r="DC110" s="77">
        <v>193</v>
      </c>
      <c r="DD110" s="77">
        <v>15</v>
      </c>
      <c r="DE110" s="77">
        <v>0</v>
      </c>
      <c r="DF110" s="81">
        <f>DC110+DD110/60</f>
        <v>193.25</v>
      </c>
      <c r="DG110" s="77">
        <v>193</v>
      </c>
      <c r="DH110" s="77">
        <v>16</v>
      </c>
      <c r="DI110" s="77"/>
      <c r="DJ110" s="81">
        <f>DG110+DH110/60</f>
        <v>193.26666666666668</v>
      </c>
      <c r="DK110" s="77">
        <v>213</v>
      </c>
      <c r="DL110" s="77">
        <v>27</v>
      </c>
      <c r="DM110" s="77">
        <v>0</v>
      </c>
      <c r="DN110" s="81">
        <f>DK110+DL110/60</f>
        <v>213.45</v>
      </c>
      <c r="DO110" s="77">
        <v>213</v>
      </c>
      <c r="DP110" s="77">
        <v>27</v>
      </c>
      <c r="DQ110" s="77">
        <v>0</v>
      </c>
      <c r="DR110" s="81">
        <f>DO110+DP110/60</f>
        <v>213.45</v>
      </c>
    </row>
    <row r="111" spans="98:122" x14ac:dyDescent="0.25">
      <c r="CT111" s="77">
        <v>3</v>
      </c>
      <c r="CU111" s="77">
        <v>289</v>
      </c>
      <c r="CV111" s="77">
        <v>52</v>
      </c>
      <c r="CW111" s="77">
        <v>0</v>
      </c>
      <c r="CX111" s="81">
        <f>CU111+CV111/60</f>
        <v>289.86666666666667</v>
      </c>
      <c r="CY111" s="77">
        <v>289</v>
      </c>
      <c r="CZ111" s="77">
        <v>50</v>
      </c>
      <c r="DA111" s="77">
        <v>0</v>
      </c>
      <c r="DB111" s="81">
        <f>CY111+CZ111/60</f>
        <v>289.83333333333331</v>
      </c>
      <c r="DC111" s="77">
        <v>308</v>
      </c>
      <c r="DD111" s="77">
        <v>4</v>
      </c>
      <c r="DE111" s="77">
        <v>0</v>
      </c>
      <c r="DF111" s="81">
        <f>DC111+DD111/60</f>
        <v>308.06666666666666</v>
      </c>
      <c r="DG111" s="77">
        <v>308</v>
      </c>
      <c r="DH111" s="77">
        <v>2</v>
      </c>
      <c r="DI111" s="77"/>
      <c r="DJ111" s="81">
        <f>DG111+DH111/60</f>
        <v>308.03333333333336</v>
      </c>
      <c r="DK111" s="77">
        <v>329</v>
      </c>
      <c r="DL111" s="77">
        <v>34</v>
      </c>
      <c r="DM111" s="77">
        <v>0</v>
      </c>
      <c r="DN111" s="81">
        <f>DK111+DL111/60</f>
        <v>329.56666666666666</v>
      </c>
      <c r="DO111" s="77">
        <v>329</v>
      </c>
      <c r="DP111" s="77">
        <v>33</v>
      </c>
      <c r="DQ111" s="77">
        <v>0</v>
      </c>
      <c r="DR111" s="81">
        <f>DO111+DP111/60</f>
        <v>329.55</v>
      </c>
    </row>
    <row r="112" spans="98:122" x14ac:dyDescent="0.25">
      <c r="CT112" s="117"/>
      <c r="CU112" s="118"/>
      <c r="CV112" s="118"/>
      <c r="CW112" s="118"/>
      <c r="CX112" s="118"/>
      <c r="CY112" s="118"/>
      <c r="CZ112" s="118"/>
      <c r="DA112" s="118"/>
      <c r="DB112" s="118"/>
      <c r="DC112" s="118"/>
      <c r="DD112" s="118"/>
      <c r="DE112" s="118"/>
      <c r="DF112" s="118"/>
      <c r="DG112" s="118"/>
      <c r="DH112" s="118"/>
      <c r="DI112" s="118"/>
      <c r="DJ112" s="118"/>
      <c r="DK112" s="118"/>
      <c r="DL112" s="118"/>
      <c r="DM112" s="118"/>
      <c r="DN112" s="118"/>
      <c r="DO112" s="118"/>
      <c r="DP112" s="118"/>
      <c r="DQ112" s="118"/>
      <c r="DR112" s="119"/>
    </row>
    <row r="113" spans="98:122" x14ac:dyDescent="0.25">
      <c r="CT113" s="120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  <c r="DO113" s="121"/>
      <c r="DP113" s="121"/>
      <c r="DQ113" s="121"/>
      <c r="DR113" s="112"/>
    </row>
    <row r="114" spans="98:122" x14ac:dyDescent="0.25">
      <c r="CT114" s="104" t="s">
        <v>288</v>
      </c>
      <c r="CU114" s="104"/>
      <c r="CV114" s="104"/>
      <c r="CW114" s="104"/>
      <c r="CX114" s="104" t="s">
        <v>301</v>
      </c>
      <c r="CY114" s="104"/>
      <c r="CZ114" s="104"/>
      <c r="DA114" s="104"/>
      <c r="DB114" s="104" t="s">
        <v>302</v>
      </c>
      <c r="DC114" s="104"/>
      <c r="DD114" s="104"/>
      <c r="DE114" s="104"/>
      <c r="DQ114" s="47"/>
      <c r="DR114" s="47"/>
    </row>
    <row r="115" spans="98:122" x14ac:dyDescent="0.25">
      <c r="CT115" s="96"/>
      <c r="CU115" s="96"/>
      <c r="CV115" s="96"/>
      <c r="CW115" s="96"/>
      <c r="CX115" s="96"/>
      <c r="CY115" s="96"/>
      <c r="CZ115" s="96"/>
      <c r="DA115" s="96"/>
      <c r="DB115" s="96"/>
      <c r="DC115" s="96"/>
      <c r="DD115" s="96"/>
      <c r="DE115" s="96"/>
      <c r="DQ115" s="47"/>
      <c r="DR115" s="47"/>
    </row>
    <row r="116" spans="98:122" x14ac:dyDescent="0.25">
      <c r="CT116" s="77">
        <v>10.25</v>
      </c>
      <c r="CU116" s="77">
        <v>10.625</v>
      </c>
      <c r="CV116" s="77">
        <v>0</v>
      </c>
      <c r="CW116" s="7">
        <v>10.427083333333332</v>
      </c>
      <c r="CX116" s="81">
        <f t="shared" ref="CX116:DA118" si="65">CT116-CU$98</f>
        <v>8.3333333333333925E-2</v>
      </c>
      <c r="CY116" s="81">
        <f t="shared" si="65"/>
        <v>-3.3333333333333339</v>
      </c>
      <c r="CZ116" s="81">
        <f t="shared" si="65"/>
        <v>0</v>
      </c>
      <c r="DA116" s="42">
        <f t="shared" si="65"/>
        <v>0.29722222222222072</v>
      </c>
      <c r="DB116" s="81">
        <f t="shared" ref="DB116:DE118" si="66">CX116^2</f>
        <v>6.9444444444445429E-3</v>
      </c>
      <c r="DC116" s="81">
        <f t="shared" si="66"/>
        <v>11.111111111111114</v>
      </c>
      <c r="DD116" s="81">
        <f t="shared" si="66"/>
        <v>0</v>
      </c>
      <c r="DE116" s="32">
        <f t="shared" si="66"/>
        <v>8.8341049382715156E-2</v>
      </c>
      <c r="DL116" s="47"/>
      <c r="DM116" s="47"/>
      <c r="DN116" s="47"/>
      <c r="DO116" s="47"/>
      <c r="DP116" s="47"/>
      <c r="DQ116" s="47"/>
      <c r="DR116" s="47"/>
    </row>
    <row r="117" spans="98:122" x14ac:dyDescent="0.25">
      <c r="CT117" s="77">
        <v>10.25</v>
      </c>
      <c r="CU117" s="77">
        <v>12.5</v>
      </c>
      <c r="CV117" s="77">
        <v>0</v>
      </c>
      <c r="CW117" s="7">
        <v>10.137499999999999</v>
      </c>
      <c r="CX117" s="81">
        <f t="shared" si="65"/>
        <v>8.3333333333333925E-2</v>
      </c>
      <c r="CY117" s="81">
        <f t="shared" si="65"/>
        <v>-1.4583333333333339</v>
      </c>
      <c r="CZ117" s="81">
        <f t="shared" si="65"/>
        <v>0</v>
      </c>
      <c r="DA117" s="42">
        <f t="shared" si="65"/>
        <v>7.6388888888878625E-3</v>
      </c>
      <c r="DB117" s="81">
        <f t="shared" si="66"/>
        <v>6.9444444444445429E-3</v>
      </c>
      <c r="DC117" s="81">
        <f t="shared" si="66"/>
        <v>2.1267361111111129</v>
      </c>
      <c r="DD117" s="81">
        <f t="shared" si="66"/>
        <v>0</v>
      </c>
      <c r="DE117" s="32">
        <f t="shared" si="66"/>
        <v>5.835262345677444E-5</v>
      </c>
      <c r="DL117" s="47"/>
      <c r="DM117" s="47"/>
      <c r="DN117" s="47"/>
      <c r="DO117" s="47"/>
      <c r="DP117" s="47"/>
      <c r="DQ117" s="47"/>
      <c r="DR117" s="47"/>
    </row>
    <row r="118" spans="98:122" x14ac:dyDescent="0.25">
      <c r="CT118" s="77">
        <v>10</v>
      </c>
      <c r="CU118" s="77">
        <v>19.625</v>
      </c>
      <c r="CV118" s="77">
        <v>0</v>
      </c>
      <c r="CW118" s="7">
        <v>9.9270833333333357</v>
      </c>
      <c r="CX118" s="81">
        <f t="shared" si="65"/>
        <v>-0.16666666666666607</v>
      </c>
      <c r="CY118" s="81">
        <f t="shared" si="65"/>
        <v>5.6666666666666661</v>
      </c>
      <c r="CZ118" s="81">
        <f t="shared" si="65"/>
        <v>0</v>
      </c>
      <c r="DA118" s="42">
        <f t="shared" si="65"/>
        <v>-0.20277777777777573</v>
      </c>
      <c r="DB118" s="81">
        <f t="shared" si="66"/>
        <v>2.7777777777777582E-2</v>
      </c>
      <c r="DC118" s="81">
        <f t="shared" si="66"/>
        <v>32.111111111111107</v>
      </c>
      <c r="DD118" s="81">
        <f t="shared" si="66"/>
        <v>0</v>
      </c>
      <c r="DE118" s="32">
        <f t="shared" si="66"/>
        <v>4.1118827160492998E-2</v>
      </c>
    </row>
    <row r="119" spans="98:122" x14ac:dyDescent="0.25">
      <c r="CT119" s="104" t="s">
        <v>290</v>
      </c>
      <c r="CU119" s="104" t="s">
        <v>291</v>
      </c>
      <c r="CV119" s="78">
        <f t="shared" ref="CV119:CY121" si="67">(ABS(CU109-DC109)+ABS(CY109-DG109))/2</f>
        <v>20</v>
      </c>
      <c r="CW119" s="78">
        <f t="shared" si="67"/>
        <v>16.5</v>
      </c>
      <c r="CX119" s="78">
        <f t="shared" si="67"/>
        <v>0</v>
      </c>
      <c r="CY119" s="78">
        <f t="shared" si="67"/>
        <v>20.274999999999995</v>
      </c>
      <c r="DA119" s="107" t="s">
        <v>284</v>
      </c>
      <c r="DB119" s="97">
        <f>SUM(DB116:DB118)</f>
        <v>4.1666666666666671E-2</v>
      </c>
      <c r="DC119" s="97">
        <f>SUM(DC116:DC118)</f>
        <v>45.348958333333336</v>
      </c>
      <c r="DD119" s="97">
        <f>SUM(DD116:DD118)</f>
        <v>0</v>
      </c>
      <c r="DE119" s="110">
        <f>SUM(DE116:DE118)</f>
        <v>0.12951822916666492</v>
      </c>
    </row>
    <row r="120" spans="98:122" x14ac:dyDescent="0.25">
      <c r="CT120" s="96"/>
      <c r="CU120" s="96"/>
      <c r="CV120" s="81">
        <f t="shared" si="67"/>
        <v>21</v>
      </c>
      <c r="CW120" s="81">
        <f t="shared" si="67"/>
        <v>38.5</v>
      </c>
      <c r="CX120" s="81">
        <f t="shared" si="67"/>
        <v>0</v>
      </c>
      <c r="CY120" s="81">
        <f t="shared" si="67"/>
        <v>20.358333333333348</v>
      </c>
      <c r="DA120" s="104"/>
      <c r="DB120" s="98"/>
      <c r="DC120" s="98"/>
      <c r="DD120" s="98"/>
      <c r="DE120" s="111"/>
    </row>
    <row r="121" spans="98:122" x14ac:dyDescent="0.25">
      <c r="CT121" s="96"/>
      <c r="CU121" s="96"/>
      <c r="CV121" s="81">
        <f t="shared" si="67"/>
        <v>19</v>
      </c>
      <c r="CW121" s="81">
        <f t="shared" si="67"/>
        <v>48</v>
      </c>
      <c r="CX121" s="81">
        <f t="shared" si="67"/>
        <v>0</v>
      </c>
      <c r="CY121" s="81">
        <f t="shared" si="67"/>
        <v>18.200000000000017</v>
      </c>
    </row>
    <row r="122" spans="98:122" x14ac:dyDescent="0.25">
      <c r="CT122" s="96" t="s">
        <v>294</v>
      </c>
      <c r="CU122" s="96" t="s">
        <v>292</v>
      </c>
      <c r="CV122" s="81">
        <f t="shared" ref="CV122:CY124" si="68">(ABS(DK109-DC109)+ABS(DO109-DG109))/2</f>
        <v>21</v>
      </c>
      <c r="CW122" s="81">
        <f t="shared" si="68"/>
        <v>26</v>
      </c>
      <c r="CX122" s="81">
        <f t="shared" si="68"/>
        <v>0</v>
      </c>
      <c r="CY122" s="81">
        <f t="shared" si="68"/>
        <v>21.433333333333337</v>
      </c>
    </row>
    <row r="123" spans="98:122" x14ac:dyDescent="0.25">
      <c r="CT123" s="96"/>
      <c r="CU123" s="96"/>
      <c r="CV123" s="81">
        <f t="shared" si="68"/>
        <v>20</v>
      </c>
      <c r="CW123" s="81">
        <f t="shared" si="68"/>
        <v>11.5</v>
      </c>
      <c r="CX123" s="81">
        <f t="shared" si="68"/>
        <v>0</v>
      </c>
      <c r="CY123" s="81">
        <f t="shared" si="68"/>
        <v>20.191666666666649</v>
      </c>
    </row>
    <row r="124" spans="98:122" x14ac:dyDescent="0.25">
      <c r="CT124" s="96"/>
      <c r="CU124" s="96"/>
      <c r="CV124" s="81">
        <f t="shared" si="68"/>
        <v>21</v>
      </c>
      <c r="CW124" s="81">
        <f t="shared" si="68"/>
        <v>30.5</v>
      </c>
      <c r="CX124" s="81">
        <f t="shared" si="68"/>
        <v>0</v>
      </c>
      <c r="CY124" s="81">
        <f t="shared" si="68"/>
        <v>21.508333333333326</v>
      </c>
    </row>
    <row r="125" spans="98:122" x14ac:dyDescent="0.25">
      <c r="CT125" s="107" t="s">
        <v>288</v>
      </c>
      <c r="CU125" s="107" t="s">
        <v>310</v>
      </c>
      <c r="CV125" s="81">
        <f t="shared" ref="CV125:CY127" si="69">AVERAGE(CV119/2,CV122/2)</f>
        <v>10.25</v>
      </c>
      <c r="CW125" s="81">
        <f t="shared" si="69"/>
        <v>10.625</v>
      </c>
      <c r="CX125" s="81">
        <f t="shared" si="69"/>
        <v>0</v>
      </c>
      <c r="CY125" s="81">
        <f t="shared" si="69"/>
        <v>10.427083333333332</v>
      </c>
    </row>
    <row r="126" spans="98:122" x14ac:dyDescent="0.25">
      <c r="CT126" s="122"/>
      <c r="CU126" s="122"/>
      <c r="CV126" s="81">
        <f t="shared" si="69"/>
        <v>10.25</v>
      </c>
      <c r="CW126" s="81">
        <f t="shared" si="69"/>
        <v>12.5</v>
      </c>
      <c r="CX126" s="81">
        <f t="shared" si="69"/>
        <v>0</v>
      </c>
      <c r="CY126" s="81">
        <f t="shared" si="69"/>
        <v>10.137499999999999</v>
      </c>
    </row>
    <row r="127" spans="98:122" x14ac:dyDescent="0.25">
      <c r="CT127" s="104"/>
      <c r="CU127" s="104"/>
      <c r="CV127" s="81">
        <f t="shared" si="69"/>
        <v>10</v>
      </c>
      <c r="CW127" s="81">
        <f t="shared" si="69"/>
        <v>19.625</v>
      </c>
      <c r="CX127" s="81">
        <f t="shared" si="69"/>
        <v>0</v>
      </c>
      <c r="CY127" s="81">
        <f t="shared" si="69"/>
        <v>9.9270833333333357</v>
      </c>
    </row>
    <row r="128" spans="98:122" ht="14.4" customHeight="1" x14ac:dyDescent="0.25">
      <c r="CT128" s="113" t="s">
        <v>289</v>
      </c>
      <c r="CU128" s="123">
        <f>AVERAGE(CT116:CT118)</f>
        <v>10.166666666666666</v>
      </c>
      <c r="CV128" s="123">
        <f>AVERAGE(CU116:CU118)</f>
        <v>14.25</v>
      </c>
      <c r="CW128" s="123">
        <f>AVERAGE(CV116:CV118)</f>
        <v>0</v>
      </c>
      <c r="CX128" s="115">
        <f>AVERAGE(CW116:CW118)</f>
        <v>10.16388888888889</v>
      </c>
      <c r="CY128" s="97">
        <f>CX128*PI()/180</f>
        <v>0.17739332591797921</v>
      </c>
    </row>
    <row r="129" spans="98:103" x14ac:dyDescent="0.25">
      <c r="CT129" s="96"/>
      <c r="CU129" s="124"/>
      <c r="CV129" s="124"/>
      <c r="CW129" s="124"/>
      <c r="CX129" s="116"/>
      <c r="CY129" s="98"/>
    </row>
    <row r="130" spans="98:103" x14ac:dyDescent="0.25">
      <c r="CT130" s="79" t="s">
        <v>42</v>
      </c>
      <c r="CU130" s="58" t="s">
        <v>309</v>
      </c>
      <c r="CV130" s="62">
        <f>CU131*SIN(CY128)</f>
        <v>5.8540170056955328E-7</v>
      </c>
    </row>
    <row r="131" spans="98:103" x14ac:dyDescent="0.25">
      <c r="CT131" s="77" t="s">
        <v>303</v>
      </c>
      <c r="CU131" s="59">
        <v>3.3173924781277574E-6</v>
      </c>
    </row>
    <row r="132" spans="98:103" x14ac:dyDescent="0.25">
      <c r="CT132" s="77" t="s">
        <v>307</v>
      </c>
      <c r="CU132" s="95">
        <f>SQRT(DE119/2)</f>
        <v>0.25447812201313585</v>
      </c>
    </row>
    <row r="133" spans="98:103" x14ac:dyDescent="0.25">
      <c r="CT133" s="77" t="s">
        <v>43</v>
      </c>
      <c r="CU133" s="82">
        <f>CU132/CX128</f>
        <v>2.5037475792492183E-2</v>
      </c>
    </row>
    <row r="134" spans="98:103" x14ac:dyDescent="0.25">
      <c r="CT134" s="77" t="s">
        <v>307</v>
      </c>
      <c r="CU134" s="61">
        <f>CU133*CV130</f>
        <v>1.4656980906893947E-8</v>
      </c>
    </row>
  </sheetData>
  <mergeCells count="287">
    <mergeCell ref="FB2:FC2"/>
    <mergeCell ref="EZ11:EZ12"/>
    <mergeCell ref="FA11:FC11"/>
    <mergeCell ref="FD11:FD12"/>
    <mergeCell ref="FE11:FE12"/>
    <mergeCell ref="EF16:EF18"/>
    <mergeCell ref="EO3:EO7"/>
    <mergeCell ref="EO8:EO12"/>
    <mergeCell ref="EO13:EO17"/>
    <mergeCell ref="ES3:ES7"/>
    <mergeCell ref="ES8:ES12"/>
    <mergeCell ref="ES13:ES17"/>
    <mergeCell ref="EU6:EU7"/>
    <mergeCell ref="EV9:EX9"/>
    <mergeCell ref="EV12:EX12"/>
    <mergeCell ref="EV13:EX13"/>
    <mergeCell ref="EV14:EX14"/>
    <mergeCell ref="EJ2:EK2"/>
    <mergeCell ref="EL2:EM2"/>
    <mergeCell ref="EZ2:EZ3"/>
    <mergeCell ref="FA2:FA3"/>
    <mergeCell ref="DY71:EA71"/>
    <mergeCell ref="DX11:DX16"/>
    <mergeCell ref="EA2:EB2"/>
    <mergeCell ref="DX2:DY2"/>
    <mergeCell ref="EA11:EA16"/>
    <mergeCell ref="EB11:EB16"/>
    <mergeCell ref="CT122:CT124"/>
    <mergeCell ref="CU122:CU124"/>
    <mergeCell ref="CT125:CT127"/>
    <mergeCell ref="CU125:CU127"/>
    <mergeCell ref="CT128:CT129"/>
    <mergeCell ref="CU128:CU129"/>
    <mergeCell ref="EE2:EE3"/>
    <mergeCell ref="EF2:EG2"/>
    <mergeCell ref="EH2:EI2"/>
    <mergeCell ref="EB82:EB83"/>
    <mergeCell ref="EC82:EC83"/>
    <mergeCell ref="DW82:DW83"/>
    <mergeCell ref="DX82:EA83"/>
    <mergeCell ref="CT112:DR113"/>
    <mergeCell ref="CT114:CW115"/>
    <mergeCell ref="CX114:DA115"/>
    <mergeCell ref="DB114:DE115"/>
    <mergeCell ref="CT119:CT121"/>
    <mergeCell ref="CU119:CU121"/>
    <mergeCell ref="DA119:DA120"/>
    <mergeCell ref="DB119:DB120"/>
    <mergeCell ref="DC119:DC120"/>
    <mergeCell ref="DD119:DD120"/>
    <mergeCell ref="DE119:DE120"/>
    <mergeCell ref="CY98:CY99"/>
    <mergeCell ref="CT107:CT108"/>
    <mergeCell ref="CV128:CV129"/>
    <mergeCell ref="CW128:CW129"/>
    <mergeCell ref="CX128:CX129"/>
    <mergeCell ref="CU107:DB107"/>
    <mergeCell ref="DC107:DJ107"/>
    <mergeCell ref="DK107:DR107"/>
    <mergeCell ref="CU108:CX108"/>
    <mergeCell ref="CY108:DB108"/>
    <mergeCell ref="DC108:DF108"/>
    <mergeCell ref="DG108:DJ108"/>
    <mergeCell ref="DK108:DN108"/>
    <mergeCell ref="DO108:DR108"/>
    <mergeCell ref="CY128:CY129"/>
    <mergeCell ref="CT92:CT94"/>
    <mergeCell ref="CU92:CU94"/>
    <mergeCell ref="CT95:CT97"/>
    <mergeCell ref="CU95:CU97"/>
    <mergeCell ref="CT98:CT99"/>
    <mergeCell ref="CU98:CU99"/>
    <mergeCell ref="CV98:CV99"/>
    <mergeCell ref="CW98:CW99"/>
    <mergeCell ref="CX98:CX99"/>
    <mergeCell ref="CT84:CW85"/>
    <mergeCell ref="CX84:DA85"/>
    <mergeCell ref="DB84:DE85"/>
    <mergeCell ref="CT89:CT91"/>
    <mergeCell ref="CU89:CU91"/>
    <mergeCell ref="DA89:DA90"/>
    <mergeCell ref="DB89:DB90"/>
    <mergeCell ref="DC89:DC90"/>
    <mergeCell ref="DD89:DD90"/>
    <mergeCell ref="DE89:DE90"/>
    <mergeCell ref="DC77:DJ77"/>
    <mergeCell ref="DK77:DR77"/>
    <mergeCell ref="CU78:CX78"/>
    <mergeCell ref="CY78:DB78"/>
    <mergeCell ref="DC78:DF78"/>
    <mergeCell ref="DG78:DJ78"/>
    <mergeCell ref="DK78:DN78"/>
    <mergeCell ref="DO78:DR78"/>
    <mergeCell ref="CT82:DR83"/>
    <mergeCell ref="CT65:CT67"/>
    <mergeCell ref="CU65:CU67"/>
    <mergeCell ref="CT68:CT69"/>
    <mergeCell ref="CU68:CU69"/>
    <mergeCell ref="CV68:CV69"/>
    <mergeCell ref="CW68:CW69"/>
    <mergeCell ref="CX68:CX69"/>
    <mergeCell ref="CY68:CY69"/>
    <mergeCell ref="CT77:CT78"/>
    <mergeCell ref="CU77:DB77"/>
    <mergeCell ref="CT59:CT61"/>
    <mergeCell ref="CU59:CU61"/>
    <mergeCell ref="DA59:DA60"/>
    <mergeCell ref="DB59:DB60"/>
    <mergeCell ref="DC59:DC60"/>
    <mergeCell ref="DD59:DD60"/>
    <mergeCell ref="DE59:DE60"/>
    <mergeCell ref="CT62:CT64"/>
    <mergeCell ref="CU62:CU64"/>
    <mergeCell ref="CT32:CT34"/>
    <mergeCell ref="CU32:CU34"/>
    <mergeCell ref="CT35:CT37"/>
    <mergeCell ref="CU35:CU37"/>
    <mergeCell ref="CU38:CU39"/>
    <mergeCell ref="CV38:CV39"/>
    <mergeCell ref="CW38:CW39"/>
    <mergeCell ref="CT52:DR53"/>
    <mergeCell ref="CT54:CW55"/>
    <mergeCell ref="CX54:DA55"/>
    <mergeCell ref="DB54:DE55"/>
    <mergeCell ref="CT47:CT48"/>
    <mergeCell ref="CU47:DB47"/>
    <mergeCell ref="DC47:DJ47"/>
    <mergeCell ref="DK47:DR47"/>
    <mergeCell ref="CU48:CX48"/>
    <mergeCell ref="CY48:DB48"/>
    <mergeCell ref="DC48:DF48"/>
    <mergeCell ref="DG48:DJ48"/>
    <mergeCell ref="DK48:DN48"/>
    <mergeCell ref="DO48:DR48"/>
    <mergeCell ref="DK17:DR17"/>
    <mergeCell ref="DK18:DN18"/>
    <mergeCell ref="DO18:DR18"/>
    <mergeCell ref="CT24:CW25"/>
    <mergeCell ref="CX24:DA25"/>
    <mergeCell ref="DB24:DE25"/>
    <mergeCell ref="CX38:CX39"/>
    <mergeCell ref="DB29:DB30"/>
    <mergeCell ref="DC29:DC30"/>
    <mergeCell ref="DD29:DD30"/>
    <mergeCell ref="DE29:DE30"/>
    <mergeCell ref="CT22:DR23"/>
    <mergeCell ref="CT17:CT18"/>
    <mergeCell ref="CT38:CT39"/>
    <mergeCell ref="CU18:CX18"/>
    <mergeCell ref="CY18:DB18"/>
    <mergeCell ref="CU17:DB17"/>
    <mergeCell ref="DC17:DJ17"/>
    <mergeCell ref="DC18:DF18"/>
    <mergeCell ref="DG18:DJ18"/>
    <mergeCell ref="DA29:DA30"/>
    <mergeCell ref="CY38:CY39"/>
    <mergeCell ref="CT29:CT31"/>
    <mergeCell ref="CU29:CU31"/>
    <mergeCell ref="DM3:DT3"/>
    <mergeCell ref="DM4:DP4"/>
    <mergeCell ref="DQ4:DT4"/>
    <mergeCell ref="CU5:CU8"/>
    <mergeCell ref="CU10:CU13"/>
    <mergeCell ref="CT5:CT13"/>
    <mergeCell ref="CW3:DD3"/>
    <mergeCell ref="CW4:CZ4"/>
    <mergeCell ref="DA4:DD4"/>
    <mergeCell ref="DE3:DL3"/>
    <mergeCell ref="DE4:DH4"/>
    <mergeCell ref="DI4:DL4"/>
    <mergeCell ref="CT3:CV3"/>
    <mergeCell ref="AN23:AN24"/>
    <mergeCell ref="AN15:AN16"/>
    <mergeCell ref="CJ7:CJ8"/>
    <mergeCell ref="CD12:CD13"/>
    <mergeCell ref="CE12:CF12"/>
    <mergeCell ref="CE13:CF13"/>
    <mergeCell ref="CE14:CE15"/>
    <mergeCell ref="CR12:CR19"/>
    <mergeCell ref="CH18:CH19"/>
    <mergeCell ref="CI16:CI17"/>
    <mergeCell ref="CI18:CI19"/>
    <mergeCell ref="CJ16:CJ17"/>
    <mergeCell ref="CJ18:CJ19"/>
    <mergeCell ref="CK16:CK17"/>
    <mergeCell ref="CK18:CK19"/>
    <mergeCell ref="CL16:CL17"/>
    <mergeCell ref="CL18:CL19"/>
    <mergeCell ref="AN17:AN18"/>
    <mergeCell ref="BE7:BH7"/>
    <mergeCell ref="AN19:AN20"/>
    <mergeCell ref="CF16:CF17"/>
    <mergeCell ref="CF18:CF19"/>
    <mergeCell ref="CE16:CE19"/>
    <mergeCell ref="CD14:CD19"/>
    <mergeCell ref="AL21:AL22"/>
    <mergeCell ref="AM21:AM22"/>
    <mergeCell ref="AN21:AN22"/>
    <mergeCell ref="BR13:BS13"/>
    <mergeCell ref="BW13:BX13"/>
    <mergeCell ref="BR2:CB2"/>
    <mergeCell ref="BR6:BX6"/>
    <mergeCell ref="BR12:BS12"/>
    <mergeCell ref="BW12:BX12"/>
    <mergeCell ref="D10:Q10"/>
    <mergeCell ref="D11:D12"/>
    <mergeCell ref="E11:F11"/>
    <mergeCell ref="E12:F12"/>
    <mergeCell ref="D13:D16"/>
    <mergeCell ref="E13:E14"/>
    <mergeCell ref="E15:E16"/>
    <mergeCell ref="BW35:BX35"/>
    <mergeCell ref="A1:B1"/>
    <mergeCell ref="D2:D3"/>
    <mergeCell ref="D4:D7"/>
    <mergeCell ref="E2:F2"/>
    <mergeCell ref="E3:F3"/>
    <mergeCell ref="E4:E5"/>
    <mergeCell ref="E6:E7"/>
    <mergeCell ref="D1:Q1"/>
    <mergeCell ref="Y19:Y20"/>
    <mergeCell ref="D17:F17"/>
    <mergeCell ref="S5:S6"/>
    <mergeCell ref="S14:S15"/>
    <mergeCell ref="D8:F8"/>
    <mergeCell ref="AI15:AK15"/>
    <mergeCell ref="AL17:AL18"/>
    <mergeCell ref="AM17:AM18"/>
    <mergeCell ref="BR36:BS36"/>
    <mergeCell ref="BW36:BX36"/>
    <mergeCell ref="AR1:AS1"/>
    <mergeCell ref="AU1:AZ1"/>
    <mergeCell ref="AE5:AE6"/>
    <mergeCell ref="AF5:AF6"/>
    <mergeCell ref="V12:AC12"/>
    <mergeCell ref="V1:AF1"/>
    <mergeCell ref="V5:V6"/>
    <mergeCell ref="W5:W6"/>
    <mergeCell ref="X5:X6"/>
    <mergeCell ref="Y5:Y6"/>
    <mergeCell ref="Z5:Z6"/>
    <mergeCell ref="AA5:AA6"/>
    <mergeCell ref="AB5:AB6"/>
    <mergeCell ref="AC5:AC6"/>
    <mergeCell ref="AH15:AH16"/>
    <mergeCell ref="AL15:AL16"/>
    <mergeCell ref="AM15:AM16"/>
    <mergeCell ref="AL19:AL20"/>
    <mergeCell ref="AM19:AM20"/>
    <mergeCell ref="AL23:AL24"/>
    <mergeCell ref="AM23:AM24"/>
    <mergeCell ref="AD5:AD6"/>
    <mergeCell ref="BR37:BS37"/>
    <mergeCell ref="BW37:BX37"/>
    <mergeCell ref="CK2:CL2"/>
    <mergeCell ref="CD2:CD3"/>
    <mergeCell ref="CE2:CE3"/>
    <mergeCell ref="CF2:CF3"/>
    <mergeCell ref="CG2:CG3"/>
    <mergeCell ref="CH2:CH3"/>
    <mergeCell ref="CI2:CI3"/>
    <mergeCell ref="CJ2:CJ3"/>
    <mergeCell ref="CD7:CD8"/>
    <mergeCell ref="CE7:CE8"/>
    <mergeCell ref="CF7:CF8"/>
    <mergeCell ref="CG7:CG8"/>
    <mergeCell ref="CH7:CH8"/>
    <mergeCell ref="CI7:CI8"/>
    <mergeCell ref="BR14:BS14"/>
    <mergeCell ref="BW14:BX14"/>
    <mergeCell ref="BR35:BS35"/>
    <mergeCell ref="CD21:CF21"/>
    <mergeCell ref="CD22:CF22"/>
    <mergeCell ref="CG16:CG17"/>
    <mergeCell ref="CG18:CG19"/>
    <mergeCell ref="CH16:CH17"/>
    <mergeCell ref="CD20:CF20"/>
    <mergeCell ref="CP16:CP17"/>
    <mergeCell ref="CP18:CP19"/>
    <mergeCell ref="CQ16:CQ17"/>
    <mergeCell ref="CQ18:CQ19"/>
    <mergeCell ref="CM16:CM17"/>
    <mergeCell ref="CM18:CM19"/>
    <mergeCell ref="CN16:CN17"/>
    <mergeCell ref="CN18:CN19"/>
    <mergeCell ref="CO16:CO17"/>
    <mergeCell ref="CO18:CO19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31" r:id="rId4">
          <objectPr defaultSize="0" autoPict="0" r:id="rId5">
            <anchor moveWithCells="1" sizeWithCells="1">
              <from>
                <xdr:col>29</xdr:col>
                <xdr:colOff>0</xdr:colOff>
                <xdr:row>11</xdr:row>
                <xdr:rowOff>0</xdr:rowOff>
              </from>
              <to>
                <xdr:col>29</xdr:col>
                <xdr:colOff>1257300</xdr:colOff>
                <xdr:row>12</xdr:row>
                <xdr:rowOff>7620</xdr:rowOff>
              </to>
            </anchor>
          </objectPr>
        </oleObject>
      </mc:Choice>
      <mc:Fallback>
        <oleObject progId="Equation.3" shapeId="103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2018-12-29T07:56:51Z</dcterms:modified>
</cp:coreProperties>
</file>