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_list - ko" sheetId="1" r:id="rId4"/>
    <sheet state="visible" name="countries_list - ko" sheetId="2" r:id="rId5"/>
  </sheets>
  <definedNames/>
  <calcPr/>
</workbook>
</file>

<file path=xl/sharedStrings.xml><?xml version="1.0" encoding="utf-8"?>
<sst xmlns="http://schemas.openxmlformats.org/spreadsheetml/2006/main" count="755" uniqueCount="585">
  <si>
    <t>name</t>
  </si>
  <si>
    <t>lon</t>
  </si>
  <si>
    <t>lat</t>
  </si>
  <si>
    <t>country</t>
  </si>
  <si>
    <t>ko_name</t>
  </si>
  <si>
    <t>ko_country</t>
  </si>
  <si>
    <t>Abidjan</t>
  </si>
  <si>
    <t>Ivory Coast</t>
  </si>
  <si>
    <t>Abu Dhabi</t>
  </si>
  <si>
    <t>United Arab Emirates</t>
  </si>
  <si>
    <t>Abuja</t>
  </si>
  <si>
    <t>Nigeria</t>
  </si>
  <si>
    <t>Accra</t>
  </si>
  <si>
    <t>Ghana</t>
  </si>
  <si>
    <t>Addis Ababa</t>
  </si>
  <si>
    <t>Ethiopia</t>
  </si>
  <si>
    <t>Ahmedabad</t>
  </si>
  <si>
    <t>India</t>
  </si>
  <si>
    <t>Aleppo</t>
  </si>
  <si>
    <t>Syria</t>
  </si>
  <si>
    <t>Alexandria</t>
  </si>
  <si>
    <t>Egypt</t>
  </si>
  <si>
    <t>Algiers</t>
  </si>
  <si>
    <t>Algeria</t>
  </si>
  <si>
    <t>Almaty</t>
  </si>
  <si>
    <t>Kazakhstan</t>
  </si>
  <si>
    <t>Amman</t>
  </si>
  <si>
    <t>Jordan</t>
  </si>
  <si>
    <t>Amsterdam</t>
  </si>
  <si>
    <t>Netherlands</t>
  </si>
  <si>
    <t>Anchorage</t>
  </si>
  <si>
    <t>United States</t>
  </si>
  <si>
    <t>Andorra la Vella</t>
  </si>
  <si>
    <t>Andorra</t>
  </si>
  <si>
    <t>Ankara</t>
  </si>
  <si>
    <t>Turkey</t>
  </si>
  <si>
    <t>튀르키예</t>
  </si>
  <si>
    <t>Antananarivo</t>
  </si>
  <si>
    <t>Madagascar</t>
  </si>
  <si>
    <t>Apia</t>
  </si>
  <si>
    <t>Samoa</t>
  </si>
  <si>
    <t>Arnold</t>
  </si>
  <si>
    <t>Ashgabat</t>
  </si>
  <si>
    <t>Turkmenistan</t>
  </si>
  <si>
    <t>Asmara</t>
  </si>
  <si>
    <t>Eritrea</t>
  </si>
  <si>
    <t>Asuncion</t>
  </si>
  <si>
    <t>Paraguay</t>
  </si>
  <si>
    <t>Athens</t>
  </si>
  <si>
    <t>Greece</t>
  </si>
  <si>
    <t>Auckland</t>
  </si>
  <si>
    <t>New Zealand</t>
  </si>
  <si>
    <t>Avarua</t>
  </si>
  <si>
    <t>Cook Islands</t>
  </si>
  <si>
    <t>Baghdad</t>
  </si>
  <si>
    <t>Iraq</t>
  </si>
  <si>
    <t>Baku</t>
  </si>
  <si>
    <t>Azerbaijan</t>
  </si>
  <si>
    <t>Bamako</t>
  </si>
  <si>
    <t>Mali</t>
  </si>
  <si>
    <t>Banda Aceh</t>
  </si>
  <si>
    <t>Indonesia</t>
  </si>
  <si>
    <t>Bandar Seri Begawan</t>
  </si>
  <si>
    <t>Brunei</t>
  </si>
  <si>
    <t>Bandung</t>
  </si>
  <si>
    <t>Bangkok</t>
  </si>
  <si>
    <t>Thailand</t>
  </si>
  <si>
    <t>Bangui</t>
  </si>
  <si>
    <t>Central African Republic</t>
  </si>
  <si>
    <t>Banjul</t>
  </si>
  <si>
    <t>Gambia</t>
  </si>
  <si>
    <t>Barcelona</t>
  </si>
  <si>
    <t>Spain</t>
  </si>
  <si>
    <t>Barranquilla</t>
  </si>
  <si>
    <t>Colombia</t>
  </si>
  <si>
    <t>Basrah</t>
  </si>
  <si>
    <t>Basse-Terre</t>
  </si>
  <si>
    <t>Guadeloupe</t>
  </si>
  <si>
    <t>Basseterre</t>
  </si>
  <si>
    <t>Saint Kitts and Nevis</t>
  </si>
  <si>
    <t>Beijing</t>
  </si>
  <si>
    <t>China</t>
  </si>
  <si>
    <t>Beirut</t>
  </si>
  <si>
    <t>Lebanon</t>
  </si>
  <si>
    <t>Bekasi</t>
  </si>
  <si>
    <t>Belem</t>
  </si>
  <si>
    <t>Brazil</t>
  </si>
  <si>
    <t>Belgrade</t>
  </si>
  <si>
    <t>Serbia</t>
  </si>
  <si>
    <t>Belmopan</t>
  </si>
  <si>
    <t>Belize</t>
  </si>
  <si>
    <t>Belo Horizonte</t>
  </si>
  <si>
    <t>Bengaluru</t>
  </si>
  <si>
    <t>Berlin</t>
  </si>
  <si>
    <t>Germany</t>
  </si>
  <si>
    <t>Bern</t>
  </si>
  <si>
    <t>Switzerland</t>
  </si>
  <si>
    <t>Bishkek</t>
  </si>
  <si>
    <t>Kyrgyzstan</t>
  </si>
  <si>
    <t>Bissau</t>
  </si>
  <si>
    <t>Guinea-Bissau</t>
  </si>
  <si>
    <t>Bogota</t>
  </si>
  <si>
    <t>Brasilia</t>
  </si>
  <si>
    <t>Bratislava</t>
  </si>
  <si>
    <t>Slovakia</t>
  </si>
  <si>
    <t>Brazzaville</t>
  </si>
  <si>
    <t>Republic of the Congo</t>
  </si>
  <si>
    <t>Bridgetown</t>
  </si>
  <si>
    <t>Barbados</t>
  </si>
  <si>
    <t>Brisbane</t>
  </si>
  <si>
    <t>Australia</t>
  </si>
  <si>
    <t>Brussels</t>
  </si>
  <si>
    <t>Belgium</t>
  </si>
  <si>
    <t>Bucharest</t>
  </si>
  <si>
    <t>Romania</t>
  </si>
  <si>
    <t>Budapest</t>
  </si>
  <si>
    <t>Hungary</t>
  </si>
  <si>
    <t>Buenos Aires</t>
  </si>
  <si>
    <t>Argentina</t>
  </si>
  <si>
    <t>Bujumbura</t>
  </si>
  <si>
    <t>Burundi</t>
  </si>
  <si>
    <t>Bursa</t>
  </si>
  <si>
    <t>Busan</t>
  </si>
  <si>
    <t>South Korea</t>
  </si>
  <si>
    <t>Cairo</t>
  </si>
  <si>
    <t>Cali</t>
  </si>
  <si>
    <t>Caloocan</t>
  </si>
  <si>
    <t>Philippines</t>
  </si>
  <si>
    <t>Camayenne</t>
  </si>
  <si>
    <t>Guinea</t>
  </si>
  <si>
    <t>Canberra</t>
  </si>
  <si>
    <t>Cape Town</t>
  </si>
  <si>
    <t>South Africa</t>
  </si>
  <si>
    <t>Caracas</t>
  </si>
  <si>
    <t>Venezuela</t>
  </si>
  <si>
    <t>Casablanca</t>
  </si>
  <si>
    <t>Morocco</t>
  </si>
  <si>
    <t>Castries</t>
  </si>
  <si>
    <t>Saint Lucia</t>
  </si>
  <si>
    <t>Cayenne</t>
  </si>
  <si>
    <t>French Guiana</t>
  </si>
  <si>
    <t>카옌</t>
  </si>
  <si>
    <t>Charlotte Amalie</t>
  </si>
  <si>
    <t>U.S. Virgin Islands</t>
  </si>
  <si>
    <t>Chengdu</t>
  </si>
  <si>
    <t>Chennai</t>
  </si>
  <si>
    <t>Chicago</t>
  </si>
  <si>
    <t>Chisinau</t>
  </si>
  <si>
    <t>Moldova</t>
  </si>
  <si>
    <t>Chittagong</t>
  </si>
  <si>
    <t>Bangladesh</t>
  </si>
  <si>
    <t>Chongqing</t>
  </si>
  <si>
    <t>Colombo</t>
  </si>
  <si>
    <t>Sri Lanka</t>
  </si>
  <si>
    <t>Conakry</t>
  </si>
  <si>
    <t>Copenhagen</t>
  </si>
  <si>
    <t>Denmark</t>
  </si>
  <si>
    <t>Cordoba</t>
  </si>
  <si>
    <t>Curitiba</t>
  </si>
  <si>
    <t>Daegu</t>
  </si>
  <si>
    <t>Daejeon</t>
  </si>
  <si>
    <t>Dakar</t>
  </si>
  <si>
    <t>Senegal</t>
  </si>
  <si>
    <t>Dallas</t>
  </si>
  <si>
    <t>Damascus</t>
  </si>
  <si>
    <t>Dar es Salaam</t>
  </si>
  <si>
    <t>Tanzania</t>
  </si>
  <si>
    <t>Delhi</t>
  </si>
  <si>
    <t>Denver</t>
  </si>
  <si>
    <t>Dhaka</t>
  </si>
  <si>
    <t>Dili</t>
  </si>
  <si>
    <t>Timor Leste</t>
  </si>
  <si>
    <t>Djibouti</t>
  </si>
  <si>
    <t>Dodoma</t>
  </si>
  <si>
    <t>Doha</t>
  </si>
  <si>
    <t>Qatar</t>
  </si>
  <si>
    <t>Dongguan</t>
  </si>
  <si>
    <t>Douala</t>
  </si>
  <si>
    <t>Cameroon</t>
  </si>
  <si>
    <t>Douglas</t>
  </si>
  <si>
    <t>Isle of Man</t>
  </si>
  <si>
    <t>Dubai</t>
  </si>
  <si>
    <t>Dublin</t>
  </si>
  <si>
    <t>Ireland</t>
  </si>
  <si>
    <t>Durban</t>
  </si>
  <si>
    <t>Dushanbe</t>
  </si>
  <si>
    <t>Tajikistan</t>
  </si>
  <si>
    <t>Faisalabad</t>
  </si>
  <si>
    <t>Pakistan</t>
  </si>
  <si>
    <t>Fort-de-France</t>
  </si>
  <si>
    <t>Martinique</t>
  </si>
  <si>
    <t>Fortaleza</t>
  </si>
  <si>
    <t>Freetown</t>
  </si>
  <si>
    <t>Sierra Leone</t>
  </si>
  <si>
    <t>Fukuoka</t>
  </si>
  <si>
    <t>Japan</t>
  </si>
  <si>
    <t>Funafuti</t>
  </si>
  <si>
    <t>Tuvalu</t>
  </si>
  <si>
    <t>Gaborone</t>
  </si>
  <si>
    <t>Botswana</t>
  </si>
  <si>
    <t>George Town</t>
  </si>
  <si>
    <t>Malaysia</t>
  </si>
  <si>
    <t>Georgetown</t>
  </si>
  <si>
    <t>Guyana</t>
  </si>
  <si>
    <t>Gibraltar</t>
  </si>
  <si>
    <t>Gitega</t>
  </si>
  <si>
    <t>Giza</t>
  </si>
  <si>
    <t>Guadalajara</t>
  </si>
  <si>
    <t>Mexico</t>
  </si>
  <si>
    <t>Guangzhou</t>
  </si>
  <si>
    <t>Guatemala City</t>
  </si>
  <si>
    <t>Guatemala</t>
  </si>
  <si>
    <t>Guayaquil</t>
  </si>
  <si>
    <t>Ecuador</t>
  </si>
  <si>
    <t>Gujranwala</t>
  </si>
  <si>
    <t>Gustavia</t>
  </si>
  <si>
    <t>Saint Barthelemy</t>
  </si>
  <si>
    <t>Gwangju</t>
  </si>
  <si>
    <t>Hamburg</t>
  </si>
  <si>
    <t>Hanoi</t>
  </si>
  <si>
    <t>Vietnam</t>
  </si>
  <si>
    <t>Harare</t>
  </si>
  <si>
    <t>Zimbabwe</t>
  </si>
  <si>
    <t>Havana</t>
  </si>
  <si>
    <t>Cuba</t>
  </si>
  <si>
    <t>Helsinki</t>
  </si>
  <si>
    <t>Finland</t>
  </si>
  <si>
    <t>Ho Chi Minh City</t>
  </si>
  <si>
    <t>Hong Kong</t>
  </si>
  <si>
    <t>Honiara</t>
  </si>
  <si>
    <t>Solomon Islands</t>
  </si>
  <si>
    <t>Honolulu</t>
  </si>
  <si>
    <t>Houston</t>
  </si>
  <si>
    <t>Hyderabad</t>
  </si>
  <si>
    <t>Ibadan</t>
  </si>
  <si>
    <t>Incheon</t>
  </si>
  <si>
    <t>Isfahan</t>
  </si>
  <si>
    <t>Iran</t>
  </si>
  <si>
    <t>Islamabad</t>
  </si>
  <si>
    <t>Istanbul</t>
  </si>
  <si>
    <t>Izmir</t>
  </si>
  <si>
    <t>Jaipur</t>
  </si>
  <si>
    <t>Jakarta</t>
  </si>
  <si>
    <t>Jeddah</t>
  </si>
  <si>
    <t>Saudi Arabia</t>
  </si>
  <si>
    <t>Jerusalem</t>
  </si>
  <si>
    <t>Israel</t>
  </si>
  <si>
    <t>Johannesburg</t>
  </si>
  <si>
    <t>Juarez</t>
  </si>
  <si>
    <t>Juba</t>
  </si>
  <si>
    <t>South Sudan</t>
  </si>
  <si>
    <t>Kabul</t>
  </si>
  <si>
    <t>Afghanistan</t>
  </si>
  <si>
    <t>Kaduna</t>
  </si>
  <si>
    <t>Kampala</t>
  </si>
  <si>
    <t>Uganda</t>
  </si>
  <si>
    <t>Kano</t>
  </si>
  <si>
    <t>Kanpur</t>
  </si>
  <si>
    <t>Kaohsiung</t>
  </si>
  <si>
    <t>Taiwan</t>
  </si>
  <si>
    <t>Karachi</t>
  </si>
  <si>
    <t>Karaj</t>
  </si>
  <si>
    <t>Kathmandu</t>
  </si>
  <si>
    <t>Nepal</t>
  </si>
  <si>
    <t>Kawasaki</t>
  </si>
  <si>
    <t>Kharkiv</t>
  </si>
  <si>
    <t>Ukraine</t>
  </si>
  <si>
    <t>Khartoum</t>
  </si>
  <si>
    <t>Sudan</t>
  </si>
  <si>
    <t>Khulna</t>
  </si>
  <si>
    <t>Kigali</t>
  </si>
  <si>
    <t>Rwanda</t>
  </si>
  <si>
    <t>Kingsburg</t>
  </si>
  <si>
    <t>Kingston</t>
  </si>
  <si>
    <t>Jamaica</t>
  </si>
  <si>
    <t>Kingstown</t>
  </si>
  <si>
    <t>Saint Vincent and the Grenadines</t>
  </si>
  <si>
    <t>Kinshasa</t>
  </si>
  <si>
    <t>Democratic Republic of the Congo</t>
  </si>
  <si>
    <t>Kobe</t>
  </si>
  <si>
    <t>Kolkata</t>
  </si>
  <si>
    <t>Kota Bharu</t>
  </si>
  <si>
    <t>Kowloon</t>
  </si>
  <si>
    <t>Kuala Lumpur</t>
  </si>
  <si>
    <t>Kumasi</t>
  </si>
  <si>
    <t>Kuwait</t>
  </si>
  <si>
    <t>Kyiv</t>
  </si>
  <si>
    <t>Kyoto</t>
  </si>
  <si>
    <t>La Paz</t>
  </si>
  <si>
    <t>Bolivia</t>
  </si>
  <si>
    <t>Lagos</t>
  </si>
  <si>
    <t>Lahore</t>
  </si>
  <si>
    <t>Libreville</t>
  </si>
  <si>
    <t>Gabon</t>
  </si>
  <si>
    <t>Lilongwe</t>
  </si>
  <si>
    <t>Malawi</t>
  </si>
  <si>
    <t>Lima</t>
  </si>
  <si>
    <t>Peru</t>
  </si>
  <si>
    <t>Lisbon</t>
  </si>
  <si>
    <t>Portugal</t>
  </si>
  <si>
    <t>Ljubljana</t>
  </si>
  <si>
    <t>Slovenia</t>
  </si>
  <si>
    <t>Lome</t>
  </si>
  <si>
    <t>Togo</t>
  </si>
  <si>
    <t>London</t>
  </si>
  <si>
    <t>United Kingdom</t>
  </si>
  <si>
    <t>Los Angeles</t>
  </si>
  <si>
    <t>Luanda</t>
  </si>
  <si>
    <t>Angola</t>
  </si>
  <si>
    <t>Lubumbashi</t>
  </si>
  <si>
    <t>Lusaka</t>
  </si>
  <si>
    <t>Zambia</t>
  </si>
  <si>
    <t>Luxembourg</t>
  </si>
  <si>
    <t>Macau</t>
  </si>
  <si>
    <t>Macao</t>
  </si>
  <si>
    <t>Madrid</t>
  </si>
  <si>
    <t>Majuro</t>
  </si>
  <si>
    <t>Marshall Islands</t>
  </si>
  <si>
    <t>Makassar</t>
  </si>
  <si>
    <t>Malabo</t>
  </si>
  <si>
    <t>Equatorial Guinea</t>
  </si>
  <si>
    <t>Male</t>
  </si>
  <si>
    <t>Maldives</t>
  </si>
  <si>
    <t>Mamoudzou</t>
  </si>
  <si>
    <t>Mayotte</t>
  </si>
  <si>
    <t>Managua</t>
  </si>
  <si>
    <t>Nicaragua</t>
  </si>
  <si>
    <t>Manama</t>
  </si>
  <si>
    <t>Bahrain</t>
  </si>
  <si>
    <t>Manaus</t>
  </si>
  <si>
    <t>Manila</t>
  </si>
  <si>
    <t>Maputo</t>
  </si>
  <si>
    <t>Mozambique</t>
  </si>
  <si>
    <t>Maracaibo</t>
  </si>
  <si>
    <t>Maracay</t>
  </si>
  <si>
    <t>Mariehamn</t>
  </si>
  <si>
    <t>Aland Islands</t>
  </si>
  <si>
    <t>Marigot</t>
  </si>
  <si>
    <t>Saint Martin</t>
  </si>
  <si>
    <t>Maseru</t>
  </si>
  <si>
    <t>Lesotho</t>
  </si>
  <si>
    <t>Mashhad</t>
  </si>
  <si>
    <t>Mbabane</t>
  </si>
  <si>
    <t>Eswatini</t>
  </si>
  <si>
    <t>Mecca</t>
  </si>
  <si>
    <t>Medan</t>
  </si>
  <si>
    <t>Medellin</t>
  </si>
  <si>
    <t>Medina</t>
  </si>
  <si>
    <t>Melbourne</t>
  </si>
  <si>
    <t>Mexico City</t>
  </si>
  <si>
    <t>Miami</t>
  </si>
  <si>
    <t>Minsk</t>
  </si>
  <si>
    <t>Belarus</t>
  </si>
  <si>
    <t>Mogadishu</t>
  </si>
  <si>
    <t>Somalia</t>
  </si>
  <si>
    <t>Monaco</t>
  </si>
  <si>
    <t>Monrovia</t>
  </si>
  <si>
    <t>Liberia</t>
  </si>
  <si>
    <t>Montevideo</t>
  </si>
  <si>
    <t>Uruguay</t>
  </si>
  <si>
    <t>Montreal</t>
  </si>
  <si>
    <t>Canada</t>
  </si>
  <si>
    <t>Moroni</t>
  </si>
  <si>
    <t>Comoros</t>
  </si>
  <si>
    <t>Moscow</t>
  </si>
  <si>
    <t>Russia</t>
  </si>
  <si>
    <t>Mosul</t>
  </si>
  <si>
    <t>Multan</t>
  </si>
  <si>
    <t>Mumbai</t>
  </si>
  <si>
    <t>Muscat</t>
  </si>
  <si>
    <t>Oman</t>
  </si>
  <si>
    <t>N'Djamena</t>
  </si>
  <si>
    <t>Chad</t>
  </si>
  <si>
    <t>Nagoya</t>
  </si>
  <si>
    <t>Nairobi</t>
  </si>
  <si>
    <t>Kenya</t>
  </si>
  <si>
    <t>Nanchong</t>
  </si>
  <si>
    <t>Nanjing</t>
  </si>
  <si>
    <t>Nassau</t>
  </si>
  <si>
    <t>Bahamas</t>
  </si>
  <si>
    <t>Nay Pyi Taw</t>
  </si>
  <si>
    <t>Myanmar</t>
  </si>
  <si>
    <t>New York</t>
  </si>
  <si>
    <t>Niamey</t>
  </si>
  <si>
    <t>Niger</t>
  </si>
  <si>
    <t>Nicosia</t>
  </si>
  <si>
    <t>Cyprus</t>
  </si>
  <si>
    <t>Nouakchott</t>
  </si>
  <si>
    <t>Mauritania</t>
  </si>
  <si>
    <t>Noumea</t>
  </si>
  <si>
    <t>New Caledonia</t>
  </si>
  <si>
    <t>Novosibirsk</t>
  </si>
  <si>
    <t>Nuku'alofa</t>
  </si>
  <si>
    <t>Tonga</t>
  </si>
  <si>
    <t>Nur-Sultan</t>
  </si>
  <si>
    <t>Nuuk</t>
  </si>
  <si>
    <t>Greenland</t>
  </si>
  <si>
    <t>Oranjestad</t>
  </si>
  <si>
    <t>Aruba</t>
  </si>
  <si>
    <t>Osaka</t>
  </si>
  <si>
    <t>Oslo</t>
  </si>
  <si>
    <t>Norway</t>
  </si>
  <si>
    <t>Ottawa</t>
  </si>
  <si>
    <t>Ouagadougou</t>
  </si>
  <si>
    <t>Burkina Faso</t>
  </si>
  <si>
    <t>Pago Pago</t>
  </si>
  <si>
    <t>American Samoa</t>
  </si>
  <si>
    <t>Palembang</t>
  </si>
  <si>
    <t>Palo Alto</t>
  </si>
  <si>
    <t>Panama</t>
  </si>
  <si>
    <t>Papeete</t>
  </si>
  <si>
    <t>French Polynesia</t>
  </si>
  <si>
    <t>Paramaribo</t>
  </si>
  <si>
    <t>Suriname</t>
  </si>
  <si>
    <t>Paris</t>
  </si>
  <si>
    <t>France</t>
  </si>
  <si>
    <t>Perth</t>
  </si>
  <si>
    <t>Philadelphia</t>
  </si>
  <si>
    <t>Phnom Penh</t>
  </si>
  <si>
    <t>Cambodia</t>
  </si>
  <si>
    <t>Phoenix</t>
  </si>
  <si>
    <t>Podgorica</t>
  </si>
  <si>
    <t>Montenegro</t>
  </si>
  <si>
    <t>Port Louis</t>
  </si>
  <si>
    <t>Mauritius</t>
  </si>
  <si>
    <t>Port Moresby</t>
  </si>
  <si>
    <t>Papua New Guinea</t>
  </si>
  <si>
    <t>Port of Spain</t>
  </si>
  <si>
    <t>Trinidad and Tobago</t>
  </si>
  <si>
    <t>Port-Vila</t>
  </si>
  <si>
    <t>Vanuatu</t>
  </si>
  <si>
    <t>Port-au-Prince</t>
  </si>
  <si>
    <t>Haiti</t>
  </si>
  <si>
    <t>Porto Alegre</t>
  </si>
  <si>
    <t>Porto-Novo</t>
  </si>
  <si>
    <t>Benin</t>
  </si>
  <si>
    <t>Prague</t>
  </si>
  <si>
    <t>Czechia</t>
  </si>
  <si>
    <t>Praia</t>
  </si>
  <si>
    <t>Cabo Verde</t>
  </si>
  <si>
    <t>Pretoria</t>
  </si>
  <si>
    <t>Pristina</t>
  </si>
  <si>
    <t>Kosovo</t>
  </si>
  <si>
    <t>Puebla</t>
  </si>
  <si>
    <t>Pune</t>
  </si>
  <si>
    <t>Pyongyang</t>
  </si>
  <si>
    <t>North Korea</t>
  </si>
  <si>
    <t>Quezon City</t>
  </si>
  <si>
    <t>Quito</t>
  </si>
  <si>
    <t>Rabat</t>
  </si>
  <si>
    <t>Rawalpindi</t>
  </si>
  <si>
    <t>Recife</t>
  </si>
  <si>
    <t>Reykjavik</t>
  </si>
  <si>
    <t>Iceland</t>
  </si>
  <si>
    <t>Riga</t>
  </si>
  <si>
    <t>Latvia</t>
  </si>
  <si>
    <t>Rio de Janeiro</t>
  </si>
  <si>
    <t>Riyadh</t>
  </si>
  <si>
    <t>Road Town</t>
  </si>
  <si>
    <t>British Virgin Islands</t>
  </si>
  <si>
    <t>Rome</t>
  </si>
  <si>
    <t>Italy</t>
  </si>
  <si>
    <t>Roseau</t>
  </si>
  <si>
    <t>Dominica</t>
  </si>
  <si>
    <t>Saint George's</t>
  </si>
  <si>
    <t>Grenada</t>
  </si>
  <si>
    <t>Saint Helier</t>
  </si>
  <si>
    <t>Jersey</t>
  </si>
  <si>
    <t>Saint John's</t>
  </si>
  <si>
    <t>Antigua and Barbuda</t>
  </si>
  <si>
    <t>Saint Peter Port</t>
  </si>
  <si>
    <t>Guernsey</t>
  </si>
  <si>
    <t>Saint Petersburg</t>
  </si>
  <si>
    <t>Saint-Denis</t>
  </si>
  <si>
    <t>Reunion</t>
  </si>
  <si>
    <t>Saint-Pierre</t>
  </si>
  <si>
    <t>Saipan</t>
  </si>
  <si>
    <t>Northern Mariana Islands</t>
  </si>
  <si>
    <t>Salvador</t>
  </si>
  <si>
    <t>San Antonio</t>
  </si>
  <si>
    <t>San Diego</t>
  </si>
  <si>
    <t>San Francisco</t>
  </si>
  <si>
    <t>San Jose</t>
  </si>
  <si>
    <t>San Juan</t>
  </si>
  <si>
    <t>San Marino</t>
  </si>
  <si>
    <t>San Salvador</t>
  </si>
  <si>
    <t>El Salvador</t>
  </si>
  <si>
    <t>Sanaa</t>
  </si>
  <si>
    <t>Yemen</t>
  </si>
  <si>
    <t>Santa Cruz de la Sierra</t>
  </si>
  <si>
    <t>Santiago</t>
  </si>
  <si>
    <t>Chile</t>
  </si>
  <si>
    <t>Santo Domingo</t>
  </si>
  <si>
    <t>Dominican Republic</t>
  </si>
  <si>
    <t>Sao Paulo</t>
  </si>
  <si>
    <t>Sao Tome</t>
  </si>
  <si>
    <t>Sao Tome and Principe</t>
  </si>
  <si>
    <t>Sapporo</t>
  </si>
  <si>
    <t>Sarajevo</t>
  </si>
  <si>
    <t>Bosnia and Herzegovina</t>
  </si>
  <si>
    <t>Seattle</t>
  </si>
  <si>
    <t>Semarang</t>
  </si>
  <si>
    <t>Seoul</t>
  </si>
  <si>
    <t>Shanghai</t>
  </si>
  <si>
    <t>Sharjah</t>
  </si>
  <si>
    <t>Shenzhen</t>
  </si>
  <si>
    <t>Singapore</t>
  </si>
  <si>
    <t>Skopje</t>
  </si>
  <si>
    <t>North Macedonia</t>
  </si>
  <si>
    <t>Sofia</t>
  </si>
  <si>
    <t>Bulgaria</t>
  </si>
  <si>
    <t>South Tangerang</t>
  </si>
  <si>
    <t>Soweto</t>
  </si>
  <si>
    <t>Stockholm</t>
  </si>
  <si>
    <t>Sweden</t>
  </si>
  <si>
    <t>Sucre</t>
  </si>
  <si>
    <t>Surabaya</t>
  </si>
  <si>
    <t>Surat</t>
  </si>
  <si>
    <t>Suva</t>
  </si>
  <si>
    <t>Fiji</t>
  </si>
  <si>
    <t>Sydney</t>
  </si>
  <si>
    <t>Tabriz</t>
  </si>
  <si>
    <t>Taipei</t>
  </si>
  <si>
    <t>Tallinn</t>
  </si>
  <si>
    <t>Estonia</t>
  </si>
  <si>
    <t>Tangerang</t>
  </si>
  <si>
    <t>Tarawa</t>
  </si>
  <si>
    <t>Kiribati</t>
  </si>
  <si>
    <t>Tashkent</t>
  </si>
  <si>
    <t>Uzbekistan</t>
  </si>
  <si>
    <t>Tbilisi</t>
  </si>
  <si>
    <t>Georgia</t>
  </si>
  <si>
    <t>Tegucigalpa</t>
  </si>
  <si>
    <t>Honduras</t>
  </si>
  <si>
    <t>Tehran</t>
  </si>
  <si>
    <t>Tel Aviv</t>
  </si>
  <si>
    <t>Thimphu</t>
  </si>
  <si>
    <t>Bhutan</t>
  </si>
  <si>
    <t>Tianjin</t>
  </si>
  <si>
    <t>Tijuana</t>
  </si>
  <si>
    <t>Tirana</t>
  </si>
  <si>
    <t>Albania</t>
  </si>
  <si>
    <t>Tokyo</t>
  </si>
  <si>
    <t>Toronto</t>
  </si>
  <si>
    <t>Torshavn</t>
  </si>
  <si>
    <t>Faroe Islands</t>
  </si>
  <si>
    <t>Tripoli</t>
  </si>
  <si>
    <t>Libya</t>
  </si>
  <si>
    <t>Tunis</t>
  </si>
  <si>
    <t>Tunisia</t>
  </si>
  <si>
    <t>Ulan Bator</t>
  </si>
  <si>
    <t>Mongolia</t>
  </si>
  <si>
    <t>Vaduz</t>
  </si>
  <si>
    <t>Liechtenstein</t>
  </si>
  <si>
    <t>Valencia</t>
  </si>
  <si>
    <t>Valletta</t>
  </si>
  <si>
    <t>Malta</t>
  </si>
  <si>
    <t>Vancouver</t>
  </si>
  <si>
    <t>Victoria</t>
  </si>
  <si>
    <t>Vienna</t>
  </si>
  <si>
    <t>Austria</t>
  </si>
  <si>
    <t>Vientiane</t>
  </si>
  <si>
    <t>Laos</t>
  </si>
  <si>
    <t>Vilnius</t>
  </si>
  <si>
    <t>Lithuania</t>
  </si>
  <si>
    <t>Warsaw</t>
  </si>
  <si>
    <t>Poland</t>
  </si>
  <si>
    <t>Washington</t>
  </si>
  <si>
    <t>Wellington</t>
  </si>
  <si>
    <t>Willemstad</t>
  </si>
  <si>
    <t>Curacao</t>
  </si>
  <si>
    <t>Windhoek</t>
  </si>
  <si>
    <t>Namibia</t>
  </si>
  <si>
    <t>Wuhan</t>
  </si>
  <si>
    <t>Xi'an</t>
  </si>
  <si>
    <t>Yamoussoukro</t>
  </si>
  <si>
    <t>Yangon</t>
  </si>
  <si>
    <t>Yaounde</t>
  </si>
  <si>
    <t>Yekaterinburg</t>
  </si>
  <si>
    <t>Yerevan</t>
  </si>
  <si>
    <t>Armenia</t>
  </si>
  <si>
    <t>Yokohama</t>
  </si>
  <si>
    <t>Zagreb</t>
  </si>
  <si>
    <t>Croatia</t>
  </si>
  <si>
    <t>터키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</si>
</sst>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824C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ht="15.75" customHeight="1">
      <c r="A2" s="1" t="s">
        <v>6</v>
      </c>
      <c r="B2" s="1">
        <v>-4.00167</v>
      </c>
      <c r="C2" s="1">
        <v>5.35444</v>
      </c>
      <c r="D2" s="1" t="s">
        <v>7</v>
      </c>
      <c r="E2" s="1" t="str">
        <f>IFERROR(__xludf.DUMMYFUNCTION("GOOGLETRANSLATE(A2,""en"",""ko"")"),"아비장")</f>
        <v>아비장</v>
      </c>
      <c r="F2" s="4" t="str">
        <f>IFERROR(__xludf.DUMMYFUNCTION("GOOGLETRANSLATE(D2,""en"",""ko"")"),"상아 해안")</f>
        <v>상아 해안</v>
      </c>
    </row>
    <row r="3" ht="15.75" customHeight="1">
      <c r="A3" s="1" t="s">
        <v>8</v>
      </c>
      <c r="B3" s="1">
        <v>54.39696</v>
      </c>
      <c r="C3" s="1">
        <v>24.45118</v>
      </c>
      <c r="D3" s="1" t="s">
        <v>9</v>
      </c>
      <c r="E3" s="1" t="str">
        <f>IFERROR(__xludf.DUMMYFUNCTION("GOOGLETRANSLATE(A3,""en"",""ko"")"),"아부다비")</f>
        <v>아부다비</v>
      </c>
      <c r="F3" s="4" t="str">
        <f>IFERROR(__xludf.DUMMYFUNCTION("GOOGLETRANSLATE(D3,""en"",""ko"")"),"아랍에미리트")</f>
        <v>아랍에미리트</v>
      </c>
    </row>
    <row r="4" ht="15.75" customHeight="1">
      <c r="A4" s="1" t="s">
        <v>10</v>
      </c>
      <c r="B4" s="1">
        <v>7.49508</v>
      </c>
      <c r="C4" s="1">
        <v>9.05785</v>
      </c>
      <c r="D4" s="1" t="s">
        <v>11</v>
      </c>
      <c r="E4" s="1" t="str">
        <f>IFERROR(__xludf.DUMMYFUNCTION("GOOGLETRANSLATE(A4,""en"",""ko"")"),"아부자")</f>
        <v>아부자</v>
      </c>
      <c r="F4" s="4" t="str">
        <f>IFERROR(__xludf.DUMMYFUNCTION("GOOGLETRANSLATE(D4,""en"",""ko"")"),"나이지리아")</f>
        <v>나이지리아</v>
      </c>
    </row>
    <row r="5" ht="15.75" customHeight="1">
      <c r="A5" s="1" t="s">
        <v>12</v>
      </c>
      <c r="B5" s="1">
        <v>-0.1969</v>
      </c>
      <c r="C5" s="1">
        <v>5.55602</v>
      </c>
      <c r="D5" s="1" t="s">
        <v>13</v>
      </c>
      <c r="E5" s="1" t="str">
        <f>IFERROR(__xludf.DUMMYFUNCTION("GOOGLETRANSLATE(A5,""en"",""ko"")"),"아크라")</f>
        <v>아크라</v>
      </c>
      <c r="F5" s="4" t="str">
        <f>IFERROR(__xludf.DUMMYFUNCTION("GOOGLETRANSLATE(D5,""en"",""ko"")"),"가나")</f>
        <v>가나</v>
      </c>
    </row>
    <row r="6" ht="15.75" customHeight="1">
      <c r="A6" s="1" t="s">
        <v>14</v>
      </c>
      <c r="B6" s="1">
        <v>38.74689</v>
      </c>
      <c r="C6" s="1">
        <v>9.02497</v>
      </c>
      <c r="D6" s="1" t="s">
        <v>15</v>
      </c>
      <c r="E6" s="1" t="str">
        <f>IFERROR(__xludf.DUMMYFUNCTION("GOOGLETRANSLATE(A6,""en"",""ko"")"),"아디스 아바바")</f>
        <v>아디스 아바바</v>
      </c>
      <c r="F6" s="4" t="str">
        <f>IFERROR(__xludf.DUMMYFUNCTION("GOOGLETRANSLATE(D6,""en"",""ko"")"),"에티오피아")</f>
        <v>에티오피아</v>
      </c>
    </row>
    <row r="7" ht="15.75" customHeight="1">
      <c r="A7" s="1" t="s">
        <v>16</v>
      </c>
      <c r="B7" s="1">
        <v>72.58727</v>
      </c>
      <c r="C7" s="1">
        <v>23.02579</v>
      </c>
      <c r="D7" s="1" t="s">
        <v>17</v>
      </c>
      <c r="E7" s="1" t="str">
        <f>IFERROR(__xludf.DUMMYFUNCTION("GOOGLETRANSLATE(A7,""en"",""ko"")"),"아메다바드")</f>
        <v>아메다바드</v>
      </c>
      <c r="F7" s="4" t="str">
        <f>IFERROR(__xludf.DUMMYFUNCTION("GOOGLETRANSLATE(D7,""en"",""ko"")"),"인도")</f>
        <v>인도</v>
      </c>
    </row>
    <row r="8" ht="15.75" customHeight="1">
      <c r="A8" s="1" t="s">
        <v>18</v>
      </c>
      <c r="B8" s="1">
        <v>37.16117</v>
      </c>
      <c r="C8" s="1">
        <v>36.20124</v>
      </c>
      <c r="D8" s="1" t="s">
        <v>19</v>
      </c>
      <c r="E8" s="1" t="str">
        <f>IFERROR(__xludf.DUMMYFUNCTION("GOOGLETRANSLATE(A8,""en"",""ko"")"),"알레포")</f>
        <v>알레포</v>
      </c>
      <c r="F8" s="4" t="str">
        <f>IFERROR(__xludf.DUMMYFUNCTION("GOOGLETRANSLATE(D8,""en"",""ko"")"),"시리아")</f>
        <v>시리아</v>
      </c>
    </row>
    <row r="9" ht="15.75" customHeight="1">
      <c r="A9" s="1" t="s">
        <v>20</v>
      </c>
      <c r="B9" s="1">
        <v>29.91582</v>
      </c>
      <c r="C9" s="1">
        <v>31.20176</v>
      </c>
      <c r="D9" s="1" t="s">
        <v>21</v>
      </c>
      <c r="E9" s="1" t="str">
        <f>IFERROR(__xludf.DUMMYFUNCTION("GOOGLETRANSLATE(A9,""en"",""ko"")"),"알렉산드리아")</f>
        <v>알렉산드리아</v>
      </c>
      <c r="F9" s="4" t="str">
        <f>IFERROR(__xludf.DUMMYFUNCTION("GOOGLETRANSLATE(D9,""en"",""ko"")"),"이집트")</f>
        <v>이집트</v>
      </c>
    </row>
    <row r="10" ht="15.75" customHeight="1">
      <c r="A10" s="1" t="s">
        <v>22</v>
      </c>
      <c r="B10" s="1">
        <v>3.08746</v>
      </c>
      <c r="C10" s="1">
        <v>36.73225</v>
      </c>
      <c r="D10" s="1" t="s">
        <v>23</v>
      </c>
      <c r="E10" s="1" t="str">
        <f>IFERROR(__xludf.DUMMYFUNCTION("GOOGLETRANSLATE(A10,""en"",""ko"")"),"알제")</f>
        <v>알제</v>
      </c>
      <c r="F10" s="4" t="str">
        <f>IFERROR(__xludf.DUMMYFUNCTION("GOOGLETRANSLATE(D10,""en"",""ko"")"),"알제리")</f>
        <v>알제리</v>
      </c>
    </row>
    <row r="11" ht="15.75" customHeight="1">
      <c r="A11" s="1" t="s">
        <v>24</v>
      </c>
      <c r="B11" s="1">
        <v>76.92861</v>
      </c>
      <c r="C11" s="1">
        <v>43.25667</v>
      </c>
      <c r="D11" s="1" t="s">
        <v>25</v>
      </c>
      <c r="E11" s="1" t="str">
        <f>IFERROR(__xludf.DUMMYFUNCTION("GOOGLETRANSLATE(A11,""en"",""ko"")"),"알마티")</f>
        <v>알마티</v>
      </c>
      <c r="F11" s="4" t="str">
        <f>IFERROR(__xludf.DUMMYFUNCTION("GOOGLETRANSLATE(D11,""en"",""ko"")"),"카자흐스탄")</f>
        <v>카자흐스탄</v>
      </c>
    </row>
    <row r="12" ht="15.75" customHeight="1">
      <c r="A12" s="1" t="s">
        <v>26</v>
      </c>
      <c r="B12" s="1">
        <v>35.94503</v>
      </c>
      <c r="C12" s="1">
        <v>31.95522</v>
      </c>
      <c r="D12" s="1" t="s">
        <v>27</v>
      </c>
      <c r="E12" s="1" t="str">
        <f>IFERROR(__xludf.DUMMYFUNCTION("GOOGLETRANSLATE(A12,""en"",""ko"")"),"암만")</f>
        <v>암만</v>
      </c>
      <c r="F12" s="4" t="str">
        <f>IFERROR(__xludf.DUMMYFUNCTION("GOOGLETRANSLATE(D12,""en"",""ko"")"),"요르단")</f>
        <v>요르단</v>
      </c>
    </row>
    <row r="13" ht="15.75" customHeight="1">
      <c r="A13" s="1" t="s">
        <v>28</v>
      </c>
      <c r="B13" s="1">
        <v>4.88969</v>
      </c>
      <c r="C13" s="1">
        <v>52.37403</v>
      </c>
      <c r="D13" s="1" t="s">
        <v>29</v>
      </c>
      <c r="E13" s="1" t="str">
        <f>IFERROR(__xludf.DUMMYFUNCTION("GOOGLETRANSLATE(A13,""en"",""ko"")"),"암스테르담")</f>
        <v>암스테르담</v>
      </c>
      <c r="F13" s="4" t="str">
        <f>IFERROR(__xludf.DUMMYFUNCTION("GOOGLETRANSLATE(D13,""en"",""ko"")"),"네덜란드")</f>
        <v>네덜란드</v>
      </c>
    </row>
    <row r="14" ht="15.75" customHeight="1">
      <c r="A14" s="1" t="s">
        <v>30</v>
      </c>
      <c r="B14" s="1">
        <v>-149.90028</v>
      </c>
      <c r="C14" s="1">
        <v>61.21806</v>
      </c>
      <c r="D14" s="1" t="s">
        <v>31</v>
      </c>
      <c r="E14" s="1" t="str">
        <f>IFERROR(__xludf.DUMMYFUNCTION("GOOGLETRANSLATE(A14,""en"",""ko"")"),"앵커리지")</f>
        <v>앵커리지</v>
      </c>
      <c r="F14" s="4" t="str">
        <f>IFERROR(__xludf.DUMMYFUNCTION("GOOGLETRANSLATE(D14,""en"",""ko"")"),"미국")</f>
        <v>미국</v>
      </c>
    </row>
    <row r="15" ht="15.75" customHeight="1">
      <c r="A15" s="1" t="s">
        <v>32</v>
      </c>
      <c r="B15" s="1">
        <v>1.52109</v>
      </c>
      <c r="C15" s="1">
        <v>42.50779</v>
      </c>
      <c r="D15" s="1" t="s">
        <v>33</v>
      </c>
      <c r="E15" s="1" t="str">
        <f>IFERROR(__xludf.DUMMYFUNCTION("GOOGLETRANSLATE(A15,""en"",""ko"")"),"안도라 라 베야")</f>
        <v>안도라 라 베야</v>
      </c>
      <c r="F15" s="4" t="str">
        <f>IFERROR(__xludf.DUMMYFUNCTION("GOOGLETRANSLATE(D15,""en"",""ko"")"),"안도라")</f>
        <v>안도라</v>
      </c>
    </row>
    <row r="16" ht="15.75" customHeight="1">
      <c r="A16" s="1" t="s">
        <v>34</v>
      </c>
      <c r="B16" s="1">
        <v>32.85427</v>
      </c>
      <c r="C16" s="1">
        <v>39.91987</v>
      </c>
      <c r="D16" s="1" t="s">
        <v>35</v>
      </c>
      <c r="E16" s="1" t="str">
        <f>IFERROR(__xludf.DUMMYFUNCTION("GOOGLETRANSLATE(A16,""en"",""ko"")"),"앙카라")</f>
        <v>앙카라</v>
      </c>
      <c r="F16" s="3" t="s">
        <v>36</v>
      </c>
    </row>
    <row r="17" ht="15.75" customHeight="1">
      <c r="A17" s="1" t="s">
        <v>37</v>
      </c>
      <c r="B17" s="1">
        <v>47.53613</v>
      </c>
      <c r="C17" s="1">
        <v>-18.91368</v>
      </c>
      <c r="D17" s="1" t="s">
        <v>38</v>
      </c>
      <c r="E17" s="1" t="str">
        <f>IFERROR(__xludf.DUMMYFUNCTION("GOOGLETRANSLATE(A17,""en"",""ko"")"),"안타나나리보")</f>
        <v>안타나나리보</v>
      </c>
      <c r="F17" s="4" t="str">
        <f>IFERROR(__xludf.DUMMYFUNCTION("GOOGLETRANSLATE(D17,""en"",""ko"")"),"마다가스카르")</f>
        <v>마다가스카르</v>
      </c>
    </row>
    <row r="18" ht="15.75" customHeight="1">
      <c r="A18" s="1" t="s">
        <v>39</v>
      </c>
      <c r="B18" s="1">
        <v>-171.76666</v>
      </c>
      <c r="C18" s="1">
        <v>-13.83333</v>
      </c>
      <c r="D18" s="1" t="s">
        <v>40</v>
      </c>
      <c r="E18" s="1" t="str">
        <f>IFERROR(__xludf.DUMMYFUNCTION("GOOGLETRANSLATE(A18,""en"",""ko"")"),"아피아")</f>
        <v>아피아</v>
      </c>
      <c r="F18" s="4" t="str">
        <f>IFERROR(__xludf.DUMMYFUNCTION("GOOGLETRANSLATE(D18,""en"",""ko"")"),"사모아")</f>
        <v>사모아</v>
      </c>
    </row>
    <row r="19" ht="15.75" customHeight="1">
      <c r="A19" s="1" t="s">
        <v>41</v>
      </c>
      <c r="B19" s="1">
        <v>-120.351935</v>
      </c>
      <c r="C19" s="1">
        <v>38.255366</v>
      </c>
      <c r="D19" s="1" t="s">
        <v>31</v>
      </c>
      <c r="E19" s="1" t="str">
        <f>IFERROR(__xludf.DUMMYFUNCTION("GOOGLETRANSLATE(A19,""en"",""ko"")"),"아놀드")</f>
        <v>아놀드</v>
      </c>
      <c r="F19" s="4" t="str">
        <f>IFERROR(__xludf.DUMMYFUNCTION("GOOGLETRANSLATE(D19,""en"",""ko"")"),"미국")</f>
        <v>미국</v>
      </c>
    </row>
    <row r="20" ht="15.75" customHeight="1">
      <c r="A20" s="1" t="s">
        <v>42</v>
      </c>
      <c r="B20" s="1">
        <v>58.38333</v>
      </c>
      <c r="C20" s="1">
        <v>37.95</v>
      </c>
      <c r="D20" s="1" t="s">
        <v>43</v>
      </c>
      <c r="E20" s="1" t="str">
        <f>IFERROR(__xludf.DUMMYFUNCTION("GOOGLETRANSLATE(A20,""en"",""ko"")"),"아슈가바트")</f>
        <v>아슈가바트</v>
      </c>
      <c r="F20" s="4" t="str">
        <f>IFERROR(__xludf.DUMMYFUNCTION("GOOGLETRANSLATE(D20,""en"",""ko"")"),"투르크메니스탄")</f>
        <v>투르크메니스탄</v>
      </c>
    </row>
    <row r="21" ht="15.75" customHeight="1">
      <c r="A21" s="1" t="s">
        <v>44</v>
      </c>
      <c r="B21" s="1">
        <v>38.93184</v>
      </c>
      <c r="C21" s="1">
        <v>15.33805</v>
      </c>
      <c r="D21" s="1" t="s">
        <v>45</v>
      </c>
      <c r="E21" s="1" t="str">
        <f>IFERROR(__xludf.DUMMYFUNCTION("GOOGLETRANSLATE(A21,""en"",""ko"")"),"아스마라")</f>
        <v>아스마라</v>
      </c>
      <c r="F21" s="4" t="str">
        <f>IFERROR(__xludf.DUMMYFUNCTION("GOOGLETRANSLATE(D21,""en"",""ko"")"),"에리트레아")</f>
        <v>에리트레아</v>
      </c>
    </row>
    <row r="22" ht="15.75" customHeight="1">
      <c r="A22" s="1" t="s">
        <v>46</v>
      </c>
      <c r="B22" s="1">
        <v>-57.647</v>
      </c>
      <c r="C22" s="1">
        <v>-25.28646</v>
      </c>
      <c r="D22" s="1" t="s">
        <v>47</v>
      </c>
      <c r="E22" s="1" t="str">
        <f>IFERROR(__xludf.DUMMYFUNCTION("GOOGLETRANSLATE(A22,""en"",""ko"")"),"아순시온")</f>
        <v>아순시온</v>
      </c>
      <c r="F22" s="4" t="str">
        <f>IFERROR(__xludf.DUMMYFUNCTION("GOOGLETRANSLATE(D22,""en"",""ko"")"),"파라과이")</f>
        <v>파라과이</v>
      </c>
    </row>
    <row r="23" ht="15.75" customHeight="1">
      <c r="A23" s="1" t="s">
        <v>48</v>
      </c>
      <c r="B23" s="1">
        <v>23.72784</v>
      </c>
      <c r="C23" s="1">
        <v>37.98376</v>
      </c>
      <c r="D23" s="1" t="s">
        <v>49</v>
      </c>
      <c r="E23" s="1" t="str">
        <f>IFERROR(__xludf.DUMMYFUNCTION("GOOGLETRANSLATE(A23,""en"",""ko"")"),"아테네")</f>
        <v>아테네</v>
      </c>
      <c r="F23" s="4" t="str">
        <f>IFERROR(__xludf.DUMMYFUNCTION("GOOGLETRANSLATE(D23,""en"",""ko"")"),"그리스")</f>
        <v>그리스</v>
      </c>
    </row>
    <row r="24" ht="15.75" customHeight="1">
      <c r="A24" s="1" t="s">
        <v>50</v>
      </c>
      <c r="B24" s="1">
        <v>174.76349</v>
      </c>
      <c r="C24" s="1">
        <v>-36.84853</v>
      </c>
      <c r="D24" s="1" t="s">
        <v>51</v>
      </c>
      <c r="E24" s="1" t="str">
        <f>IFERROR(__xludf.DUMMYFUNCTION("GOOGLETRANSLATE(A24,""en"",""ko"")"),"오클랜드")</f>
        <v>오클랜드</v>
      </c>
      <c r="F24" s="4" t="str">
        <f>IFERROR(__xludf.DUMMYFUNCTION("GOOGLETRANSLATE(D24,""en"",""ko"")"),"뉴질랜드")</f>
        <v>뉴질랜드</v>
      </c>
    </row>
    <row r="25" ht="15.75" customHeight="1">
      <c r="A25" s="1" t="s">
        <v>52</v>
      </c>
      <c r="B25" s="1">
        <v>-159.77545</v>
      </c>
      <c r="C25" s="1">
        <v>-21.2075</v>
      </c>
      <c r="D25" s="1" t="s">
        <v>53</v>
      </c>
      <c r="E25" s="1" t="str">
        <f>IFERROR(__xludf.DUMMYFUNCTION("GOOGLETRANSLATE(A25,""en"",""ko"")"),"아바루아")</f>
        <v>아바루아</v>
      </c>
      <c r="F25" s="4" t="str">
        <f>IFERROR(__xludf.DUMMYFUNCTION("GOOGLETRANSLATE(D25,""en"",""ko"")"),"쿡 제도")</f>
        <v>쿡 제도</v>
      </c>
    </row>
    <row r="26" ht="15.75" customHeight="1">
      <c r="A26" s="1" t="s">
        <v>54</v>
      </c>
      <c r="B26" s="1">
        <v>44.40088</v>
      </c>
      <c r="C26" s="1">
        <v>33.34058</v>
      </c>
      <c r="D26" s="1" t="s">
        <v>55</v>
      </c>
      <c r="E26" s="1" t="str">
        <f>IFERROR(__xludf.DUMMYFUNCTION("GOOGLETRANSLATE(A26,""en"",""ko"")"),"바그다드")</f>
        <v>바그다드</v>
      </c>
      <c r="F26" s="4" t="str">
        <f>IFERROR(__xludf.DUMMYFUNCTION("GOOGLETRANSLATE(D26,""en"",""ko"")"),"이라크")</f>
        <v>이라크</v>
      </c>
    </row>
    <row r="27" ht="15.75" customHeight="1">
      <c r="A27" s="1" t="s">
        <v>56</v>
      </c>
      <c r="B27" s="1">
        <v>49.89201</v>
      </c>
      <c r="C27" s="1">
        <v>40.37767</v>
      </c>
      <c r="D27" s="1" t="s">
        <v>57</v>
      </c>
      <c r="E27" s="1" t="str">
        <f>IFERROR(__xludf.DUMMYFUNCTION("GOOGLETRANSLATE(A27,""en"",""ko"")"),"바쿠")</f>
        <v>바쿠</v>
      </c>
      <c r="F27" s="4" t="str">
        <f>IFERROR(__xludf.DUMMYFUNCTION("GOOGLETRANSLATE(D27,""en"",""ko"")"),"아제르바이잔")</f>
        <v>아제르바이잔</v>
      </c>
    </row>
    <row r="28" ht="15.75" customHeight="1">
      <c r="A28" s="1" t="s">
        <v>58</v>
      </c>
      <c r="B28" s="1">
        <v>-8.0</v>
      </c>
      <c r="C28" s="1">
        <v>12.65</v>
      </c>
      <c r="D28" s="1" t="s">
        <v>59</v>
      </c>
      <c r="E28" s="1" t="str">
        <f>IFERROR(__xludf.DUMMYFUNCTION("GOOGLETRANSLATE(A28,""en"",""ko"")"),"바마코")</f>
        <v>바마코</v>
      </c>
      <c r="F28" s="4" t="str">
        <f>IFERROR(__xludf.DUMMYFUNCTION("GOOGLETRANSLATE(D28,""en"",""ko"")"),"말리")</f>
        <v>말리</v>
      </c>
    </row>
    <row r="29" ht="15.75" customHeight="1">
      <c r="A29" s="1" t="s">
        <v>60</v>
      </c>
      <c r="B29" s="1">
        <v>95.33333</v>
      </c>
      <c r="C29" s="1">
        <v>5.54167</v>
      </c>
      <c r="D29" s="1" t="s">
        <v>61</v>
      </c>
      <c r="E29" s="1" t="str">
        <f>IFERROR(__xludf.DUMMYFUNCTION("GOOGLETRANSLATE(A29,""en"",""ko"")"),"반다 아체")</f>
        <v>반다 아체</v>
      </c>
      <c r="F29" s="4" t="str">
        <f>IFERROR(__xludf.DUMMYFUNCTION("GOOGLETRANSLATE(D29,""en"",""ko"")"),"인도네시아 공화국")</f>
        <v>인도네시아 공화국</v>
      </c>
    </row>
    <row r="30" ht="15.75" customHeight="1">
      <c r="A30" s="1" t="s">
        <v>62</v>
      </c>
      <c r="B30" s="1">
        <v>114.94006</v>
      </c>
      <c r="C30" s="1">
        <v>4.89035</v>
      </c>
      <c r="D30" s="1" t="s">
        <v>63</v>
      </c>
      <c r="E30" s="1" t="str">
        <f>IFERROR(__xludf.DUMMYFUNCTION("GOOGLETRANSLATE(A30,""en"",""ko"")"),"반다르스리브가완")</f>
        <v>반다르스리브가완</v>
      </c>
      <c r="F30" s="4" t="str">
        <f>IFERROR(__xludf.DUMMYFUNCTION("GOOGLETRANSLATE(D30,""en"",""ko"")"),"브루나이")</f>
        <v>브루나이</v>
      </c>
    </row>
    <row r="31" ht="15.75" customHeight="1">
      <c r="A31" s="1" t="s">
        <v>64</v>
      </c>
      <c r="B31" s="1">
        <v>107.60694</v>
      </c>
      <c r="C31" s="1">
        <v>-6.92222</v>
      </c>
      <c r="D31" s="1" t="s">
        <v>61</v>
      </c>
      <c r="E31" s="1" t="str">
        <f>IFERROR(__xludf.DUMMYFUNCTION("GOOGLETRANSLATE(A31,""en"",""ko"")"),"반둥")</f>
        <v>반둥</v>
      </c>
      <c r="F31" s="4" t="str">
        <f>IFERROR(__xludf.DUMMYFUNCTION("GOOGLETRANSLATE(D31,""en"",""ko"")"),"인도네시아 공화국")</f>
        <v>인도네시아 공화국</v>
      </c>
    </row>
    <row r="32" ht="15.75" customHeight="1">
      <c r="A32" s="1" t="s">
        <v>65</v>
      </c>
      <c r="B32" s="1">
        <v>100.50144</v>
      </c>
      <c r="C32" s="1">
        <v>13.75398</v>
      </c>
      <c r="D32" s="1" t="s">
        <v>66</v>
      </c>
      <c r="E32" s="1" t="str">
        <f>IFERROR(__xludf.DUMMYFUNCTION("GOOGLETRANSLATE(A32,""en"",""ko"")"),"방콕")</f>
        <v>방콕</v>
      </c>
      <c r="F32" s="4" t="str">
        <f>IFERROR(__xludf.DUMMYFUNCTION("GOOGLETRANSLATE(D32,""en"",""ko"")"),"태국")</f>
        <v>태국</v>
      </c>
    </row>
    <row r="33" ht="15.75" customHeight="1">
      <c r="A33" s="1" t="s">
        <v>67</v>
      </c>
      <c r="B33" s="1">
        <v>18.55496</v>
      </c>
      <c r="C33" s="1">
        <v>4.36122</v>
      </c>
      <c r="D33" s="1" t="s">
        <v>68</v>
      </c>
      <c r="E33" s="1" t="str">
        <f>IFERROR(__xludf.DUMMYFUNCTION("GOOGLETRANSLATE(A33,""en"",""ko"")"),"방기")</f>
        <v>방기</v>
      </c>
      <c r="F33" s="4" t="str">
        <f>IFERROR(__xludf.DUMMYFUNCTION("GOOGLETRANSLATE(D33,""en"",""ko"")"),"중앙아프리카 공화국")</f>
        <v>중앙아프리카 공화국</v>
      </c>
    </row>
    <row r="34" ht="15.75" customHeight="1">
      <c r="A34" s="1" t="s">
        <v>69</v>
      </c>
      <c r="B34" s="1">
        <v>-16.57803</v>
      </c>
      <c r="C34" s="1">
        <v>13.45274</v>
      </c>
      <c r="D34" s="1" t="s">
        <v>70</v>
      </c>
      <c r="E34" s="1" t="str">
        <f>IFERROR(__xludf.DUMMYFUNCTION("GOOGLETRANSLATE(A34,""en"",""ko"")"),"반줄")</f>
        <v>반줄</v>
      </c>
      <c r="F34" s="4" t="str">
        <f>IFERROR(__xludf.DUMMYFUNCTION("GOOGLETRANSLATE(D34,""en"",""ko"")"),"감비아")</f>
        <v>감비아</v>
      </c>
    </row>
    <row r="35" ht="15.75" customHeight="1">
      <c r="A35" s="1" t="s">
        <v>71</v>
      </c>
      <c r="B35" s="1">
        <v>2.15899</v>
      </c>
      <c r="C35" s="1">
        <v>41.38879</v>
      </c>
      <c r="D35" s="1" t="s">
        <v>72</v>
      </c>
      <c r="E35" s="1" t="str">
        <f>IFERROR(__xludf.DUMMYFUNCTION("GOOGLETRANSLATE(A35,""en"",""ko"")"),"바르셀로나")</f>
        <v>바르셀로나</v>
      </c>
      <c r="F35" s="4" t="str">
        <f>IFERROR(__xludf.DUMMYFUNCTION("GOOGLETRANSLATE(D35,""en"",""ko"")"),"스페인")</f>
        <v>스페인</v>
      </c>
    </row>
    <row r="36" ht="15.75" customHeight="1">
      <c r="A36" s="1" t="s">
        <v>73</v>
      </c>
      <c r="B36" s="1">
        <v>-74.78132</v>
      </c>
      <c r="C36" s="1">
        <v>10.96854</v>
      </c>
      <c r="D36" s="1" t="s">
        <v>74</v>
      </c>
      <c r="E36" s="1" t="str">
        <f>IFERROR(__xludf.DUMMYFUNCTION("GOOGLETRANSLATE(A36,""en"",""ko"")"),"바랑키야")</f>
        <v>바랑키야</v>
      </c>
      <c r="F36" s="4" t="str">
        <f>IFERROR(__xludf.DUMMYFUNCTION("GOOGLETRANSLATE(D36,""en"",""ko"")"),"콜롬비아")</f>
        <v>콜롬비아</v>
      </c>
    </row>
    <row r="37" ht="15.75" customHeight="1">
      <c r="A37" s="1" t="s">
        <v>75</v>
      </c>
      <c r="B37" s="1">
        <v>47.7804</v>
      </c>
      <c r="C37" s="1">
        <v>30.50852</v>
      </c>
      <c r="D37" s="1" t="s">
        <v>55</v>
      </c>
      <c r="E37" s="1" t="str">
        <f>IFERROR(__xludf.DUMMYFUNCTION("GOOGLETRANSLATE(A37,""en"",""ko"")"),"바스라")</f>
        <v>바스라</v>
      </c>
      <c r="F37" s="4" t="str">
        <f>IFERROR(__xludf.DUMMYFUNCTION("GOOGLETRANSLATE(D37,""en"",""ko"")"),"이라크")</f>
        <v>이라크</v>
      </c>
    </row>
    <row r="38" ht="15.75" customHeight="1">
      <c r="A38" s="1" t="s">
        <v>76</v>
      </c>
      <c r="B38" s="1">
        <v>-61.73214</v>
      </c>
      <c r="C38" s="1">
        <v>15.99714</v>
      </c>
      <c r="D38" s="1" t="s">
        <v>77</v>
      </c>
      <c r="E38" s="1" t="str">
        <f>IFERROR(__xludf.DUMMYFUNCTION("GOOGLETRANSLATE(A38,""en"",""ko"")"),"바스테르")</f>
        <v>바스테르</v>
      </c>
      <c r="F38" s="4" t="str">
        <f>IFERROR(__xludf.DUMMYFUNCTION("GOOGLETRANSLATE(D38,""en"",""ko"")"),"과들루프")</f>
        <v>과들루프</v>
      </c>
    </row>
    <row r="39" ht="15.75" customHeight="1">
      <c r="A39" s="1" t="s">
        <v>78</v>
      </c>
      <c r="B39" s="1">
        <v>-62.72499</v>
      </c>
      <c r="C39" s="1">
        <v>17.2955</v>
      </c>
      <c r="D39" s="1" t="s">
        <v>79</v>
      </c>
      <c r="E39" s="1" t="str">
        <f>IFERROR(__xludf.DUMMYFUNCTION("GOOGLETRANSLATE(A39,""en"",""ko"")"),"바스테르")</f>
        <v>바스테르</v>
      </c>
      <c r="F39" s="4" t="str">
        <f>IFERROR(__xludf.DUMMYFUNCTION("GOOGLETRANSLATE(D39,""en"",""ko"")"),"세인트키츠 네비스")</f>
        <v>세인트키츠 네비스</v>
      </c>
    </row>
    <row r="40" ht="15.75" customHeight="1">
      <c r="A40" s="1" t="s">
        <v>80</v>
      </c>
      <c r="B40" s="1">
        <v>116.39723</v>
      </c>
      <c r="C40" s="1">
        <v>39.9075</v>
      </c>
      <c r="D40" s="1" t="s">
        <v>81</v>
      </c>
      <c r="E40" s="1" t="str">
        <f>IFERROR(__xludf.DUMMYFUNCTION("GOOGLETRANSLATE(A40,""en"",""ko"")"),"베이징")</f>
        <v>베이징</v>
      </c>
      <c r="F40" s="4" t="str">
        <f>IFERROR(__xludf.DUMMYFUNCTION("GOOGLETRANSLATE(D40,""en"",""ko"")"),"중국")</f>
        <v>중국</v>
      </c>
    </row>
    <row r="41" ht="15.75" customHeight="1">
      <c r="A41" s="1" t="s">
        <v>82</v>
      </c>
      <c r="B41" s="1">
        <v>35.50157</v>
      </c>
      <c r="C41" s="1">
        <v>33.89332</v>
      </c>
      <c r="D41" s="1" t="s">
        <v>83</v>
      </c>
      <c r="E41" s="1" t="str">
        <f>IFERROR(__xludf.DUMMYFUNCTION("GOOGLETRANSLATE(A41,""en"",""ko"")"),"베이루트")</f>
        <v>베이루트</v>
      </c>
      <c r="F41" s="4" t="str">
        <f>IFERROR(__xludf.DUMMYFUNCTION("GOOGLETRANSLATE(D41,""en"",""ko"")"),"레바논")</f>
        <v>레바논</v>
      </c>
    </row>
    <row r="42" ht="15.75" customHeight="1">
      <c r="A42" s="1" t="s">
        <v>84</v>
      </c>
      <c r="B42" s="1">
        <v>106.9896</v>
      </c>
      <c r="C42" s="1">
        <v>-6.2349</v>
      </c>
      <c r="D42" s="1" t="s">
        <v>61</v>
      </c>
      <c r="E42" s="1" t="str">
        <f>IFERROR(__xludf.DUMMYFUNCTION("GOOGLETRANSLATE(A42,""en"",""ko"")"),"베카시")</f>
        <v>베카시</v>
      </c>
      <c r="F42" s="4" t="str">
        <f>IFERROR(__xludf.DUMMYFUNCTION("GOOGLETRANSLATE(D42,""en"",""ko"")"),"인도네시아 공화국")</f>
        <v>인도네시아 공화국</v>
      </c>
    </row>
    <row r="43" ht="15.75" customHeight="1">
      <c r="A43" s="1" t="s">
        <v>85</v>
      </c>
      <c r="B43" s="1">
        <v>-48.50444</v>
      </c>
      <c r="C43" s="1">
        <v>-1.45583</v>
      </c>
      <c r="D43" s="1" t="s">
        <v>86</v>
      </c>
      <c r="E43" s="1" t="str">
        <f>IFERROR(__xludf.DUMMYFUNCTION("GOOGLETRANSLATE(A43,""en"",""ko"")"),"벨렘")</f>
        <v>벨렘</v>
      </c>
      <c r="F43" s="4" t="str">
        <f>IFERROR(__xludf.DUMMYFUNCTION("GOOGLETRANSLATE(D43,""en"",""ko"")"),"브라질")</f>
        <v>브라질</v>
      </c>
    </row>
    <row r="44" ht="15.75" customHeight="1">
      <c r="A44" s="1" t="s">
        <v>87</v>
      </c>
      <c r="B44" s="1">
        <v>20.46513</v>
      </c>
      <c r="C44" s="1">
        <v>44.80401</v>
      </c>
      <c r="D44" s="1" t="s">
        <v>88</v>
      </c>
      <c r="E44" s="1" t="str">
        <f>IFERROR(__xludf.DUMMYFUNCTION("GOOGLETRANSLATE(A44,""en"",""ko"")"),"베오그라드")</f>
        <v>베오그라드</v>
      </c>
      <c r="F44" s="4" t="str">
        <f>IFERROR(__xludf.DUMMYFUNCTION("GOOGLETRANSLATE(D44,""en"",""ko"")"),"세르비아")</f>
        <v>세르비아</v>
      </c>
    </row>
    <row r="45" ht="15.75" customHeight="1">
      <c r="A45" s="1" t="s">
        <v>89</v>
      </c>
      <c r="B45" s="1">
        <v>-88.76667</v>
      </c>
      <c r="C45" s="1">
        <v>17.25</v>
      </c>
      <c r="D45" s="1" t="s">
        <v>90</v>
      </c>
      <c r="E45" s="1" t="str">
        <f>IFERROR(__xludf.DUMMYFUNCTION("GOOGLETRANSLATE(A45,""en"",""ko"")"),"벨모판")</f>
        <v>벨모판</v>
      </c>
      <c r="F45" s="4" t="str">
        <f>IFERROR(__xludf.DUMMYFUNCTION("GOOGLETRANSLATE(D45,""en"",""ko"")"),"벨리즈")</f>
        <v>벨리즈</v>
      </c>
    </row>
    <row r="46" ht="15.75" customHeight="1">
      <c r="A46" s="1" t="s">
        <v>91</v>
      </c>
      <c r="B46" s="1">
        <v>-43.93778</v>
      </c>
      <c r="C46" s="1">
        <v>-19.92083</v>
      </c>
      <c r="D46" s="1" t="s">
        <v>86</v>
      </c>
      <c r="E46" s="1" t="str">
        <f>IFERROR(__xludf.DUMMYFUNCTION("GOOGLETRANSLATE(A46,""en"",""ko"")"),"벨루오리존치")</f>
        <v>벨루오리존치</v>
      </c>
      <c r="F46" s="4" t="str">
        <f>IFERROR(__xludf.DUMMYFUNCTION("GOOGLETRANSLATE(D46,""en"",""ko"")"),"브라질")</f>
        <v>브라질</v>
      </c>
    </row>
    <row r="47" ht="15.75" customHeight="1">
      <c r="A47" s="1" t="s">
        <v>92</v>
      </c>
      <c r="B47" s="1">
        <v>77.59369</v>
      </c>
      <c r="C47" s="1">
        <v>12.97194</v>
      </c>
      <c r="D47" s="1" t="s">
        <v>17</v>
      </c>
      <c r="E47" s="1" t="str">
        <f>IFERROR(__xludf.DUMMYFUNCTION("GOOGLETRANSLATE(A47,""en"",""ko"")"),"벵갈루루")</f>
        <v>벵갈루루</v>
      </c>
      <c r="F47" s="4" t="str">
        <f>IFERROR(__xludf.DUMMYFUNCTION("GOOGLETRANSLATE(D47,""en"",""ko"")"),"인도")</f>
        <v>인도</v>
      </c>
    </row>
    <row r="48" ht="15.75" customHeight="1">
      <c r="A48" s="1" t="s">
        <v>93</v>
      </c>
      <c r="B48" s="1">
        <v>13.41053</v>
      </c>
      <c r="C48" s="1">
        <v>52.52437</v>
      </c>
      <c r="D48" s="1" t="s">
        <v>94</v>
      </c>
      <c r="E48" s="1" t="str">
        <f>IFERROR(__xludf.DUMMYFUNCTION("GOOGLETRANSLATE(A48,""en"",""ko"")"),"베를린")</f>
        <v>베를린</v>
      </c>
      <c r="F48" s="4" t="str">
        <f>IFERROR(__xludf.DUMMYFUNCTION("GOOGLETRANSLATE(D48,""en"",""ko"")"),"독일")</f>
        <v>독일</v>
      </c>
    </row>
    <row r="49" ht="15.75" customHeight="1">
      <c r="A49" s="1" t="s">
        <v>95</v>
      </c>
      <c r="B49" s="1">
        <v>7.44744</v>
      </c>
      <c r="C49" s="1">
        <v>46.94809</v>
      </c>
      <c r="D49" s="1" t="s">
        <v>96</v>
      </c>
      <c r="E49" s="1" t="str">
        <f>IFERROR(__xludf.DUMMYFUNCTION("GOOGLETRANSLATE(A49,""en"",""ko"")"),"베른")</f>
        <v>베른</v>
      </c>
      <c r="F49" s="4" t="str">
        <f>IFERROR(__xludf.DUMMYFUNCTION("GOOGLETRANSLATE(D49,""en"",""ko"")"),"스위스")</f>
        <v>스위스</v>
      </c>
    </row>
    <row r="50" ht="15.75" customHeight="1">
      <c r="A50" s="1" t="s">
        <v>97</v>
      </c>
      <c r="B50" s="1">
        <v>74.59</v>
      </c>
      <c r="C50" s="1">
        <v>42.87</v>
      </c>
      <c r="D50" s="1" t="s">
        <v>98</v>
      </c>
      <c r="E50" s="1" t="str">
        <f>IFERROR(__xludf.DUMMYFUNCTION("GOOGLETRANSLATE(A50,""en"",""ko"")"),"비슈케크")</f>
        <v>비슈케크</v>
      </c>
      <c r="F50" s="4" t="str">
        <f>IFERROR(__xludf.DUMMYFUNCTION("GOOGLETRANSLATE(D50,""en"",""ko"")"),"키르기스스탄")</f>
        <v>키르기스스탄</v>
      </c>
    </row>
    <row r="51" ht="15.75" customHeight="1">
      <c r="A51" s="1" t="s">
        <v>99</v>
      </c>
      <c r="B51" s="1">
        <v>-15.59767</v>
      </c>
      <c r="C51" s="1">
        <v>11.86357</v>
      </c>
      <c r="D51" s="1" t="s">
        <v>100</v>
      </c>
      <c r="E51" s="1" t="str">
        <f>IFERROR(__xludf.DUMMYFUNCTION("GOOGLETRANSLATE(A51,""en"",""ko"")"),"비사우")</f>
        <v>비사우</v>
      </c>
      <c r="F51" s="4" t="str">
        <f>IFERROR(__xludf.DUMMYFUNCTION("GOOGLETRANSLATE(D51,""en"",""ko"")"),"기니비사우")</f>
        <v>기니비사우</v>
      </c>
    </row>
    <row r="52" ht="15.75" customHeight="1">
      <c r="A52" s="1" t="s">
        <v>101</v>
      </c>
      <c r="B52" s="1">
        <v>-74.08175</v>
      </c>
      <c r="C52" s="1">
        <v>4.60971</v>
      </c>
      <c r="D52" s="1" t="s">
        <v>74</v>
      </c>
      <c r="E52" s="1" t="str">
        <f>IFERROR(__xludf.DUMMYFUNCTION("GOOGLETRANSLATE(A52,""en"",""ko"")"),"보고타")</f>
        <v>보고타</v>
      </c>
      <c r="F52" s="4" t="str">
        <f>IFERROR(__xludf.DUMMYFUNCTION("GOOGLETRANSLATE(D52,""en"",""ko"")"),"콜롬비아")</f>
        <v>콜롬비아</v>
      </c>
    </row>
    <row r="53" ht="15.75" customHeight="1">
      <c r="A53" s="1" t="s">
        <v>102</v>
      </c>
      <c r="B53" s="1">
        <v>-47.92972</v>
      </c>
      <c r="C53" s="1">
        <v>-15.77972</v>
      </c>
      <c r="D53" s="1" t="s">
        <v>86</v>
      </c>
      <c r="E53" s="1" t="str">
        <f>IFERROR(__xludf.DUMMYFUNCTION("GOOGLETRANSLATE(A53,""en"",""ko"")"),"브라질리아")</f>
        <v>브라질리아</v>
      </c>
      <c r="F53" s="4" t="str">
        <f>IFERROR(__xludf.DUMMYFUNCTION("GOOGLETRANSLATE(D53,""en"",""ko"")"),"브라질")</f>
        <v>브라질</v>
      </c>
    </row>
    <row r="54" ht="15.75" customHeight="1">
      <c r="A54" s="1" t="s">
        <v>103</v>
      </c>
      <c r="B54" s="1">
        <v>17.10674</v>
      </c>
      <c r="C54" s="1">
        <v>48.14816</v>
      </c>
      <c r="D54" s="1" t="s">
        <v>104</v>
      </c>
      <c r="E54" s="1" t="str">
        <f>IFERROR(__xludf.DUMMYFUNCTION("GOOGLETRANSLATE(A54,""en"",""ko"")"),"브라티슬라바")</f>
        <v>브라티슬라바</v>
      </c>
      <c r="F54" s="4" t="str">
        <f>IFERROR(__xludf.DUMMYFUNCTION("GOOGLETRANSLATE(D54,""en"",""ko"")"),"슬로바키아")</f>
        <v>슬로바키아</v>
      </c>
    </row>
    <row r="55" ht="15.75" customHeight="1">
      <c r="A55" s="1" t="s">
        <v>105</v>
      </c>
      <c r="B55" s="1">
        <v>15.28318</v>
      </c>
      <c r="C55" s="1">
        <v>-4.26613</v>
      </c>
      <c r="D55" s="1" t="s">
        <v>106</v>
      </c>
      <c r="E55" s="1" t="str">
        <f>IFERROR(__xludf.DUMMYFUNCTION("GOOGLETRANSLATE(A55,""en"",""ko"")"),"브라자빌")</f>
        <v>브라자빌</v>
      </c>
      <c r="F55" s="4" t="str">
        <f>IFERROR(__xludf.DUMMYFUNCTION("GOOGLETRANSLATE(D55,""en"",""ko"")"),"콩고 공화국")</f>
        <v>콩고 공화국</v>
      </c>
    </row>
    <row r="56" ht="15.75" customHeight="1">
      <c r="A56" s="1" t="s">
        <v>107</v>
      </c>
      <c r="B56" s="1">
        <v>-59.62021</v>
      </c>
      <c r="C56" s="1">
        <v>13.10732</v>
      </c>
      <c r="D56" s="1" t="s">
        <v>108</v>
      </c>
      <c r="E56" s="1" t="str">
        <f>IFERROR(__xludf.DUMMYFUNCTION("GOOGLETRANSLATE(A56,""en"",""ko"")"),"브리지타운")</f>
        <v>브리지타운</v>
      </c>
      <c r="F56" s="4" t="str">
        <f>IFERROR(__xludf.DUMMYFUNCTION("GOOGLETRANSLATE(D56,""en"",""ko"")"),"바베이도스")</f>
        <v>바베이도스</v>
      </c>
    </row>
    <row r="57" ht="15.75" customHeight="1">
      <c r="A57" s="1" t="s">
        <v>109</v>
      </c>
      <c r="B57" s="1">
        <v>153.02809</v>
      </c>
      <c r="C57" s="1">
        <v>-27.46794</v>
      </c>
      <c r="D57" s="1" t="s">
        <v>110</v>
      </c>
      <c r="E57" s="1" t="str">
        <f>IFERROR(__xludf.DUMMYFUNCTION("GOOGLETRANSLATE(A57,""en"",""ko"")"),"브리즈번")</f>
        <v>브리즈번</v>
      </c>
      <c r="F57" s="4" t="str">
        <f>IFERROR(__xludf.DUMMYFUNCTION("GOOGLETRANSLATE(D57,""en"",""ko"")"),"호주")</f>
        <v>호주</v>
      </c>
    </row>
    <row r="58" ht="15.75" customHeight="1">
      <c r="A58" s="1" t="s">
        <v>111</v>
      </c>
      <c r="B58" s="1">
        <v>4.34878</v>
      </c>
      <c r="C58" s="1">
        <v>50.85045</v>
      </c>
      <c r="D58" s="1" t="s">
        <v>112</v>
      </c>
      <c r="E58" s="1" t="str">
        <f>IFERROR(__xludf.DUMMYFUNCTION("GOOGLETRANSLATE(A58,""en"",""ko"")"),"브뤼셀")</f>
        <v>브뤼셀</v>
      </c>
      <c r="F58" s="4" t="str">
        <f>IFERROR(__xludf.DUMMYFUNCTION("GOOGLETRANSLATE(D58,""en"",""ko"")"),"벨기에")</f>
        <v>벨기에</v>
      </c>
    </row>
    <row r="59" ht="15.75" customHeight="1">
      <c r="A59" s="1" t="s">
        <v>113</v>
      </c>
      <c r="B59" s="1">
        <v>26.10626</v>
      </c>
      <c r="C59" s="1">
        <v>44.43225</v>
      </c>
      <c r="D59" s="1" t="s">
        <v>114</v>
      </c>
      <c r="E59" s="1" t="str">
        <f>IFERROR(__xludf.DUMMYFUNCTION("GOOGLETRANSLATE(A59,""en"",""ko"")"),"부카레스트")</f>
        <v>부카레스트</v>
      </c>
      <c r="F59" s="4" t="str">
        <f>IFERROR(__xludf.DUMMYFUNCTION("GOOGLETRANSLATE(D59,""en"",""ko"")"),"루마니아")</f>
        <v>루마니아</v>
      </c>
    </row>
    <row r="60" ht="15.75" customHeight="1">
      <c r="A60" s="1" t="s">
        <v>115</v>
      </c>
      <c r="B60" s="1">
        <v>19.04045</v>
      </c>
      <c r="C60" s="1">
        <v>47.49835</v>
      </c>
      <c r="D60" s="1" t="s">
        <v>116</v>
      </c>
      <c r="E60" s="1" t="str">
        <f>IFERROR(__xludf.DUMMYFUNCTION("GOOGLETRANSLATE(A60,""en"",""ko"")"),"부다페스트")</f>
        <v>부다페스트</v>
      </c>
      <c r="F60" s="4" t="str">
        <f>IFERROR(__xludf.DUMMYFUNCTION("GOOGLETRANSLATE(D60,""en"",""ko"")"),"헝가리")</f>
        <v>헝가리</v>
      </c>
    </row>
    <row r="61" ht="15.75" customHeight="1">
      <c r="A61" s="1" t="s">
        <v>117</v>
      </c>
      <c r="B61" s="1">
        <v>-58.37723</v>
      </c>
      <c r="C61" s="1">
        <v>-34.61315</v>
      </c>
      <c r="D61" s="1" t="s">
        <v>118</v>
      </c>
      <c r="E61" s="1" t="str">
        <f>IFERROR(__xludf.DUMMYFUNCTION("GOOGLETRANSLATE(A61,""en"",""ko"")"),"부에노스 아이레스")</f>
        <v>부에노스 아이레스</v>
      </c>
      <c r="F61" s="4" t="str">
        <f>IFERROR(__xludf.DUMMYFUNCTION("GOOGLETRANSLATE(D61,""en"",""ko"")"),"아르헨티나")</f>
        <v>아르헨티나</v>
      </c>
    </row>
    <row r="62" ht="15.75" customHeight="1">
      <c r="A62" s="1" t="s">
        <v>119</v>
      </c>
      <c r="B62" s="1">
        <v>29.36142</v>
      </c>
      <c r="C62" s="1">
        <v>-3.38193</v>
      </c>
      <c r="D62" s="1" t="s">
        <v>120</v>
      </c>
      <c r="E62" s="1" t="str">
        <f>IFERROR(__xludf.DUMMYFUNCTION("GOOGLETRANSLATE(A62,""en"",""ko"")"),"부줌부라")</f>
        <v>부줌부라</v>
      </c>
      <c r="F62" s="4" t="str">
        <f>IFERROR(__xludf.DUMMYFUNCTION("GOOGLETRANSLATE(D62,""en"",""ko"")"),"부룬디")</f>
        <v>부룬디</v>
      </c>
    </row>
    <row r="63" ht="15.75" customHeight="1">
      <c r="A63" s="1" t="s">
        <v>121</v>
      </c>
      <c r="B63" s="1">
        <v>29.06013</v>
      </c>
      <c r="C63" s="1">
        <v>40.19559</v>
      </c>
      <c r="D63" s="1" t="s">
        <v>35</v>
      </c>
      <c r="E63" s="1" t="str">
        <f>IFERROR(__xludf.DUMMYFUNCTION("GOOGLETRANSLATE(A63,""en"",""ko"")"),"부르사")</f>
        <v>부르사</v>
      </c>
      <c r="F63" s="3" t="s">
        <v>36</v>
      </c>
    </row>
    <row r="64" ht="15.75" customHeight="1">
      <c r="A64" s="1" t="s">
        <v>122</v>
      </c>
      <c r="B64" s="1">
        <v>129.03004</v>
      </c>
      <c r="C64" s="1">
        <v>35.10168</v>
      </c>
      <c r="D64" s="1" t="s">
        <v>123</v>
      </c>
      <c r="E64" s="1" t="str">
        <f>IFERROR(__xludf.DUMMYFUNCTION("GOOGLETRANSLATE(A64,""en"",""ko"")"),"부산")</f>
        <v>부산</v>
      </c>
      <c r="F64" s="4" t="str">
        <f>IFERROR(__xludf.DUMMYFUNCTION("GOOGLETRANSLATE(D64,""en"",""ko"")"),"대한민국")</f>
        <v>대한민국</v>
      </c>
    </row>
    <row r="65" ht="15.75" customHeight="1">
      <c r="A65" s="1" t="s">
        <v>124</v>
      </c>
      <c r="B65" s="1">
        <v>31.24967</v>
      </c>
      <c r="C65" s="1">
        <v>30.06263</v>
      </c>
      <c r="D65" s="1" t="s">
        <v>21</v>
      </c>
      <c r="E65" s="1" t="str">
        <f>IFERROR(__xludf.DUMMYFUNCTION("GOOGLETRANSLATE(A65,""en"",""ko"")"),"카이로")</f>
        <v>카이로</v>
      </c>
      <c r="F65" s="4" t="str">
        <f>IFERROR(__xludf.DUMMYFUNCTION("GOOGLETRANSLATE(D65,""en"",""ko"")"),"이집트")</f>
        <v>이집트</v>
      </c>
    </row>
    <row r="66" ht="15.75" customHeight="1">
      <c r="A66" s="1" t="s">
        <v>125</v>
      </c>
      <c r="B66" s="1">
        <v>-76.5225</v>
      </c>
      <c r="C66" s="1">
        <v>3.43722</v>
      </c>
      <c r="D66" s="1" t="s">
        <v>74</v>
      </c>
      <c r="E66" s="1" t="str">
        <f>IFERROR(__xludf.DUMMYFUNCTION("GOOGLETRANSLATE(A66,""en"",""ko"")"),"칼리")</f>
        <v>칼리</v>
      </c>
      <c r="F66" s="4" t="str">
        <f>IFERROR(__xludf.DUMMYFUNCTION("GOOGLETRANSLATE(D66,""en"",""ko"")"),"콜롬비아")</f>
        <v>콜롬비아</v>
      </c>
    </row>
    <row r="67" ht="15.75" customHeight="1">
      <c r="A67" s="1" t="s">
        <v>126</v>
      </c>
      <c r="B67" s="1">
        <v>120.96788</v>
      </c>
      <c r="C67" s="1">
        <v>14.64953</v>
      </c>
      <c r="D67" s="1" t="s">
        <v>127</v>
      </c>
      <c r="E67" s="1" t="str">
        <f>IFERROR(__xludf.DUMMYFUNCTION("GOOGLETRANSLATE(A67,""en"",""ko"")"),"칼루칸")</f>
        <v>칼루칸</v>
      </c>
      <c r="F67" s="4" t="str">
        <f>IFERROR(__xludf.DUMMYFUNCTION("GOOGLETRANSLATE(D67,""en"",""ko"")"),"필리핀 제도")</f>
        <v>필리핀 제도</v>
      </c>
    </row>
    <row r="68" ht="15.75" customHeight="1">
      <c r="A68" s="1" t="s">
        <v>128</v>
      </c>
      <c r="B68" s="1">
        <v>-13.68778</v>
      </c>
      <c r="C68" s="1">
        <v>9.535</v>
      </c>
      <c r="D68" s="1" t="s">
        <v>129</v>
      </c>
      <c r="E68" s="1" t="str">
        <f>IFERROR(__xludf.DUMMYFUNCTION("GOOGLETRANSLATE(A68,""en"",""ko"")"),"카마옌")</f>
        <v>카마옌</v>
      </c>
      <c r="F68" s="4" t="str">
        <f>IFERROR(__xludf.DUMMYFUNCTION("GOOGLETRANSLATE(D68,""en"",""ko"")"),"기니")</f>
        <v>기니</v>
      </c>
    </row>
    <row r="69" ht="15.75" customHeight="1">
      <c r="A69" s="1" t="s">
        <v>130</v>
      </c>
      <c r="B69" s="1">
        <v>149.12807</v>
      </c>
      <c r="C69" s="1">
        <v>-35.28346</v>
      </c>
      <c r="D69" s="1" t="s">
        <v>110</v>
      </c>
      <c r="E69" s="1" t="str">
        <f>IFERROR(__xludf.DUMMYFUNCTION("GOOGLETRANSLATE(A69,""en"",""ko"")"),"캔버라")</f>
        <v>캔버라</v>
      </c>
      <c r="F69" s="4" t="str">
        <f>IFERROR(__xludf.DUMMYFUNCTION("GOOGLETRANSLATE(D69,""en"",""ko"")"),"호주")</f>
        <v>호주</v>
      </c>
    </row>
    <row r="70" ht="15.75" customHeight="1">
      <c r="A70" s="1" t="s">
        <v>131</v>
      </c>
      <c r="B70" s="1">
        <v>18.42322</v>
      </c>
      <c r="C70" s="1">
        <v>-33.92584</v>
      </c>
      <c r="D70" s="1" t="s">
        <v>132</v>
      </c>
      <c r="E70" s="1" t="str">
        <f>IFERROR(__xludf.DUMMYFUNCTION("GOOGLETRANSLATE(A70,""en"",""ko"")"),"케이프타운")</f>
        <v>케이프타운</v>
      </c>
      <c r="F70" s="4" t="str">
        <f>IFERROR(__xludf.DUMMYFUNCTION("GOOGLETRANSLATE(D70,""en"",""ko"")"),"남아프리카 공화국")</f>
        <v>남아프리카 공화국</v>
      </c>
    </row>
    <row r="71" ht="15.75" customHeight="1">
      <c r="A71" s="1" t="s">
        <v>133</v>
      </c>
      <c r="B71" s="1">
        <v>-66.87919</v>
      </c>
      <c r="C71" s="1">
        <v>10.48801</v>
      </c>
      <c r="D71" s="1" t="s">
        <v>134</v>
      </c>
      <c r="E71" s="1" t="str">
        <f>IFERROR(__xludf.DUMMYFUNCTION("GOOGLETRANSLATE(A71,""en"",""ko"")"),"카라카스")</f>
        <v>카라카스</v>
      </c>
      <c r="F71" s="4" t="str">
        <f>IFERROR(__xludf.DUMMYFUNCTION("GOOGLETRANSLATE(D71,""en"",""ko"")"),"베네수엘라")</f>
        <v>베네수엘라</v>
      </c>
    </row>
    <row r="72" ht="15.75" customHeight="1">
      <c r="A72" s="1" t="s">
        <v>135</v>
      </c>
      <c r="B72" s="1">
        <v>-7.61138</v>
      </c>
      <c r="C72" s="1">
        <v>33.58831</v>
      </c>
      <c r="D72" s="1" t="s">
        <v>136</v>
      </c>
      <c r="E72" s="1" t="str">
        <f>IFERROR(__xludf.DUMMYFUNCTION("GOOGLETRANSLATE(A72,""en"",""ko"")"),"카사블랑카")</f>
        <v>카사블랑카</v>
      </c>
      <c r="F72" s="4" t="str">
        <f>IFERROR(__xludf.DUMMYFUNCTION("GOOGLETRANSLATE(D72,""en"",""ko"")"),"모로코 가죽")</f>
        <v>모로코 가죽</v>
      </c>
    </row>
    <row r="73" ht="15.75" customHeight="1">
      <c r="A73" s="1" t="s">
        <v>137</v>
      </c>
      <c r="B73" s="1">
        <v>-61.00614</v>
      </c>
      <c r="C73" s="1">
        <v>13.9957</v>
      </c>
      <c r="D73" s="1" t="s">
        <v>138</v>
      </c>
      <c r="E73" s="1" t="str">
        <f>IFERROR(__xludf.DUMMYFUNCTION("GOOGLETRANSLATE(A73,""en"",""ko"")"),"캐스트리스")</f>
        <v>캐스트리스</v>
      </c>
      <c r="F73" s="4" t="str">
        <f>IFERROR(__xludf.DUMMYFUNCTION("GOOGLETRANSLATE(D73,""en"",""ko"")"),"세인트 루시아")</f>
        <v>세인트 루시아</v>
      </c>
    </row>
    <row r="74" ht="15.75" customHeight="1">
      <c r="A74" s="1" t="s">
        <v>139</v>
      </c>
      <c r="B74" s="1">
        <v>-52.33333</v>
      </c>
      <c r="C74" s="1">
        <v>4.93333</v>
      </c>
      <c r="D74" s="1" t="s">
        <v>140</v>
      </c>
      <c r="E74" s="2" t="s">
        <v>141</v>
      </c>
      <c r="F74" s="4" t="str">
        <f>IFERROR(__xludf.DUMMYFUNCTION("GOOGLETRANSLATE(D74,""en"",""ko"")"),"프랑스령 기아나")</f>
        <v>프랑스령 기아나</v>
      </c>
    </row>
    <row r="75" ht="15.75" customHeight="1">
      <c r="A75" s="1" t="s">
        <v>142</v>
      </c>
      <c r="B75" s="1">
        <v>-64.9307</v>
      </c>
      <c r="C75" s="1">
        <v>18.3419</v>
      </c>
      <c r="D75" s="1" t="s">
        <v>143</v>
      </c>
      <c r="E75" s="1" t="str">
        <f>IFERROR(__xludf.DUMMYFUNCTION("GOOGLETRANSLATE(A75,""en"",""ko"")"),"샬롯 아말리에")</f>
        <v>샬롯 아말리에</v>
      </c>
      <c r="F75" s="4" t="str">
        <f>IFERROR(__xludf.DUMMYFUNCTION("GOOGLETRANSLATE(D75,""en"",""ko"")"),"미국령 버진아일랜드")</f>
        <v>미국령 버진아일랜드</v>
      </c>
    </row>
    <row r="76" ht="15.75" customHeight="1">
      <c r="A76" s="1" t="s">
        <v>144</v>
      </c>
      <c r="B76" s="1">
        <v>104.06667</v>
      </c>
      <c r="C76" s="1">
        <v>30.66667</v>
      </c>
      <c r="D76" s="1" t="s">
        <v>81</v>
      </c>
      <c r="E76" s="1" t="str">
        <f>IFERROR(__xludf.DUMMYFUNCTION("GOOGLETRANSLATE(A76,""en"",""ko"")"),"청두")</f>
        <v>청두</v>
      </c>
      <c r="F76" s="4" t="str">
        <f>IFERROR(__xludf.DUMMYFUNCTION("GOOGLETRANSLATE(D76,""en"",""ko"")"),"중국")</f>
        <v>중국</v>
      </c>
    </row>
    <row r="77" ht="15.75" customHeight="1">
      <c r="A77" s="1" t="s">
        <v>145</v>
      </c>
      <c r="B77" s="1">
        <v>80.27847</v>
      </c>
      <c r="C77" s="1">
        <v>13.08784</v>
      </c>
      <c r="D77" s="1" t="s">
        <v>17</v>
      </c>
      <c r="E77" s="1" t="str">
        <f>IFERROR(__xludf.DUMMYFUNCTION("GOOGLETRANSLATE(A77,""en"",""ko"")"),"첸나이")</f>
        <v>첸나이</v>
      </c>
      <c r="F77" s="4" t="str">
        <f>IFERROR(__xludf.DUMMYFUNCTION("GOOGLETRANSLATE(D77,""en"",""ko"")"),"인도")</f>
        <v>인도</v>
      </c>
    </row>
    <row r="78" ht="15.75" customHeight="1">
      <c r="A78" s="1" t="s">
        <v>146</v>
      </c>
      <c r="B78" s="1">
        <v>-87.65005</v>
      </c>
      <c r="C78" s="1">
        <v>41.85003</v>
      </c>
      <c r="D78" s="1" t="s">
        <v>31</v>
      </c>
      <c r="E78" s="1" t="str">
        <f>IFERROR(__xludf.DUMMYFUNCTION("GOOGLETRANSLATE(A78,""en"",""ko"")"),"시카고")</f>
        <v>시카고</v>
      </c>
      <c r="F78" s="4" t="str">
        <f>IFERROR(__xludf.DUMMYFUNCTION("GOOGLETRANSLATE(D78,""en"",""ko"")"),"미국")</f>
        <v>미국</v>
      </c>
    </row>
    <row r="79" ht="15.75" customHeight="1">
      <c r="A79" s="1" t="s">
        <v>147</v>
      </c>
      <c r="B79" s="1">
        <v>28.8575</v>
      </c>
      <c r="C79" s="1">
        <v>47.00556</v>
      </c>
      <c r="D79" s="1" t="s">
        <v>148</v>
      </c>
      <c r="E79" s="1" t="str">
        <f>IFERROR(__xludf.DUMMYFUNCTION("GOOGLETRANSLATE(A79,""en"",""ko"")"),"키시나우")</f>
        <v>키시나우</v>
      </c>
      <c r="F79" s="4" t="str">
        <f>IFERROR(__xludf.DUMMYFUNCTION("GOOGLETRANSLATE(D79,""en"",""ko"")"),"몰도바")</f>
        <v>몰도바</v>
      </c>
    </row>
    <row r="80" ht="15.75" customHeight="1">
      <c r="A80" s="1" t="s">
        <v>149</v>
      </c>
      <c r="B80" s="1">
        <v>91.83168</v>
      </c>
      <c r="C80" s="1">
        <v>22.3384</v>
      </c>
      <c r="D80" s="1" t="s">
        <v>150</v>
      </c>
      <c r="E80" s="1" t="str">
        <f>IFERROR(__xludf.DUMMYFUNCTION("GOOGLETRANSLATE(A80,""en"",""ko"")"),"치타공")</f>
        <v>치타공</v>
      </c>
      <c r="F80" s="4" t="str">
        <f>IFERROR(__xludf.DUMMYFUNCTION("GOOGLETRANSLATE(D80,""en"",""ko"")"),"방글라데시")</f>
        <v>방글라데시</v>
      </c>
    </row>
    <row r="81" ht="15.75" customHeight="1">
      <c r="A81" s="1" t="s">
        <v>151</v>
      </c>
      <c r="B81" s="1">
        <v>106.55278</v>
      </c>
      <c r="C81" s="1">
        <v>29.56278</v>
      </c>
      <c r="D81" s="1" t="s">
        <v>81</v>
      </c>
      <c r="E81" s="1" t="str">
        <f>IFERROR(__xludf.DUMMYFUNCTION("GOOGLETRANSLATE(A81,""en"",""ko"")"),"충칭")</f>
        <v>충칭</v>
      </c>
      <c r="F81" s="4" t="str">
        <f>IFERROR(__xludf.DUMMYFUNCTION("GOOGLETRANSLATE(D81,""en"",""ko"")"),"중국")</f>
        <v>중국</v>
      </c>
    </row>
    <row r="82" ht="15.75" customHeight="1">
      <c r="A82" s="1" t="s">
        <v>152</v>
      </c>
      <c r="B82" s="1">
        <v>79.84868</v>
      </c>
      <c r="C82" s="1">
        <v>6.93548</v>
      </c>
      <c r="D82" s="1" t="s">
        <v>153</v>
      </c>
      <c r="E82" s="1" t="str">
        <f>IFERROR(__xludf.DUMMYFUNCTION("GOOGLETRANSLATE(A82,""en"",""ko"")"),"콜롬보")</f>
        <v>콜롬보</v>
      </c>
      <c r="F82" s="4" t="str">
        <f>IFERROR(__xludf.DUMMYFUNCTION("GOOGLETRANSLATE(D82,""en"",""ko"")"),"스리랑카")</f>
        <v>스리랑카</v>
      </c>
    </row>
    <row r="83" ht="15.75" customHeight="1">
      <c r="A83" s="1" t="s">
        <v>154</v>
      </c>
      <c r="B83" s="1">
        <v>-13.67729</v>
      </c>
      <c r="C83" s="1">
        <v>9.53795</v>
      </c>
      <c r="D83" s="1" t="s">
        <v>129</v>
      </c>
      <c r="E83" s="1" t="str">
        <f>IFERROR(__xludf.DUMMYFUNCTION("GOOGLETRANSLATE(A83,""en"",""ko"")"),"코나크리")</f>
        <v>코나크리</v>
      </c>
      <c r="F83" s="4" t="str">
        <f>IFERROR(__xludf.DUMMYFUNCTION("GOOGLETRANSLATE(D83,""en"",""ko"")"),"기니")</f>
        <v>기니</v>
      </c>
    </row>
    <row r="84" ht="15.75" customHeight="1">
      <c r="A84" s="1" t="s">
        <v>155</v>
      </c>
      <c r="B84" s="1">
        <v>12.56553</v>
      </c>
      <c r="C84" s="1">
        <v>55.67594</v>
      </c>
      <c r="D84" s="1" t="s">
        <v>156</v>
      </c>
      <c r="E84" s="1" t="str">
        <f>IFERROR(__xludf.DUMMYFUNCTION("GOOGLETRANSLATE(A84,""en"",""ko"")"),"코펜하겐")</f>
        <v>코펜하겐</v>
      </c>
      <c r="F84" s="4" t="str">
        <f>IFERROR(__xludf.DUMMYFUNCTION("GOOGLETRANSLATE(D84,""en"",""ko"")"),"덴마크")</f>
        <v>덴마크</v>
      </c>
    </row>
    <row r="85" ht="15.75" customHeight="1">
      <c r="A85" s="1" t="s">
        <v>157</v>
      </c>
      <c r="B85" s="1">
        <v>-64.18105</v>
      </c>
      <c r="C85" s="1">
        <v>-31.4135</v>
      </c>
      <c r="D85" s="1" t="s">
        <v>118</v>
      </c>
      <c r="E85" s="1" t="str">
        <f>IFERROR(__xludf.DUMMYFUNCTION("GOOGLETRANSLATE(A85,""en"",""ko"")"),"코르도바")</f>
        <v>코르도바</v>
      </c>
      <c r="F85" s="4" t="str">
        <f>IFERROR(__xludf.DUMMYFUNCTION("GOOGLETRANSLATE(D85,""en"",""ko"")"),"아르헨티나")</f>
        <v>아르헨티나</v>
      </c>
    </row>
    <row r="86" ht="15.75" customHeight="1">
      <c r="A86" s="1" t="s">
        <v>158</v>
      </c>
      <c r="B86" s="1">
        <v>-49.27306</v>
      </c>
      <c r="C86" s="1">
        <v>-25.42778</v>
      </c>
      <c r="D86" s="1" t="s">
        <v>86</v>
      </c>
      <c r="E86" s="1" t="str">
        <f>IFERROR(__xludf.DUMMYFUNCTION("GOOGLETRANSLATE(A86,""en"",""ko"")"),"쿠리치바")</f>
        <v>쿠리치바</v>
      </c>
      <c r="F86" s="4" t="str">
        <f>IFERROR(__xludf.DUMMYFUNCTION("GOOGLETRANSLATE(D86,""en"",""ko"")"),"브라질")</f>
        <v>브라질</v>
      </c>
    </row>
    <row r="87" ht="15.75" customHeight="1">
      <c r="A87" s="1" t="s">
        <v>159</v>
      </c>
      <c r="B87" s="1">
        <v>128.59111</v>
      </c>
      <c r="C87" s="1">
        <v>35.87028</v>
      </c>
      <c r="D87" s="1" t="s">
        <v>123</v>
      </c>
      <c r="E87" s="1" t="str">
        <f>IFERROR(__xludf.DUMMYFUNCTION("GOOGLETRANSLATE(A87,""en"",""ko"")"),"대구")</f>
        <v>대구</v>
      </c>
      <c r="F87" s="4" t="str">
        <f>IFERROR(__xludf.DUMMYFUNCTION("GOOGLETRANSLATE(D87,""en"",""ko"")"),"대한민국")</f>
        <v>대한민국</v>
      </c>
    </row>
    <row r="88" ht="15.75" customHeight="1">
      <c r="A88" s="1" t="s">
        <v>160</v>
      </c>
      <c r="B88" s="1">
        <v>127.38493</v>
      </c>
      <c r="C88" s="1">
        <v>36.34913</v>
      </c>
      <c r="D88" s="1" t="s">
        <v>123</v>
      </c>
      <c r="E88" s="1" t="str">
        <f>IFERROR(__xludf.DUMMYFUNCTION("GOOGLETRANSLATE(A88,""en"",""ko"")"),"대전")</f>
        <v>대전</v>
      </c>
      <c r="F88" s="4" t="str">
        <f>IFERROR(__xludf.DUMMYFUNCTION("GOOGLETRANSLATE(D88,""en"",""ko"")"),"대한민국")</f>
        <v>대한민국</v>
      </c>
    </row>
    <row r="89" ht="15.75" customHeight="1">
      <c r="A89" s="1" t="s">
        <v>161</v>
      </c>
      <c r="B89" s="1">
        <v>-17.44406</v>
      </c>
      <c r="C89" s="1">
        <v>14.6937</v>
      </c>
      <c r="D89" s="1" t="s">
        <v>162</v>
      </c>
      <c r="E89" s="1" t="str">
        <f>IFERROR(__xludf.DUMMYFUNCTION("GOOGLETRANSLATE(A89,""en"",""ko"")"),"다카르")</f>
        <v>다카르</v>
      </c>
      <c r="F89" s="4" t="str">
        <f>IFERROR(__xludf.DUMMYFUNCTION("GOOGLETRANSLATE(D89,""en"",""ko"")"),"세네갈")</f>
        <v>세네갈</v>
      </c>
    </row>
    <row r="90" ht="15.75" customHeight="1">
      <c r="A90" s="1" t="s">
        <v>163</v>
      </c>
      <c r="B90" s="1">
        <v>-96.80667</v>
      </c>
      <c r="C90" s="1">
        <v>32.78306</v>
      </c>
      <c r="D90" s="1" t="s">
        <v>31</v>
      </c>
      <c r="E90" s="1" t="str">
        <f>IFERROR(__xludf.DUMMYFUNCTION("GOOGLETRANSLATE(A90,""en"",""ko"")"),"댈러스")</f>
        <v>댈러스</v>
      </c>
      <c r="F90" s="4" t="str">
        <f>IFERROR(__xludf.DUMMYFUNCTION("GOOGLETRANSLATE(D90,""en"",""ko"")"),"미국")</f>
        <v>미국</v>
      </c>
    </row>
    <row r="91" ht="15.75" customHeight="1">
      <c r="A91" s="1" t="s">
        <v>164</v>
      </c>
      <c r="B91" s="1">
        <v>36.29128</v>
      </c>
      <c r="C91" s="1">
        <v>33.5102</v>
      </c>
      <c r="D91" s="1" t="s">
        <v>19</v>
      </c>
      <c r="E91" s="1" t="str">
        <f>IFERROR(__xludf.DUMMYFUNCTION("GOOGLETRANSLATE(A91,""en"",""ko"")"),"다마스쿠스")</f>
        <v>다마스쿠스</v>
      </c>
      <c r="F91" s="4" t="str">
        <f>IFERROR(__xludf.DUMMYFUNCTION("GOOGLETRANSLATE(D91,""en"",""ko"")"),"시리아")</f>
        <v>시리아</v>
      </c>
    </row>
    <row r="92" ht="15.75" customHeight="1">
      <c r="A92" s="1" t="s">
        <v>165</v>
      </c>
      <c r="B92" s="1">
        <v>39.26951</v>
      </c>
      <c r="C92" s="1">
        <v>-6.82349</v>
      </c>
      <c r="D92" s="1" t="s">
        <v>166</v>
      </c>
      <c r="E92" s="1" t="str">
        <f>IFERROR(__xludf.DUMMYFUNCTION("GOOGLETRANSLATE(A92,""en"",""ko"")"),"다르에스살람")</f>
        <v>다르에스살람</v>
      </c>
      <c r="F92" s="4" t="str">
        <f>IFERROR(__xludf.DUMMYFUNCTION("GOOGLETRANSLATE(D92,""en"",""ko"")"),"탄자니아")</f>
        <v>탄자니아</v>
      </c>
    </row>
    <row r="93" ht="15.75" customHeight="1">
      <c r="A93" s="1" t="s">
        <v>167</v>
      </c>
      <c r="B93" s="1">
        <v>77.23149</v>
      </c>
      <c r="C93" s="1">
        <v>28.65195</v>
      </c>
      <c r="D93" s="1" t="s">
        <v>17</v>
      </c>
      <c r="E93" s="1" t="str">
        <f>IFERROR(__xludf.DUMMYFUNCTION("GOOGLETRANSLATE(A93,""en"",""ko"")"),"델리")</f>
        <v>델리</v>
      </c>
      <c r="F93" s="4" t="str">
        <f>IFERROR(__xludf.DUMMYFUNCTION("GOOGLETRANSLATE(D93,""en"",""ko"")"),"인도")</f>
        <v>인도</v>
      </c>
    </row>
    <row r="94" ht="15.75" customHeight="1">
      <c r="A94" s="1" t="s">
        <v>168</v>
      </c>
      <c r="B94" s="1">
        <v>-104.9847</v>
      </c>
      <c r="C94" s="1">
        <v>39.73915</v>
      </c>
      <c r="D94" s="1" t="s">
        <v>31</v>
      </c>
      <c r="E94" s="1" t="str">
        <f>IFERROR(__xludf.DUMMYFUNCTION("GOOGLETRANSLATE(A94,""en"",""ko"")"),"덴버")</f>
        <v>덴버</v>
      </c>
      <c r="F94" s="4" t="str">
        <f>IFERROR(__xludf.DUMMYFUNCTION("GOOGLETRANSLATE(D94,""en"",""ko"")"),"미국")</f>
        <v>미국</v>
      </c>
    </row>
    <row r="95" ht="15.75" customHeight="1">
      <c r="A95" s="1" t="s">
        <v>169</v>
      </c>
      <c r="B95" s="1">
        <v>90.40744</v>
      </c>
      <c r="C95" s="1">
        <v>23.7104</v>
      </c>
      <c r="D95" s="1" t="s">
        <v>150</v>
      </c>
      <c r="E95" s="1" t="str">
        <f>IFERROR(__xludf.DUMMYFUNCTION("GOOGLETRANSLATE(A95,""en"",""ko"")"),"다카")</f>
        <v>다카</v>
      </c>
      <c r="F95" s="4" t="str">
        <f>IFERROR(__xludf.DUMMYFUNCTION("GOOGLETRANSLATE(D95,""en"",""ko"")"),"방글라데시")</f>
        <v>방글라데시</v>
      </c>
    </row>
    <row r="96" ht="15.75" customHeight="1">
      <c r="A96" s="1" t="s">
        <v>170</v>
      </c>
      <c r="B96" s="1">
        <v>125.57361</v>
      </c>
      <c r="C96" s="1">
        <v>-8.55861</v>
      </c>
      <c r="D96" s="1" t="s">
        <v>171</v>
      </c>
      <c r="E96" s="1" t="str">
        <f>IFERROR(__xludf.DUMMYFUNCTION("GOOGLETRANSLATE(A96,""en"",""ko"")"),"딜리")</f>
        <v>딜리</v>
      </c>
      <c r="F96" s="4" t="str">
        <f>IFERROR(__xludf.DUMMYFUNCTION("GOOGLETRANSLATE(D96,""en"",""ko"")"),"동티모르")</f>
        <v>동티모르</v>
      </c>
    </row>
    <row r="97" ht="15.75" customHeight="1">
      <c r="A97" s="1" t="s">
        <v>172</v>
      </c>
      <c r="B97" s="1">
        <v>43.14503</v>
      </c>
      <c r="C97" s="1">
        <v>11.58901</v>
      </c>
      <c r="D97" s="1" t="s">
        <v>172</v>
      </c>
      <c r="E97" s="1" t="str">
        <f>IFERROR(__xludf.DUMMYFUNCTION("GOOGLETRANSLATE(A97,""en"",""ko"")"),"지부티")</f>
        <v>지부티</v>
      </c>
      <c r="F97" s="4" t="str">
        <f>IFERROR(__xludf.DUMMYFUNCTION("GOOGLETRANSLATE(D97,""en"",""ko"")"),"지부티")</f>
        <v>지부티</v>
      </c>
    </row>
    <row r="98" ht="15.75" customHeight="1">
      <c r="A98" s="1" t="s">
        <v>173</v>
      </c>
      <c r="B98" s="1">
        <v>35.73947</v>
      </c>
      <c r="C98" s="1">
        <v>-6.17221</v>
      </c>
      <c r="D98" s="1" t="s">
        <v>166</v>
      </c>
      <c r="E98" s="1" t="str">
        <f>IFERROR(__xludf.DUMMYFUNCTION("GOOGLETRANSLATE(A98,""en"",""ko"")"),"도도마")</f>
        <v>도도마</v>
      </c>
      <c r="F98" s="4" t="str">
        <f>IFERROR(__xludf.DUMMYFUNCTION("GOOGLETRANSLATE(D98,""en"",""ko"")"),"탄자니아")</f>
        <v>탄자니아</v>
      </c>
    </row>
    <row r="99" ht="15.75" customHeight="1">
      <c r="A99" s="1" t="s">
        <v>174</v>
      </c>
      <c r="B99" s="1">
        <v>51.53096</v>
      </c>
      <c r="C99" s="1">
        <v>25.28545</v>
      </c>
      <c r="D99" s="1" t="s">
        <v>175</v>
      </c>
      <c r="E99" s="1" t="str">
        <f>IFERROR(__xludf.DUMMYFUNCTION("GOOGLETRANSLATE(A99,""en"",""ko"")"),"도하")</f>
        <v>도하</v>
      </c>
      <c r="F99" s="4" t="str">
        <f>IFERROR(__xludf.DUMMYFUNCTION("GOOGLETRANSLATE(D99,""en"",""ko"")"),"카타르")</f>
        <v>카타르</v>
      </c>
    </row>
    <row r="100" ht="15.75" customHeight="1">
      <c r="A100" s="1" t="s">
        <v>176</v>
      </c>
      <c r="B100" s="1">
        <v>113.74866</v>
      </c>
      <c r="C100" s="1">
        <v>23.01797</v>
      </c>
      <c r="D100" s="1" t="s">
        <v>81</v>
      </c>
      <c r="E100" s="1" t="str">
        <f>IFERROR(__xludf.DUMMYFUNCTION("GOOGLETRANSLATE(A100,""en"",""ko"")"),"동관")</f>
        <v>동관</v>
      </c>
      <c r="F100" s="4" t="str">
        <f>IFERROR(__xludf.DUMMYFUNCTION("GOOGLETRANSLATE(D100,""en"",""ko"")"),"중국")</f>
        <v>중국</v>
      </c>
    </row>
    <row r="101" ht="15.75" customHeight="1">
      <c r="A101" s="1" t="s">
        <v>177</v>
      </c>
      <c r="B101" s="1">
        <v>9.70428</v>
      </c>
      <c r="C101" s="1">
        <v>4.04827</v>
      </c>
      <c r="D101" s="1" t="s">
        <v>178</v>
      </c>
      <c r="E101" s="1" t="str">
        <f>IFERROR(__xludf.DUMMYFUNCTION("GOOGLETRANSLATE(A101,""en"",""ko"")"),"두알라")</f>
        <v>두알라</v>
      </c>
      <c r="F101" s="4" t="str">
        <f>IFERROR(__xludf.DUMMYFUNCTION("GOOGLETRANSLATE(D101,""en"",""ko"")"),"카메룬")</f>
        <v>카메룬</v>
      </c>
    </row>
    <row r="102" ht="15.75" customHeight="1">
      <c r="A102" s="1" t="s">
        <v>179</v>
      </c>
      <c r="B102" s="1">
        <v>-4.48333</v>
      </c>
      <c r="C102" s="1">
        <v>54.15</v>
      </c>
      <c r="D102" s="1" t="s">
        <v>180</v>
      </c>
      <c r="E102" s="1" t="str">
        <f>IFERROR(__xludf.DUMMYFUNCTION("GOOGLETRANSLATE(A102,""en"",""ko"")"),"더글러스")</f>
        <v>더글러스</v>
      </c>
      <c r="F102" s="4" t="str">
        <f>IFERROR(__xludf.DUMMYFUNCTION("GOOGLETRANSLATE(D102,""en"",""ko"")"),"맨 섬")</f>
        <v>맨 섬</v>
      </c>
    </row>
    <row r="103" ht="15.75" customHeight="1">
      <c r="A103" s="1" t="s">
        <v>181</v>
      </c>
      <c r="B103" s="1">
        <v>55.30927</v>
      </c>
      <c r="C103" s="1">
        <v>25.07725</v>
      </c>
      <c r="D103" s="1" t="s">
        <v>9</v>
      </c>
      <c r="E103" s="1" t="str">
        <f>IFERROR(__xludf.DUMMYFUNCTION("GOOGLETRANSLATE(A103,""en"",""ko"")"),"두바이")</f>
        <v>두바이</v>
      </c>
      <c r="F103" s="4" t="str">
        <f>IFERROR(__xludf.DUMMYFUNCTION("GOOGLETRANSLATE(D103,""en"",""ko"")"),"아랍에미리트")</f>
        <v>아랍에미리트</v>
      </c>
    </row>
    <row r="104" ht="15.75" customHeight="1">
      <c r="A104" s="1" t="s">
        <v>182</v>
      </c>
      <c r="B104" s="1">
        <v>-6.24889</v>
      </c>
      <c r="C104" s="1">
        <v>53.33306</v>
      </c>
      <c r="D104" s="1" t="s">
        <v>183</v>
      </c>
      <c r="E104" s="1" t="str">
        <f>IFERROR(__xludf.DUMMYFUNCTION("GOOGLETRANSLATE(A104,""en"",""ko"")"),"더블린")</f>
        <v>더블린</v>
      </c>
      <c r="F104" s="4" t="str">
        <f>IFERROR(__xludf.DUMMYFUNCTION("GOOGLETRANSLATE(D104,""en"",""ko"")"),"아일랜드")</f>
        <v>아일랜드</v>
      </c>
    </row>
    <row r="105" ht="15.75" customHeight="1">
      <c r="A105" s="1" t="s">
        <v>184</v>
      </c>
      <c r="B105" s="1">
        <v>31.0292</v>
      </c>
      <c r="C105" s="1">
        <v>-29.8579</v>
      </c>
      <c r="D105" s="1" t="s">
        <v>132</v>
      </c>
      <c r="E105" s="1" t="str">
        <f>IFERROR(__xludf.DUMMYFUNCTION("GOOGLETRANSLATE(A105,""en"",""ko"")"),"더반")</f>
        <v>더반</v>
      </c>
      <c r="F105" s="4" t="str">
        <f>IFERROR(__xludf.DUMMYFUNCTION("GOOGLETRANSLATE(D105,""en"",""ko"")"),"남아프리카 공화국")</f>
        <v>남아프리카 공화국</v>
      </c>
    </row>
    <row r="106" ht="15.75" customHeight="1">
      <c r="A106" s="1" t="s">
        <v>185</v>
      </c>
      <c r="B106" s="1">
        <v>68.77905</v>
      </c>
      <c r="C106" s="1">
        <v>38.53575</v>
      </c>
      <c r="D106" s="1" t="s">
        <v>186</v>
      </c>
      <c r="E106" s="1" t="str">
        <f>IFERROR(__xludf.DUMMYFUNCTION("GOOGLETRANSLATE(A106,""en"",""ko"")"),"두샨베")</f>
        <v>두샨베</v>
      </c>
      <c r="F106" s="4" t="str">
        <f>IFERROR(__xludf.DUMMYFUNCTION("GOOGLETRANSLATE(D106,""en"",""ko"")"),"타지키스탄")</f>
        <v>타지키스탄</v>
      </c>
    </row>
    <row r="107" ht="15.75" customHeight="1">
      <c r="A107" s="1" t="s">
        <v>187</v>
      </c>
      <c r="B107" s="1">
        <v>73.08969</v>
      </c>
      <c r="C107" s="1">
        <v>31.41554</v>
      </c>
      <c r="D107" s="1" t="s">
        <v>188</v>
      </c>
      <c r="E107" s="1" t="str">
        <f>IFERROR(__xludf.DUMMYFUNCTION("GOOGLETRANSLATE(A107,""en"",""ko"")"),"파이살라바드")</f>
        <v>파이살라바드</v>
      </c>
      <c r="F107" s="4" t="str">
        <f>IFERROR(__xludf.DUMMYFUNCTION("GOOGLETRANSLATE(D107,""en"",""ko"")"),"파키스탄")</f>
        <v>파키스탄</v>
      </c>
    </row>
    <row r="108" ht="15.75" customHeight="1">
      <c r="A108" s="1" t="s">
        <v>189</v>
      </c>
      <c r="B108" s="1">
        <v>-61.07418</v>
      </c>
      <c r="C108" s="1">
        <v>14.60365</v>
      </c>
      <c r="D108" s="1" t="s">
        <v>190</v>
      </c>
      <c r="E108" s="1" t="str">
        <f>IFERROR(__xludf.DUMMYFUNCTION("GOOGLETRANSLATE(A108,""en"",""ko"")"),"포르드프랑스")</f>
        <v>포르드프랑스</v>
      </c>
      <c r="F108" s="4" t="str">
        <f>IFERROR(__xludf.DUMMYFUNCTION("GOOGLETRANSLATE(D108,""en"",""ko"")"),"마르티니크")</f>
        <v>마르티니크</v>
      </c>
    </row>
    <row r="109" ht="15.75" customHeight="1">
      <c r="A109" s="1" t="s">
        <v>191</v>
      </c>
      <c r="B109" s="1">
        <v>-38.54306</v>
      </c>
      <c r="C109" s="1">
        <v>-3.71722</v>
      </c>
      <c r="D109" s="1" t="s">
        <v>86</v>
      </c>
      <c r="E109" s="1" t="str">
        <f>IFERROR(__xludf.DUMMYFUNCTION("GOOGLETRANSLATE(A109,""en"",""ko"")"),"포르탈레자")</f>
        <v>포르탈레자</v>
      </c>
      <c r="F109" s="4" t="str">
        <f>IFERROR(__xludf.DUMMYFUNCTION("GOOGLETRANSLATE(D109,""en"",""ko"")"),"브라질")</f>
        <v>브라질</v>
      </c>
    </row>
    <row r="110" ht="15.75" customHeight="1">
      <c r="A110" s="1" t="s">
        <v>192</v>
      </c>
      <c r="B110" s="1">
        <v>-13.2356</v>
      </c>
      <c r="C110" s="1">
        <v>8.48714</v>
      </c>
      <c r="D110" s="1" t="s">
        <v>193</v>
      </c>
      <c r="E110" s="1" t="str">
        <f>IFERROR(__xludf.DUMMYFUNCTION("GOOGLETRANSLATE(A110,""en"",""ko"")"),"프리타운")</f>
        <v>프리타운</v>
      </c>
      <c r="F110" s="4" t="str">
        <f>IFERROR(__xludf.DUMMYFUNCTION("GOOGLETRANSLATE(D110,""en"",""ko"")"),"시에라리온")</f>
        <v>시에라리온</v>
      </c>
    </row>
    <row r="111" ht="15.75" customHeight="1">
      <c r="A111" s="1" t="s">
        <v>194</v>
      </c>
      <c r="B111" s="1">
        <v>130.41667</v>
      </c>
      <c r="C111" s="1">
        <v>33.6</v>
      </c>
      <c r="D111" s="1" t="s">
        <v>195</v>
      </c>
      <c r="E111" s="1" t="str">
        <f>IFERROR(__xludf.DUMMYFUNCTION("GOOGLETRANSLATE(A111,""en"",""ko"")"),"후쿠오카")</f>
        <v>후쿠오카</v>
      </c>
      <c r="F111" s="4" t="str">
        <f>IFERROR(__xludf.DUMMYFUNCTION("GOOGLETRANSLATE(D111,""en"",""ko"")"),"일본")</f>
        <v>일본</v>
      </c>
    </row>
    <row r="112" ht="15.75" customHeight="1">
      <c r="A112" s="1" t="s">
        <v>196</v>
      </c>
      <c r="B112" s="1">
        <v>179.19417</v>
      </c>
      <c r="C112" s="1">
        <v>-8.52425</v>
      </c>
      <c r="D112" s="1" t="s">
        <v>197</v>
      </c>
      <c r="E112" s="1" t="str">
        <f>IFERROR(__xludf.DUMMYFUNCTION("GOOGLETRANSLATE(A112,""en"",""ko"")"),"푸나푸티")</f>
        <v>푸나푸티</v>
      </c>
      <c r="F112" s="4" t="str">
        <f>IFERROR(__xludf.DUMMYFUNCTION("GOOGLETRANSLATE(D112,""en"",""ko"")"),"투발루")</f>
        <v>투발루</v>
      </c>
    </row>
    <row r="113" ht="15.75" customHeight="1">
      <c r="A113" s="1" t="s">
        <v>198</v>
      </c>
      <c r="B113" s="1">
        <v>25.90859</v>
      </c>
      <c r="C113" s="1">
        <v>-24.65451</v>
      </c>
      <c r="D113" s="1" t="s">
        <v>199</v>
      </c>
      <c r="E113" s="1" t="str">
        <f>IFERROR(__xludf.DUMMYFUNCTION("GOOGLETRANSLATE(A113,""en"",""ko"")"),"가보로네")</f>
        <v>가보로네</v>
      </c>
      <c r="F113" s="4" t="str">
        <f>IFERROR(__xludf.DUMMYFUNCTION("GOOGLETRANSLATE(D113,""en"",""ko"")"),"보츠와나")</f>
        <v>보츠와나</v>
      </c>
    </row>
    <row r="114" ht="15.75" customHeight="1">
      <c r="A114" s="1" t="s">
        <v>200</v>
      </c>
      <c r="B114" s="1">
        <v>-81.37436</v>
      </c>
      <c r="C114" s="1">
        <v>19.2866</v>
      </c>
      <c r="D114" s="1" t="s">
        <v>201</v>
      </c>
      <c r="E114" s="1" t="str">
        <f>IFERROR(__xludf.DUMMYFUNCTION("GOOGLETRANSLATE(A114,""en"",""ko"")"),"조지타운")</f>
        <v>조지타운</v>
      </c>
      <c r="F114" s="4" t="str">
        <f>IFERROR(__xludf.DUMMYFUNCTION("GOOGLETRANSLATE(D114,""en"",""ko"")"),"말레이시아")</f>
        <v>말레이시아</v>
      </c>
    </row>
    <row r="115" ht="15.75" customHeight="1">
      <c r="A115" s="1" t="s">
        <v>202</v>
      </c>
      <c r="B115" s="1">
        <v>-58.15527</v>
      </c>
      <c r="C115" s="1">
        <v>6.80448</v>
      </c>
      <c r="D115" s="1" t="s">
        <v>203</v>
      </c>
      <c r="E115" s="1" t="str">
        <f>IFERROR(__xludf.DUMMYFUNCTION("GOOGLETRANSLATE(A115,""en"",""ko"")"),"조지타운")</f>
        <v>조지타운</v>
      </c>
      <c r="F115" s="4" t="str">
        <f>IFERROR(__xludf.DUMMYFUNCTION("GOOGLETRANSLATE(D115,""en"",""ko"")"),"가이아나")</f>
        <v>가이아나</v>
      </c>
    </row>
    <row r="116" ht="15.75" customHeight="1">
      <c r="A116" s="1" t="s">
        <v>204</v>
      </c>
      <c r="B116" s="1">
        <v>-5.35257</v>
      </c>
      <c r="C116" s="1">
        <v>36.14474</v>
      </c>
      <c r="D116" s="1" t="s">
        <v>204</v>
      </c>
      <c r="E116" s="1" t="str">
        <f>IFERROR(__xludf.DUMMYFUNCTION("GOOGLETRANSLATE(A116,""en"",""ko"")"),"지브롤터")</f>
        <v>지브롤터</v>
      </c>
      <c r="F116" s="4" t="str">
        <f>IFERROR(__xludf.DUMMYFUNCTION("GOOGLETRANSLATE(D116,""en"",""ko"")"),"지브롤터")</f>
        <v>지브롤터</v>
      </c>
    </row>
    <row r="117" ht="15.75" customHeight="1">
      <c r="A117" s="1" t="s">
        <v>205</v>
      </c>
      <c r="B117" s="1">
        <v>29.92463</v>
      </c>
      <c r="C117" s="1">
        <v>-3.42708</v>
      </c>
      <c r="D117" s="1" t="s">
        <v>120</v>
      </c>
      <c r="E117" s="1" t="str">
        <f>IFERROR(__xludf.DUMMYFUNCTION("GOOGLETRANSLATE(A117,""en"",""ko"")"),"기테가")</f>
        <v>기테가</v>
      </c>
      <c r="F117" s="4" t="str">
        <f>IFERROR(__xludf.DUMMYFUNCTION("GOOGLETRANSLATE(D117,""en"",""ko"")"),"부룬디")</f>
        <v>부룬디</v>
      </c>
    </row>
    <row r="118" ht="15.75" customHeight="1">
      <c r="A118" s="1" t="s">
        <v>206</v>
      </c>
      <c r="B118" s="1">
        <v>31.20861</v>
      </c>
      <c r="C118" s="1">
        <v>30.00944</v>
      </c>
      <c r="D118" s="1" t="s">
        <v>21</v>
      </c>
      <c r="E118" s="1" t="str">
        <f>IFERROR(__xludf.DUMMYFUNCTION("GOOGLETRANSLATE(A118,""en"",""ko"")"),"기자")</f>
        <v>기자</v>
      </c>
      <c r="F118" s="4" t="str">
        <f>IFERROR(__xludf.DUMMYFUNCTION("GOOGLETRANSLATE(D118,""en"",""ko"")"),"이집트")</f>
        <v>이집트</v>
      </c>
    </row>
    <row r="119" ht="15.75" customHeight="1">
      <c r="A119" s="1" t="s">
        <v>207</v>
      </c>
      <c r="B119" s="1">
        <v>-103.39182</v>
      </c>
      <c r="C119" s="1">
        <v>20.66682</v>
      </c>
      <c r="D119" s="1" t="s">
        <v>208</v>
      </c>
      <c r="E119" s="1" t="str">
        <f>IFERROR(__xludf.DUMMYFUNCTION("GOOGLETRANSLATE(A119,""en"",""ko"")"),"과달라하라")</f>
        <v>과달라하라</v>
      </c>
      <c r="F119" s="4" t="str">
        <f>IFERROR(__xludf.DUMMYFUNCTION("GOOGLETRANSLATE(D119,""en"",""ko"")"),"멕시코")</f>
        <v>멕시코</v>
      </c>
    </row>
    <row r="120" ht="15.75" customHeight="1">
      <c r="A120" s="1" t="s">
        <v>209</v>
      </c>
      <c r="B120" s="1">
        <v>113.25</v>
      </c>
      <c r="C120" s="1">
        <v>23.11667</v>
      </c>
      <c r="D120" s="1" t="s">
        <v>81</v>
      </c>
      <c r="E120" s="1" t="str">
        <f>IFERROR(__xludf.DUMMYFUNCTION("GOOGLETRANSLATE(A120,""en"",""ko"")"),"광저우")</f>
        <v>광저우</v>
      </c>
      <c r="F120" s="4" t="str">
        <f>IFERROR(__xludf.DUMMYFUNCTION("GOOGLETRANSLATE(D120,""en"",""ko"")"),"중국")</f>
        <v>중국</v>
      </c>
    </row>
    <row r="121" ht="15.75" customHeight="1">
      <c r="A121" s="1" t="s">
        <v>210</v>
      </c>
      <c r="B121" s="1">
        <v>-90.51327</v>
      </c>
      <c r="C121" s="1">
        <v>14.64072</v>
      </c>
      <c r="D121" s="1" t="s">
        <v>211</v>
      </c>
      <c r="E121" s="1" t="str">
        <f>IFERROR(__xludf.DUMMYFUNCTION("GOOGLETRANSLATE(A121,""en"",""ko"")"),"과테말라 시")</f>
        <v>과테말라 시</v>
      </c>
      <c r="F121" s="4" t="str">
        <f>IFERROR(__xludf.DUMMYFUNCTION("GOOGLETRANSLATE(D121,""en"",""ko"")"),"과테말라")</f>
        <v>과테말라</v>
      </c>
    </row>
    <row r="122" ht="15.75" customHeight="1">
      <c r="A122" s="1" t="s">
        <v>212</v>
      </c>
      <c r="B122" s="1">
        <v>-79.88621</v>
      </c>
      <c r="C122" s="1">
        <v>-2.19616</v>
      </c>
      <c r="D122" s="1" t="s">
        <v>213</v>
      </c>
      <c r="E122" s="1" t="str">
        <f>IFERROR(__xludf.DUMMYFUNCTION("GOOGLETRANSLATE(A122,""en"",""ko"")"),"과야킬")</f>
        <v>과야킬</v>
      </c>
      <c r="F122" s="4" t="str">
        <f>IFERROR(__xludf.DUMMYFUNCTION("GOOGLETRANSLATE(D122,""en"",""ko"")"),"에콰도르")</f>
        <v>에콰도르</v>
      </c>
    </row>
    <row r="123" ht="15.75" customHeight="1">
      <c r="A123" s="1" t="s">
        <v>214</v>
      </c>
      <c r="B123" s="1">
        <v>74.18705</v>
      </c>
      <c r="C123" s="1">
        <v>32.15567</v>
      </c>
      <c r="D123" s="1" t="s">
        <v>188</v>
      </c>
      <c r="E123" s="1" t="str">
        <f>IFERROR(__xludf.DUMMYFUNCTION("GOOGLETRANSLATE(A123,""en"",""ko"")"),"구즈란왈라")</f>
        <v>구즈란왈라</v>
      </c>
      <c r="F123" s="4" t="str">
        <f>IFERROR(__xludf.DUMMYFUNCTION("GOOGLETRANSLATE(D123,""en"",""ko"")"),"파키스탄")</f>
        <v>파키스탄</v>
      </c>
    </row>
    <row r="124" ht="15.75" customHeight="1">
      <c r="A124" s="1" t="s">
        <v>215</v>
      </c>
      <c r="B124" s="1">
        <v>-62.84978</v>
      </c>
      <c r="C124" s="1">
        <v>17.89618</v>
      </c>
      <c r="D124" s="1" t="s">
        <v>216</v>
      </c>
      <c r="E124" s="1" t="str">
        <f>IFERROR(__xludf.DUMMYFUNCTION("GOOGLETRANSLATE(A124,""en"",""ko"")"),"구스타비아")</f>
        <v>구스타비아</v>
      </c>
      <c r="F124" s="4" t="str">
        <f>IFERROR(__xludf.DUMMYFUNCTION("GOOGLETRANSLATE(D124,""en"",""ko"")"),"생바르텔레미")</f>
        <v>생바르텔레미</v>
      </c>
    </row>
    <row r="125" ht="15.75" customHeight="1">
      <c r="A125" s="1" t="s">
        <v>217</v>
      </c>
      <c r="B125" s="1">
        <v>126.91556</v>
      </c>
      <c r="C125" s="1">
        <v>35.15472</v>
      </c>
      <c r="D125" s="1" t="s">
        <v>123</v>
      </c>
      <c r="E125" s="1" t="str">
        <f>IFERROR(__xludf.DUMMYFUNCTION("GOOGLETRANSLATE(A125,""en"",""ko"")"),"광주")</f>
        <v>광주</v>
      </c>
      <c r="F125" s="4" t="str">
        <f>IFERROR(__xludf.DUMMYFUNCTION("GOOGLETRANSLATE(D125,""en"",""ko"")"),"대한민국")</f>
        <v>대한민국</v>
      </c>
    </row>
    <row r="126" ht="15.75" customHeight="1">
      <c r="A126" s="1" t="s">
        <v>218</v>
      </c>
      <c r="B126" s="1">
        <v>9.99302</v>
      </c>
      <c r="C126" s="1">
        <v>53.55073</v>
      </c>
      <c r="D126" s="1" t="s">
        <v>94</v>
      </c>
      <c r="E126" s="1" t="str">
        <f>IFERROR(__xludf.DUMMYFUNCTION("GOOGLETRANSLATE(A126,""en"",""ko"")"),"함부르크")</f>
        <v>함부르크</v>
      </c>
      <c r="F126" s="4" t="str">
        <f>IFERROR(__xludf.DUMMYFUNCTION("GOOGLETRANSLATE(D126,""en"",""ko"")"),"독일")</f>
        <v>독일</v>
      </c>
    </row>
    <row r="127" ht="15.75" customHeight="1">
      <c r="A127" s="1" t="s">
        <v>219</v>
      </c>
      <c r="B127" s="1">
        <v>105.84117</v>
      </c>
      <c r="C127" s="1">
        <v>21.0245</v>
      </c>
      <c r="D127" s="1" t="s">
        <v>220</v>
      </c>
      <c r="E127" s="1" t="str">
        <f>IFERROR(__xludf.DUMMYFUNCTION("GOOGLETRANSLATE(A127,""en"",""ko"")"),"하노이")</f>
        <v>하노이</v>
      </c>
      <c r="F127" s="4" t="str">
        <f>IFERROR(__xludf.DUMMYFUNCTION("GOOGLETRANSLATE(D127,""en"",""ko"")"),"베트남")</f>
        <v>베트남</v>
      </c>
    </row>
    <row r="128" ht="15.75" customHeight="1">
      <c r="A128" s="1" t="s">
        <v>221</v>
      </c>
      <c r="B128" s="1">
        <v>31.05337</v>
      </c>
      <c r="C128" s="1">
        <v>-17.82772</v>
      </c>
      <c r="D128" s="1" t="s">
        <v>222</v>
      </c>
      <c r="E128" s="1" t="str">
        <f>IFERROR(__xludf.DUMMYFUNCTION("GOOGLETRANSLATE(A128,""en"",""ko"")"),"하라레")</f>
        <v>하라레</v>
      </c>
      <c r="F128" s="4" t="str">
        <f>IFERROR(__xludf.DUMMYFUNCTION("GOOGLETRANSLATE(D128,""en"",""ko"")"),"짐바브웨")</f>
        <v>짐바브웨</v>
      </c>
    </row>
    <row r="129" ht="15.75" customHeight="1">
      <c r="A129" s="1" t="s">
        <v>223</v>
      </c>
      <c r="B129" s="1">
        <v>-82.38304</v>
      </c>
      <c r="C129" s="1">
        <v>23.13302</v>
      </c>
      <c r="D129" s="1" t="s">
        <v>224</v>
      </c>
      <c r="E129" s="1" t="str">
        <f>IFERROR(__xludf.DUMMYFUNCTION("GOOGLETRANSLATE(A129,""en"",""ko"")"),"아바나")</f>
        <v>아바나</v>
      </c>
      <c r="F129" s="4" t="str">
        <f>IFERROR(__xludf.DUMMYFUNCTION("GOOGLETRANSLATE(D129,""en"",""ko"")"),"쿠바")</f>
        <v>쿠바</v>
      </c>
    </row>
    <row r="130" ht="15.75" customHeight="1">
      <c r="A130" s="1" t="s">
        <v>225</v>
      </c>
      <c r="B130" s="1">
        <v>24.93545</v>
      </c>
      <c r="C130" s="1">
        <v>60.16952</v>
      </c>
      <c r="D130" s="1" t="s">
        <v>226</v>
      </c>
      <c r="E130" s="1" t="str">
        <f>IFERROR(__xludf.DUMMYFUNCTION("GOOGLETRANSLATE(A130,""en"",""ko"")"),"헬싱키")</f>
        <v>헬싱키</v>
      </c>
      <c r="F130" s="4" t="str">
        <f>IFERROR(__xludf.DUMMYFUNCTION("GOOGLETRANSLATE(D130,""en"",""ko"")"),"핀란드")</f>
        <v>핀란드</v>
      </c>
    </row>
    <row r="131" ht="15.75" customHeight="1">
      <c r="A131" s="1" t="s">
        <v>227</v>
      </c>
      <c r="B131" s="1">
        <v>106.62965</v>
      </c>
      <c r="C131" s="1">
        <v>10.82302</v>
      </c>
      <c r="D131" s="1" t="s">
        <v>220</v>
      </c>
      <c r="E131" s="1" t="str">
        <f>IFERROR(__xludf.DUMMYFUNCTION("GOOGLETRANSLATE(A131,""en"",""ko"")"),"호치민시")</f>
        <v>호치민시</v>
      </c>
      <c r="F131" s="4" t="str">
        <f>IFERROR(__xludf.DUMMYFUNCTION("GOOGLETRANSLATE(D131,""en"",""ko"")"),"베트남")</f>
        <v>베트남</v>
      </c>
    </row>
    <row r="132" ht="15.75" customHeight="1">
      <c r="A132" s="1" t="s">
        <v>228</v>
      </c>
      <c r="B132" s="1">
        <v>114.17469</v>
      </c>
      <c r="C132" s="1">
        <v>22.27832</v>
      </c>
      <c r="D132" s="1" t="s">
        <v>228</v>
      </c>
      <c r="E132" s="1" t="str">
        <f>IFERROR(__xludf.DUMMYFUNCTION("GOOGLETRANSLATE(A132,""en"",""ko"")"),"홍콩")</f>
        <v>홍콩</v>
      </c>
      <c r="F132" s="4" t="str">
        <f>IFERROR(__xludf.DUMMYFUNCTION("GOOGLETRANSLATE(D132,""en"",""ko"")"),"홍콩")</f>
        <v>홍콩</v>
      </c>
    </row>
    <row r="133" ht="15.75" customHeight="1">
      <c r="A133" s="1" t="s">
        <v>229</v>
      </c>
      <c r="B133" s="1">
        <v>159.95</v>
      </c>
      <c r="C133" s="1">
        <v>-9.43333</v>
      </c>
      <c r="D133" s="1" t="s">
        <v>230</v>
      </c>
      <c r="E133" s="1" t="str">
        <f>IFERROR(__xludf.DUMMYFUNCTION("GOOGLETRANSLATE(A133,""en"",""ko"")"),"호니아라")</f>
        <v>호니아라</v>
      </c>
      <c r="F133" s="4" t="str">
        <f>IFERROR(__xludf.DUMMYFUNCTION("GOOGLETRANSLATE(D133,""en"",""ko"")"),"솔로몬 제도")</f>
        <v>솔로몬 제도</v>
      </c>
    </row>
    <row r="134" ht="15.75" customHeight="1">
      <c r="A134" s="1" t="s">
        <v>231</v>
      </c>
      <c r="B134" s="1">
        <v>-157.85833</v>
      </c>
      <c r="C134" s="1">
        <v>21.30694</v>
      </c>
      <c r="D134" s="1" t="s">
        <v>31</v>
      </c>
      <c r="E134" s="1" t="str">
        <f>IFERROR(__xludf.DUMMYFUNCTION("GOOGLETRANSLATE(A134,""en"",""ko"")"),"호놀룰루")</f>
        <v>호놀룰루</v>
      </c>
      <c r="F134" s="4" t="str">
        <f>IFERROR(__xludf.DUMMYFUNCTION("GOOGLETRANSLATE(D134,""en"",""ko"")"),"미국")</f>
        <v>미국</v>
      </c>
    </row>
    <row r="135" ht="15.75" customHeight="1">
      <c r="A135" s="1" t="s">
        <v>232</v>
      </c>
      <c r="B135" s="1">
        <v>-95.36327</v>
      </c>
      <c r="C135" s="1">
        <v>29.76328</v>
      </c>
      <c r="D135" s="1" t="s">
        <v>31</v>
      </c>
      <c r="E135" s="1" t="str">
        <f>IFERROR(__xludf.DUMMYFUNCTION("GOOGLETRANSLATE(A135,""en"",""ko"")"),"휴스턴")</f>
        <v>휴스턴</v>
      </c>
      <c r="F135" s="4" t="str">
        <f>IFERROR(__xludf.DUMMYFUNCTION("GOOGLETRANSLATE(D135,""en"",""ko"")"),"미국")</f>
        <v>미국</v>
      </c>
    </row>
    <row r="136" ht="15.75" customHeight="1">
      <c r="A136" s="1" t="s">
        <v>233</v>
      </c>
      <c r="B136" s="1">
        <v>78.45636</v>
      </c>
      <c r="C136" s="1">
        <v>17.38405</v>
      </c>
      <c r="D136" s="1" t="s">
        <v>17</v>
      </c>
      <c r="E136" s="1" t="str">
        <f>IFERROR(__xludf.DUMMYFUNCTION("GOOGLETRANSLATE(A136,""en"",""ko"")"),"하이데라바드")</f>
        <v>하이데라바드</v>
      </c>
      <c r="F136" s="4" t="str">
        <f>IFERROR(__xludf.DUMMYFUNCTION("GOOGLETRANSLATE(D136,""en"",""ko"")"),"인도")</f>
        <v>인도</v>
      </c>
    </row>
    <row r="137" ht="15.75" customHeight="1">
      <c r="A137" s="1" t="s">
        <v>233</v>
      </c>
      <c r="B137" s="1">
        <v>68.37366</v>
      </c>
      <c r="C137" s="1">
        <v>25.39242</v>
      </c>
      <c r="D137" s="1" t="s">
        <v>188</v>
      </c>
      <c r="E137" s="1" t="str">
        <f>IFERROR(__xludf.DUMMYFUNCTION("GOOGLETRANSLATE(A137,""en"",""ko"")"),"하이데라바드")</f>
        <v>하이데라바드</v>
      </c>
      <c r="F137" s="4" t="str">
        <f>IFERROR(__xludf.DUMMYFUNCTION("GOOGLETRANSLATE(D137,""en"",""ko"")"),"파키스탄")</f>
        <v>파키스탄</v>
      </c>
    </row>
    <row r="138" ht="15.75" customHeight="1">
      <c r="A138" s="1" t="s">
        <v>234</v>
      </c>
      <c r="B138" s="1">
        <v>3.90591</v>
      </c>
      <c r="C138" s="1">
        <v>7.37756</v>
      </c>
      <c r="D138" s="1" t="s">
        <v>11</v>
      </c>
      <c r="E138" s="1" t="str">
        <f>IFERROR(__xludf.DUMMYFUNCTION("GOOGLETRANSLATE(A138,""en"",""ko"")"),"이바단")</f>
        <v>이바단</v>
      </c>
      <c r="F138" s="4" t="str">
        <f>IFERROR(__xludf.DUMMYFUNCTION("GOOGLETRANSLATE(D138,""en"",""ko"")"),"나이지리아")</f>
        <v>나이지리아</v>
      </c>
    </row>
    <row r="139" ht="15.75" customHeight="1">
      <c r="A139" s="1" t="s">
        <v>235</v>
      </c>
      <c r="B139" s="1">
        <v>126.70515</v>
      </c>
      <c r="C139" s="1">
        <v>37.45646</v>
      </c>
      <c r="D139" s="1" t="s">
        <v>123</v>
      </c>
      <c r="E139" s="1" t="str">
        <f>IFERROR(__xludf.DUMMYFUNCTION("GOOGLETRANSLATE(A139,""en"",""ko"")"),"인천")</f>
        <v>인천</v>
      </c>
      <c r="F139" s="4" t="str">
        <f>IFERROR(__xludf.DUMMYFUNCTION("GOOGLETRANSLATE(D139,""en"",""ko"")"),"대한민국")</f>
        <v>대한민국</v>
      </c>
    </row>
    <row r="140" ht="15.75" customHeight="1">
      <c r="A140" s="1" t="s">
        <v>236</v>
      </c>
      <c r="B140" s="1">
        <v>51.67462</v>
      </c>
      <c r="C140" s="1">
        <v>32.65246</v>
      </c>
      <c r="D140" s="1" t="s">
        <v>237</v>
      </c>
      <c r="E140" s="1" t="str">
        <f>IFERROR(__xludf.DUMMYFUNCTION("GOOGLETRANSLATE(A140,""en"",""ko"")"),"이스파한")</f>
        <v>이스파한</v>
      </c>
      <c r="F140" s="4" t="str">
        <f>IFERROR(__xludf.DUMMYFUNCTION("GOOGLETRANSLATE(D140,""en"",""ko"")"),"이란")</f>
        <v>이란</v>
      </c>
    </row>
    <row r="141" ht="15.75" customHeight="1">
      <c r="A141" s="1" t="s">
        <v>238</v>
      </c>
      <c r="B141" s="1">
        <v>73.04329</v>
      </c>
      <c r="C141" s="1">
        <v>33.72148</v>
      </c>
      <c r="D141" s="1" t="s">
        <v>188</v>
      </c>
      <c r="E141" s="1" t="str">
        <f>IFERROR(__xludf.DUMMYFUNCTION("GOOGLETRANSLATE(A141,""en"",""ko"")"),"이슬라마바드")</f>
        <v>이슬라마바드</v>
      </c>
      <c r="F141" s="4" t="str">
        <f>IFERROR(__xludf.DUMMYFUNCTION("GOOGLETRANSLATE(D141,""en"",""ko"")"),"파키스탄")</f>
        <v>파키스탄</v>
      </c>
    </row>
    <row r="142" ht="15.75" customHeight="1">
      <c r="A142" s="1" t="s">
        <v>239</v>
      </c>
      <c r="B142" s="1">
        <v>28.94966</v>
      </c>
      <c r="C142" s="1">
        <v>41.01384</v>
      </c>
      <c r="D142" s="1" t="s">
        <v>35</v>
      </c>
      <c r="E142" s="1" t="str">
        <f>IFERROR(__xludf.DUMMYFUNCTION("GOOGLETRANSLATE(A142,""en"",""ko"")"),"이스탄불")</f>
        <v>이스탄불</v>
      </c>
      <c r="F142" s="3" t="s">
        <v>36</v>
      </c>
    </row>
    <row r="143" ht="15.75" customHeight="1">
      <c r="A143" s="1" t="s">
        <v>240</v>
      </c>
      <c r="B143" s="1">
        <v>27.13838</v>
      </c>
      <c r="C143" s="1">
        <v>38.41273</v>
      </c>
      <c r="D143" s="1" t="s">
        <v>35</v>
      </c>
      <c r="E143" s="1" t="str">
        <f>IFERROR(__xludf.DUMMYFUNCTION("GOOGLETRANSLATE(A143,""en"",""ko"")"),"이즈미르")</f>
        <v>이즈미르</v>
      </c>
      <c r="F143" s="3" t="s">
        <v>36</v>
      </c>
    </row>
    <row r="144" ht="15.75" customHeight="1">
      <c r="A144" s="1" t="s">
        <v>241</v>
      </c>
      <c r="B144" s="1">
        <v>75.78781</v>
      </c>
      <c r="C144" s="1">
        <v>26.91962</v>
      </c>
      <c r="D144" s="1" t="s">
        <v>17</v>
      </c>
      <c r="E144" s="1" t="str">
        <f>IFERROR(__xludf.DUMMYFUNCTION("GOOGLETRANSLATE(A144,""en"",""ko"")"),"자이푸르")</f>
        <v>자이푸르</v>
      </c>
      <c r="F144" s="4" t="str">
        <f>IFERROR(__xludf.DUMMYFUNCTION("GOOGLETRANSLATE(D144,""en"",""ko"")"),"인도")</f>
        <v>인도</v>
      </c>
    </row>
    <row r="145" ht="15.75" customHeight="1">
      <c r="A145" s="1" t="s">
        <v>242</v>
      </c>
      <c r="B145" s="1">
        <v>106.84513</v>
      </c>
      <c r="C145" s="1">
        <v>-6.21462</v>
      </c>
      <c r="D145" s="1" t="s">
        <v>61</v>
      </c>
      <c r="E145" s="1" t="str">
        <f>IFERROR(__xludf.DUMMYFUNCTION("GOOGLETRANSLATE(A145,""en"",""ko"")"),"자카르타")</f>
        <v>자카르타</v>
      </c>
      <c r="F145" s="4" t="str">
        <f>IFERROR(__xludf.DUMMYFUNCTION("GOOGLETRANSLATE(D145,""en"",""ko"")"),"인도네시아 공화국")</f>
        <v>인도네시아 공화국</v>
      </c>
    </row>
    <row r="146" ht="15.75" customHeight="1">
      <c r="A146" s="1" t="s">
        <v>243</v>
      </c>
      <c r="B146" s="1">
        <v>39.18624</v>
      </c>
      <c r="C146" s="1">
        <v>21.49012</v>
      </c>
      <c r="D146" s="1" t="s">
        <v>244</v>
      </c>
      <c r="E146" s="1" t="str">
        <f>IFERROR(__xludf.DUMMYFUNCTION("GOOGLETRANSLATE(A146,""en"",""ko"")"),"제다")</f>
        <v>제다</v>
      </c>
      <c r="F146" s="4" t="str">
        <f>IFERROR(__xludf.DUMMYFUNCTION("GOOGLETRANSLATE(D146,""en"",""ko"")"),"사우디 아라비아")</f>
        <v>사우디 아라비아</v>
      </c>
    </row>
    <row r="147" ht="15.75" customHeight="1">
      <c r="A147" s="1" t="s">
        <v>245</v>
      </c>
      <c r="B147" s="1">
        <v>35.21633</v>
      </c>
      <c r="C147" s="1">
        <v>31.76904</v>
      </c>
      <c r="D147" s="1" t="s">
        <v>246</v>
      </c>
      <c r="E147" s="1" t="str">
        <f>IFERROR(__xludf.DUMMYFUNCTION("GOOGLETRANSLATE(A147,""en"",""ko"")"),"예루살렘")</f>
        <v>예루살렘</v>
      </c>
      <c r="F147" s="4" t="str">
        <f>IFERROR(__xludf.DUMMYFUNCTION("GOOGLETRANSLATE(D147,""en"",""ko"")"),"이스라엘")</f>
        <v>이스라엘</v>
      </c>
    </row>
    <row r="148" ht="15.75" customHeight="1">
      <c r="A148" s="1" t="s">
        <v>247</v>
      </c>
      <c r="B148" s="1">
        <v>28.04363</v>
      </c>
      <c r="C148" s="1">
        <v>-26.20227</v>
      </c>
      <c r="D148" s="1" t="s">
        <v>132</v>
      </c>
      <c r="E148" s="1" t="str">
        <f>IFERROR(__xludf.DUMMYFUNCTION("GOOGLETRANSLATE(A148,""en"",""ko"")"),"요하네스버그")</f>
        <v>요하네스버그</v>
      </c>
      <c r="F148" s="4" t="str">
        <f>IFERROR(__xludf.DUMMYFUNCTION("GOOGLETRANSLATE(D148,""en"",""ko"")"),"남아프리카 공화국")</f>
        <v>남아프리카 공화국</v>
      </c>
    </row>
    <row r="149" ht="15.75" customHeight="1">
      <c r="A149" s="1" t="s">
        <v>248</v>
      </c>
      <c r="B149" s="1">
        <v>-106.46084</v>
      </c>
      <c r="C149" s="1">
        <v>31.72024</v>
      </c>
      <c r="D149" s="1" t="s">
        <v>208</v>
      </c>
      <c r="E149" s="1" t="str">
        <f>IFERROR(__xludf.DUMMYFUNCTION("GOOGLETRANSLATE(A149,""en"",""ko"")"),"후아레스")</f>
        <v>후아레스</v>
      </c>
      <c r="F149" s="4" t="str">
        <f>IFERROR(__xludf.DUMMYFUNCTION("GOOGLETRANSLATE(D149,""en"",""ko"")"),"멕시코")</f>
        <v>멕시코</v>
      </c>
    </row>
    <row r="150" ht="15.75" customHeight="1">
      <c r="A150" s="1" t="s">
        <v>249</v>
      </c>
      <c r="B150" s="1">
        <v>31.58247</v>
      </c>
      <c r="C150" s="1">
        <v>4.85165</v>
      </c>
      <c r="D150" s="1" t="s">
        <v>250</v>
      </c>
      <c r="E150" s="1" t="str">
        <f>IFERROR(__xludf.DUMMYFUNCTION("GOOGLETRANSLATE(A150,""en"",""ko"")"),"주바")</f>
        <v>주바</v>
      </c>
      <c r="F150" s="4" t="str">
        <f>IFERROR(__xludf.DUMMYFUNCTION("GOOGLETRANSLATE(D150,""en"",""ko"")"),"남수단")</f>
        <v>남수단</v>
      </c>
    </row>
    <row r="151" ht="15.75" customHeight="1">
      <c r="A151" s="1" t="s">
        <v>251</v>
      </c>
      <c r="B151" s="1">
        <v>69.17233</v>
      </c>
      <c r="C151" s="1">
        <v>34.52813</v>
      </c>
      <c r="D151" s="1" t="s">
        <v>252</v>
      </c>
      <c r="E151" s="1" t="str">
        <f>IFERROR(__xludf.DUMMYFUNCTION("GOOGLETRANSLATE(A151,""en"",""ko"")"),"카불")</f>
        <v>카불</v>
      </c>
      <c r="F151" s="4" t="str">
        <f>IFERROR(__xludf.DUMMYFUNCTION("GOOGLETRANSLATE(D151,""en"",""ko"")"),"아프가니스탄")</f>
        <v>아프가니스탄</v>
      </c>
    </row>
    <row r="152" ht="15.75" customHeight="1">
      <c r="A152" s="1" t="s">
        <v>253</v>
      </c>
      <c r="B152" s="1">
        <v>7.43879</v>
      </c>
      <c r="C152" s="1">
        <v>10.52641</v>
      </c>
      <c r="D152" s="1" t="s">
        <v>11</v>
      </c>
      <c r="E152" s="1" t="str">
        <f>IFERROR(__xludf.DUMMYFUNCTION("GOOGLETRANSLATE(A152,""en"",""ko"")"),"카두나")</f>
        <v>카두나</v>
      </c>
      <c r="F152" s="4" t="str">
        <f>IFERROR(__xludf.DUMMYFUNCTION("GOOGLETRANSLATE(D152,""en"",""ko"")"),"나이지리아")</f>
        <v>나이지리아</v>
      </c>
    </row>
    <row r="153" ht="15.75" customHeight="1">
      <c r="A153" s="1" t="s">
        <v>254</v>
      </c>
      <c r="B153" s="1">
        <v>32.58219</v>
      </c>
      <c r="C153" s="1">
        <v>0.31628</v>
      </c>
      <c r="D153" s="1" t="s">
        <v>255</v>
      </c>
      <c r="E153" s="1" t="str">
        <f>IFERROR(__xludf.DUMMYFUNCTION("GOOGLETRANSLATE(A153,""en"",""ko"")"),"캄팔라")</f>
        <v>캄팔라</v>
      </c>
      <c r="F153" s="4" t="str">
        <f>IFERROR(__xludf.DUMMYFUNCTION("GOOGLETRANSLATE(D153,""en"",""ko"")"),"우간다")</f>
        <v>우간다</v>
      </c>
    </row>
    <row r="154" ht="15.75" customHeight="1">
      <c r="A154" s="1" t="s">
        <v>256</v>
      </c>
      <c r="B154" s="1">
        <v>8.51672</v>
      </c>
      <c r="C154" s="1">
        <v>12.00012</v>
      </c>
      <c r="D154" s="1" t="s">
        <v>11</v>
      </c>
      <c r="E154" s="1" t="str">
        <f>IFERROR(__xludf.DUMMYFUNCTION("GOOGLETRANSLATE(A154,""en"",""ko"")"),"카노")</f>
        <v>카노</v>
      </c>
      <c r="F154" s="4" t="str">
        <f>IFERROR(__xludf.DUMMYFUNCTION("GOOGLETRANSLATE(D154,""en"",""ko"")"),"나이지리아")</f>
        <v>나이지리아</v>
      </c>
    </row>
    <row r="155" ht="15.75" customHeight="1">
      <c r="A155" s="1" t="s">
        <v>257</v>
      </c>
      <c r="B155" s="1">
        <v>80.34975</v>
      </c>
      <c r="C155" s="1">
        <v>26.46523</v>
      </c>
      <c r="D155" s="1" t="s">
        <v>17</v>
      </c>
      <c r="E155" s="1" t="str">
        <f>IFERROR(__xludf.DUMMYFUNCTION("GOOGLETRANSLATE(A155,""en"",""ko"")"),"칸푸르")</f>
        <v>칸푸르</v>
      </c>
      <c r="F155" s="4" t="str">
        <f>IFERROR(__xludf.DUMMYFUNCTION("GOOGLETRANSLATE(D155,""en"",""ko"")"),"인도")</f>
        <v>인도</v>
      </c>
    </row>
    <row r="156" ht="15.75" customHeight="1">
      <c r="A156" s="1" t="s">
        <v>258</v>
      </c>
      <c r="B156" s="1">
        <v>120.31333</v>
      </c>
      <c r="C156" s="1">
        <v>22.61626</v>
      </c>
      <c r="D156" s="1" t="s">
        <v>259</v>
      </c>
      <c r="E156" s="1" t="str">
        <f>IFERROR(__xludf.DUMMYFUNCTION("GOOGLETRANSLATE(A156,""en"",""ko"")"),"가오슝")</f>
        <v>가오슝</v>
      </c>
      <c r="F156" s="4" t="str">
        <f>IFERROR(__xludf.DUMMYFUNCTION("GOOGLETRANSLATE(D156,""en"",""ko"")"),"대만")</f>
        <v>대만</v>
      </c>
    </row>
    <row r="157" ht="15.75" customHeight="1">
      <c r="A157" s="1" t="s">
        <v>260</v>
      </c>
      <c r="B157" s="1">
        <v>67.0104</v>
      </c>
      <c r="C157" s="1">
        <v>24.8608</v>
      </c>
      <c r="D157" s="1" t="s">
        <v>188</v>
      </c>
      <c r="E157" s="1" t="str">
        <f>IFERROR(__xludf.DUMMYFUNCTION("GOOGLETRANSLATE(A157,""en"",""ko"")"),"카라치")</f>
        <v>카라치</v>
      </c>
      <c r="F157" s="4" t="str">
        <f>IFERROR(__xludf.DUMMYFUNCTION("GOOGLETRANSLATE(D157,""en"",""ko"")"),"파키스탄")</f>
        <v>파키스탄</v>
      </c>
    </row>
    <row r="158" ht="15.75" customHeight="1">
      <c r="A158" s="1" t="s">
        <v>261</v>
      </c>
      <c r="B158" s="1">
        <v>50.99155</v>
      </c>
      <c r="C158" s="1">
        <v>35.83266</v>
      </c>
      <c r="D158" s="1" t="s">
        <v>237</v>
      </c>
      <c r="E158" s="1" t="str">
        <f>IFERROR(__xludf.DUMMYFUNCTION("GOOGLETRANSLATE(A158,""en"",""ko"")"),"카라즈")</f>
        <v>카라즈</v>
      </c>
      <c r="F158" s="4" t="str">
        <f>IFERROR(__xludf.DUMMYFUNCTION("GOOGLETRANSLATE(D158,""en"",""ko"")"),"이란")</f>
        <v>이란</v>
      </c>
    </row>
    <row r="159" ht="15.75" customHeight="1">
      <c r="A159" s="1" t="s">
        <v>262</v>
      </c>
      <c r="B159" s="1">
        <v>85.3206</v>
      </c>
      <c r="C159" s="1">
        <v>27.70169</v>
      </c>
      <c r="D159" s="1" t="s">
        <v>263</v>
      </c>
      <c r="E159" s="1" t="str">
        <f>IFERROR(__xludf.DUMMYFUNCTION("GOOGLETRANSLATE(A159,""en"",""ko"")"),"카트만두")</f>
        <v>카트만두</v>
      </c>
      <c r="F159" s="4" t="str">
        <f>IFERROR(__xludf.DUMMYFUNCTION("GOOGLETRANSLATE(D159,""en"",""ko"")"),"네팔")</f>
        <v>네팔</v>
      </c>
    </row>
    <row r="160" ht="15.75" customHeight="1">
      <c r="A160" s="1" t="s">
        <v>264</v>
      </c>
      <c r="B160" s="1">
        <v>139.71722</v>
      </c>
      <c r="C160" s="1">
        <v>35.52056</v>
      </c>
      <c r="D160" s="1" t="s">
        <v>195</v>
      </c>
      <c r="E160" s="1" t="str">
        <f>IFERROR(__xludf.DUMMYFUNCTION("GOOGLETRANSLATE(A160,""en"",""ko"")"),"가와사키")</f>
        <v>가와사키</v>
      </c>
      <c r="F160" s="4" t="str">
        <f>IFERROR(__xludf.DUMMYFUNCTION("GOOGLETRANSLATE(D160,""en"",""ko"")"),"일본")</f>
        <v>일본</v>
      </c>
    </row>
    <row r="161" ht="15.75" customHeight="1">
      <c r="A161" s="1" t="s">
        <v>265</v>
      </c>
      <c r="B161" s="1">
        <v>36.25272</v>
      </c>
      <c r="C161" s="1">
        <v>49.98081</v>
      </c>
      <c r="D161" s="1" t="s">
        <v>266</v>
      </c>
      <c r="E161" s="1" t="str">
        <f>IFERROR(__xludf.DUMMYFUNCTION("GOOGLETRANSLATE(A161,""en"",""ko"")"),"하르키우")</f>
        <v>하르키우</v>
      </c>
      <c r="F161" s="4" t="str">
        <f>IFERROR(__xludf.DUMMYFUNCTION("GOOGLETRANSLATE(D161,""en"",""ko"")"),"우크라이나")</f>
        <v>우크라이나</v>
      </c>
    </row>
    <row r="162" ht="15.75" customHeight="1">
      <c r="A162" s="1" t="s">
        <v>267</v>
      </c>
      <c r="B162" s="1">
        <v>32.53241</v>
      </c>
      <c r="C162" s="1">
        <v>15.55177</v>
      </c>
      <c r="D162" s="1" t="s">
        <v>268</v>
      </c>
      <c r="E162" s="1" t="str">
        <f>IFERROR(__xludf.DUMMYFUNCTION("GOOGLETRANSLATE(A162,""en"",""ko"")"),"하르툼")</f>
        <v>하르툼</v>
      </c>
      <c r="F162" s="4" t="str">
        <f>IFERROR(__xludf.DUMMYFUNCTION("GOOGLETRANSLATE(D162,""en"",""ko"")"),"수단")</f>
        <v>수단</v>
      </c>
    </row>
    <row r="163" ht="15.75" customHeight="1">
      <c r="A163" s="1" t="s">
        <v>269</v>
      </c>
      <c r="B163" s="1">
        <v>89.56439</v>
      </c>
      <c r="C163" s="1">
        <v>22.80979</v>
      </c>
      <c r="D163" s="1" t="s">
        <v>150</v>
      </c>
      <c r="E163" s="1" t="str">
        <f>IFERROR(__xludf.DUMMYFUNCTION("GOOGLETRANSLATE(A163,""en"",""ko"")"),"쿨나")</f>
        <v>쿨나</v>
      </c>
      <c r="F163" s="4" t="str">
        <f>IFERROR(__xludf.DUMMYFUNCTION("GOOGLETRANSLATE(D163,""en"",""ko"")"),"방글라데시")</f>
        <v>방글라데시</v>
      </c>
    </row>
    <row r="164" ht="15.75" customHeight="1">
      <c r="A164" s="1" t="s">
        <v>270</v>
      </c>
      <c r="B164" s="1">
        <v>30.05885</v>
      </c>
      <c r="C164" s="1">
        <v>-1.94995</v>
      </c>
      <c r="D164" s="1" t="s">
        <v>271</v>
      </c>
      <c r="E164" s="1" t="str">
        <f>IFERROR(__xludf.DUMMYFUNCTION("GOOGLETRANSLATE(A164,""en"",""ko"")"),"키갈리")</f>
        <v>키갈리</v>
      </c>
      <c r="F164" s="4" t="str">
        <f>IFERROR(__xludf.DUMMYFUNCTION("GOOGLETRANSLATE(D164,""en"",""ko"")"),"르완다")</f>
        <v>르완다</v>
      </c>
    </row>
    <row r="165" ht="15.75" customHeight="1">
      <c r="A165" s="1" t="s">
        <v>272</v>
      </c>
      <c r="B165" s="1">
        <v>-119.554</v>
      </c>
      <c r="C165" s="1">
        <v>36.5138</v>
      </c>
      <c r="D165" s="1" t="s">
        <v>31</v>
      </c>
      <c r="E165" s="1" t="str">
        <f>IFERROR(__xludf.DUMMYFUNCTION("GOOGLETRANSLATE(A165,""en"",""ko"")"),"킹스버그")</f>
        <v>킹스버그</v>
      </c>
      <c r="F165" s="4" t="str">
        <f>IFERROR(__xludf.DUMMYFUNCTION("GOOGLETRANSLATE(D165,""en"",""ko"")"),"미국")</f>
        <v>미국</v>
      </c>
    </row>
    <row r="166" ht="15.75" customHeight="1">
      <c r="A166" s="1" t="s">
        <v>273</v>
      </c>
      <c r="B166" s="1">
        <v>-76.79358</v>
      </c>
      <c r="C166" s="1">
        <v>17.99702</v>
      </c>
      <c r="D166" s="1" t="s">
        <v>274</v>
      </c>
      <c r="E166" s="1" t="str">
        <f>IFERROR(__xludf.DUMMYFUNCTION("GOOGLETRANSLATE(A166,""en"",""ko"")"),"킹스턴")</f>
        <v>킹스턴</v>
      </c>
      <c r="F166" s="4" t="str">
        <f>IFERROR(__xludf.DUMMYFUNCTION("GOOGLETRANSLATE(D166,""en"",""ko"")"),"자메이카")</f>
        <v>자메이카</v>
      </c>
    </row>
    <row r="167" ht="15.75" customHeight="1">
      <c r="A167" s="1" t="s">
        <v>275</v>
      </c>
      <c r="B167" s="1">
        <v>-61.22742</v>
      </c>
      <c r="C167" s="1">
        <v>13.15527</v>
      </c>
      <c r="D167" s="1" t="s">
        <v>276</v>
      </c>
      <c r="E167" s="1" t="str">
        <f>IFERROR(__xludf.DUMMYFUNCTION("GOOGLETRANSLATE(A167,""en"",""ko"")"),"킹스타운")</f>
        <v>킹스타운</v>
      </c>
      <c r="F167" s="4" t="str">
        <f>IFERROR(__xludf.DUMMYFUNCTION("GOOGLETRANSLATE(D167,""en"",""ko"")"),"세인트빈센트 그레나딘")</f>
        <v>세인트빈센트 그레나딘</v>
      </c>
    </row>
    <row r="168" ht="15.75" customHeight="1">
      <c r="A168" s="1" t="s">
        <v>277</v>
      </c>
      <c r="B168" s="1">
        <v>15.31357</v>
      </c>
      <c r="C168" s="1">
        <v>-4.32758</v>
      </c>
      <c r="D168" s="1" t="s">
        <v>278</v>
      </c>
      <c r="E168" s="1" t="str">
        <f>IFERROR(__xludf.DUMMYFUNCTION("GOOGLETRANSLATE(A168,""en"",""ko"")"),"킨샤사")</f>
        <v>킨샤사</v>
      </c>
      <c r="F168" s="4" t="str">
        <f>IFERROR(__xludf.DUMMYFUNCTION("GOOGLETRANSLATE(D168,""en"",""ko"")"),"콩고 민주 공화국")</f>
        <v>콩고 민주 공화국</v>
      </c>
    </row>
    <row r="169" ht="15.75" customHeight="1">
      <c r="A169" s="1" t="s">
        <v>279</v>
      </c>
      <c r="B169" s="1">
        <v>135.183</v>
      </c>
      <c r="C169" s="1">
        <v>34.6913</v>
      </c>
      <c r="D169" s="1" t="s">
        <v>195</v>
      </c>
      <c r="E169" s="1" t="str">
        <f>IFERROR(__xludf.DUMMYFUNCTION("GOOGLETRANSLATE(A169,""en"",""ko"")"),"고베")</f>
        <v>고베</v>
      </c>
      <c r="F169" s="4" t="str">
        <f>IFERROR(__xludf.DUMMYFUNCTION("GOOGLETRANSLATE(D169,""en"",""ko"")"),"일본")</f>
        <v>일본</v>
      </c>
    </row>
    <row r="170" ht="15.75" customHeight="1">
      <c r="A170" s="1" t="s">
        <v>280</v>
      </c>
      <c r="B170" s="1">
        <v>88.36304</v>
      </c>
      <c r="C170" s="1">
        <v>22.56263</v>
      </c>
      <c r="D170" s="1" t="s">
        <v>17</v>
      </c>
      <c r="E170" s="1" t="str">
        <f>IFERROR(__xludf.DUMMYFUNCTION("GOOGLETRANSLATE(A170,""en"",""ko"")"),"콜카타")</f>
        <v>콜카타</v>
      </c>
      <c r="F170" s="4" t="str">
        <f>IFERROR(__xludf.DUMMYFUNCTION("GOOGLETRANSLATE(D170,""en"",""ko"")"),"인도")</f>
        <v>인도</v>
      </c>
    </row>
    <row r="171" ht="15.75" customHeight="1">
      <c r="A171" s="1" t="s">
        <v>281</v>
      </c>
      <c r="B171" s="1">
        <v>102.24333</v>
      </c>
      <c r="C171" s="1">
        <v>6.12361</v>
      </c>
      <c r="D171" s="1" t="s">
        <v>201</v>
      </c>
      <c r="E171" s="1" t="str">
        <f>IFERROR(__xludf.DUMMYFUNCTION("GOOGLETRANSLATE(A171,""en"",""ko"")"),"코타바루")</f>
        <v>코타바루</v>
      </c>
      <c r="F171" s="4" t="str">
        <f>IFERROR(__xludf.DUMMYFUNCTION("GOOGLETRANSLATE(D171,""en"",""ko"")"),"말레이시아")</f>
        <v>말레이시아</v>
      </c>
    </row>
    <row r="172" ht="15.75" customHeight="1">
      <c r="A172" s="1" t="s">
        <v>282</v>
      </c>
      <c r="B172" s="1">
        <v>114.18333</v>
      </c>
      <c r="C172" s="1">
        <v>22.31667</v>
      </c>
      <c r="D172" s="1" t="s">
        <v>228</v>
      </c>
      <c r="E172" s="1" t="str">
        <f>IFERROR(__xludf.DUMMYFUNCTION("GOOGLETRANSLATE(A172,""en"",""ko"")"),"구룡")</f>
        <v>구룡</v>
      </c>
      <c r="F172" s="4" t="str">
        <f>IFERROR(__xludf.DUMMYFUNCTION("GOOGLETRANSLATE(D172,""en"",""ko"")"),"홍콩")</f>
        <v>홍콩</v>
      </c>
    </row>
    <row r="173" ht="15.75" customHeight="1">
      <c r="A173" s="1" t="s">
        <v>283</v>
      </c>
      <c r="B173" s="1">
        <v>101.68653</v>
      </c>
      <c r="C173" s="1">
        <v>3.1412</v>
      </c>
      <c r="D173" s="1" t="s">
        <v>201</v>
      </c>
      <c r="E173" s="1" t="str">
        <f>IFERROR(__xludf.DUMMYFUNCTION("GOOGLETRANSLATE(A173,""en"",""ko"")"),"쿠알라룸푸르")</f>
        <v>쿠알라룸푸르</v>
      </c>
      <c r="F173" s="4" t="str">
        <f>IFERROR(__xludf.DUMMYFUNCTION("GOOGLETRANSLATE(D173,""en"",""ko"")"),"말레이시아")</f>
        <v>말레이시아</v>
      </c>
    </row>
    <row r="174" ht="15.75" customHeight="1">
      <c r="A174" s="1" t="s">
        <v>284</v>
      </c>
      <c r="B174" s="1">
        <v>-1.62443</v>
      </c>
      <c r="C174" s="1">
        <v>6.68848</v>
      </c>
      <c r="D174" s="1" t="s">
        <v>13</v>
      </c>
      <c r="E174" s="1" t="str">
        <f>IFERROR(__xludf.DUMMYFUNCTION("GOOGLETRANSLATE(A174,""en"",""ko"")"),"쿠마시")</f>
        <v>쿠마시</v>
      </c>
      <c r="F174" s="4" t="str">
        <f>IFERROR(__xludf.DUMMYFUNCTION("GOOGLETRANSLATE(D174,""en"",""ko"")"),"가나")</f>
        <v>가나</v>
      </c>
    </row>
    <row r="175" ht="15.75" customHeight="1">
      <c r="A175" s="1" t="s">
        <v>285</v>
      </c>
      <c r="B175" s="1">
        <v>47.97833</v>
      </c>
      <c r="C175" s="1">
        <v>29.36972</v>
      </c>
      <c r="D175" s="1" t="s">
        <v>285</v>
      </c>
      <c r="E175" s="1" t="str">
        <f>IFERROR(__xludf.DUMMYFUNCTION("GOOGLETRANSLATE(A175,""en"",""ko"")"),"쿠웨이트")</f>
        <v>쿠웨이트</v>
      </c>
      <c r="F175" s="4" t="str">
        <f>IFERROR(__xludf.DUMMYFUNCTION("GOOGLETRANSLATE(D175,""en"",""ko"")"),"쿠웨이트")</f>
        <v>쿠웨이트</v>
      </c>
    </row>
    <row r="176" ht="15.75" customHeight="1">
      <c r="A176" s="1" t="s">
        <v>286</v>
      </c>
      <c r="B176" s="1">
        <v>30.5238</v>
      </c>
      <c r="C176" s="1">
        <v>50.45466</v>
      </c>
      <c r="D176" s="1" t="s">
        <v>266</v>
      </c>
      <c r="E176" s="1" t="str">
        <f>IFERROR(__xludf.DUMMYFUNCTION("GOOGLETRANSLATE(A176,""en"",""ko"")"),"키이우")</f>
        <v>키이우</v>
      </c>
      <c r="F176" s="4" t="str">
        <f>IFERROR(__xludf.DUMMYFUNCTION("GOOGLETRANSLATE(D176,""en"",""ko"")"),"우크라이나")</f>
        <v>우크라이나</v>
      </c>
    </row>
    <row r="177" ht="15.75" customHeight="1">
      <c r="A177" s="1" t="s">
        <v>287</v>
      </c>
      <c r="B177" s="1">
        <v>135.75385</v>
      </c>
      <c r="C177" s="1">
        <v>35.02107</v>
      </c>
      <c r="D177" s="1" t="s">
        <v>195</v>
      </c>
      <c r="E177" s="1" t="str">
        <f>IFERROR(__xludf.DUMMYFUNCTION("GOOGLETRANSLATE(A177,""en"",""ko"")"),"교토")</f>
        <v>교토</v>
      </c>
      <c r="F177" s="4" t="str">
        <f>IFERROR(__xludf.DUMMYFUNCTION("GOOGLETRANSLATE(D177,""en"",""ko"")"),"일본")</f>
        <v>일본</v>
      </c>
    </row>
    <row r="178" ht="15.75" customHeight="1">
      <c r="A178" s="1" t="s">
        <v>288</v>
      </c>
      <c r="B178" s="1">
        <v>-68.15</v>
      </c>
      <c r="C178" s="1">
        <v>-16.5</v>
      </c>
      <c r="D178" s="1" t="s">
        <v>289</v>
      </c>
      <c r="E178" s="1" t="str">
        <f>IFERROR(__xludf.DUMMYFUNCTION("GOOGLETRANSLATE(A178,""en"",""ko"")"),"라파스")</f>
        <v>라파스</v>
      </c>
      <c r="F178" s="4" t="str">
        <f>IFERROR(__xludf.DUMMYFUNCTION("GOOGLETRANSLATE(D178,""en"",""ko"")"),"볼리비아")</f>
        <v>볼리비아</v>
      </c>
    </row>
    <row r="179" ht="15.75" customHeight="1">
      <c r="A179" s="1" t="s">
        <v>290</v>
      </c>
      <c r="B179" s="1">
        <v>3.39467</v>
      </c>
      <c r="C179" s="1">
        <v>6.45407</v>
      </c>
      <c r="D179" s="1" t="s">
        <v>11</v>
      </c>
      <c r="E179" s="1" t="str">
        <f>IFERROR(__xludf.DUMMYFUNCTION("GOOGLETRANSLATE(A179,""en"",""ko"")"),"라고스")</f>
        <v>라고스</v>
      </c>
      <c r="F179" s="4" t="str">
        <f>IFERROR(__xludf.DUMMYFUNCTION("GOOGLETRANSLATE(D179,""en"",""ko"")"),"나이지리아")</f>
        <v>나이지리아</v>
      </c>
    </row>
    <row r="180" ht="15.75" customHeight="1">
      <c r="A180" s="1" t="s">
        <v>291</v>
      </c>
      <c r="B180" s="1">
        <v>74.35071</v>
      </c>
      <c r="C180" s="1">
        <v>31.558</v>
      </c>
      <c r="D180" s="1" t="s">
        <v>188</v>
      </c>
      <c r="E180" s="1" t="str">
        <f>IFERROR(__xludf.DUMMYFUNCTION("GOOGLETRANSLATE(A180,""en"",""ko"")"),"라호르")</f>
        <v>라호르</v>
      </c>
      <c r="F180" s="4" t="str">
        <f>IFERROR(__xludf.DUMMYFUNCTION("GOOGLETRANSLATE(D180,""en"",""ko"")"),"파키스탄")</f>
        <v>파키스탄</v>
      </c>
    </row>
    <row r="181" ht="15.75" customHeight="1">
      <c r="A181" s="1" t="s">
        <v>292</v>
      </c>
      <c r="B181" s="1">
        <v>9.45356</v>
      </c>
      <c r="C181" s="1">
        <v>0.39241</v>
      </c>
      <c r="D181" s="1" t="s">
        <v>293</v>
      </c>
      <c r="E181" s="1" t="str">
        <f>IFERROR(__xludf.DUMMYFUNCTION("GOOGLETRANSLATE(A181,""en"",""ko"")"),"리브르빌")</f>
        <v>리브르빌</v>
      </c>
      <c r="F181" s="4" t="str">
        <f>IFERROR(__xludf.DUMMYFUNCTION("GOOGLETRANSLATE(D181,""en"",""ko"")"),"가봉")</f>
        <v>가봉</v>
      </c>
    </row>
    <row r="182" ht="15.75" customHeight="1">
      <c r="A182" s="1" t="s">
        <v>294</v>
      </c>
      <c r="B182" s="1">
        <v>33.78725</v>
      </c>
      <c r="C182" s="1">
        <v>-13.96692</v>
      </c>
      <c r="D182" s="1" t="s">
        <v>295</v>
      </c>
      <c r="E182" s="1" t="str">
        <f>IFERROR(__xludf.DUMMYFUNCTION("GOOGLETRANSLATE(A182,""en"",""ko"")"),"릴롱궤")</f>
        <v>릴롱궤</v>
      </c>
      <c r="F182" s="4" t="str">
        <f>IFERROR(__xludf.DUMMYFUNCTION("GOOGLETRANSLATE(D182,""en"",""ko"")"),"말라위")</f>
        <v>말라위</v>
      </c>
    </row>
    <row r="183" ht="15.75" customHeight="1">
      <c r="A183" s="1" t="s">
        <v>296</v>
      </c>
      <c r="B183" s="1">
        <v>-77.02824</v>
      </c>
      <c r="C183" s="1">
        <v>-12.04318</v>
      </c>
      <c r="D183" s="1" t="s">
        <v>297</v>
      </c>
      <c r="E183" s="1" t="str">
        <f>IFERROR(__xludf.DUMMYFUNCTION("GOOGLETRANSLATE(A183,""en"",""ko"")"),"리마")</f>
        <v>리마</v>
      </c>
      <c r="F183" s="4" t="str">
        <f>IFERROR(__xludf.DUMMYFUNCTION("GOOGLETRANSLATE(D183,""en"",""ko"")"),"페루")</f>
        <v>페루</v>
      </c>
    </row>
    <row r="184" ht="15.75" customHeight="1">
      <c r="A184" s="1" t="s">
        <v>298</v>
      </c>
      <c r="B184" s="1">
        <v>-9.13333</v>
      </c>
      <c r="C184" s="1">
        <v>38.71667</v>
      </c>
      <c r="D184" s="1" t="s">
        <v>299</v>
      </c>
      <c r="E184" s="1" t="str">
        <f>IFERROR(__xludf.DUMMYFUNCTION("GOOGLETRANSLATE(A184,""en"",""ko"")"),"리스본")</f>
        <v>리스본</v>
      </c>
      <c r="F184" s="4" t="str">
        <f>IFERROR(__xludf.DUMMYFUNCTION("GOOGLETRANSLATE(D184,""en"",""ko"")"),"포르투갈")</f>
        <v>포르투갈</v>
      </c>
    </row>
    <row r="185" ht="15.75" customHeight="1">
      <c r="A185" s="1" t="s">
        <v>300</v>
      </c>
      <c r="B185" s="1">
        <v>14.50513</v>
      </c>
      <c r="C185" s="1">
        <v>46.05108</v>
      </c>
      <c r="D185" s="1" t="s">
        <v>301</v>
      </c>
      <c r="E185" s="1" t="str">
        <f>IFERROR(__xludf.DUMMYFUNCTION("GOOGLETRANSLATE(A185,""en"",""ko"")"),"류블랴나")</f>
        <v>류블랴나</v>
      </c>
      <c r="F185" s="4" t="str">
        <f>IFERROR(__xludf.DUMMYFUNCTION("GOOGLETRANSLATE(D185,""en"",""ko"")"),"슬로베니아")</f>
        <v>슬로베니아</v>
      </c>
    </row>
    <row r="186" ht="15.75" customHeight="1">
      <c r="A186" s="1" t="s">
        <v>302</v>
      </c>
      <c r="B186" s="1">
        <v>1.22154</v>
      </c>
      <c r="C186" s="1">
        <v>6.12874</v>
      </c>
      <c r="D186" s="1" t="s">
        <v>303</v>
      </c>
      <c r="E186" s="1" t="str">
        <f>IFERROR(__xludf.DUMMYFUNCTION("GOOGLETRANSLATE(A186,""en"",""ko"")"),"로메")</f>
        <v>로메</v>
      </c>
      <c r="F186" s="4" t="str">
        <f>IFERROR(__xludf.DUMMYFUNCTION("GOOGLETRANSLATE(D186,""en"",""ko"")"),"토고")</f>
        <v>토고</v>
      </c>
    </row>
    <row r="187" ht="15.75" customHeight="1">
      <c r="A187" s="1" t="s">
        <v>304</v>
      </c>
      <c r="B187" s="1">
        <v>-0.12574</v>
      </c>
      <c r="C187" s="1">
        <v>51.50853</v>
      </c>
      <c r="D187" s="1" t="s">
        <v>305</v>
      </c>
      <c r="E187" s="1" t="str">
        <f>IFERROR(__xludf.DUMMYFUNCTION("GOOGLETRANSLATE(A187,""en"",""ko"")"),"런던")</f>
        <v>런던</v>
      </c>
      <c r="F187" s="4" t="str">
        <f>IFERROR(__xludf.DUMMYFUNCTION("GOOGLETRANSLATE(D187,""en"",""ko"")"),"영국")</f>
        <v>영국</v>
      </c>
    </row>
    <row r="188" ht="15.75" customHeight="1">
      <c r="A188" s="1" t="s">
        <v>306</v>
      </c>
      <c r="B188" s="1">
        <v>-118.24368</v>
      </c>
      <c r="C188" s="1">
        <v>34.05223</v>
      </c>
      <c r="D188" s="1" t="s">
        <v>31</v>
      </c>
      <c r="E188" s="1" t="str">
        <f>IFERROR(__xludf.DUMMYFUNCTION("GOOGLETRANSLATE(A188,""en"",""ko"")"),"로스앤젤레스")</f>
        <v>로스앤젤레스</v>
      </c>
      <c r="F188" s="4" t="str">
        <f>IFERROR(__xludf.DUMMYFUNCTION("GOOGLETRANSLATE(D188,""en"",""ko"")"),"미국")</f>
        <v>미국</v>
      </c>
    </row>
    <row r="189" ht="15.75" customHeight="1">
      <c r="A189" s="1" t="s">
        <v>307</v>
      </c>
      <c r="B189" s="1">
        <v>13.23432</v>
      </c>
      <c r="C189" s="1">
        <v>-8.83682</v>
      </c>
      <c r="D189" s="1" t="s">
        <v>308</v>
      </c>
      <c r="E189" s="1" t="str">
        <f>IFERROR(__xludf.DUMMYFUNCTION("GOOGLETRANSLATE(A189,""en"",""ko"")"),"루안다")</f>
        <v>루안다</v>
      </c>
      <c r="F189" s="4" t="str">
        <f>IFERROR(__xludf.DUMMYFUNCTION("GOOGLETRANSLATE(D189,""en"",""ko"")"),"앙골라")</f>
        <v>앙골라</v>
      </c>
    </row>
    <row r="190" ht="15.75" customHeight="1">
      <c r="A190" s="1" t="s">
        <v>309</v>
      </c>
      <c r="B190" s="1">
        <v>27.47938</v>
      </c>
      <c r="C190" s="1">
        <v>-11.66089</v>
      </c>
      <c r="D190" s="1" t="s">
        <v>278</v>
      </c>
      <c r="E190" s="1" t="str">
        <f>IFERROR(__xludf.DUMMYFUNCTION("GOOGLETRANSLATE(A190,""en"",""ko"")"),"루붐바시")</f>
        <v>루붐바시</v>
      </c>
      <c r="F190" s="4" t="str">
        <f>IFERROR(__xludf.DUMMYFUNCTION("GOOGLETRANSLATE(D190,""en"",""ko"")"),"콩고 민주 공화국")</f>
        <v>콩고 민주 공화국</v>
      </c>
    </row>
    <row r="191" ht="15.75" customHeight="1">
      <c r="A191" s="1" t="s">
        <v>310</v>
      </c>
      <c r="B191" s="1">
        <v>28.28713</v>
      </c>
      <c r="C191" s="1">
        <v>-15.40669</v>
      </c>
      <c r="D191" s="1" t="s">
        <v>311</v>
      </c>
      <c r="E191" s="1" t="str">
        <f>IFERROR(__xludf.DUMMYFUNCTION("GOOGLETRANSLATE(A191,""en"",""ko"")"),"루사카")</f>
        <v>루사카</v>
      </c>
      <c r="F191" s="4" t="str">
        <f>IFERROR(__xludf.DUMMYFUNCTION("GOOGLETRANSLATE(D191,""en"",""ko"")"),"잠비아")</f>
        <v>잠비아</v>
      </c>
    </row>
    <row r="192" ht="15.75" customHeight="1">
      <c r="A192" s="1" t="s">
        <v>312</v>
      </c>
      <c r="B192" s="1">
        <v>6.13</v>
      </c>
      <c r="C192" s="1">
        <v>49.61167</v>
      </c>
      <c r="D192" s="1" t="s">
        <v>312</v>
      </c>
      <c r="E192" s="1" t="str">
        <f>IFERROR(__xludf.DUMMYFUNCTION("GOOGLETRANSLATE(A192,""en"",""ko"")"),"룩셈부르크")</f>
        <v>룩셈부르크</v>
      </c>
      <c r="F192" s="4" t="str">
        <f>IFERROR(__xludf.DUMMYFUNCTION("GOOGLETRANSLATE(D192,""en"",""ko"")"),"룩셈부르크")</f>
        <v>룩셈부르크</v>
      </c>
    </row>
    <row r="193" ht="15.75" customHeight="1">
      <c r="A193" s="1" t="s">
        <v>313</v>
      </c>
      <c r="B193" s="1">
        <v>113.54611</v>
      </c>
      <c r="C193" s="1">
        <v>22.20056</v>
      </c>
      <c r="D193" s="1" t="s">
        <v>314</v>
      </c>
      <c r="E193" s="1" t="str">
        <f>IFERROR(__xludf.DUMMYFUNCTION("GOOGLETRANSLATE(A193,""en"",""ko"")"),"마카오")</f>
        <v>마카오</v>
      </c>
      <c r="F193" s="4" t="str">
        <f>IFERROR(__xludf.DUMMYFUNCTION("GOOGLETRANSLATE(D193,""en"",""ko"")"),"마카오")</f>
        <v>마카오</v>
      </c>
    </row>
    <row r="194" ht="15.75" customHeight="1">
      <c r="A194" s="1" t="s">
        <v>315</v>
      </c>
      <c r="B194" s="1">
        <v>-3.70256</v>
      </c>
      <c r="C194" s="1">
        <v>40.4165</v>
      </c>
      <c r="D194" s="1" t="s">
        <v>72</v>
      </c>
      <c r="E194" s="1" t="str">
        <f>IFERROR(__xludf.DUMMYFUNCTION("GOOGLETRANSLATE(A194,""en"",""ko"")"),"마드리드")</f>
        <v>마드리드</v>
      </c>
      <c r="F194" s="4" t="str">
        <f>IFERROR(__xludf.DUMMYFUNCTION("GOOGLETRANSLATE(D194,""en"",""ko"")"),"스페인")</f>
        <v>스페인</v>
      </c>
    </row>
    <row r="195" ht="15.75" customHeight="1">
      <c r="A195" s="1" t="s">
        <v>316</v>
      </c>
      <c r="B195" s="1">
        <v>171.38027</v>
      </c>
      <c r="C195" s="1">
        <v>7.08971</v>
      </c>
      <c r="D195" s="1" t="s">
        <v>317</v>
      </c>
      <c r="E195" s="1" t="str">
        <f>IFERROR(__xludf.DUMMYFUNCTION("GOOGLETRANSLATE(A195,""en"",""ko"")"),"마주로")</f>
        <v>마주로</v>
      </c>
      <c r="F195" s="4" t="str">
        <f>IFERROR(__xludf.DUMMYFUNCTION("GOOGLETRANSLATE(D195,""en"",""ko"")"),"마셜 제도")</f>
        <v>마셜 제도</v>
      </c>
    </row>
    <row r="196" ht="15.75" customHeight="1">
      <c r="A196" s="1" t="s">
        <v>318</v>
      </c>
      <c r="B196" s="1">
        <v>119.43194</v>
      </c>
      <c r="C196" s="1">
        <v>-5.14861</v>
      </c>
      <c r="D196" s="1" t="s">
        <v>61</v>
      </c>
      <c r="E196" s="1" t="str">
        <f>IFERROR(__xludf.DUMMYFUNCTION("GOOGLETRANSLATE(A196,""en"",""ko"")"),"마카사르")</f>
        <v>마카사르</v>
      </c>
      <c r="F196" s="4" t="str">
        <f>IFERROR(__xludf.DUMMYFUNCTION("GOOGLETRANSLATE(D196,""en"",""ko"")"),"인도네시아 공화국")</f>
        <v>인도네시아 공화국</v>
      </c>
    </row>
    <row r="197" ht="15.75" customHeight="1">
      <c r="A197" s="1" t="s">
        <v>319</v>
      </c>
      <c r="B197" s="1">
        <v>8.78166</v>
      </c>
      <c r="C197" s="1">
        <v>3.75578</v>
      </c>
      <c r="D197" s="1" t="s">
        <v>320</v>
      </c>
      <c r="E197" s="1" t="str">
        <f>IFERROR(__xludf.DUMMYFUNCTION("GOOGLETRANSLATE(A197,""en"",""ko"")"),"말라보")</f>
        <v>말라보</v>
      </c>
      <c r="F197" s="4" t="str">
        <f>IFERROR(__xludf.DUMMYFUNCTION("GOOGLETRANSLATE(D197,""en"",""ko"")"),"적도 기니")</f>
        <v>적도 기니</v>
      </c>
    </row>
    <row r="198" ht="15.75" customHeight="1">
      <c r="A198" s="1" t="s">
        <v>321</v>
      </c>
      <c r="B198" s="1">
        <v>73.50916</v>
      </c>
      <c r="C198" s="1">
        <v>4.17521</v>
      </c>
      <c r="D198" s="1" t="s">
        <v>322</v>
      </c>
      <c r="E198" s="1" t="str">
        <f>IFERROR(__xludf.DUMMYFUNCTION("GOOGLETRANSLATE(A198,""en"",""ko"")"),"남성")</f>
        <v>남성</v>
      </c>
      <c r="F198" s="4" t="str">
        <f>IFERROR(__xludf.DUMMYFUNCTION("GOOGLETRANSLATE(D198,""en"",""ko"")"),"몰디브")</f>
        <v>몰디브</v>
      </c>
    </row>
    <row r="199" ht="15.75" customHeight="1">
      <c r="A199" s="1" t="s">
        <v>323</v>
      </c>
      <c r="B199" s="1">
        <v>45.22878</v>
      </c>
      <c r="C199" s="1">
        <v>-12.78234</v>
      </c>
      <c r="D199" s="1" t="s">
        <v>324</v>
      </c>
      <c r="E199" s="1" t="str">
        <f>IFERROR(__xludf.DUMMYFUNCTION("GOOGLETRANSLATE(A199,""en"",""ko"")"),"마무주")</f>
        <v>마무주</v>
      </c>
      <c r="F199" s="4" t="str">
        <f>IFERROR(__xludf.DUMMYFUNCTION("GOOGLETRANSLATE(D199,""en"",""ko"")"),"마요트")</f>
        <v>마요트</v>
      </c>
    </row>
    <row r="200" ht="15.75" customHeight="1">
      <c r="A200" s="1" t="s">
        <v>325</v>
      </c>
      <c r="B200" s="1">
        <v>-86.2504</v>
      </c>
      <c r="C200" s="1">
        <v>12.13282</v>
      </c>
      <c r="D200" s="1" t="s">
        <v>326</v>
      </c>
      <c r="E200" s="1" t="str">
        <f>IFERROR(__xludf.DUMMYFUNCTION("GOOGLETRANSLATE(A200,""en"",""ko"")"),"마나과")</f>
        <v>마나과</v>
      </c>
      <c r="F200" s="4" t="str">
        <f>IFERROR(__xludf.DUMMYFUNCTION("GOOGLETRANSLATE(D200,""en"",""ko"")"),"니카라과")</f>
        <v>니카라과</v>
      </c>
    </row>
    <row r="201" ht="15.75" customHeight="1">
      <c r="A201" s="1" t="s">
        <v>327</v>
      </c>
      <c r="B201" s="1">
        <v>50.58565</v>
      </c>
      <c r="C201" s="1">
        <v>26.22787</v>
      </c>
      <c r="D201" s="1" t="s">
        <v>328</v>
      </c>
      <c r="E201" s="1" t="str">
        <f>IFERROR(__xludf.DUMMYFUNCTION("GOOGLETRANSLATE(A201,""en"",""ko"")"),"마나마")</f>
        <v>마나마</v>
      </c>
      <c r="F201" s="4" t="str">
        <f>IFERROR(__xludf.DUMMYFUNCTION("GOOGLETRANSLATE(D201,""en"",""ko"")"),"바레인")</f>
        <v>바레인</v>
      </c>
    </row>
    <row r="202" ht="15.75" customHeight="1">
      <c r="A202" s="1" t="s">
        <v>329</v>
      </c>
      <c r="B202" s="1">
        <v>-60.025</v>
      </c>
      <c r="C202" s="1">
        <v>-3.10194</v>
      </c>
      <c r="D202" s="1" t="s">
        <v>86</v>
      </c>
      <c r="E202" s="1" t="str">
        <f>IFERROR(__xludf.DUMMYFUNCTION("GOOGLETRANSLATE(A202,""en"",""ko"")"),"마나우스")</f>
        <v>마나우스</v>
      </c>
      <c r="F202" s="4" t="str">
        <f>IFERROR(__xludf.DUMMYFUNCTION("GOOGLETRANSLATE(D202,""en"",""ko"")"),"브라질")</f>
        <v>브라질</v>
      </c>
    </row>
    <row r="203" ht="15.75" customHeight="1">
      <c r="A203" s="1" t="s">
        <v>330</v>
      </c>
      <c r="B203" s="1">
        <v>120.9822</v>
      </c>
      <c r="C203" s="1">
        <v>14.6042</v>
      </c>
      <c r="D203" s="1" t="s">
        <v>127</v>
      </c>
      <c r="E203" s="1" t="str">
        <f>IFERROR(__xludf.DUMMYFUNCTION("GOOGLETRANSLATE(A203,""en"",""ko"")"),"마닐라")</f>
        <v>마닐라</v>
      </c>
      <c r="F203" s="4" t="str">
        <f>IFERROR(__xludf.DUMMYFUNCTION("GOOGLETRANSLATE(D203,""en"",""ko"")"),"필리핀 제도")</f>
        <v>필리핀 제도</v>
      </c>
    </row>
    <row r="204" ht="15.75" customHeight="1">
      <c r="A204" s="1" t="s">
        <v>331</v>
      </c>
      <c r="B204" s="1">
        <v>32.58322</v>
      </c>
      <c r="C204" s="1">
        <v>-25.96553</v>
      </c>
      <c r="D204" s="1" t="s">
        <v>332</v>
      </c>
      <c r="E204" s="1" t="str">
        <f>IFERROR(__xludf.DUMMYFUNCTION("GOOGLETRANSLATE(A204,""en"",""ko"")"),"마푸토")</f>
        <v>마푸토</v>
      </c>
      <c r="F204" s="4" t="str">
        <f>IFERROR(__xludf.DUMMYFUNCTION("GOOGLETRANSLATE(D204,""en"",""ko"")"),"모잠비크")</f>
        <v>모잠비크</v>
      </c>
    </row>
    <row r="205" ht="15.75" customHeight="1">
      <c r="A205" s="1" t="s">
        <v>333</v>
      </c>
      <c r="B205" s="1">
        <v>-71.61245</v>
      </c>
      <c r="C205" s="1">
        <v>10.66663</v>
      </c>
      <c r="D205" s="1" t="s">
        <v>134</v>
      </c>
      <c r="E205" s="1" t="str">
        <f>IFERROR(__xludf.DUMMYFUNCTION("GOOGLETRANSLATE(A205,""en"",""ko"")"),"마라카이보")</f>
        <v>마라카이보</v>
      </c>
      <c r="F205" s="4" t="str">
        <f>IFERROR(__xludf.DUMMYFUNCTION("GOOGLETRANSLATE(D205,""en"",""ko"")"),"베네수엘라")</f>
        <v>베네수엘라</v>
      </c>
    </row>
    <row r="206" ht="15.75" customHeight="1">
      <c r="A206" s="1" t="s">
        <v>334</v>
      </c>
      <c r="B206" s="1">
        <v>-67.59113</v>
      </c>
      <c r="C206" s="1">
        <v>10.23535</v>
      </c>
      <c r="D206" s="1" t="s">
        <v>134</v>
      </c>
      <c r="E206" s="1" t="str">
        <f>IFERROR(__xludf.DUMMYFUNCTION("GOOGLETRANSLATE(A206,""en"",""ko"")"),"마라카이")</f>
        <v>마라카이</v>
      </c>
      <c r="F206" s="4" t="str">
        <f>IFERROR(__xludf.DUMMYFUNCTION("GOOGLETRANSLATE(D206,""en"",""ko"")"),"베네수엘라")</f>
        <v>베네수엘라</v>
      </c>
    </row>
    <row r="207" ht="15.75" customHeight="1">
      <c r="A207" s="1" t="s">
        <v>335</v>
      </c>
      <c r="B207" s="1">
        <v>19.93481</v>
      </c>
      <c r="C207" s="1">
        <v>60.09726</v>
      </c>
      <c r="D207" s="1" t="s">
        <v>336</v>
      </c>
      <c r="E207" s="1" t="str">
        <f>IFERROR(__xludf.DUMMYFUNCTION("GOOGLETRANSLATE(A207,""en"",""ko"")"),"마리에함")</f>
        <v>마리에함</v>
      </c>
      <c r="F207" s="4" t="str">
        <f>IFERROR(__xludf.DUMMYFUNCTION("GOOGLETRANSLATE(D207,""en"",""ko"")"),"올란드 제도")</f>
        <v>올란드 제도</v>
      </c>
    </row>
    <row r="208" ht="15.75" customHeight="1">
      <c r="A208" s="1" t="s">
        <v>337</v>
      </c>
      <c r="B208" s="1">
        <v>-63.08302</v>
      </c>
      <c r="C208" s="1">
        <v>18.06819</v>
      </c>
      <c r="D208" s="1" t="s">
        <v>338</v>
      </c>
      <c r="E208" s="1" t="str">
        <f>IFERROR(__xludf.DUMMYFUNCTION("GOOGLETRANSLATE(A208,""en"",""ko"")"),"마리고")</f>
        <v>마리고</v>
      </c>
      <c r="F208" s="4" t="str">
        <f>IFERROR(__xludf.DUMMYFUNCTION("GOOGLETRANSLATE(D208,""en"",""ko"")"),"생마르탱")</f>
        <v>생마르탱</v>
      </c>
    </row>
    <row r="209" ht="15.75" customHeight="1">
      <c r="A209" s="1" t="s">
        <v>339</v>
      </c>
      <c r="B209" s="1">
        <v>27.48333</v>
      </c>
      <c r="C209" s="1">
        <v>-29.31667</v>
      </c>
      <c r="D209" s="1" t="s">
        <v>340</v>
      </c>
      <c r="E209" s="1" t="str">
        <f>IFERROR(__xludf.DUMMYFUNCTION("GOOGLETRANSLATE(A209,""en"",""ko"")"),"마세루")</f>
        <v>마세루</v>
      </c>
      <c r="F209" s="4" t="str">
        <f>IFERROR(__xludf.DUMMYFUNCTION("GOOGLETRANSLATE(D209,""en"",""ko"")"),"레소토")</f>
        <v>레소토</v>
      </c>
    </row>
    <row r="210" ht="15.75" customHeight="1">
      <c r="A210" s="1" t="s">
        <v>341</v>
      </c>
      <c r="B210" s="1">
        <v>59.56796</v>
      </c>
      <c r="C210" s="1">
        <v>36.31559</v>
      </c>
      <c r="D210" s="1" t="s">
        <v>237</v>
      </c>
      <c r="E210" s="1" t="str">
        <f>IFERROR(__xludf.DUMMYFUNCTION("GOOGLETRANSLATE(A210,""en"",""ko"")"),"마슈하드")</f>
        <v>마슈하드</v>
      </c>
      <c r="F210" s="4" t="str">
        <f>IFERROR(__xludf.DUMMYFUNCTION("GOOGLETRANSLATE(D210,""en"",""ko"")"),"이란")</f>
        <v>이란</v>
      </c>
    </row>
    <row r="211" ht="15.75" customHeight="1">
      <c r="A211" s="1" t="s">
        <v>342</v>
      </c>
      <c r="B211" s="1">
        <v>31.13333</v>
      </c>
      <c r="C211" s="1">
        <v>-26.31667</v>
      </c>
      <c r="D211" s="1" t="s">
        <v>343</v>
      </c>
      <c r="E211" s="1" t="str">
        <f>IFERROR(__xludf.DUMMYFUNCTION("GOOGLETRANSLATE(A211,""en"",""ko"")"),"음바바네")</f>
        <v>음바바네</v>
      </c>
      <c r="F211" s="4" t="str">
        <f>IFERROR(__xludf.DUMMYFUNCTION("GOOGLETRANSLATE(D211,""en"",""ko"")"),"에스와티니")</f>
        <v>에스와티니</v>
      </c>
    </row>
    <row r="212" ht="15.75" customHeight="1">
      <c r="A212" s="1" t="s">
        <v>344</v>
      </c>
      <c r="B212" s="1">
        <v>39.82563</v>
      </c>
      <c r="C212" s="1">
        <v>21.42664</v>
      </c>
      <c r="D212" s="1" t="s">
        <v>244</v>
      </c>
      <c r="E212" s="1" t="str">
        <f>IFERROR(__xludf.DUMMYFUNCTION("GOOGLETRANSLATE(A212,""en"",""ko"")"),"메카")</f>
        <v>메카</v>
      </c>
      <c r="F212" s="4" t="str">
        <f>IFERROR(__xludf.DUMMYFUNCTION("GOOGLETRANSLATE(D212,""en"",""ko"")"),"사우디 아라비아")</f>
        <v>사우디 아라비아</v>
      </c>
    </row>
    <row r="213" ht="15.75" customHeight="1">
      <c r="A213" s="1" t="s">
        <v>345</v>
      </c>
      <c r="B213" s="1">
        <v>98.66667</v>
      </c>
      <c r="C213" s="1">
        <v>3.58333</v>
      </c>
      <c r="D213" s="1" t="s">
        <v>61</v>
      </c>
      <c r="E213" s="1" t="str">
        <f>IFERROR(__xludf.DUMMYFUNCTION("GOOGLETRANSLATE(A213,""en"",""ko"")"),"메단")</f>
        <v>메단</v>
      </c>
      <c r="F213" s="4" t="str">
        <f>IFERROR(__xludf.DUMMYFUNCTION("GOOGLETRANSLATE(D213,""en"",""ko"")"),"인도네시아 공화국")</f>
        <v>인도네시아 공화국</v>
      </c>
    </row>
    <row r="214" ht="15.75" customHeight="1">
      <c r="A214" s="1" t="s">
        <v>346</v>
      </c>
      <c r="B214" s="1">
        <v>-75.56359</v>
      </c>
      <c r="C214" s="1">
        <v>6.25184</v>
      </c>
      <c r="D214" s="1" t="s">
        <v>74</v>
      </c>
      <c r="E214" s="1" t="str">
        <f>IFERROR(__xludf.DUMMYFUNCTION("GOOGLETRANSLATE(A214,""en"",""ko"")"),"메데인")</f>
        <v>메데인</v>
      </c>
      <c r="F214" s="4" t="str">
        <f>IFERROR(__xludf.DUMMYFUNCTION("GOOGLETRANSLATE(D214,""en"",""ko"")"),"콜롬비아")</f>
        <v>콜롬비아</v>
      </c>
    </row>
    <row r="215" ht="15.75" customHeight="1">
      <c r="A215" s="1" t="s">
        <v>347</v>
      </c>
      <c r="B215" s="1">
        <v>39.61417</v>
      </c>
      <c r="C215" s="1">
        <v>24.46861</v>
      </c>
      <c r="D215" s="1" t="s">
        <v>244</v>
      </c>
      <c r="E215" s="1" t="str">
        <f>IFERROR(__xludf.DUMMYFUNCTION("GOOGLETRANSLATE(A215,""en"",""ko"")"),"메디나")</f>
        <v>메디나</v>
      </c>
      <c r="F215" s="4" t="str">
        <f>IFERROR(__xludf.DUMMYFUNCTION("GOOGLETRANSLATE(D215,""en"",""ko"")"),"사우디 아라비아")</f>
        <v>사우디 아라비아</v>
      </c>
    </row>
    <row r="216" ht="15.75" customHeight="1">
      <c r="A216" s="1" t="s">
        <v>348</v>
      </c>
      <c r="B216" s="1">
        <v>144.96332</v>
      </c>
      <c r="C216" s="1">
        <v>-37.814</v>
      </c>
      <c r="D216" s="1" t="s">
        <v>110</v>
      </c>
      <c r="E216" s="1" t="str">
        <f>IFERROR(__xludf.DUMMYFUNCTION("GOOGLETRANSLATE(A216,""en"",""ko"")"),"멜버른")</f>
        <v>멜버른</v>
      </c>
      <c r="F216" s="4" t="str">
        <f>IFERROR(__xludf.DUMMYFUNCTION("GOOGLETRANSLATE(D216,""en"",""ko"")"),"호주")</f>
        <v>호주</v>
      </c>
    </row>
    <row r="217" ht="15.75" customHeight="1">
      <c r="A217" s="1" t="s">
        <v>349</v>
      </c>
      <c r="B217" s="1">
        <v>-99.12766</v>
      </c>
      <c r="C217" s="1">
        <v>19.42847</v>
      </c>
      <c r="D217" s="1" t="s">
        <v>208</v>
      </c>
      <c r="E217" s="1" t="str">
        <f>IFERROR(__xludf.DUMMYFUNCTION("GOOGLETRANSLATE(A217,""en"",""ko"")"),"멕시코시티")</f>
        <v>멕시코시티</v>
      </c>
      <c r="F217" s="4" t="str">
        <f>IFERROR(__xludf.DUMMYFUNCTION("GOOGLETRANSLATE(D217,""en"",""ko"")"),"멕시코")</f>
        <v>멕시코</v>
      </c>
    </row>
    <row r="218" ht="15.75" customHeight="1">
      <c r="A218" s="1" t="s">
        <v>350</v>
      </c>
      <c r="B218" s="1">
        <v>-80.19366</v>
      </c>
      <c r="C218" s="1">
        <v>25.77427</v>
      </c>
      <c r="D218" s="1" t="s">
        <v>31</v>
      </c>
      <c r="E218" s="1" t="str">
        <f>IFERROR(__xludf.DUMMYFUNCTION("GOOGLETRANSLATE(A218,""en"",""ko"")"),"마이애미")</f>
        <v>마이애미</v>
      </c>
      <c r="F218" s="4" t="str">
        <f>IFERROR(__xludf.DUMMYFUNCTION("GOOGLETRANSLATE(D218,""en"",""ko"")"),"미국")</f>
        <v>미국</v>
      </c>
    </row>
    <row r="219" ht="15.75" customHeight="1">
      <c r="A219" s="1" t="s">
        <v>351</v>
      </c>
      <c r="B219" s="1">
        <v>27.56667</v>
      </c>
      <c r="C219" s="1">
        <v>53.9</v>
      </c>
      <c r="D219" s="1" t="s">
        <v>352</v>
      </c>
      <c r="E219" s="1" t="str">
        <f>IFERROR(__xludf.DUMMYFUNCTION("GOOGLETRANSLATE(A219,""en"",""ko"")"),"민스크")</f>
        <v>민스크</v>
      </c>
      <c r="F219" s="4" t="str">
        <f>IFERROR(__xludf.DUMMYFUNCTION("GOOGLETRANSLATE(D219,""en"",""ko"")"),"벨라루스")</f>
        <v>벨라루스</v>
      </c>
    </row>
    <row r="220" ht="15.75" customHeight="1">
      <c r="A220" s="1" t="s">
        <v>353</v>
      </c>
      <c r="B220" s="1">
        <v>45.34375</v>
      </c>
      <c r="C220" s="1">
        <v>2.03711</v>
      </c>
      <c r="D220" s="1" t="s">
        <v>354</v>
      </c>
      <c r="E220" s="1" t="str">
        <f>IFERROR(__xludf.DUMMYFUNCTION("GOOGLETRANSLATE(A220,""en"",""ko"")"),"모가디슈")</f>
        <v>모가디슈</v>
      </c>
      <c r="F220" s="4" t="str">
        <f>IFERROR(__xludf.DUMMYFUNCTION("GOOGLETRANSLATE(D220,""en"",""ko"")"),"소말리아")</f>
        <v>소말리아</v>
      </c>
    </row>
    <row r="221" ht="15.75" customHeight="1">
      <c r="A221" s="1" t="s">
        <v>355</v>
      </c>
      <c r="B221" s="1">
        <v>7.41667</v>
      </c>
      <c r="C221" s="1">
        <v>43.73333</v>
      </c>
      <c r="D221" s="1" t="s">
        <v>355</v>
      </c>
      <c r="E221" s="1" t="str">
        <f>IFERROR(__xludf.DUMMYFUNCTION("GOOGLETRANSLATE(A221,""en"",""ko"")"),"모나코")</f>
        <v>모나코</v>
      </c>
      <c r="F221" s="4" t="str">
        <f>IFERROR(__xludf.DUMMYFUNCTION("GOOGLETRANSLATE(D221,""en"",""ko"")"),"모나코")</f>
        <v>모나코</v>
      </c>
    </row>
    <row r="222" ht="15.75" customHeight="1">
      <c r="A222" s="1" t="s">
        <v>356</v>
      </c>
      <c r="B222" s="1">
        <v>-10.7969</v>
      </c>
      <c r="C222" s="1">
        <v>6.30054</v>
      </c>
      <c r="D222" s="1" t="s">
        <v>357</v>
      </c>
      <c r="E222" s="1" t="str">
        <f>IFERROR(__xludf.DUMMYFUNCTION("GOOGLETRANSLATE(A222,""en"",""ko"")"),"몬로비아")</f>
        <v>몬로비아</v>
      </c>
      <c r="F222" s="4" t="str">
        <f>IFERROR(__xludf.DUMMYFUNCTION("GOOGLETRANSLATE(D222,""en"",""ko"")"),"라이베리아")</f>
        <v>라이베리아</v>
      </c>
    </row>
    <row r="223" ht="15.75" customHeight="1">
      <c r="A223" s="1" t="s">
        <v>358</v>
      </c>
      <c r="B223" s="1">
        <v>-56.18816</v>
      </c>
      <c r="C223" s="1">
        <v>-34.90328</v>
      </c>
      <c r="D223" s="1" t="s">
        <v>359</v>
      </c>
      <c r="E223" s="1" t="str">
        <f>IFERROR(__xludf.DUMMYFUNCTION("GOOGLETRANSLATE(A223,""en"",""ko"")"),"몬테비데오")</f>
        <v>몬테비데오</v>
      </c>
      <c r="F223" s="4" t="str">
        <f>IFERROR(__xludf.DUMMYFUNCTION("GOOGLETRANSLATE(D223,""en"",""ko"")"),"우루과이")</f>
        <v>우루과이</v>
      </c>
    </row>
    <row r="224" ht="15.75" customHeight="1">
      <c r="A224" s="1" t="s">
        <v>360</v>
      </c>
      <c r="B224" s="1">
        <v>-73.58781</v>
      </c>
      <c r="C224" s="1">
        <v>45.50884</v>
      </c>
      <c r="D224" s="1" t="s">
        <v>361</v>
      </c>
      <c r="E224" s="1" t="str">
        <f>IFERROR(__xludf.DUMMYFUNCTION("GOOGLETRANSLATE(A224,""en"",""ko"")"),"몬트리올")</f>
        <v>몬트리올</v>
      </c>
      <c r="F224" s="4" t="str">
        <f>IFERROR(__xludf.DUMMYFUNCTION("GOOGLETRANSLATE(D224,""en"",""ko"")"),"캐나다")</f>
        <v>캐나다</v>
      </c>
    </row>
    <row r="225" ht="15.75" customHeight="1">
      <c r="A225" s="1" t="s">
        <v>362</v>
      </c>
      <c r="B225" s="1">
        <v>43.25506</v>
      </c>
      <c r="C225" s="1">
        <v>-11.70216</v>
      </c>
      <c r="D225" s="1" t="s">
        <v>363</v>
      </c>
      <c r="E225" s="1" t="str">
        <f>IFERROR(__xludf.DUMMYFUNCTION("GOOGLETRANSLATE(A225,""en"",""ko"")"),"모로나이")</f>
        <v>모로나이</v>
      </c>
      <c r="F225" s="4" t="str">
        <f>IFERROR(__xludf.DUMMYFUNCTION("GOOGLETRANSLATE(D225,""en"",""ko"")"),"코모로")</f>
        <v>코모로</v>
      </c>
    </row>
    <row r="226" ht="15.75" customHeight="1">
      <c r="A226" s="1" t="s">
        <v>364</v>
      </c>
      <c r="B226" s="1">
        <v>37.61556</v>
      </c>
      <c r="C226" s="1">
        <v>55.75222</v>
      </c>
      <c r="D226" s="1" t="s">
        <v>365</v>
      </c>
      <c r="E226" s="1" t="str">
        <f>IFERROR(__xludf.DUMMYFUNCTION("GOOGLETRANSLATE(A226,""en"",""ko"")"),"모스크바")</f>
        <v>모스크바</v>
      </c>
      <c r="F226" s="4" t="str">
        <f>IFERROR(__xludf.DUMMYFUNCTION("GOOGLETRANSLATE(D226,""en"",""ko"")"),"러시아 제국")</f>
        <v>러시아 제국</v>
      </c>
    </row>
    <row r="227" ht="15.75" customHeight="1">
      <c r="A227" s="1" t="s">
        <v>366</v>
      </c>
      <c r="B227" s="1">
        <v>43.11889</v>
      </c>
      <c r="C227" s="1">
        <v>36.335</v>
      </c>
      <c r="D227" s="1" t="s">
        <v>55</v>
      </c>
      <c r="E227" s="1" t="str">
        <f>IFERROR(__xludf.DUMMYFUNCTION("GOOGLETRANSLATE(A227,""en"",""ko"")"),"모술")</f>
        <v>모술</v>
      </c>
      <c r="F227" s="4" t="str">
        <f>IFERROR(__xludf.DUMMYFUNCTION("GOOGLETRANSLATE(D227,""en"",""ko"")"),"이라크")</f>
        <v>이라크</v>
      </c>
    </row>
    <row r="228" ht="15.75" customHeight="1">
      <c r="A228" s="1" t="s">
        <v>367</v>
      </c>
      <c r="B228" s="1">
        <v>71.47824</v>
      </c>
      <c r="C228" s="1">
        <v>30.19679</v>
      </c>
      <c r="D228" s="1" t="s">
        <v>188</v>
      </c>
      <c r="E228" s="1" t="str">
        <f>IFERROR(__xludf.DUMMYFUNCTION("GOOGLETRANSLATE(A228,""en"",""ko"")"),"물탄")</f>
        <v>물탄</v>
      </c>
      <c r="F228" s="4" t="str">
        <f>IFERROR(__xludf.DUMMYFUNCTION("GOOGLETRANSLATE(D228,""en"",""ko"")"),"파키스탄")</f>
        <v>파키스탄</v>
      </c>
    </row>
    <row r="229" ht="15.75" customHeight="1">
      <c r="A229" s="1" t="s">
        <v>368</v>
      </c>
      <c r="B229" s="1">
        <v>72.88261</v>
      </c>
      <c r="C229" s="1">
        <v>19.07283</v>
      </c>
      <c r="D229" s="1" t="s">
        <v>17</v>
      </c>
      <c r="E229" s="1" t="str">
        <f>IFERROR(__xludf.DUMMYFUNCTION("GOOGLETRANSLATE(A229,""en"",""ko"")"),"뭄바이")</f>
        <v>뭄바이</v>
      </c>
      <c r="F229" s="4" t="str">
        <f>IFERROR(__xludf.DUMMYFUNCTION("GOOGLETRANSLATE(D229,""en"",""ko"")"),"인도")</f>
        <v>인도</v>
      </c>
    </row>
    <row r="230" ht="15.75" customHeight="1">
      <c r="A230" s="1" t="s">
        <v>369</v>
      </c>
      <c r="B230" s="1">
        <v>58.40778</v>
      </c>
      <c r="C230" s="1">
        <v>23.58413</v>
      </c>
      <c r="D230" s="1" t="s">
        <v>370</v>
      </c>
      <c r="E230" s="1" t="str">
        <f>IFERROR(__xludf.DUMMYFUNCTION("GOOGLETRANSLATE(A230,""en"",""ko"")"),"무스카트 포도")</f>
        <v>무스카트 포도</v>
      </c>
      <c r="F230" s="4" t="str">
        <f>IFERROR(__xludf.DUMMYFUNCTION("GOOGLETRANSLATE(D230,""en"",""ko"")"),"오만")</f>
        <v>오만</v>
      </c>
    </row>
    <row r="231" ht="15.75" customHeight="1">
      <c r="A231" s="1" t="s">
        <v>371</v>
      </c>
      <c r="B231" s="1">
        <v>15.0444</v>
      </c>
      <c r="C231" s="1">
        <v>12.10672</v>
      </c>
      <c r="D231" s="1" t="s">
        <v>372</v>
      </c>
      <c r="E231" s="1" t="str">
        <f>IFERROR(__xludf.DUMMYFUNCTION("GOOGLETRANSLATE(A231,""en"",""ko"")"),"은자메나")</f>
        <v>은자메나</v>
      </c>
      <c r="F231" s="4" t="str">
        <f>IFERROR(__xludf.DUMMYFUNCTION("GOOGLETRANSLATE(D231,""en"",""ko"")"),"차드")</f>
        <v>차드</v>
      </c>
    </row>
    <row r="232" ht="15.75" customHeight="1">
      <c r="A232" s="1" t="s">
        <v>373</v>
      </c>
      <c r="B232" s="1">
        <v>136.90641</v>
      </c>
      <c r="C232" s="1">
        <v>35.18147</v>
      </c>
      <c r="D232" s="1" t="s">
        <v>195</v>
      </c>
      <c r="E232" s="1" t="str">
        <f>IFERROR(__xludf.DUMMYFUNCTION("GOOGLETRANSLATE(A232,""en"",""ko"")"),"나고야")</f>
        <v>나고야</v>
      </c>
      <c r="F232" s="4" t="str">
        <f>IFERROR(__xludf.DUMMYFUNCTION("GOOGLETRANSLATE(D232,""en"",""ko"")"),"일본")</f>
        <v>일본</v>
      </c>
    </row>
    <row r="233" ht="15.75" customHeight="1">
      <c r="A233" s="1" t="s">
        <v>374</v>
      </c>
      <c r="B233" s="1">
        <v>36.81667</v>
      </c>
      <c r="C233" s="1">
        <v>-1.28333</v>
      </c>
      <c r="D233" s="1" t="s">
        <v>375</v>
      </c>
      <c r="E233" s="1" t="str">
        <f>IFERROR(__xludf.DUMMYFUNCTION("GOOGLETRANSLATE(A233,""en"",""ko"")"),"나이로비")</f>
        <v>나이로비</v>
      </c>
      <c r="F233" s="4" t="str">
        <f>IFERROR(__xludf.DUMMYFUNCTION("GOOGLETRANSLATE(D233,""en"",""ko"")"),"케냐")</f>
        <v>케냐</v>
      </c>
    </row>
    <row r="234" ht="15.75" customHeight="1">
      <c r="A234" s="1" t="s">
        <v>376</v>
      </c>
      <c r="B234" s="1">
        <v>106.08473</v>
      </c>
      <c r="C234" s="1">
        <v>30.79508</v>
      </c>
      <c r="D234" s="1" t="s">
        <v>81</v>
      </c>
      <c r="E234" s="1" t="str">
        <f>IFERROR(__xludf.DUMMYFUNCTION("GOOGLETRANSLATE(A234,""en"",""ko"")"),"난충")</f>
        <v>난충</v>
      </c>
      <c r="F234" s="4" t="str">
        <f>IFERROR(__xludf.DUMMYFUNCTION("GOOGLETRANSLATE(D234,""en"",""ko"")"),"중국")</f>
        <v>중국</v>
      </c>
    </row>
    <row r="235" ht="15.75" customHeight="1">
      <c r="A235" s="1" t="s">
        <v>377</v>
      </c>
      <c r="B235" s="1">
        <v>118.77778</v>
      </c>
      <c r="C235" s="1">
        <v>32.06167</v>
      </c>
      <c r="D235" s="1" t="s">
        <v>81</v>
      </c>
      <c r="E235" s="1" t="str">
        <f>IFERROR(__xludf.DUMMYFUNCTION("GOOGLETRANSLATE(A235,""en"",""ko"")"),"난징")</f>
        <v>난징</v>
      </c>
      <c r="F235" s="4" t="str">
        <f>IFERROR(__xludf.DUMMYFUNCTION("GOOGLETRANSLATE(D235,""en"",""ko"")"),"중국")</f>
        <v>중국</v>
      </c>
    </row>
    <row r="236" ht="15.75" customHeight="1">
      <c r="A236" s="1" t="s">
        <v>378</v>
      </c>
      <c r="B236" s="1">
        <v>-77.34306</v>
      </c>
      <c r="C236" s="1">
        <v>25.05823</v>
      </c>
      <c r="D236" s="1" t="s">
        <v>379</v>
      </c>
      <c r="E236" s="1" t="str">
        <f>IFERROR(__xludf.DUMMYFUNCTION("GOOGLETRANSLATE(A236,""en"",""ko"")"),"나소")</f>
        <v>나소</v>
      </c>
      <c r="F236" s="4" t="str">
        <f>IFERROR(__xludf.DUMMYFUNCTION("GOOGLETRANSLATE(D236,""en"",""ko"")"),"바하마")</f>
        <v>바하마</v>
      </c>
    </row>
    <row r="237" ht="15.75" customHeight="1">
      <c r="A237" s="1" t="s">
        <v>380</v>
      </c>
      <c r="B237" s="1">
        <v>96.12972</v>
      </c>
      <c r="C237" s="1">
        <v>19.745</v>
      </c>
      <c r="D237" s="1" t="s">
        <v>381</v>
      </c>
      <c r="E237" s="1" t="str">
        <f>IFERROR(__xludf.DUMMYFUNCTION("GOOGLETRANSLATE(A237,""en"",""ko"")"),"네피도")</f>
        <v>네피도</v>
      </c>
      <c r="F237" s="4" t="str">
        <f>IFERROR(__xludf.DUMMYFUNCTION("GOOGLETRANSLATE(D237,""en"",""ko"")"),"미얀마")</f>
        <v>미얀마</v>
      </c>
    </row>
    <row r="238" ht="15.75" customHeight="1">
      <c r="A238" s="1" t="s">
        <v>382</v>
      </c>
      <c r="B238" s="1">
        <v>-74.00597</v>
      </c>
      <c r="C238" s="1">
        <v>40.71427</v>
      </c>
      <c r="D238" s="1" t="s">
        <v>31</v>
      </c>
      <c r="E238" s="1" t="str">
        <f>IFERROR(__xludf.DUMMYFUNCTION("GOOGLETRANSLATE(A238,""en"",""ko"")"),"뉴욕")</f>
        <v>뉴욕</v>
      </c>
      <c r="F238" s="4" t="str">
        <f>IFERROR(__xludf.DUMMYFUNCTION("GOOGLETRANSLATE(D238,""en"",""ko"")"),"미국")</f>
        <v>미국</v>
      </c>
    </row>
    <row r="239" ht="15.75" customHeight="1">
      <c r="A239" s="1" t="s">
        <v>383</v>
      </c>
      <c r="B239" s="1">
        <v>2.1098</v>
      </c>
      <c r="C239" s="1">
        <v>13.51366</v>
      </c>
      <c r="D239" s="1" t="s">
        <v>384</v>
      </c>
      <c r="E239" s="1" t="str">
        <f>IFERROR(__xludf.DUMMYFUNCTION("GOOGLETRANSLATE(A239,""en"",""ko"")"),"니아메")</f>
        <v>니아메</v>
      </c>
      <c r="F239" s="4" t="str">
        <f>IFERROR(__xludf.DUMMYFUNCTION("GOOGLETRANSLATE(D239,""en"",""ko"")"),"니제르")</f>
        <v>니제르</v>
      </c>
    </row>
    <row r="240" ht="15.75" customHeight="1">
      <c r="A240" s="1" t="s">
        <v>385</v>
      </c>
      <c r="B240" s="1">
        <v>33.3642</v>
      </c>
      <c r="C240" s="1">
        <v>35.17531</v>
      </c>
      <c r="D240" s="1" t="s">
        <v>386</v>
      </c>
      <c r="E240" s="1" t="str">
        <f>IFERROR(__xludf.DUMMYFUNCTION("GOOGLETRANSLATE(A240,""en"",""ko"")"),"니코시아")</f>
        <v>니코시아</v>
      </c>
      <c r="F240" s="4" t="str">
        <f>IFERROR(__xludf.DUMMYFUNCTION("GOOGLETRANSLATE(D240,""en"",""ko"")"),"키프로스")</f>
        <v>키프로스</v>
      </c>
    </row>
    <row r="241" ht="15.75" customHeight="1">
      <c r="A241" s="1" t="s">
        <v>387</v>
      </c>
      <c r="B241" s="1">
        <v>-15.9785</v>
      </c>
      <c r="C241" s="1">
        <v>18.08581</v>
      </c>
      <c r="D241" s="1" t="s">
        <v>388</v>
      </c>
      <c r="E241" s="1" t="str">
        <f>IFERROR(__xludf.DUMMYFUNCTION("GOOGLETRANSLATE(A241,""en"",""ko"")"),"누악쇼트")</f>
        <v>누악쇼트</v>
      </c>
      <c r="F241" s="4" t="str">
        <f>IFERROR(__xludf.DUMMYFUNCTION("GOOGLETRANSLATE(D241,""en"",""ko"")"),"모리타니")</f>
        <v>모리타니</v>
      </c>
    </row>
    <row r="242" ht="15.75" customHeight="1">
      <c r="A242" s="1" t="s">
        <v>389</v>
      </c>
      <c r="B242" s="1">
        <v>166.44884</v>
      </c>
      <c r="C242" s="1">
        <v>-22.27407</v>
      </c>
      <c r="D242" s="1" t="s">
        <v>390</v>
      </c>
      <c r="E242" s="1" t="str">
        <f>IFERROR(__xludf.DUMMYFUNCTION("GOOGLETRANSLATE(A242,""en"",""ko"")"),"누메아")</f>
        <v>누메아</v>
      </c>
      <c r="F242" s="4" t="str">
        <f>IFERROR(__xludf.DUMMYFUNCTION("GOOGLETRANSLATE(D242,""en"",""ko"")"),"뉴칼레도니아")</f>
        <v>뉴칼레도니아</v>
      </c>
    </row>
    <row r="243" ht="15.75" customHeight="1">
      <c r="A243" s="1" t="s">
        <v>391</v>
      </c>
      <c r="B243" s="1">
        <v>82.9346</v>
      </c>
      <c r="C243" s="1">
        <v>55.0415</v>
      </c>
      <c r="D243" s="1" t="s">
        <v>365</v>
      </c>
      <c r="E243" s="1" t="str">
        <f>IFERROR(__xludf.DUMMYFUNCTION("GOOGLETRANSLATE(A243,""en"",""ko"")"),"노보시비르스크")</f>
        <v>노보시비르스크</v>
      </c>
      <c r="F243" s="4" t="str">
        <f>IFERROR(__xludf.DUMMYFUNCTION("GOOGLETRANSLATE(D243,""en"",""ko"")"),"러시아 제국")</f>
        <v>러시아 제국</v>
      </c>
    </row>
    <row r="244" ht="15.75" customHeight="1">
      <c r="A244" s="1" t="s">
        <v>392</v>
      </c>
      <c r="B244" s="1">
        <v>-175.2018</v>
      </c>
      <c r="C244" s="1">
        <v>-21.13938</v>
      </c>
      <c r="D244" s="1" t="s">
        <v>393</v>
      </c>
      <c r="E244" s="1" t="str">
        <f>IFERROR(__xludf.DUMMYFUNCTION("GOOGLETRANSLATE(A244,""en"",""ko"")"),"누쿠알로파")</f>
        <v>누쿠알로파</v>
      </c>
      <c r="F244" s="4" t="str">
        <f>IFERROR(__xludf.DUMMYFUNCTION("GOOGLETRANSLATE(D244,""en"",""ko"")"),"통가")</f>
        <v>통가</v>
      </c>
    </row>
    <row r="245" ht="15.75" customHeight="1">
      <c r="A245" s="1" t="s">
        <v>394</v>
      </c>
      <c r="B245" s="1">
        <v>71.44598</v>
      </c>
      <c r="C245" s="1">
        <v>51.1801</v>
      </c>
      <c r="D245" s="1" t="s">
        <v>25</v>
      </c>
      <c r="E245" s="1" t="str">
        <f>IFERROR(__xludf.DUMMYFUNCTION("GOOGLETRANSLATE(A245,""en"",""ko"")"),"누르술탄")</f>
        <v>누르술탄</v>
      </c>
      <c r="F245" s="4" t="str">
        <f>IFERROR(__xludf.DUMMYFUNCTION("GOOGLETRANSLATE(D245,""en"",""ko"")"),"카자흐스탄")</f>
        <v>카자흐스탄</v>
      </c>
    </row>
    <row r="246" ht="15.75" customHeight="1">
      <c r="A246" s="1" t="s">
        <v>395</v>
      </c>
      <c r="B246" s="1">
        <v>-51.72157</v>
      </c>
      <c r="C246" s="1">
        <v>64.18347</v>
      </c>
      <c r="D246" s="1" t="s">
        <v>396</v>
      </c>
      <c r="E246" s="1" t="str">
        <f>IFERROR(__xludf.DUMMYFUNCTION("GOOGLETRANSLATE(A246,""en"",""ko"")"),"누크")</f>
        <v>누크</v>
      </c>
      <c r="F246" s="4" t="str">
        <f>IFERROR(__xludf.DUMMYFUNCTION("GOOGLETRANSLATE(D246,""en"",""ko"")"),"그린란드")</f>
        <v>그린란드</v>
      </c>
    </row>
    <row r="247" ht="15.75" customHeight="1">
      <c r="A247" s="1" t="s">
        <v>397</v>
      </c>
      <c r="B247" s="1">
        <v>-70.02703</v>
      </c>
      <c r="C247" s="1">
        <v>12.52398</v>
      </c>
      <c r="D247" s="1" t="s">
        <v>398</v>
      </c>
      <c r="E247" s="1" t="str">
        <f>IFERROR(__xludf.DUMMYFUNCTION("GOOGLETRANSLATE(A247,""en"",""ko"")"),"오랑예스타트")</f>
        <v>오랑예스타트</v>
      </c>
      <c r="F247" s="4" t="str">
        <f>IFERROR(__xludf.DUMMYFUNCTION("GOOGLETRANSLATE(D247,""en"",""ko"")"),"아루바")</f>
        <v>아루바</v>
      </c>
    </row>
    <row r="248" ht="15.75" customHeight="1">
      <c r="A248" s="1" t="s">
        <v>399</v>
      </c>
      <c r="B248" s="1">
        <v>135.50218</v>
      </c>
      <c r="C248" s="1">
        <v>34.69374</v>
      </c>
      <c r="D248" s="1" t="s">
        <v>195</v>
      </c>
      <c r="E248" s="1" t="str">
        <f>IFERROR(__xludf.DUMMYFUNCTION("GOOGLETRANSLATE(A248,""en"",""ko"")"),"오사카")</f>
        <v>오사카</v>
      </c>
      <c r="F248" s="4" t="str">
        <f>IFERROR(__xludf.DUMMYFUNCTION("GOOGLETRANSLATE(D248,""en"",""ko"")"),"일본")</f>
        <v>일본</v>
      </c>
    </row>
    <row r="249" ht="15.75" customHeight="1">
      <c r="A249" s="1" t="s">
        <v>400</v>
      </c>
      <c r="B249" s="1">
        <v>10.74609</v>
      </c>
      <c r="C249" s="1">
        <v>59.91273</v>
      </c>
      <c r="D249" s="1" t="s">
        <v>401</v>
      </c>
      <c r="E249" s="1" t="str">
        <f>IFERROR(__xludf.DUMMYFUNCTION("GOOGLETRANSLATE(A249,""en"",""ko"")"),"오슬로")</f>
        <v>오슬로</v>
      </c>
      <c r="F249" s="4" t="str">
        <f>IFERROR(__xludf.DUMMYFUNCTION("GOOGLETRANSLATE(D249,""en"",""ko"")"),"노르웨이")</f>
        <v>노르웨이</v>
      </c>
    </row>
    <row r="250" ht="15.75" customHeight="1">
      <c r="A250" s="1" t="s">
        <v>402</v>
      </c>
      <c r="B250" s="1">
        <v>-75.69812</v>
      </c>
      <c r="C250" s="1">
        <v>45.41117</v>
      </c>
      <c r="D250" s="1" t="s">
        <v>361</v>
      </c>
      <c r="E250" s="1" t="str">
        <f>IFERROR(__xludf.DUMMYFUNCTION("GOOGLETRANSLATE(A250,""en"",""ko"")"),"오타와")</f>
        <v>오타와</v>
      </c>
      <c r="F250" s="4" t="str">
        <f>IFERROR(__xludf.DUMMYFUNCTION("GOOGLETRANSLATE(D250,""en"",""ko"")"),"캐나다")</f>
        <v>캐나다</v>
      </c>
    </row>
    <row r="251" ht="15.75" customHeight="1">
      <c r="A251" s="1" t="s">
        <v>403</v>
      </c>
      <c r="B251" s="1">
        <v>-1.53388</v>
      </c>
      <c r="C251" s="1">
        <v>12.36566</v>
      </c>
      <c r="D251" s="1" t="s">
        <v>404</v>
      </c>
      <c r="E251" s="1" t="str">
        <f>IFERROR(__xludf.DUMMYFUNCTION("GOOGLETRANSLATE(A251,""en"",""ko"")"),"와가두구")</f>
        <v>와가두구</v>
      </c>
      <c r="F251" s="4" t="str">
        <f>IFERROR(__xludf.DUMMYFUNCTION("GOOGLETRANSLATE(D251,""en"",""ko"")"),"부르키나파소")</f>
        <v>부르키나파소</v>
      </c>
    </row>
    <row r="252" ht="15.75" customHeight="1">
      <c r="A252" s="1" t="s">
        <v>405</v>
      </c>
      <c r="B252" s="1">
        <v>-170.7025</v>
      </c>
      <c r="C252" s="1">
        <v>-14.27806</v>
      </c>
      <c r="D252" s="1" t="s">
        <v>406</v>
      </c>
      <c r="E252" s="1" t="str">
        <f>IFERROR(__xludf.DUMMYFUNCTION("GOOGLETRANSLATE(A252,""en"",""ko"")"),"파고파고")</f>
        <v>파고파고</v>
      </c>
      <c r="F252" s="4" t="str">
        <f>IFERROR(__xludf.DUMMYFUNCTION("GOOGLETRANSLATE(D252,""en"",""ko"")"),"아메리칸 사모아")</f>
        <v>아메리칸 사모아</v>
      </c>
    </row>
    <row r="253" ht="15.75" customHeight="1">
      <c r="A253" s="1" t="s">
        <v>407</v>
      </c>
      <c r="B253" s="1">
        <v>104.7458</v>
      </c>
      <c r="C253" s="1">
        <v>-2.91673</v>
      </c>
      <c r="D253" s="1" t="s">
        <v>61</v>
      </c>
      <c r="E253" s="1" t="str">
        <f>IFERROR(__xludf.DUMMYFUNCTION("GOOGLETRANSLATE(A253,""en"",""ko"")"),"팔렘방")</f>
        <v>팔렘방</v>
      </c>
      <c r="F253" s="4" t="str">
        <f>IFERROR(__xludf.DUMMYFUNCTION("GOOGLETRANSLATE(D253,""en"",""ko"")"),"인도네시아 공화국")</f>
        <v>인도네시아 공화국</v>
      </c>
    </row>
    <row r="254" ht="15.75" customHeight="1">
      <c r="A254" s="1" t="s">
        <v>408</v>
      </c>
      <c r="B254" s="1">
        <v>-122.14302</v>
      </c>
      <c r="C254" s="1">
        <v>37.44188</v>
      </c>
      <c r="D254" s="1" t="s">
        <v>31</v>
      </c>
      <c r="E254" s="1" t="str">
        <f>IFERROR(__xludf.DUMMYFUNCTION("GOOGLETRANSLATE(A254,""en"",""ko"")"),"팔로 알토")</f>
        <v>팔로 알토</v>
      </c>
      <c r="F254" s="4" t="str">
        <f>IFERROR(__xludf.DUMMYFUNCTION("GOOGLETRANSLATE(D254,""en"",""ko"")"),"미국")</f>
        <v>미국</v>
      </c>
    </row>
    <row r="255" ht="15.75" customHeight="1">
      <c r="A255" s="1" t="s">
        <v>409</v>
      </c>
      <c r="B255" s="1">
        <v>-79.51973</v>
      </c>
      <c r="C255" s="1">
        <v>8.9936</v>
      </c>
      <c r="D255" s="1" t="s">
        <v>409</v>
      </c>
      <c r="E255" s="1" t="str">
        <f>IFERROR(__xludf.DUMMYFUNCTION("GOOGLETRANSLATE(A255,""en"",""ko"")"),"파나마")</f>
        <v>파나마</v>
      </c>
      <c r="F255" s="4" t="str">
        <f>IFERROR(__xludf.DUMMYFUNCTION("GOOGLETRANSLATE(D255,""en"",""ko"")"),"파나마")</f>
        <v>파나마</v>
      </c>
    </row>
    <row r="256" ht="15.75" customHeight="1">
      <c r="A256" s="1" t="s">
        <v>410</v>
      </c>
      <c r="B256" s="1">
        <v>-149.5665</v>
      </c>
      <c r="C256" s="1">
        <v>-17.53733</v>
      </c>
      <c r="D256" s="1" t="s">
        <v>411</v>
      </c>
      <c r="E256" s="1" t="str">
        <f>IFERROR(__xludf.DUMMYFUNCTION("GOOGLETRANSLATE(A256,""en"",""ko"")"),"파페에테")</f>
        <v>파페에테</v>
      </c>
      <c r="F256" s="4" t="str">
        <f>IFERROR(__xludf.DUMMYFUNCTION("GOOGLETRANSLATE(D256,""en"",""ko"")"),"프랑스령 폴리네시아")</f>
        <v>프랑스령 폴리네시아</v>
      </c>
    </row>
    <row r="257" ht="15.75" customHeight="1">
      <c r="A257" s="1" t="s">
        <v>412</v>
      </c>
      <c r="B257" s="1">
        <v>-55.16682</v>
      </c>
      <c r="C257" s="1">
        <v>5.86638</v>
      </c>
      <c r="D257" s="1" t="s">
        <v>413</v>
      </c>
      <c r="E257" s="1" t="str">
        <f>IFERROR(__xludf.DUMMYFUNCTION("GOOGLETRANSLATE(A257,""en"",""ko"")"),"파라마리보")</f>
        <v>파라마리보</v>
      </c>
      <c r="F257" s="4" t="str">
        <f>IFERROR(__xludf.DUMMYFUNCTION("GOOGLETRANSLATE(D257,""en"",""ko"")"),"수리남")</f>
        <v>수리남</v>
      </c>
    </row>
    <row r="258" ht="15.75" customHeight="1">
      <c r="A258" s="1" t="s">
        <v>414</v>
      </c>
      <c r="B258" s="1">
        <v>2.3488</v>
      </c>
      <c r="C258" s="1">
        <v>48.85341</v>
      </c>
      <c r="D258" s="1" t="s">
        <v>415</v>
      </c>
      <c r="E258" s="1" t="str">
        <f>IFERROR(__xludf.DUMMYFUNCTION("GOOGLETRANSLATE(A258,""en"",""ko"")"),"파리")</f>
        <v>파리</v>
      </c>
      <c r="F258" s="4" t="str">
        <f>IFERROR(__xludf.DUMMYFUNCTION("GOOGLETRANSLATE(D258,""en"",""ko"")"),"프랑스")</f>
        <v>프랑스</v>
      </c>
    </row>
    <row r="259" ht="15.75" customHeight="1">
      <c r="A259" s="1" t="s">
        <v>416</v>
      </c>
      <c r="B259" s="1">
        <v>115.8614</v>
      </c>
      <c r="C259" s="1">
        <v>-31.95224</v>
      </c>
      <c r="D259" s="1" t="s">
        <v>110</v>
      </c>
      <c r="E259" s="1" t="str">
        <f>IFERROR(__xludf.DUMMYFUNCTION("GOOGLETRANSLATE(A259,""en"",""ko"")"),"퍼스")</f>
        <v>퍼스</v>
      </c>
      <c r="F259" s="4" t="str">
        <f>IFERROR(__xludf.DUMMYFUNCTION("GOOGLETRANSLATE(D259,""en"",""ko"")"),"호주")</f>
        <v>호주</v>
      </c>
    </row>
    <row r="260" ht="15.75" customHeight="1">
      <c r="A260" s="1" t="s">
        <v>417</v>
      </c>
      <c r="B260" s="1">
        <v>-75.16379</v>
      </c>
      <c r="C260" s="1">
        <v>39.95233</v>
      </c>
      <c r="D260" s="1" t="s">
        <v>31</v>
      </c>
      <c r="E260" s="1" t="str">
        <f>IFERROR(__xludf.DUMMYFUNCTION("GOOGLETRANSLATE(A260,""en"",""ko"")"),"필라델피아")</f>
        <v>필라델피아</v>
      </c>
      <c r="F260" s="4" t="str">
        <f>IFERROR(__xludf.DUMMYFUNCTION("GOOGLETRANSLATE(D260,""en"",""ko"")"),"미국")</f>
        <v>미국</v>
      </c>
    </row>
    <row r="261" ht="15.75" customHeight="1">
      <c r="A261" s="1" t="s">
        <v>418</v>
      </c>
      <c r="B261" s="1">
        <v>104.91601</v>
      </c>
      <c r="C261" s="1">
        <v>11.56245</v>
      </c>
      <c r="D261" s="1" t="s">
        <v>419</v>
      </c>
      <c r="E261" s="1" t="str">
        <f>IFERROR(__xludf.DUMMYFUNCTION("GOOGLETRANSLATE(A261,""en"",""ko"")"),"프놈펜")</f>
        <v>프놈펜</v>
      </c>
      <c r="F261" s="4" t="str">
        <f>IFERROR(__xludf.DUMMYFUNCTION("GOOGLETRANSLATE(D261,""en"",""ko"")"),"캄보디아")</f>
        <v>캄보디아</v>
      </c>
    </row>
    <row r="262" ht="15.75" customHeight="1">
      <c r="A262" s="1" t="s">
        <v>420</v>
      </c>
      <c r="B262" s="1">
        <v>-112.07404</v>
      </c>
      <c r="C262" s="1">
        <v>33.44838</v>
      </c>
      <c r="D262" s="1" t="s">
        <v>31</v>
      </c>
      <c r="E262" s="1" t="str">
        <f>IFERROR(__xludf.DUMMYFUNCTION("GOOGLETRANSLATE(A262,""en"",""ko"")"),"피닉스")</f>
        <v>피닉스</v>
      </c>
      <c r="F262" s="4" t="str">
        <f>IFERROR(__xludf.DUMMYFUNCTION("GOOGLETRANSLATE(D262,""en"",""ko"")"),"미국")</f>
        <v>미국</v>
      </c>
    </row>
    <row r="263" ht="15.75" customHeight="1">
      <c r="A263" s="1" t="s">
        <v>421</v>
      </c>
      <c r="B263" s="1">
        <v>19.26361</v>
      </c>
      <c r="C263" s="1">
        <v>42.44111</v>
      </c>
      <c r="D263" s="1" t="s">
        <v>422</v>
      </c>
      <c r="E263" s="1" t="str">
        <f>IFERROR(__xludf.DUMMYFUNCTION("GOOGLETRANSLATE(A263,""en"",""ko"")"),"포드고리차")</f>
        <v>포드고리차</v>
      </c>
      <c r="F263" s="4" t="str">
        <f>IFERROR(__xludf.DUMMYFUNCTION("GOOGLETRANSLATE(D263,""en"",""ko"")"),"몬테네그로")</f>
        <v>몬테네그로</v>
      </c>
    </row>
    <row r="264" ht="15.75" customHeight="1">
      <c r="A264" s="1" t="s">
        <v>423</v>
      </c>
      <c r="B264" s="1">
        <v>57.49889</v>
      </c>
      <c r="C264" s="1">
        <v>-20.16194</v>
      </c>
      <c r="D264" s="1" t="s">
        <v>424</v>
      </c>
      <c r="E264" s="1" t="str">
        <f>IFERROR(__xludf.DUMMYFUNCTION("GOOGLETRANSLATE(A264,""en"",""ko"")"),"포트 루이스")</f>
        <v>포트 루이스</v>
      </c>
      <c r="F264" s="4" t="str">
        <f>IFERROR(__xludf.DUMMYFUNCTION("GOOGLETRANSLATE(D264,""en"",""ko"")"),"모리셔스")</f>
        <v>모리셔스</v>
      </c>
    </row>
    <row r="265" ht="15.75" customHeight="1">
      <c r="A265" s="1" t="s">
        <v>425</v>
      </c>
      <c r="B265" s="1">
        <v>147.15089</v>
      </c>
      <c r="C265" s="1">
        <v>-9.47723</v>
      </c>
      <c r="D265" s="1" t="s">
        <v>426</v>
      </c>
      <c r="E265" s="1" t="str">
        <f>IFERROR(__xludf.DUMMYFUNCTION("GOOGLETRANSLATE(A265,""en"",""ko"")"),"포트 모르즈비")</f>
        <v>포트 모르즈비</v>
      </c>
      <c r="F265" s="4" t="str">
        <f>IFERROR(__xludf.DUMMYFUNCTION("GOOGLETRANSLATE(D265,""en"",""ko"")"),"파푸아뉴기니")</f>
        <v>파푸아뉴기니</v>
      </c>
    </row>
    <row r="266" ht="15.75" customHeight="1">
      <c r="A266" s="1" t="s">
        <v>427</v>
      </c>
      <c r="B266" s="1">
        <v>-61.51889</v>
      </c>
      <c r="C266" s="1">
        <v>10.66668</v>
      </c>
      <c r="D266" s="1" t="s">
        <v>428</v>
      </c>
      <c r="E266" s="1" t="str">
        <f>IFERROR(__xludf.DUMMYFUNCTION("GOOGLETRANSLATE(A266,""en"",""ko"")"),"포트 오브 스페인")</f>
        <v>포트 오브 스페인</v>
      </c>
      <c r="F266" s="4" t="str">
        <f>IFERROR(__xludf.DUMMYFUNCTION("GOOGLETRANSLATE(D266,""en"",""ko"")"),"트리니다드 토바고")</f>
        <v>트리니다드 토바고</v>
      </c>
    </row>
    <row r="267" ht="15.75" customHeight="1">
      <c r="A267" s="1" t="s">
        <v>429</v>
      </c>
      <c r="B267" s="1">
        <v>168.31366</v>
      </c>
      <c r="C267" s="1">
        <v>-17.73648</v>
      </c>
      <c r="D267" s="1" t="s">
        <v>430</v>
      </c>
      <c r="E267" s="1" t="str">
        <f>IFERROR(__xludf.DUMMYFUNCTION("GOOGLETRANSLATE(A267,""en"",""ko"")"),"포트빌라")</f>
        <v>포트빌라</v>
      </c>
      <c r="F267" s="4" t="str">
        <f>IFERROR(__xludf.DUMMYFUNCTION("GOOGLETRANSLATE(D267,""en"",""ko"")"),"바누아투")</f>
        <v>바누아투</v>
      </c>
    </row>
    <row r="268" ht="15.75" customHeight="1">
      <c r="A268" s="1" t="s">
        <v>431</v>
      </c>
      <c r="B268" s="1">
        <v>-72.33881</v>
      </c>
      <c r="C268" s="1">
        <v>18.54349</v>
      </c>
      <c r="D268" s="1" t="s">
        <v>432</v>
      </c>
      <c r="E268" s="1" t="str">
        <f>IFERROR(__xludf.DUMMYFUNCTION("GOOGLETRANSLATE(A268,""en"",""ko"")"),"포르토프랭스")</f>
        <v>포르토프랭스</v>
      </c>
      <c r="F268" s="4" t="str">
        <f>IFERROR(__xludf.DUMMYFUNCTION("GOOGLETRANSLATE(D268,""en"",""ko"")"),"아이티")</f>
        <v>아이티</v>
      </c>
    </row>
    <row r="269" ht="15.75" customHeight="1">
      <c r="A269" s="1" t="s">
        <v>433</v>
      </c>
      <c r="B269" s="1">
        <v>-51.23019</v>
      </c>
      <c r="C269" s="1">
        <v>-30.03283</v>
      </c>
      <c r="D269" s="1" t="s">
        <v>86</v>
      </c>
      <c r="E269" s="1" t="str">
        <f>IFERROR(__xludf.DUMMYFUNCTION("GOOGLETRANSLATE(A269,""en"",""ko"")"),"포르투 알레그레")</f>
        <v>포르투 알레그레</v>
      </c>
      <c r="F269" s="4" t="str">
        <f>IFERROR(__xludf.DUMMYFUNCTION("GOOGLETRANSLATE(D269,""en"",""ko"")"),"브라질")</f>
        <v>브라질</v>
      </c>
    </row>
    <row r="270" ht="15.75" customHeight="1">
      <c r="A270" s="1" t="s">
        <v>434</v>
      </c>
      <c r="B270" s="1">
        <v>2.60359</v>
      </c>
      <c r="C270" s="1">
        <v>6.49646</v>
      </c>
      <c r="D270" s="1" t="s">
        <v>435</v>
      </c>
      <c r="E270" s="1" t="str">
        <f>IFERROR(__xludf.DUMMYFUNCTION("GOOGLETRANSLATE(A270,""en"",""ko"")"),"포르토노보")</f>
        <v>포르토노보</v>
      </c>
      <c r="F270" s="4" t="str">
        <f>IFERROR(__xludf.DUMMYFUNCTION("GOOGLETRANSLATE(D270,""en"",""ko"")"),"베냉")</f>
        <v>베냉</v>
      </c>
    </row>
    <row r="271" ht="15.75" customHeight="1">
      <c r="A271" s="1" t="s">
        <v>436</v>
      </c>
      <c r="B271" s="1">
        <v>14.42076</v>
      </c>
      <c r="C271" s="1">
        <v>50.08804</v>
      </c>
      <c r="D271" s="1" t="s">
        <v>437</v>
      </c>
      <c r="E271" s="1" t="str">
        <f>IFERROR(__xludf.DUMMYFUNCTION("GOOGLETRANSLATE(A271,""en"",""ko"")"),"프라하")</f>
        <v>프라하</v>
      </c>
      <c r="F271" s="4" t="str">
        <f>IFERROR(__xludf.DUMMYFUNCTION("GOOGLETRANSLATE(D271,""en"",""ko"")"),"체코")</f>
        <v>체코</v>
      </c>
    </row>
    <row r="272" ht="15.75" customHeight="1">
      <c r="A272" s="1" t="s">
        <v>438</v>
      </c>
      <c r="B272" s="1">
        <v>-23.51254</v>
      </c>
      <c r="C272" s="1">
        <v>14.93152</v>
      </c>
      <c r="D272" s="1" t="s">
        <v>439</v>
      </c>
      <c r="E272" s="1" t="str">
        <f>IFERROR(__xludf.DUMMYFUNCTION("GOOGLETRANSLATE(A272,""en"",""ko"")"),"프라이아")</f>
        <v>프라이아</v>
      </c>
      <c r="F272" s="4" t="str">
        <f>IFERROR(__xludf.DUMMYFUNCTION("GOOGLETRANSLATE(D272,""en"",""ko"")"),"카보 베르데")</f>
        <v>카보 베르데</v>
      </c>
    </row>
    <row r="273" ht="15.75" customHeight="1">
      <c r="A273" s="1" t="s">
        <v>440</v>
      </c>
      <c r="B273" s="1">
        <v>28.18783</v>
      </c>
      <c r="C273" s="1">
        <v>-25.74486</v>
      </c>
      <c r="D273" s="1" t="s">
        <v>132</v>
      </c>
      <c r="E273" s="1" t="str">
        <f>IFERROR(__xludf.DUMMYFUNCTION("GOOGLETRANSLATE(A273,""en"",""ko"")"),"프리토리아")</f>
        <v>프리토리아</v>
      </c>
      <c r="F273" s="4" t="str">
        <f>IFERROR(__xludf.DUMMYFUNCTION("GOOGLETRANSLATE(D273,""en"",""ko"")"),"남아프리카 공화국")</f>
        <v>남아프리카 공화국</v>
      </c>
    </row>
    <row r="274" ht="15.75" customHeight="1">
      <c r="A274" s="1" t="s">
        <v>441</v>
      </c>
      <c r="B274" s="1">
        <v>21.16688</v>
      </c>
      <c r="C274" s="1">
        <v>42.67272</v>
      </c>
      <c r="D274" s="1" t="s">
        <v>442</v>
      </c>
      <c r="E274" s="1" t="str">
        <f>IFERROR(__xludf.DUMMYFUNCTION("GOOGLETRANSLATE(A274,""en"",""ko"")"),"프리슈티나")</f>
        <v>프리슈티나</v>
      </c>
      <c r="F274" s="4" t="str">
        <f>IFERROR(__xludf.DUMMYFUNCTION("GOOGLETRANSLATE(D274,""en"",""ko"")"),"코소보")</f>
        <v>코소보</v>
      </c>
    </row>
    <row r="275" ht="15.75" customHeight="1">
      <c r="A275" s="1" t="s">
        <v>443</v>
      </c>
      <c r="B275" s="1">
        <v>-98.20346</v>
      </c>
      <c r="C275" s="1">
        <v>19.03793</v>
      </c>
      <c r="D275" s="1" t="s">
        <v>208</v>
      </c>
      <c r="E275" s="1" t="str">
        <f>IFERROR(__xludf.DUMMYFUNCTION("GOOGLETRANSLATE(A275,""en"",""ko"")"),"푸에블라")</f>
        <v>푸에블라</v>
      </c>
      <c r="F275" s="4" t="str">
        <f>IFERROR(__xludf.DUMMYFUNCTION("GOOGLETRANSLATE(D275,""en"",""ko"")"),"멕시코")</f>
        <v>멕시코</v>
      </c>
    </row>
    <row r="276" ht="15.75" customHeight="1">
      <c r="A276" s="1" t="s">
        <v>444</v>
      </c>
      <c r="B276" s="1">
        <v>73.85535</v>
      </c>
      <c r="C276" s="1">
        <v>18.51957</v>
      </c>
      <c r="D276" s="1" t="s">
        <v>17</v>
      </c>
      <c r="E276" s="1" t="str">
        <f>IFERROR(__xludf.DUMMYFUNCTION("GOOGLETRANSLATE(A276,""en"",""ko"")"),"푸네")</f>
        <v>푸네</v>
      </c>
      <c r="F276" s="4" t="str">
        <f>IFERROR(__xludf.DUMMYFUNCTION("GOOGLETRANSLATE(D276,""en"",""ko"")"),"인도")</f>
        <v>인도</v>
      </c>
    </row>
    <row r="277" ht="15.75" customHeight="1">
      <c r="A277" s="1" t="s">
        <v>445</v>
      </c>
      <c r="B277" s="1">
        <v>125.75432</v>
      </c>
      <c r="C277" s="1">
        <v>39.03385</v>
      </c>
      <c r="D277" s="1" t="s">
        <v>446</v>
      </c>
      <c r="E277" s="1" t="str">
        <f>IFERROR(__xludf.DUMMYFUNCTION("GOOGLETRANSLATE(A277,""en"",""ko"")"),"평양")</f>
        <v>평양</v>
      </c>
      <c r="F277" s="4" t="str">
        <f>IFERROR(__xludf.DUMMYFUNCTION("GOOGLETRANSLATE(D277,""en"",""ko"")"),"북한")</f>
        <v>북한</v>
      </c>
    </row>
    <row r="278" ht="15.75" customHeight="1">
      <c r="A278" s="1" t="s">
        <v>447</v>
      </c>
      <c r="B278" s="1">
        <v>121.0509</v>
      </c>
      <c r="C278" s="1">
        <v>14.6488</v>
      </c>
      <c r="D278" s="1" t="s">
        <v>127</v>
      </c>
      <c r="E278" s="1" t="str">
        <f>IFERROR(__xludf.DUMMYFUNCTION("GOOGLETRANSLATE(A278,""en"",""ko"")"),"케손 시티")</f>
        <v>케손 시티</v>
      </c>
      <c r="F278" s="4" t="str">
        <f>IFERROR(__xludf.DUMMYFUNCTION("GOOGLETRANSLATE(D278,""en"",""ko"")"),"필리핀 제도")</f>
        <v>필리핀 제도</v>
      </c>
    </row>
    <row r="279" ht="15.75" customHeight="1">
      <c r="A279" s="1" t="s">
        <v>448</v>
      </c>
      <c r="B279" s="1">
        <v>-78.52495</v>
      </c>
      <c r="C279" s="1">
        <v>-0.22985</v>
      </c>
      <c r="D279" s="1" t="s">
        <v>213</v>
      </c>
      <c r="E279" s="1" t="str">
        <f>IFERROR(__xludf.DUMMYFUNCTION("GOOGLETRANSLATE(A279,""en"",""ko"")"),"키토")</f>
        <v>키토</v>
      </c>
      <c r="F279" s="4" t="str">
        <f>IFERROR(__xludf.DUMMYFUNCTION("GOOGLETRANSLATE(D279,""en"",""ko"")"),"에콰도르")</f>
        <v>에콰도르</v>
      </c>
    </row>
    <row r="280" ht="15.75" customHeight="1">
      <c r="A280" s="1" t="s">
        <v>449</v>
      </c>
      <c r="B280" s="1">
        <v>-6.83255</v>
      </c>
      <c r="C280" s="1">
        <v>34.01325</v>
      </c>
      <c r="D280" s="1" t="s">
        <v>136</v>
      </c>
      <c r="E280" s="1" t="str">
        <f>IFERROR(__xludf.DUMMYFUNCTION("GOOGLETRANSLATE(A280,""en"",""ko"")"),"라바트")</f>
        <v>라바트</v>
      </c>
      <c r="F280" s="4" t="str">
        <f>IFERROR(__xludf.DUMMYFUNCTION("GOOGLETRANSLATE(D280,""en"",""ko"")"),"모로코 가죽")</f>
        <v>모로코 가죽</v>
      </c>
    </row>
    <row r="281" ht="15.75" customHeight="1">
      <c r="A281" s="1" t="s">
        <v>450</v>
      </c>
      <c r="B281" s="1">
        <v>73.0479</v>
      </c>
      <c r="C281" s="1">
        <v>33.59733</v>
      </c>
      <c r="D281" s="1" t="s">
        <v>188</v>
      </c>
      <c r="E281" s="1" t="str">
        <f>IFERROR(__xludf.DUMMYFUNCTION("GOOGLETRANSLATE(A281,""en"",""ko"")"),"라왈핀디")</f>
        <v>라왈핀디</v>
      </c>
      <c r="F281" s="4" t="str">
        <f>IFERROR(__xludf.DUMMYFUNCTION("GOOGLETRANSLATE(D281,""en"",""ko"")"),"파키스탄")</f>
        <v>파키스탄</v>
      </c>
    </row>
    <row r="282" ht="15.75" customHeight="1">
      <c r="A282" s="1" t="s">
        <v>451</v>
      </c>
      <c r="B282" s="1">
        <v>-34.88111</v>
      </c>
      <c r="C282" s="1">
        <v>-8.05389</v>
      </c>
      <c r="D282" s="1" t="s">
        <v>86</v>
      </c>
      <c r="E282" s="1" t="str">
        <f>IFERROR(__xludf.DUMMYFUNCTION("GOOGLETRANSLATE(A282,""en"",""ko"")"),"레시페")</f>
        <v>레시페</v>
      </c>
      <c r="F282" s="4" t="str">
        <f>IFERROR(__xludf.DUMMYFUNCTION("GOOGLETRANSLATE(D282,""en"",""ko"")"),"브라질")</f>
        <v>브라질</v>
      </c>
    </row>
    <row r="283" ht="15.75" customHeight="1">
      <c r="A283" s="1" t="s">
        <v>452</v>
      </c>
      <c r="B283" s="1">
        <v>-21.89541</v>
      </c>
      <c r="C283" s="1">
        <v>64.13548</v>
      </c>
      <c r="D283" s="1" t="s">
        <v>453</v>
      </c>
      <c r="E283" s="1" t="str">
        <f>IFERROR(__xludf.DUMMYFUNCTION("GOOGLETRANSLATE(A283,""en"",""ko"")"),"레이캬비크")</f>
        <v>레이캬비크</v>
      </c>
      <c r="F283" s="4" t="str">
        <f>IFERROR(__xludf.DUMMYFUNCTION("GOOGLETRANSLATE(D283,""en"",""ko"")"),"아이슬란드")</f>
        <v>아이슬란드</v>
      </c>
    </row>
    <row r="284" ht="15.75" customHeight="1">
      <c r="A284" s="1" t="s">
        <v>454</v>
      </c>
      <c r="B284" s="1">
        <v>24.10589</v>
      </c>
      <c r="C284" s="1">
        <v>56.946</v>
      </c>
      <c r="D284" s="1" t="s">
        <v>455</v>
      </c>
      <c r="E284" s="1" t="str">
        <f>IFERROR(__xludf.DUMMYFUNCTION("GOOGLETRANSLATE(A284,""en"",""ko"")"),"리가")</f>
        <v>리가</v>
      </c>
      <c r="F284" s="4" t="str">
        <f>IFERROR(__xludf.DUMMYFUNCTION("GOOGLETRANSLATE(D284,""en"",""ko"")"),"라트비아")</f>
        <v>라트비아</v>
      </c>
    </row>
    <row r="285" ht="15.75" customHeight="1">
      <c r="A285" s="1" t="s">
        <v>456</v>
      </c>
      <c r="B285" s="1">
        <v>-43.18223</v>
      </c>
      <c r="C285" s="1">
        <v>-22.90642</v>
      </c>
      <c r="D285" s="1" t="s">
        <v>86</v>
      </c>
      <c r="E285" s="1" t="str">
        <f>IFERROR(__xludf.DUMMYFUNCTION("GOOGLETRANSLATE(A285,""en"",""ko"")"),"리우데자네이루")</f>
        <v>리우데자네이루</v>
      </c>
      <c r="F285" s="4" t="str">
        <f>IFERROR(__xludf.DUMMYFUNCTION("GOOGLETRANSLATE(D285,""en"",""ko"")"),"브라질")</f>
        <v>브라질</v>
      </c>
    </row>
    <row r="286" ht="15.75" customHeight="1">
      <c r="A286" s="1" t="s">
        <v>457</v>
      </c>
      <c r="B286" s="1">
        <v>46.72185</v>
      </c>
      <c r="C286" s="1">
        <v>24.68773</v>
      </c>
      <c r="D286" s="1" t="s">
        <v>244</v>
      </c>
      <c r="E286" s="1" t="str">
        <f>IFERROR(__xludf.DUMMYFUNCTION("GOOGLETRANSLATE(A286,""en"",""ko"")"),"리야드")</f>
        <v>리야드</v>
      </c>
      <c r="F286" s="4" t="str">
        <f>IFERROR(__xludf.DUMMYFUNCTION("GOOGLETRANSLATE(D286,""en"",""ko"")"),"사우디 아라비아")</f>
        <v>사우디 아라비아</v>
      </c>
    </row>
    <row r="287" ht="15.75" customHeight="1">
      <c r="A287" s="1" t="s">
        <v>458</v>
      </c>
      <c r="B287" s="1">
        <v>-64.62079</v>
      </c>
      <c r="C287" s="1">
        <v>18.42693</v>
      </c>
      <c r="D287" s="1" t="s">
        <v>459</v>
      </c>
      <c r="E287" s="1" t="str">
        <f>IFERROR(__xludf.DUMMYFUNCTION("GOOGLETRANSLATE(A287,""en"",""ko"")"),"로드 타운")</f>
        <v>로드 타운</v>
      </c>
      <c r="F287" s="4" t="str">
        <f>IFERROR(__xludf.DUMMYFUNCTION("GOOGLETRANSLATE(D287,""en"",""ko"")"),"영국령 버진아일랜드")</f>
        <v>영국령 버진아일랜드</v>
      </c>
    </row>
    <row r="288" ht="15.75" customHeight="1">
      <c r="A288" s="1" t="s">
        <v>460</v>
      </c>
      <c r="B288" s="1">
        <v>12.51133</v>
      </c>
      <c r="C288" s="1">
        <v>41.89193</v>
      </c>
      <c r="D288" s="1" t="s">
        <v>461</v>
      </c>
      <c r="E288" s="1" t="str">
        <f>IFERROR(__xludf.DUMMYFUNCTION("GOOGLETRANSLATE(A288,""en"",""ko"")"),"로마")</f>
        <v>로마</v>
      </c>
      <c r="F288" s="4" t="str">
        <f>IFERROR(__xludf.DUMMYFUNCTION("GOOGLETRANSLATE(D288,""en"",""ko"")"),"이탈리아")</f>
        <v>이탈리아</v>
      </c>
    </row>
    <row r="289" ht="15.75" customHeight="1">
      <c r="A289" s="1" t="s">
        <v>462</v>
      </c>
      <c r="B289" s="1">
        <v>-61.38808</v>
      </c>
      <c r="C289" s="1">
        <v>15.30174</v>
      </c>
      <c r="D289" s="1" t="s">
        <v>463</v>
      </c>
      <c r="E289" s="1" t="str">
        <f>IFERROR(__xludf.DUMMYFUNCTION("GOOGLETRANSLATE(A289,""en"",""ko"")"),"로조")</f>
        <v>로조</v>
      </c>
      <c r="F289" s="4" t="str">
        <f>IFERROR(__xludf.DUMMYFUNCTION("GOOGLETRANSLATE(D289,""en"",""ko"")"),"도미니카")</f>
        <v>도미니카</v>
      </c>
    </row>
    <row r="290" ht="15.75" customHeight="1">
      <c r="A290" s="1" t="s">
        <v>464</v>
      </c>
      <c r="B290" s="1">
        <v>-61.75226</v>
      </c>
      <c r="C290" s="1">
        <v>12.05288</v>
      </c>
      <c r="D290" s="1" t="s">
        <v>465</v>
      </c>
      <c r="E290" s="1" t="str">
        <f>IFERROR(__xludf.DUMMYFUNCTION("GOOGLETRANSLATE(A290,""en"",""ko"")"),"세인트 조지")</f>
        <v>세인트 조지</v>
      </c>
      <c r="F290" s="4" t="str">
        <f>IFERROR(__xludf.DUMMYFUNCTION("GOOGLETRANSLATE(D290,""en"",""ko"")"),"그레나다")</f>
        <v>그레나다</v>
      </c>
    </row>
    <row r="291" ht="15.75" customHeight="1">
      <c r="A291" s="1" t="s">
        <v>466</v>
      </c>
      <c r="B291" s="1">
        <v>-2.10491</v>
      </c>
      <c r="C291" s="1">
        <v>49.18804</v>
      </c>
      <c r="D291" s="1" t="s">
        <v>467</v>
      </c>
      <c r="E291" s="1" t="str">
        <f>IFERROR(__xludf.DUMMYFUNCTION("GOOGLETRANSLATE(A291,""en"",""ko"")"),"세인트 헬리어")</f>
        <v>세인트 헬리어</v>
      </c>
      <c r="F291" s="4" t="str">
        <f>IFERROR(__xludf.DUMMYFUNCTION("GOOGLETRANSLATE(D291,""en"",""ko"")"),"저지")</f>
        <v>저지</v>
      </c>
    </row>
    <row r="292" ht="15.75" customHeight="1">
      <c r="A292" s="1" t="s">
        <v>468</v>
      </c>
      <c r="B292" s="1">
        <v>-61.84329</v>
      </c>
      <c r="C292" s="1">
        <v>17.12096</v>
      </c>
      <c r="D292" s="1" t="s">
        <v>469</v>
      </c>
      <c r="E292" s="1" t="str">
        <f>IFERROR(__xludf.DUMMYFUNCTION("GOOGLETRANSLATE(A292,""en"",""ko"")"),"세인트 존스")</f>
        <v>세인트 존스</v>
      </c>
      <c r="F292" s="4" t="str">
        <f>IFERROR(__xludf.DUMMYFUNCTION("GOOGLETRANSLATE(D292,""en"",""ko"")"),"앤티가 바부다")</f>
        <v>앤티가 바부다</v>
      </c>
    </row>
    <row r="293" ht="15.75" customHeight="1">
      <c r="A293" s="1" t="s">
        <v>470</v>
      </c>
      <c r="B293" s="1">
        <v>-2.53527</v>
      </c>
      <c r="C293" s="1">
        <v>49.45981</v>
      </c>
      <c r="D293" s="1" t="s">
        <v>471</v>
      </c>
      <c r="E293" s="1" t="str">
        <f>IFERROR(__xludf.DUMMYFUNCTION("GOOGLETRANSLATE(A293,""en"",""ko"")"),"세인트 피터 포트")</f>
        <v>세인트 피터 포트</v>
      </c>
      <c r="F293" s="4" t="str">
        <f>IFERROR(__xludf.DUMMYFUNCTION("GOOGLETRANSLATE(D293,""en"",""ko"")"),"건지섬")</f>
        <v>건지섬</v>
      </c>
    </row>
    <row r="294" ht="15.75" customHeight="1">
      <c r="A294" s="1" t="s">
        <v>472</v>
      </c>
      <c r="B294" s="1">
        <v>30.31413</v>
      </c>
      <c r="C294" s="1">
        <v>59.93863</v>
      </c>
      <c r="D294" s="1" t="s">
        <v>365</v>
      </c>
      <c r="E294" s="1" t="str">
        <f>IFERROR(__xludf.DUMMYFUNCTION("GOOGLETRANSLATE(A294,""en"",""ko"")"),"상트페테르부르크")</f>
        <v>상트페테르부르크</v>
      </c>
      <c r="F294" s="4" t="str">
        <f>IFERROR(__xludf.DUMMYFUNCTION("GOOGLETRANSLATE(D294,""en"",""ko"")"),"러시아 제국")</f>
        <v>러시아 제국</v>
      </c>
    </row>
    <row r="295" ht="15.75" customHeight="1">
      <c r="A295" s="1" t="s">
        <v>473</v>
      </c>
      <c r="B295" s="1">
        <v>55.4504</v>
      </c>
      <c r="C295" s="1">
        <v>-20.88231</v>
      </c>
      <c r="D295" s="1" t="s">
        <v>474</v>
      </c>
      <c r="E295" s="1" t="str">
        <f>IFERROR(__xludf.DUMMYFUNCTION("GOOGLETRANSLATE(A295,""en"",""ko"")"),"생드니")</f>
        <v>생드니</v>
      </c>
      <c r="F295" s="4" t="str">
        <f>IFERROR(__xludf.DUMMYFUNCTION("GOOGLETRANSLATE(D295,""en"",""ko"")"),"재결합")</f>
        <v>재결합</v>
      </c>
    </row>
    <row r="296" ht="15.75" customHeight="1">
      <c r="A296" s="1" t="s">
        <v>475</v>
      </c>
      <c r="B296" s="1">
        <v>-56.1773</v>
      </c>
      <c r="C296" s="1">
        <v>46.77914</v>
      </c>
      <c r="D296" s="1" t="s">
        <v>474</v>
      </c>
      <c r="E296" s="1" t="str">
        <f>IFERROR(__xludf.DUMMYFUNCTION("GOOGLETRANSLATE(A296,""en"",""ko"")"),"생 피에르")</f>
        <v>생 피에르</v>
      </c>
      <c r="F296" s="4" t="str">
        <f>IFERROR(__xludf.DUMMYFUNCTION("GOOGLETRANSLATE(D296,""en"",""ko"")"),"재결합")</f>
        <v>재결합</v>
      </c>
    </row>
    <row r="297" ht="15.75" customHeight="1">
      <c r="A297" s="1" t="s">
        <v>476</v>
      </c>
      <c r="B297" s="1">
        <v>145.7545</v>
      </c>
      <c r="C297" s="1">
        <v>15.21233</v>
      </c>
      <c r="D297" s="1" t="s">
        <v>477</v>
      </c>
      <c r="E297" s="1" t="str">
        <f>IFERROR(__xludf.DUMMYFUNCTION("GOOGLETRANSLATE(A297,""en"",""ko"")"),"사이판")</f>
        <v>사이판</v>
      </c>
      <c r="F297" s="4" t="str">
        <f>IFERROR(__xludf.DUMMYFUNCTION("GOOGLETRANSLATE(D297,""en"",""ko"")"),"북마리아나 제도")</f>
        <v>북마리아나 제도</v>
      </c>
    </row>
    <row r="298" ht="15.75" customHeight="1">
      <c r="A298" s="1" t="s">
        <v>478</v>
      </c>
      <c r="B298" s="1">
        <v>-38.51083</v>
      </c>
      <c r="C298" s="1">
        <v>-12.97111</v>
      </c>
      <c r="D298" s="1" t="s">
        <v>86</v>
      </c>
      <c r="E298" s="1" t="str">
        <f>IFERROR(__xludf.DUMMYFUNCTION("GOOGLETRANSLATE(A298,""en"",""ko"")"),"살바도르")</f>
        <v>살바도르</v>
      </c>
      <c r="F298" s="4" t="str">
        <f>IFERROR(__xludf.DUMMYFUNCTION("GOOGLETRANSLATE(D298,""en"",""ko"")"),"브라질")</f>
        <v>브라질</v>
      </c>
    </row>
    <row r="299" ht="15.75" customHeight="1">
      <c r="A299" s="1" t="s">
        <v>479</v>
      </c>
      <c r="B299" s="1">
        <v>-98.49363</v>
      </c>
      <c r="C299" s="1">
        <v>29.42412</v>
      </c>
      <c r="D299" s="1" t="s">
        <v>31</v>
      </c>
      <c r="E299" s="1" t="str">
        <f>IFERROR(__xludf.DUMMYFUNCTION("GOOGLETRANSLATE(A299,""en"",""ko"")"),"샌안토니오")</f>
        <v>샌안토니오</v>
      </c>
      <c r="F299" s="4" t="str">
        <f>IFERROR(__xludf.DUMMYFUNCTION("GOOGLETRANSLATE(D299,""en"",""ko"")"),"미국")</f>
        <v>미국</v>
      </c>
    </row>
    <row r="300" ht="15.75" customHeight="1">
      <c r="A300" s="1" t="s">
        <v>480</v>
      </c>
      <c r="B300" s="1">
        <v>-117.16472</v>
      </c>
      <c r="C300" s="1">
        <v>32.71571</v>
      </c>
      <c r="D300" s="1" t="s">
        <v>31</v>
      </c>
      <c r="E300" s="1" t="str">
        <f>IFERROR(__xludf.DUMMYFUNCTION("GOOGLETRANSLATE(A300,""en"",""ko"")"),"샌디에이고")</f>
        <v>샌디에이고</v>
      </c>
      <c r="F300" s="4" t="str">
        <f>IFERROR(__xludf.DUMMYFUNCTION("GOOGLETRANSLATE(D300,""en"",""ko"")"),"미국")</f>
        <v>미국</v>
      </c>
    </row>
    <row r="301" ht="15.75" customHeight="1">
      <c r="A301" s="1" t="s">
        <v>481</v>
      </c>
      <c r="B301" s="1">
        <v>-122.41942</v>
      </c>
      <c r="C301" s="1">
        <v>37.77493</v>
      </c>
      <c r="D301" s="1" t="s">
        <v>31</v>
      </c>
      <c r="E301" s="1" t="str">
        <f>IFERROR(__xludf.DUMMYFUNCTION("GOOGLETRANSLATE(A301,""en"",""ko"")"),"샌프란시스코")</f>
        <v>샌프란시스코</v>
      </c>
      <c r="F301" s="4" t="str">
        <f>IFERROR(__xludf.DUMMYFUNCTION("GOOGLETRANSLATE(D301,""en"",""ko"")"),"미국")</f>
        <v>미국</v>
      </c>
    </row>
    <row r="302" ht="15.75" customHeight="1">
      <c r="A302" s="1" t="s">
        <v>482</v>
      </c>
      <c r="B302" s="1">
        <v>-84.08333</v>
      </c>
      <c r="C302" s="1">
        <v>9.93333</v>
      </c>
      <c r="D302" s="1" t="s">
        <v>31</v>
      </c>
      <c r="E302" s="1" t="str">
        <f>IFERROR(__xludf.DUMMYFUNCTION("GOOGLETRANSLATE(A302,""en"",""ko"")"),"산호세")</f>
        <v>산호세</v>
      </c>
      <c r="F302" s="4" t="str">
        <f>IFERROR(__xludf.DUMMYFUNCTION("GOOGLETRANSLATE(D302,""en"",""ko"")"),"미국")</f>
        <v>미국</v>
      </c>
    </row>
    <row r="303" ht="15.75" customHeight="1">
      <c r="A303" s="1" t="s">
        <v>483</v>
      </c>
      <c r="B303" s="1">
        <v>-66.10572</v>
      </c>
      <c r="C303" s="1">
        <v>18.46633</v>
      </c>
      <c r="D303" s="1" t="s">
        <v>118</v>
      </c>
      <c r="E303" s="1" t="str">
        <f>IFERROR(__xludf.DUMMYFUNCTION("GOOGLETRANSLATE(A303,""en"",""ko"")"),"산후안")</f>
        <v>산후안</v>
      </c>
      <c r="F303" s="4" t="str">
        <f>IFERROR(__xludf.DUMMYFUNCTION("GOOGLETRANSLATE(D303,""en"",""ko"")"),"아르헨티나")</f>
        <v>아르헨티나</v>
      </c>
    </row>
    <row r="304" ht="15.75" customHeight="1">
      <c r="A304" s="1" t="s">
        <v>484</v>
      </c>
      <c r="B304" s="1">
        <v>12.44639</v>
      </c>
      <c r="C304" s="1">
        <v>43.93667</v>
      </c>
      <c r="D304" s="1" t="s">
        <v>31</v>
      </c>
      <c r="E304" s="1" t="str">
        <f>IFERROR(__xludf.DUMMYFUNCTION("GOOGLETRANSLATE(A304,""en"",""ko"")"),"산마리노")</f>
        <v>산마리노</v>
      </c>
      <c r="F304" s="4" t="str">
        <f>IFERROR(__xludf.DUMMYFUNCTION("GOOGLETRANSLATE(D304,""en"",""ko"")"),"미국")</f>
        <v>미국</v>
      </c>
    </row>
    <row r="305" ht="15.75" customHeight="1">
      <c r="A305" s="1" t="s">
        <v>485</v>
      </c>
      <c r="B305" s="1">
        <v>-89.18718</v>
      </c>
      <c r="C305" s="1">
        <v>13.68935</v>
      </c>
      <c r="D305" s="1" t="s">
        <v>486</v>
      </c>
      <c r="E305" s="1" t="str">
        <f>IFERROR(__xludf.DUMMYFUNCTION("GOOGLETRANSLATE(A305,""en"",""ko"")"),"산살바도르")</f>
        <v>산살바도르</v>
      </c>
      <c r="F305" s="4" t="str">
        <f>IFERROR(__xludf.DUMMYFUNCTION("GOOGLETRANSLATE(D305,""en"",""ko"")"),"엘살바도르")</f>
        <v>엘살바도르</v>
      </c>
    </row>
    <row r="306" ht="15.75" customHeight="1">
      <c r="A306" s="1" t="s">
        <v>487</v>
      </c>
      <c r="B306" s="1">
        <v>44.20667</v>
      </c>
      <c r="C306" s="1">
        <v>15.35472</v>
      </c>
      <c r="D306" s="1" t="s">
        <v>488</v>
      </c>
      <c r="E306" s="1" t="str">
        <f>IFERROR(__xludf.DUMMYFUNCTION("GOOGLETRANSLATE(A306,""en"",""ko"")"),"사나")</f>
        <v>사나</v>
      </c>
      <c r="F306" s="4" t="str">
        <f>IFERROR(__xludf.DUMMYFUNCTION("GOOGLETRANSLATE(D306,""en"",""ko"")"),"예멘 아랍 공화국")</f>
        <v>예멘 아랍 공화국</v>
      </c>
    </row>
    <row r="307" ht="15.75" customHeight="1">
      <c r="A307" s="1" t="s">
        <v>489</v>
      </c>
      <c r="B307" s="1">
        <v>-63.18117</v>
      </c>
      <c r="C307" s="1">
        <v>-17.78629</v>
      </c>
      <c r="D307" s="1" t="s">
        <v>289</v>
      </c>
      <c r="E307" s="1" t="str">
        <f>IFERROR(__xludf.DUMMYFUNCTION("GOOGLETRANSLATE(A307,""en"",""ko"")"),"산타 크루즈 데 라 시에라")</f>
        <v>산타 크루즈 데 라 시에라</v>
      </c>
      <c r="F307" s="4" t="str">
        <f>IFERROR(__xludf.DUMMYFUNCTION("GOOGLETRANSLATE(D307,""en"",""ko"")"),"볼리비아")</f>
        <v>볼리비아</v>
      </c>
    </row>
    <row r="308" ht="15.75" customHeight="1">
      <c r="A308" s="1" t="s">
        <v>490</v>
      </c>
      <c r="B308" s="1">
        <v>-70.64827</v>
      </c>
      <c r="C308" s="1">
        <v>-33.45694</v>
      </c>
      <c r="D308" s="1" t="s">
        <v>491</v>
      </c>
      <c r="E308" s="1" t="str">
        <f>IFERROR(__xludf.DUMMYFUNCTION("GOOGLETRANSLATE(A308,""en"",""ko"")"),"산티아고")</f>
        <v>산티아고</v>
      </c>
      <c r="F308" s="4" t="str">
        <f>IFERROR(__xludf.DUMMYFUNCTION("GOOGLETRANSLATE(D308,""en"",""ko"")"),"칠레")</f>
        <v>칠레</v>
      </c>
    </row>
    <row r="309" ht="15.75" customHeight="1">
      <c r="A309" s="1" t="s">
        <v>492</v>
      </c>
      <c r="B309" s="1">
        <v>-69.89232</v>
      </c>
      <c r="C309" s="1">
        <v>18.47186</v>
      </c>
      <c r="D309" s="1" t="s">
        <v>493</v>
      </c>
      <c r="E309" s="1" t="str">
        <f>IFERROR(__xludf.DUMMYFUNCTION("GOOGLETRANSLATE(A309,""en"",""ko"")"),"산토도밍고")</f>
        <v>산토도밍고</v>
      </c>
      <c r="F309" s="4" t="str">
        <f>IFERROR(__xludf.DUMMYFUNCTION("GOOGLETRANSLATE(D309,""en"",""ko"")"),"도미니카 공화국")</f>
        <v>도미니카 공화국</v>
      </c>
    </row>
    <row r="310" ht="15.75" customHeight="1">
      <c r="A310" s="1" t="s">
        <v>494</v>
      </c>
      <c r="B310" s="1">
        <v>-46.63611</v>
      </c>
      <c r="C310" s="1">
        <v>-23.5475</v>
      </c>
      <c r="D310" s="1" t="s">
        <v>86</v>
      </c>
      <c r="E310" s="1" t="str">
        <f>IFERROR(__xludf.DUMMYFUNCTION("GOOGLETRANSLATE(A310,""en"",""ko"")"),"상파울루")</f>
        <v>상파울루</v>
      </c>
      <c r="F310" s="4" t="str">
        <f>IFERROR(__xludf.DUMMYFUNCTION("GOOGLETRANSLATE(D310,""en"",""ko"")"),"브라질")</f>
        <v>브라질</v>
      </c>
    </row>
    <row r="311" ht="15.75" customHeight="1">
      <c r="A311" s="1" t="s">
        <v>495</v>
      </c>
      <c r="B311" s="1">
        <v>6.72732</v>
      </c>
      <c r="C311" s="1">
        <v>0.33654</v>
      </c>
      <c r="D311" s="1" t="s">
        <v>496</v>
      </c>
      <c r="E311" s="1" t="str">
        <f>IFERROR(__xludf.DUMMYFUNCTION("GOOGLETRANSLATE(A311,""en"",""ko"")"),"상투메")</f>
        <v>상투메</v>
      </c>
      <c r="F311" s="4" t="str">
        <f>IFERROR(__xludf.DUMMYFUNCTION("GOOGLETRANSLATE(D311,""en"",""ko"")"),"상투메 프린시페")</f>
        <v>상투메 프린시페</v>
      </c>
    </row>
    <row r="312" ht="15.75" customHeight="1">
      <c r="A312" s="1" t="s">
        <v>497</v>
      </c>
      <c r="B312" s="1">
        <v>141.35</v>
      </c>
      <c r="C312" s="1">
        <v>43.06667</v>
      </c>
      <c r="D312" s="1" t="s">
        <v>195</v>
      </c>
      <c r="E312" s="1" t="str">
        <f>IFERROR(__xludf.DUMMYFUNCTION("GOOGLETRANSLATE(A312,""en"",""ko"")"),"삿포로")</f>
        <v>삿포로</v>
      </c>
      <c r="F312" s="4" t="str">
        <f>IFERROR(__xludf.DUMMYFUNCTION("GOOGLETRANSLATE(D312,""en"",""ko"")"),"일본")</f>
        <v>일본</v>
      </c>
    </row>
    <row r="313" ht="15.75" customHeight="1">
      <c r="A313" s="1" t="s">
        <v>498</v>
      </c>
      <c r="B313" s="1">
        <v>18.35644</v>
      </c>
      <c r="C313" s="1">
        <v>43.84864</v>
      </c>
      <c r="D313" s="1" t="s">
        <v>499</v>
      </c>
      <c r="E313" s="1" t="str">
        <f>IFERROR(__xludf.DUMMYFUNCTION("GOOGLETRANSLATE(A313,""en"",""ko"")"),"사라예보")</f>
        <v>사라예보</v>
      </c>
      <c r="F313" s="4" t="str">
        <f>IFERROR(__xludf.DUMMYFUNCTION("GOOGLETRANSLATE(D313,""en"",""ko"")"),"보스니아 헤르체고비나")</f>
        <v>보스니아 헤르체고비나</v>
      </c>
    </row>
    <row r="314" ht="15.75" customHeight="1">
      <c r="A314" s="1" t="s">
        <v>500</v>
      </c>
      <c r="B314" s="1">
        <v>-122.33207</v>
      </c>
      <c r="C314" s="1">
        <v>47.60621</v>
      </c>
      <c r="D314" s="1" t="s">
        <v>31</v>
      </c>
      <c r="E314" s="1" t="str">
        <f>IFERROR(__xludf.DUMMYFUNCTION("GOOGLETRANSLATE(A314,""en"",""ko"")"),"시애틀")</f>
        <v>시애틀</v>
      </c>
      <c r="F314" s="4" t="str">
        <f>IFERROR(__xludf.DUMMYFUNCTION("GOOGLETRANSLATE(D314,""en"",""ko"")"),"미국")</f>
        <v>미국</v>
      </c>
    </row>
    <row r="315" ht="15.75" customHeight="1">
      <c r="A315" s="1" t="s">
        <v>501</v>
      </c>
      <c r="B315" s="1">
        <v>110.42083</v>
      </c>
      <c r="C315" s="1">
        <v>-6.99306</v>
      </c>
      <c r="D315" s="1" t="s">
        <v>61</v>
      </c>
      <c r="E315" s="1" t="str">
        <f>IFERROR(__xludf.DUMMYFUNCTION("GOOGLETRANSLATE(A315,""en"",""ko"")"),"세마랑")</f>
        <v>세마랑</v>
      </c>
      <c r="F315" s="4" t="str">
        <f>IFERROR(__xludf.DUMMYFUNCTION("GOOGLETRANSLATE(D315,""en"",""ko"")"),"인도네시아 공화국")</f>
        <v>인도네시아 공화국</v>
      </c>
    </row>
    <row r="316" ht="15.75" customHeight="1">
      <c r="A316" s="1" t="s">
        <v>502</v>
      </c>
      <c r="B316" s="1">
        <v>126.9784</v>
      </c>
      <c r="C316" s="1">
        <v>37.566</v>
      </c>
      <c r="D316" s="1" t="s">
        <v>123</v>
      </c>
      <c r="E316" s="1" t="str">
        <f>IFERROR(__xludf.DUMMYFUNCTION("GOOGLETRANSLATE(A316,""en"",""ko"")"),"서울")</f>
        <v>서울</v>
      </c>
      <c r="F316" s="4" t="str">
        <f>IFERROR(__xludf.DUMMYFUNCTION("GOOGLETRANSLATE(D316,""en"",""ko"")"),"대한민국")</f>
        <v>대한민국</v>
      </c>
    </row>
    <row r="317" ht="15.75" customHeight="1">
      <c r="A317" s="1" t="s">
        <v>503</v>
      </c>
      <c r="B317" s="1">
        <v>121.45806</v>
      </c>
      <c r="C317" s="1">
        <v>31.22222</v>
      </c>
      <c r="D317" s="1" t="s">
        <v>81</v>
      </c>
      <c r="E317" s="1" t="str">
        <f>IFERROR(__xludf.DUMMYFUNCTION("GOOGLETRANSLATE(A317,""en"",""ko"")"),"상하이")</f>
        <v>상하이</v>
      </c>
      <c r="F317" s="4" t="str">
        <f>IFERROR(__xludf.DUMMYFUNCTION("GOOGLETRANSLATE(D317,""en"",""ko"")"),"중국")</f>
        <v>중국</v>
      </c>
    </row>
    <row r="318" ht="15.75" customHeight="1">
      <c r="A318" s="1" t="s">
        <v>504</v>
      </c>
      <c r="B318" s="1">
        <v>55.41206</v>
      </c>
      <c r="C318" s="1">
        <v>25.33737</v>
      </c>
      <c r="D318" s="1" t="s">
        <v>9</v>
      </c>
      <c r="E318" s="1" t="str">
        <f>IFERROR(__xludf.DUMMYFUNCTION("GOOGLETRANSLATE(A318,""en"",""ko"")"),"샤르자")</f>
        <v>샤르자</v>
      </c>
      <c r="F318" s="4" t="str">
        <f>IFERROR(__xludf.DUMMYFUNCTION("GOOGLETRANSLATE(D318,""en"",""ko"")"),"아랍에미리트")</f>
        <v>아랍에미리트</v>
      </c>
    </row>
    <row r="319" ht="15.75" customHeight="1">
      <c r="A319" s="1" t="s">
        <v>505</v>
      </c>
      <c r="B319" s="1">
        <v>114.0683</v>
      </c>
      <c r="C319" s="1">
        <v>22.54554</v>
      </c>
      <c r="D319" s="1" t="s">
        <v>81</v>
      </c>
      <c r="E319" s="1" t="str">
        <f>IFERROR(__xludf.DUMMYFUNCTION("GOOGLETRANSLATE(A319,""en"",""ko"")"),"선전")</f>
        <v>선전</v>
      </c>
      <c r="F319" s="4" t="str">
        <f>IFERROR(__xludf.DUMMYFUNCTION("GOOGLETRANSLATE(D319,""en"",""ko"")"),"중국")</f>
        <v>중국</v>
      </c>
    </row>
    <row r="320" ht="15.75" customHeight="1">
      <c r="A320" s="1" t="s">
        <v>506</v>
      </c>
      <c r="B320" s="1">
        <v>103.85007</v>
      </c>
      <c r="C320" s="1">
        <v>1.28967</v>
      </c>
      <c r="D320" s="1" t="s">
        <v>506</v>
      </c>
      <c r="E320" s="1" t="str">
        <f>IFERROR(__xludf.DUMMYFUNCTION("GOOGLETRANSLATE(A320,""en"",""ko"")"),"싱가포르")</f>
        <v>싱가포르</v>
      </c>
      <c r="F320" s="4" t="str">
        <f>IFERROR(__xludf.DUMMYFUNCTION("GOOGLETRANSLATE(D320,""en"",""ko"")"),"싱가포르")</f>
        <v>싱가포르</v>
      </c>
    </row>
    <row r="321" ht="15.75" customHeight="1">
      <c r="A321" s="1" t="s">
        <v>507</v>
      </c>
      <c r="B321" s="1">
        <v>21.43141</v>
      </c>
      <c r="C321" s="1">
        <v>41.99646</v>
      </c>
      <c r="D321" s="1" t="s">
        <v>508</v>
      </c>
      <c r="E321" s="1" t="str">
        <f>IFERROR(__xludf.DUMMYFUNCTION("GOOGLETRANSLATE(A321,""en"",""ko"")"),"스코페")</f>
        <v>스코페</v>
      </c>
      <c r="F321" s="4" t="str">
        <f>IFERROR(__xludf.DUMMYFUNCTION("GOOGLETRANSLATE(D321,""en"",""ko"")"),"북마케도니아")</f>
        <v>북마케도니아</v>
      </c>
    </row>
    <row r="322" ht="15.75" customHeight="1">
      <c r="A322" s="1" t="s">
        <v>509</v>
      </c>
      <c r="B322" s="1">
        <v>23.32415</v>
      </c>
      <c r="C322" s="1">
        <v>42.69751</v>
      </c>
      <c r="D322" s="1" t="s">
        <v>510</v>
      </c>
      <c r="E322" s="1" t="str">
        <f>IFERROR(__xludf.DUMMYFUNCTION("GOOGLETRANSLATE(A322,""en"",""ko"")"),"소피아")</f>
        <v>소피아</v>
      </c>
      <c r="F322" s="4" t="str">
        <f>IFERROR(__xludf.DUMMYFUNCTION("GOOGLETRANSLATE(D322,""en"",""ko"")"),"불가리아")</f>
        <v>불가리아</v>
      </c>
    </row>
    <row r="323" ht="15.75" customHeight="1">
      <c r="A323" s="1" t="s">
        <v>511</v>
      </c>
      <c r="B323" s="1">
        <v>106.71789</v>
      </c>
      <c r="C323" s="1">
        <v>-6.28862</v>
      </c>
      <c r="D323" s="1" t="s">
        <v>61</v>
      </c>
      <c r="E323" s="1" t="str">
        <f>IFERROR(__xludf.DUMMYFUNCTION("GOOGLETRANSLATE(A323,""en"",""ko"")"),"사우스 탕게랑")</f>
        <v>사우스 탕게랑</v>
      </c>
      <c r="F323" s="4" t="str">
        <f>IFERROR(__xludf.DUMMYFUNCTION("GOOGLETRANSLATE(D323,""en"",""ko"")"),"인도네시아 공화국")</f>
        <v>인도네시아 공화국</v>
      </c>
    </row>
    <row r="324" ht="15.75" customHeight="1">
      <c r="A324" s="1" t="s">
        <v>512</v>
      </c>
      <c r="B324" s="1">
        <v>27.85849</v>
      </c>
      <c r="C324" s="1">
        <v>-26.26781</v>
      </c>
      <c r="D324" s="1" t="s">
        <v>132</v>
      </c>
      <c r="E324" s="1" t="str">
        <f>IFERROR(__xludf.DUMMYFUNCTION("GOOGLETRANSLATE(A324,""en"",""ko"")"),"소웨토")</f>
        <v>소웨토</v>
      </c>
      <c r="F324" s="4" t="str">
        <f>IFERROR(__xludf.DUMMYFUNCTION("GOOGLETRANSLATE(D324,""en"",""ko"")"),"남아프리카 공화국")</f>
        <v>남아프리카 공화국</v>
      </c>
    </row>
    <row r="325" ht="15.75" customHeight="1">
      <c r="A325" s="1" t="s">
        <v>513</v>
      </c>
      <c r="B325" s="1">
        <v>18.06871</v>
      </c>
      <c r="C325" s="1">
        <v>59.32938</v>
      </c>
      <c r="D325" s="1" t="s">
        <v>514</v>
      </c>
      <c r="E325" s="1" t="str">
        <f>IFERROR(__xludf.DUMMYFUNCTION("GOOGLETRANSLATE(A325,""en"",""ko"")"),"스톡홀름")</f>
        <v>스톡홀름</v>
      </c>
      <c r="F325" s="4" t="str">
        <f>IFERROR(__xludf.DUMMYFUNCTION("GOOGLETRANSLATE(D325,""en"",""ko"")"),"스웨덴")</f>
        <v>스웨덴</v>
      </c>
    </row>
    <row r="326" ht="15.75" customHeight="1">
      <c r="A326" s="1" t="s">
        <v>515</v>
      </c>
      <c r="B326" s="1">
        <v>-65.26274</v>
      </c>
      <c r="C326" s="1">
        <v>-19.03332</v>
      </c>
      <c r="D326" s="1" t="s">
        <v>289</v>
      </c>
      <c r="E326" s="1" t="str">
        <f>IFERROR(__xludf.DUMMYFUNCTION("GOOGLETRANSLATE(A326,""en"",""ko"")"),"수크레")</f>
        <v>수크레</v>
      </c>
      <c r="F326" s="4" t="str">
        <f>IFERROR(__xludf.DUMMYFUNCTION("GOOGLETRANSLATE(D326,""en"",""ko"")"),"볼리비아")</f>
        <v>볼리비아</v>
      </c>
    </row>
    <row r="327" ht="15.75" customHeight="1">
      <c r="A327" s="1" t="s">
        <v>516</v>
      </c>
      <c r="B327" s="1">
        <v>112.75083</v>
      </c>
      <c r="C327" s="1">
        <v>-7.24917</v>
      </c>
      <c r="D327" s="1" t="s">
        <v>61</v>
      </c>
      <c r="E327" s="1" t="str">
        <f>IFERROR(__xludf.DUMMYFUNCTION("GOOGLETRANSLATE(A327,""en"",""ko"")"),"수라바야")</f>
        <v>수라바야</v>
      </c>
      <c r="F327" s="4" t="str">
        <f>IFERROR(__xludf.DUMMYFUNCTION("GOOGLETRANSLATE(D327,""en"",""ko"")"),"인도네시아 공화국")</f>
        <v>인도네시아 공화국</v>
      </c>
    </row>
    <row r="328" ht="15.75" customHeight="1">
      <c r="A328" s="1" t="s">
        <v>517</v>
      </c>
      <c r="B328" s="1">
        <v>72.83023</v>
      </c>
      <c r="C328" s="1">
        <v>21.19594</v>
      </c>
      <c r="D328" s="1" t="s">
        <v>17</v>
      </c>
      <c r="E328" s="1" t="str">
        <f>IFERROR(__xludf.DUMMYFUNCTION("GOOGLETRANSLATE(A328,""en"",""ko"")"),"수라트")</f>
        <v>수라트</v>
      </c>
      <c r="F328" s="4" t="str">
        <f>IFERROR(__xludf.DUMMYFUNCTION("GOOGLETRANSLATE(D328,""en"",""ko"")"),"인도")</f>
        <v>인도</v>
      </c>
    </row>
    <row r="329" ht="15.75" customHeight="1">
      <c r="A329" s="1" t="s">
        <v>518</v>
      </c>
      <c r="B329" s="1">
        <v>178.44149</v>
      </c>
      <c r="C329" s="1">
        <v>-18.14161</v>
      </c>
      <c r="D329" s="1" t="s">
        <v>519</v>
      </c>
      <c r="E329" s="1" t="str">
        <f>IFERROR(__xludf.DUMMYFUNCTION("GOOGLETRANSLATE(A329,""en"",""ko"")"),"수바")</f>
        <v>수바</v>
      </c>
      <c r="F329" s="4" t="str">
        <f>IFERROR(__xludf.DUMMYFUNCTION("GOOGLETRANSLATE(D329,""en"",""ko"")"),"피지")</f>
        <v>피지</v>
      </c>
    </row>
    <row r="330" ht="15.75" customHeight="1">
      <c r="A330" s="1" t="s">
        <v>520</v>
      </c>
      <c r="B330" s="1">
        <v>151.20732</v>
      </c>
      <c r="C330" s="1">
        <v>-33.86785</v>
      </c>
      <c r="D330" s="1" t="s">
        <v>110</v>
      </c>
      <c r="E330" s="1" t="str">
        <f>IFERROR(__xludf.DUMMYFUNCTION("GOOGLETRANSLATE(A330,""en"",""ko"")"),"시드니")</f>
        <v>시드니</v>
      </c>
      <c r="F330" s="4" t="str">
        <f>IFERROR(__xludf.DUMMYFUNCTION("GOOGLETRANSLATE(D330,""en"",""ko"")"),"호주")</f>
        <v>호주</v>
      </c>
    </row>
    <row r="331" ht="15.75" customHeight="1">
      <c r="A331" s="1" t="s">
        <v>521</v>
      </c>
      <c r="B331" s="1">
        <v>46.2919</v>
      </c>
      <c r="C331" s="1">
        <v>38.08</v>
      </c>
      <c r="D331" s="1" t="s">
        <v>237</v>
      </c>
      <c r="E331" s="1" t="str">
        <f>IFERROR(__xludf.DUMMYFUNCTION("GOOGLETRANSLATE(A331,""en"",""ko"")"),"타브리즈")</f>
        <v>타브리즈</v>
      </c>
      <c r="F331" s="4" t="str">
        <f>IFERROR(__xludf.DUMMYFUNCTION("GOOGLETRANSLATE(D331,""en"",""ko"")"),"이란")</f>
        <v>이란</v>
      </c>
    </row>
    <row r="332" ht="15.75" customHeight="1">
      <c r="A332" s="1" t="s">
        <v>522</v>
      </c>
      <c r="B332" s="1">
        <v>121.53185</v>
      </c>
      <c r="C332" s="1">
        <v>25.04776</v>
      </c>
      <c r="D332" s="1" t="s">
        <v>259</v>
      </c>
      <c r="E332" s="1" t="str">
        <f>IFERROR(__xludf.DUMMYFUNCTION("GOOGLETRANSLATE(A332,""en"",""ko"")"),"타이베이")</f>
        <v>타이베이</v>
      </c>
      <c r="F332" s="4" t="str">
        <f>IFERROR(__xludf.DUMMYFUNCTION("GOOGLETRANSLATE(D332,""en"",""ko"")"),"대만")</f>
        <v>대만</v>
      </c>
    </row>
    <row r="333" ht="15.75" customHeight="1">
      <c r="A333" s="1" t="s">
        <v>523</v>
      </c>
      <c r="B333" s="1">
        <v>24.75353</v>
      </c>
      <c r="C333" s="1">
        <v>59.43696</v>
      </c>
      <c r="D333" s="1" t="s">
        <v>524</v>
      </c>
      <c r="E333" s="1" t="str">
        <f>IFERROR(__xludf.DUMMYFUNCTION("GOOGLETRANSLATE(A333,""en"",""ko"")"),"탈린")</f>
        <v>탈린</v>
      </c>
      <c r="F333" s="4" t="str">
        <f>IFERROR(__xludf.DUMMYFUNCTION("GOOGLETRANSLATE(D333,""en"",""ko"")"),"에스토니아")</f>
        <v>에스토니아</v>
      </c>
    </row>
    <row r="334" ht="15.75" customHeight="1">
      <c r="A334" s="1" t="s">
        <v>525</v>
      </c>
      <c r="B334" s="1">
        <v>106.63</v>
      </c>
      <c r="C334" s="1">
        <v>-6.17806</v>
      </c>
      <c r="D334" s="1" t="s">
        <v>61</v>
      </c>
      <c r="E334" s="1" t="str">
        <f>IFERROR(__xludf.DUMMYFUNCTION("GOOGLETRANSLATE(A334,""en"",""ko"")"),"탕게랑")</f>
        <v>탕게랑</v>
      </c>
      <c r="F334" s="4" t="str">
        <f>IFERROR(__xludf.DUMMYFUNCTION("GOOGLETRANSLATE(D334,""en"",""ko"")"),"인도네시아 공화국")</f>
        <v>인도네시아 공화국</v>
      </c>
    </row>
    <row r="335" ht="15.75" customHeight="1">
      <c r="A335" s="1" t="s">
        <v>526</v>
      </c>
      <c r="B335" s="1">
        <v>172.97696</v>
      </c>
      <c r="C335" s="1">
        <v>1.3278</v>
      </c>
      <c r="D335" s="1" t="s">
        <v>527</v>
      </c>
      <c r="E335" s="1" t="str">
        <f>IFERROR(__xludf.DUMMYFUNCTION("GOOGLETRANSLATE(A335,""en"",""ko"")"),"타라와")</f>
        <v>타라와</v>
      </c>
      <c r="F335" s="4" t="str">
        <f>IFERROR(__xludf.DUMMYFUNCTION("GOOGLETRANSLATE(D335,""en"",""ko"")"),"키리바시")</f>
        <v>키리바시</v>
      </c>
    </row>
    <row r="336" ht="15.75" customHeight="1">
      <c r="A336" s="1" t="s">
        <v>528</v>
      </c>
      <c r="B336" s="1">
        <v>69.21627</v>
      </c>
      <c r="C336" s="1">
        <v>41.26465</v>
      </c>
      <c r="D336" s="1" t="s">
        <v>529</v>
      </c>
      <c r="E336" s="1" t="str">
        <f>IFERROR(__xludf.DUMMYFUNCTION("GOOGLETRANSLATE(A336,""en"",""ko"")"),"타슈켄트")</f>
        <v>타슈켄트</v>
      </c>
      <c r="F336" s="4" t="str">
        <f>IFERROR(__xludf.DUMMYFUNCTION("GOOGLETRANSLATE(D336,""en"",""ko"")"),"우즈베키스탄")</f>
        <v>우즈베키스탄</v>
      </c>
    </row>
    <row r="337" ht="15.75" customHeight="1">
      <c r="A337" s="1" t="s">
        <v>530</v>
      </c>
      <c r="B337" s="1">
        <v>44.83368</v>
      </c>
      <c r="C337" s="1">
        <v>41.69411</v>
      </c>
      <c r="D337" s="1" t="s">
        <v>531</v>
      </c>
      <c r="E337" s="1" t="str">
        <f>IFERROR(__xludf.DUMMYFUNCTION("GOOGLETRANSLATE(A337,""en"",""ko"")"),"트빌리시")</f>
        <v>트빌리시</v>
      </c>
      <c r="F337" s="4" t="str">
        <f>IFERROR(__xludf.DUMMYFUNCTION("GOOGLETRANSLATE(D337,""en"",""ko"")"),"그루지야")</f>
        <v>그루지야</v>
      </c>
    </row>
    <row r="338" ht="15.75" customHeight="1">
      <c r="A338" s="1" t="s">
        <v>532</v>
      </c>
      <c r="B338" s="1">
        <v>-87.20681</v>
      </c>
      <c r="C338" s="1">
        <v>14.0818</v>
      </c>
      <c r="D338" s="1" t="s">
        <v>533</v>
      </c>
      <c r="E338" s="1" t="str">
        <f>IFERROR(__xludf.DUMMYFUNCTION("GOOGLETRANSLATE(A338,""en"",""ko"")"),"테구시갈파")</f>
        <v>테구시갈파</v>
      </c>
      <c r="F338" s="4" t="str">
        <f>IFERROR(__xludf.DUMMYFUNCTION("GOOGLETRANSLATE(D338,""en"",""ko"")"),"온두라스")</f>
        <v>온두라스</v>
      </c>
    </row>
    <row r="339" ht="15.75" customHeight="1">
      <c r="A339" s="1" t="s">
        <v>534</v>
      </c>
      <c r="B339" s="1">
        <v>51.42151</v>
      </c>
      <c r="C339" s="1">
        <v>35.69439</v>
      </c>
      <c r="D339" s="1" t="s">
        <v>237</v>
      </c>
      <c r="E339" s="1" t="str">
        <f>IFERROR(__xludf.DUMMYFUNCTION("GOOGLETRANSLATE(A339,""en"",""ko"")"),"테헤란")</f>
        <v>테헤란</v>
      </c>
      <c r="F339" s="4" t="str">
        <f>IFERROR(__xludf.DUMMYFUNCTION("GOOGLETRANSLATE(D339,""en"",""ko"")"),"이란")</f>
        <v>이란</v>
      </c>
    </row>
    <row r="340" ht="15.75" customHeight="1">
      <c r="A340" s="1" t="s">
        <v>535</v>
      </c>
      <c r="B340" s="1">
        <v>34.78057</v>
      </c>
      <c r="C340" s="1">
        <v>32.08088</v>
      </c>
      <c r="D340" s="1" t="s">
        <v>246</v>
      </c>
      <c r="E340" s="1" t="str">
        <f>IFERROR(__xludf.DUMMYFUNCTION("GOOGLETRANSLATE(A340,""en"",""ko"")"),"텔아비브")</f>
        <v>텔아비브</v>
      </c>
      <c r="F340" s="4" t="str">
        <f>IFERROR(__xludf.DUMMYFUNCTION("GOOGLETRANSLATE(D340,""en"",""ko"")"),"이스라엘")</f>
        <v>이스라엘</v>
      </c>
    </row>
    <row r="341" ht="15.75" customHeight="1">
      <c r="A341" s="1" t="s">
        <v>536</v>
      </c>
      <c r="B341" s="1">
        <v>89.64191</v>
      </c>
      <c r="C341" s="1">
        <v>27.46609</v>
      </c>
      <c r="D341" s="1" t="s">
        <v>537</v>
      </c>
      <c r="E341" s="1" t="str">
        <f>IFERROR(__xludf.DUMMYFUNCTION("GOOGLETRANSLATE(A341,""en"",""ko"")"),"팀부")</f>
        <v>팀부</v>
      </c>
      <c r="F341" s="4" t="str">
        <f>IFERROR(__xludf.DUMMYFUNCTION("GOOGLETRANSLATE(D341,""en"",""ko"")"),"부탄")</f>
        <v>부탄</v>
      </c>
    </row>
    <row r="342" ht="15.75" customHeight="1">
      <c r="A342" s="1" t="s">
        <v>538</v>
      </c>
      <c r="B342" s="1">
        <v>117.17667</v>
      </c>
      <c r="C342" s="1">
        <v>39.14222</v>
      </c>
      <c r="D342" s="1" t="s">
        <v>81</v>
      </c>
      <c r="E342" s="1" t="str">
        <f>IFERROR(__xludf.DUMMYFUNCTION("GOOGLETRANSLATE(A342,""en"",""ko"")"),"천진")</f>
        <v>천진</v>
      </c>
      <c r="F342" s="4" t="str">
        <f>IFERROR(__xludf.DUMMYFUNCTION("GOOGLETRANSLATE(D342,""en"",""ko"")"),"중국")</f>
        <v>중국</v>
      </c>
    </row>
    <row r="343" ht="15.75" customHeight="1">
      <c r="A343" s="1" t="s">
        <v>539</v>
      </c>
      <c r="B343" s="1">
        <v>-117.00371</v>
      </c>
      <c r="C343" s="1">
        <v>32.5027</v>
      </c>
      <c r="D343" s="1" t="s">
        <v>208</v>
      </c>
      <c r="E343" s="1" t="str">
        <f>IFERROR(__xludf.DUMMYFUNCTION("GOOGLETRANSLATE(A343,""en"",""ko"")"),"티후아나")</f>
        <v>티후아나</v>
      </c>
      <c r="F343" s="4" t="str">
        <f>IFERROR(__xludf.DUMMYFUNCTION("GOOGLETRANSLATE(D343,""en"",""ko"")"),"멕시코")</f>
        <v>멕시코</v>
      </c>
    </row>
    <row r="344" ht="15.75" customHeight="1">
      <c r="A344" s="1" t="s">
        <v>540</v>
      </c>
      <c r="B344" s="1">
        <v>19.81889</v>
      </c>
      <c r="C344" s="1">
        <v>41.3275</v>
      </c>
      <c r="D344" s="1" t="s">
        <v>541</v>
      </c>
      <c r="E344" s="1" t="str">
        <f>IFERROR(__xludf.DUMMYFUNCTION("GOOGLETRANSLATE(A344,""en"",""ko"")"),"티라나")</f>
        <v>티라나</v>
      </c>
      <c r="F344" s="4" t="str">
        <f>IFERROR(__xludf.DUMMYFUNCTION("GOOGLETRANSLATE(D344,""en"",""ko"")"),"알바니아")</f>
        <v>알바니아</v>
      </c>
    </row>
    <row r="345" ht="15.75" customHeight="1">
      <c r="A345" s="1" t="s">
        <v>542</v>
      </c>
      <c r="B345" s="1">
        <v>139.69171</v>
      </c>
      <c r="C345" s="1">
        <v>35.6895</v>
      </c>
      <c r="D345" s="1" t="s">
        <v>195</v>
      </c>
      <c r="E345" s="1" t="str">
        <f>IFERROR(__xludf.DUMMYFUNCTION("GOOGLETRANSLATE(A345,""en"",""ko"")"),"도쿄")</f>
        <v>도쿄</v>
      </c>
      <c r="F345" s="4" t="str">
        <f>IFERROR(__xludf.DUMMYFUNCTION("GOOGLETRANSLATE(D345,""en"",""ko"")"),"일본")</f>
        <v>일본</v>
      </c>
    </row>
    <row r="346" ht="15.75" customHeight="1">
      <c r="A346" s="1" t="s">
        <v>543</v>
      </c>
      <c r="B346" s="1">
        <v>-79.4163</v>
      </c>
      <c r="C346" s="1">
        <v>43.70011</v>
      </c>
      <c r="D346" s="1" t="s">
        <v>361</v>
      </c>
      <c r="E346" s="1" t="str">
        <f>IFERROR(__xludf.DUMMYFUNCTION("GOOGLETRANSLATE(A346,""en"",""ko"")"),"토론토")</f>
        <v>토론토</v>
      </c>
      <c r="F346" s="4" t="str">
        <f>IFERROR(__xludf.DUMMYFUNCTION("GOOGLETRANSLATE(D346,""en"",""ko"")"),"캐나다")</f>
        <v>캐나다</v>
      </c>
    </row>
    <row r="347" ht="15.75" customHeight="1">
      <c r="A347" s="1" t="s">
        <v>544</v>
      </c>
      <c r="B347" s="1">
        <v>-6.77164</v>
      </c>
      <c r="C347" s="1">
        <v>62.00973</v>
      </c>
      <c r="D347" s="1" t="s">
        <v>545</v>
      </c>
      <c r="E347" s="1" t="str">
        <f>IFERROR(__xludf.DUMMYFUNCTION("GOOGLETRANSLATE(A347,""en"",""ko"")"),"토르스하운")</f>
        <v>토르스하운</v>
      </c>
      <c r="F347" s="4" t="str">
        <f>IFERROR(__xludf.DUMMYFUNCTION("GOOGLETRANSLATE(D347,""en"",""ko"")"),"페로 제도")</f>
        <v>페로 제도</v>
      </c>
    </row>
    <row r="348" ht="15.75" customHeight="1">
      <c r="A348" s="1" t="s">
        <v>546</v>
      </c>
      <c r="B348" s="1">
        <v>13.18733</v>
      </c>
      <c r="C348" s="1">
        <v>32.88743</v>
      </c>
      <c r="D348" s="1" t="s">
        <v>547</v>
      </c>
      <c r="E348" s="1" t="str">
        <f>IFERROR(__xludf.DUMMYFUNCTION("GOOGLETRANSLATE(A348,""en"",""ko"")"),"트리폴리")</f>
        <v>트리폴리</v>
      </c>
      <c r="F348" s="4" t="str">
        <f>IFERROR(__xludf.DUMMYFUNCTION("GOOGLETRANSLATE(D348,""en"",""ko"")"),"리비아")</f>
        <v>리비아</v>
      </c>
    </row>
    <row r="349" ht="15.75" customHeight="1">
      <c r="A349" s="1" t="s">
        <v>548</v>
      </c>
      <c r="B349" s="1">
        <v>10.16579</v>
      </c>
      <c r="C349" s="1">
        <v>36.81897</v>
      </c>
      <c r="D349" s="1" t="s">
        <v>549</v>
      </c>
      <c r="E349" s="1" t="str">
        <f>IFERROR(__xludf.DUMMYFUNCTION("GOOGLETRANSLATE(A349,""en"",""ko"")"),"튀니스")</f>
        <v>튀니스</v>
      </c>
      <c r="F349" s="4" t="str">
        <f>IFERROR(__xludf.DUMMYFUNCTION("GOOGLETRANSLATE(D349,""en"",""ko"")"),"튀니지")</f>
        <v>튀니지</v>
      </c>
    </row>
    <row r="350" ht="15.75" customHeight="1">
      <c r="A350" s="1" t="s">
        <v>550</v>
      </c>
      <c r="B350" s="1">
        <v>106.88324</v>
      </c>
      <c r="C350" s="1">
        <v>47.90771</v>
      </c>
      <c r="D350" s="1" t="s">
        <v>551</v>
      </c>
      <c r="E350" s="1" t="str">
        <f>IFERROR(__xludf.DUMMYFUNCTION("GOOGLETRANSLATE(A350,""en"",""ko"")"),"울란바토르")</f>
        <v>울란바토르</v>
      </c>
      <c r="F350" s="4" t="str">
        <f>IFERROR(__xludf.DUMMYFUNCTION("GOOGLETRANSLATE(D350,""en"",""ko"")"),"몽골리아")</f>
        <v>몽골리아</v>
      </c>
    </row>
    <row r="351" ht="15.75" customHeight="1">
      <c r="A351" s="1" t="s">
        <v>552</v>
      </c>
      <c r="B351" s="1">
        <v>9.52154</v>
      </c>
      <c r="C351" s="1">
        <v>47.14151</v>
      </c>
      <c r="D351" s="1" t="s">
        <v>553</v>
      </c>
      <c r="E351" s="1" t="str">
        <f>IFERROR(__xludf.DUMMYFUNCTION("GOOGLETRANSLATE(A351,""en"",""ko"")"),"파두츠")</f>
        <v>파두츠</v>
      </c>
      <c r="F351" s="4" t="str">
        <f>IFERROR(__xludf.DUMMYFUNCTION("GOOGLETRANSLATE(D351,""en"",""ko"")"),"리히텐슈타인")</f>
        <v>리히텐슈타인</v>
      </c>
    </row>
    <row r="352" ht="15.75" customHeight="1">
      <c r="A352" s="1" t="s">
        <v>554</v>
      </c>
      <c r="B352" s="1">
        <v>-68.00765</v>
      </c>
      <c r="C352" s="1">
        <v>10.16202</v>
      </c>
      <c r="D352" s="1" t="s">
        <v>134</v>
      </c>
      <c r="E352" s="1" t="str">
        <f>IFERROR(__xludf.DUMMYFUNCTION("GOOGLETRANSLATE(A352,""en"",""ko"")"),"발렌시아")</f>
        <v>발렌시아</v>
      </c>
      <c r="F352" s="4" t="str">
        <f>IFERROR(__xludf.DUMMYFUNCTION("GOOGLETRANSLATE(D352,""en"",""ko"")"),"베네수엘라")</f>
        <v>베네수엘라</v>
      </c>
    </row>
    <row r="353" ht="15.75" customHeight="1">
      <c r="A353" s="1" t="s">
        <v>555</v>
      </c>
      <c r="B353" s="1">
        <v>14.5148</v>
      </c>
      <c r="C353" s="1">
        <v>35.89968</v>
      </c>
      <c r="D353" s="1" t="s">
        <v>556</v>
      </c>
      <c r="E353" s="1" t="str">
        <f>IFERROR(__xludf.DUMMYFUNCTION("GOOGLETRANSLATE(A353,""en"",""ko"")"),"발레타")</f>
        <v>발레타</v>
      </c>
      <c r="F353" s="4" t="str">
        <f>IFERROR(__xludf.DUMMYFUNCTION("GOOGLETRANSLATE(D353,""en"",""ko"")"),"몰타")</f>
        <v>몰타</v>
      </c>
    </row>
    <row r="354" ht="15.75" customHeight="1">
      <c r="A354" s="1" t="s">
        <v>557</v>
      </c>
      <c r="B354" s="1">
        <v>-123.11934</v>
      </c>
      <c r="C354" s="1">
        <v>49.24966</v>
      </c>
      <c r="D354" s="1" t="s">
        <v>361</v>
      </c>
      <c r="E354" s="1" t="str">
        <f>IFERROR(__xludf.DUMMYFUNCTION("GOOGLETRANSLATE(A354,""en"",""ko"")"),"밴쿠버")</f>
        <v>밴쿠버</v>
      </c>
      <c r="F354" s="4" t="str">
        <f>IFERROR(__xludf.DUMMYFUNCTION("GOOGLETRANSLATE(D354,""en"",""ko"")"),"캐나다")</f>
        <v>캐나다</v>
      </c>
    </row>
    <row r="355" ht="15.75" customHeight="1">
      <c r="A355" s="1" t="s">
        <v>558</v>
      </c>
      <c r="B355" s="1">
        <v>55.45501</v>
      </c>
      <c r="C355" s="1">
        <v>-4.62001</v>
      </c>
      <c r="D355" s="1" t="s">
        <v>361</v>
      </c>
      <c r="E355" s="1" t="str">
        <f>IFERROR(__xludf.DUMMYFUNCTION("GOOGLETRANSLATE(A355,""en"",""ko"")"),"빅토리아")</f>
        <v>빅토리아</v>
      </c>
      <c r="F355" s="4" t="str">
        <f>IFERROR(__xludf.DUMMYFUNCTION("GOOGLETRANSLATE(D355,""en"",""ko"")"),"캐나다")</f>
        <v>캐나다</v>
      </c>
    </row>
    <row r="356" ht="15.75" customHeight="1">
      <c r="A356" s="1" t="s">
        <v>559</v>
      </c>
      <c r="B356" s="1">
        <v>16.37208</v>
      </c>
      <c r="C356" s="1">
        <v>48.20849</v>
      </c>
      <c r="D356" s="1" t="s">
        <v>560</v>
      </c>
      <c r="E356" s="1" t="str">
        <f>IFERROR(__xludf.DUMMYFUNCTION("GOOGLETRANSLATE(A356,""en"",""ko"")"),"비엔나")</f>
        <v>비엔나</v>
      </c>
      <c r="F356" s="4" t="str">
        <f>IFERROR(__xludf.DUMMYFUNCTION("GOOGLETRANSLATE(D356,""en"",""ko"")"),"오스트리아")</f>
        <v>오스트리아</v>
      </c>
    </row>
    <row r="357" ht="15.75" customHeight="1">
      <c r="A357" s="1" t="s">
        <v>561</v>
      </c>
      <c r="B357" s="1">
        <v>102.6</v>
      </c>
      <c r="C357" s="1">
        <v>17.96667</v>
      </c>
      <c r="D357" s="1" t="s">
        <v>562</v>
      </c>
      <c r="E357" s="1" t="str">
        <f>IFERROR(__xludf.DUMMYFUNCTION("GOOGLETRANSLATE(A357,""en"",""ko"")"),"비엔티안")</f>
        <v>비엔티안</v>
      </c>
      <c r="F357" s="4" t="str">
        <f>IFERROR(__xludf.DUMMYFUNCTION("GOOGLETRANSLATE(D357,""en"",""ko"")"),"라오스")</f>
        <v>라오스</v>
      </c>
    </row>
    <row r="358" ht="15.75" customHeight="1">
      <c r="A358" s="1" t="s">
        <v>563</v>
      </c>
      <c r="B358" s="1">
        <v>25.2798</v>
      </c>
      <c r="C358" s="1">
        <v>54.68916</v>
      </c>
      <c r="D358" s="1" t="s">
        <v>564</v>
      </c>
      <c r="E358" s="1" t="str">
        <f>IFERROR(__xludf.DUMMYFUNCTION("GOOGLETRANSLATE(A358,""en"",""ko"")"),"빌니우스")</f>
        <v>빌니우스</v>
      </c>
      <c r="F358" s="4" t="str">
        <f>IFERROR(__xludf.DUMMYFUNCTION("GOOGLETRANSLATE(D358,""en"",""ko"")"),"리투아니아")</f>
        <v>리투아니아</v>
      </c>
    </row>
    <row r="359" ht="15.75" customHeight="1">
      <c r="A359" s="1" t="s">
        <v>565</v>
      </c>
      <c r="B359" s="1">
        <v>21.01178</v>
      </c>
      <c r="C359" s="1">
        <v>52.22977</v>
      </c>
      <c r="D359" s="1" t="s">
        <v>566</v>
      </c>
      <c r="E359" s="1" t="str">
        <f>IFERROR(__xludf.DUMMYFUNCTION("GOOGLETRANSLATE(A359,""en"",""ko"")"),"바르샤바")</f>
        <v>바르샤바</v>
      </c>
      <c r="F359" s="4" t="str">
        <f>IFERROR(__xludf.DUMMYFUNCTION("GOOGLETRANSLATE(D359,""en"",""ko"")"),"폴란드")</f>
        <v>폴란드</v>
      </c>
    </row>
    <row r="360" ht="15.75" customHeight="1">
      <c r="A360" s="1" t="s">
        <v>567</v>
      </c>
      <c r="B360" s="1">
        <v>-77.03637</v>
      </c>
      <c r="C360" s="1">
        <v>38.89511</v>
      </c>
      <c r="D360" s="1" t="s">
        <v>31</v>
      </c>
      <c r="E360" s="1" t="str">
        <f>IFERROR(__xludf.DUMMYFUNCTION("GOOGLETRANSLATE(A360,""en"",""ko"")"),"워싱턴")</f>
        <v>워싱턴</v>
      </c>
      <c r="F360" s="4" t="str">
        <f>IFERROR(__xludf.DUMMYFUNCTION("GOOGLETRANSLATE(D360,""en"",""ko"")"),"미국")</f>
        <v>미국</v>
      </c>
    </row>
    <row r="361" ht="15.75" customHeight="1">
      <c r="A361" s="1" t="s">
        <v>568</v>
      </c>
      <c r="B361" s="1">
        <v>174.77557</v>
      </c>
      <c r="C361" s="1">
        <v>-41.28664</v>
      </c>
      <c r="D361" s="1" t="s">
        <v>51</v>
      </c>
      <c r="E361" s="1" t="str">
        <f>IFERROR(__xludf.DUMMYFUNCTION("GOOGLETRANSLATE(A361,""en"",""ko"")"),"웰링턴")</f>
        <v>웰링턴</v>
      </c>
      <c r="F361" s="4" t="str">
        <f>IFERROR(__xludf.DUMMYFUNCTION("GOOGLETRANSLATE(D361,""en"",""ko"")"),"뉴질랜드")</f>
        <v>뉴질랜드</v>
      </c>
    </row>
    <row r="362" ht="15.75" customHeight="1">
      <c r="A362" s="1" t="s">
        <v>569</v>
      </c>
      <c r="B362" s="1">
        <v>-68.93354</v>
      </c>
      <c r="C362" s="1">
        <v>12.1084</v>
      </c>
      <c r="D362" s="1" t="s">
        <v>570</v>
      </c>
      <c r="E362" s="1" t="str">
        <f>IFERROR(__xludf.DUMMYFUNCTION("GOOGLETRANSLATE(A362,""en"",""ko"")"),"빌렘스타트")</f>
        <v>빌렘스타트</v>
      </c>
      <c r="F362" s="4" t="str">
        <f>IFERROR(__xludf.DUMMYFUNCTION("GOOGLETRANSLATE(D362,""en"",""ko"")"),"퀴라소")</f>
        <v>퀴라소</v>
      </c>
    </row>
    <row r="363" ht="15.75" customHeight="1">
      <c r="A363" s="1" t="s">
        <v>571</v>
      </c>
      <c r="B363" s="1">
        <v>17.08323</v>
      </c>
      <c r="C363" s="1">
        <v>-22.55941</v>
      </c>
      <c r="D363" s="1" t="s">
        <v>572</v>
      </c>
      <c r="E363" s="1" t="str">
        <f>IFERROR(__xludf.DUMMYFUNCTION("GOOGLETRANSLATE(A363,""en"",""ko"")"),"빈트후크")</f>
        <v>빈트후크</v>
      </c>
      <c r="F363" s="4" t="str">
        <f>IFERROR(__xludf.DUMMYFUNCTION("GOOGLETRANSLATE(D363,""en"",""ko"")"),"나미비아")</f>
        <v>나미비아</v>
      </c>
    </row>
    <row r="364" ht="15.75" customHeight="1">
      <c r="A364" s="1" t="s">
        <v>573</v>
      </c>
      <c r="B364" s="1">
        <v>114.26667</v>
      </c>
      <c r="C364" s="1">
        <v>30.58333</v>
      </c>
      <c r="D364" s="1" t="s">
        <v>81</v>
      </c>
      <c r="E364" s="1" t="str">
        <f>IFERROR(__xludf.DUMMYFUNCTION("GOOGLETRANSLATE(A364,""en"",""ko"")"),"우한")</f>
        <v>우한</v>
      </c>
      <c r="F364" s="4" t="str">
        <f>IFERROR(__xludf.DUMMYFUNCTION("GOOGLETRANSLATE(D364,""en"",""ko"")"),"중국")</f>
        <v>중국</v>
      </c>
    </row>
    <row r="365" ht="15.75" customHeight="1">
      <c r="A365" s="1" t="s">
        <v>574</v>
      </c>
      <c r="B365" s="1">
        <v>108.92861</v>
      </c>
      <c r="C365" s="1">
        <v>34.25833</v>
      </c>
      <c r="D365" s="1" t="s">
        <v>81</v>
      </c>
      <c r="E365" s="1" t="str">
        <f>IFERROR(__xludf.DUMMYFUNCTION("GOOGLETRANSLATE(A365,""en"",""ko"")"),"시안")</f>
        <v>시안</v>
      </c>
      <c r="F365" s="4" t="str">
        <f>IFERROR(__xludf.DUMMYFUNCTION("GOOGLETRANSLATE(D365,""en"",""ko"")"),"중국")</f>
        <v>중국</v>
      </c>
    </row>
    <row r="366" ht="15.75" customHeight="1">
      <c r="A366" s="1" t="s">
        <v>575</v>
      </c>
      <c r="B366" s="1">
        <v>-5.27674</v>
      </c>
      <c r="C366" s="1">
        <v>6.82055</v>
      </c>
      <c r="D366" s="1" t="s">
        <v>7</v>
      </c>
      <c r="E366" s="1" t="str">
        <f>IFERROR(__xludf.DUMMYFUNCTION("GOOGLETRANSLATE(A366,""en"",""ko"")"),"야무수크로")</f>
        <v>야무수크로</v>
      </c>
      <c r="F366" s="4" t="str">
        <f>IFERROR(__xludf.DUMMYFUNCTION("GOOGLETRANSLATE(D366,""en"",""ko"")"),"상아 해안")</f>
        <v>상아 해안</v>
      </c>
    </row>
    <row r="367" ht="15.75" customHeight="1">
      <c r="A367" s="1" t="s">
        <v>576</v>
      </c>
      <c r="B367" s="1">
        <v>96.15611</v>
      </c>
      <c r="C367" s="1">
        <v>16.80528</v>
      </c>
      <c r="D367" s="1" t="s">
        <v>381</v>
      </c>
      <c r="E367" s="1" t="str">
        <f>IFERROR(__xludf.DUMMYFUNCTION("GOOGLETRANSLATE(A367,""en"",""ko"")"),"양곤")</f>
        <v>양곤</v>
      </c>
      <c r="F367" s="4" t="str">
        <f>IFERROR(__xludf.DUMMYFUNCTION("GOOGLETRANSLATE(D367,""en"",""ko"")"),"미얀마")</f>
        <v>미얀마</v>
      </c>
    </row>
    <row r="368" ht="15.75" customHeight="1">
      <c r="A368" s="1" t="s">
        <v>577</v>
      </c>
      <c r="B368" s="1">
        <v>11.51667</v>
      </c>
      <c r="C368" s="1">
        <v>3.86667</v>
      </c>
      <c r="D368" s="1" t="s">
        <v>178</v>
      </c>
      <c r="E368" s="1" t="str">
        <f>IFERROR(__xludf.DUMMYFUNCTION("GOOGLETRANSLATE(A368,""en"",""ko"")"),"야운데")</f>
        <v>야운데</v>
      </c>
      <c r="F368" s="4" t="str">
        <f>IFERROR(__xludf.DUMMYFUNCTION("GOOGLETRANSLATE(D368,""en"",""ko"")"),"카메룬")</f>
        <v>카메룬</v>
      </c>
    </row>
    <row r="369" ht="15.75" customHeight="1">
      <c r="A369" s="1" t="s">
        <v>578</v>
      </c>
      <c r="B369" s="1">
        <v>60.6122</v>
      </c>
      <c r="C369" s="1">
        <v>56.8519</v>
      </c>
      <c r="D369" s="1" t="s">
        <v>365</v>
      </c>
      <c r="E369" s="1" t="str">
        <f>IFERROR(__xludf.DUMMYFUNCTION("GOOGLETRANSLATE(A369,""en"",""ko"")"),"예카테린부르크")</f>
        <v>예카테린부르크</v>
      </c>
      <c r="F369" s="4" t="str">
        <f>IFERROR(__xludf.DUMMYFUNCTION("GOOGLETRANSLATE(D369,""en"",""ko"")"),"러시아 제국")</f>
        <v>러시아 제국</v>
      </c>
    </row>
    <row r="370" ht="15.75" customHeight="1">
      <c r="A370" s="1" t="s">
        <v>579</v>
      </c>
      <c r="B370" s="1">
        <v>44.51361</v>
      </c>
      <c r="C370" s="1">
        <v>40.18111</v>
      </c>
      <c r="D370" s="1" t="s">
        <v>580</v>
      </c>
      <c r="E370" s="1" t="str">
        <f>IFERROR(__xludf.DUMMYFUNCTION("GOOGLETRANSLATE(A370,""en"",""ko"")"),"예레반")</f>
        <v>예레반</v>
      </c>
      <c r="F370" s="4" t="str">
        <f>IFERROR(__xludf.DUMMYFUNCTION("GOOGLETRANSLATE(D370,""en"",""ko"")"),"아르메니아")</f>
        <v>아르메니아</v>
      </c>
    </row>
    <row r="371" ht="15.75" customHeight="1">
      <c r="A371" s="1" t="s">
        <v>581</v>
      </c>
      <c r="B371" s="1">
        <v>139.65</v>
      </c>
      <c r="C371" s="1">
        <v>35.43333</v>
      </c>
      <c r="D371" s="1" t="s">
        <v>195</v>
      </c>
      <c r="E371" s="1" t="str">
        <f>IFERROR(__xludf.DUMMYFUNCTION("GOOGLETRANSLATE(A371,""en"",""ko"")"),"요코하마")</f>
        <v>요코하마</v>
      </c>
      <c r="F371" s="4" t="str">
        <f>IFERROR(__xludf.DUMMYFUNCTION("GOOGLETRANSLATE(D371,""en"",""ko"")"),"일본")</f>
        <v>일본</v>
      </c>
    </row>
    <row r="372" ht="15.75" customHeight="1">
      <c r="A372" s="1" t="s">
        <v>582</v>
      </c>
      <c r="B372" s="1">
        <v>15.97798</v>
      </c>
      <c r="C372" s="1">
        <v>45.81444</v>
      </c>
      <c r="D372" s="1" t="s">
        <v>583</v>
      </c>
      <c r="E372" s="1" t="str">
        <f>IFERROR(__xludf.DUMMYFUNCTION("GOOGLETRANSLATE(A372,""en"",""ko"")"),"자그레브")</f>
        <v>자그레브</v>
      </c>
      <c r="F372" s="4" t="str">
        <f>IFERROR(__xludf.DUMMYFUNCTION("GOOGLETRANSLATE(D372,""en"",""ko"")"),"크로아티아")</f>
        <v>크로아티아</v>
      </c>
    </row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tr">
        <f>IFERROR(__xludf.DUMMYFUNCTION("QUERY('cities_list - ko'!D2:D372, ""SELECT D, COUNT(D) GROUP BY D"")"),"")</f>
        <v/>
      </c>
      <c r="B1" s="1" t="str">
        <f>IFERROR(__xludf.DUMMYFUNCTION("""COMPUTED_VALUE"""),"count ")</f>
        <v>count </v>
      </c>
      <c r="C1" s="2" t="s">
        <v>5</v>
      </c>
    </row>
    <row r="2">
      <c r="A2" s="1" t="str">
        <f>IFERROR(__xludf.DUMMYFUNCTION("""COMPUTED_VALUE"""),"Afghanistan")</f>
        <v>Afghanistan</v>
      </c>
      <c r="B2" s="1">
        <f>IFERROR(__xludf.DUMMYFUNCTION("""COMPUTED_VALUE"""),1.0)</f>
        <v>1</v>
      </c>
      <c r="C2" s="1" t="str">
        <f>IFERROR(__xludf.DUMMYFUNCTION("GOOGLETRANSLATE(A2,""en"",""ko"")"),"아프가니스탄")</f>
        <v>아프가니스탄</v>
      </c>
    </row>
    <row r="3">
      <c r="A3" s="1" t="str">
        <f>IFERROR(__xludf.DUMMYFUNCTION("""COMPUTED_VALUE"""),"Aland Islands")</f>
        <v>Aland Islands</v>
      </c>
      <c r="B3" s="1">
        <f>IFERROR(__xludf.DUMMYFUNCTION("""COMPUTED_VALUE"""),1.0)</f>
        <v>1</v>
      </c>
      <c r="C3" s="1" t="str">
        <f>IFERROR(__xludf.DUMMYFUNCTION("GOOGLETRANSLATE(A3,""en"",""ko"")"),"올란드 제도")</f>
        <v>올란드 제도</v>
      </c>
    </row>
    <row r="4">
      <c r="A4" s="1" t="str">
        <f>IFERROR(__xludf.DUMMYFUNCTION("""COMPUTED_VALUE"""),"Albania")</f>
        <v>Albania</v>
      </c>
      <c r="B4" s="1">
        <f>IFERROR(__xludf.DUMMYFUNCTION("""COMPUTED_VALUE"""),1.0)</f>
        <v>1</v>
      </c>
      <c r="C4" s="1" t="str">
        <f>IFERROR(__xludf.DUMMYFUNCTION("GOOGLETRANSLATE(A4,""en"",""ko"")"),"알바니아")</f>
        <v>알바니아</v>
      </c>
    </row>
    <row r="5">
      <c r="A5" s="1" t="str">
        <f>IFERROR(__xludf.DUMMYFUNCTION("""COMPUTED_VALUE"""),"Algeria")</f>
        <v>Algeria</v>
      </c>
      <c r="B5" s="1">
        <f>IFERROR(__xludf.DUMMYFUNCTION("""COMPUTED_VALUE"""),1.0)</f>
        <v>1</v>
      </c>
      <c r="C5" s="1" t="str">
        <f>IFERROR(__xludf.DUMMYFUNCTION("GOOGLETRANSLATE(A5,""en"",""ko"")"),"알제리")</f>
        <v>알제리</v>
      </c>
    </row>
    <row r="6">
      <c r="A6" s="1" t="str">
        <f>IFERROR(__xludf.DUMMYFUNCTION("""COMPUTED_VALUE"""),"American Samoa")</f>
        <v>American Samoa</v>
      </c>
      <c r="B6" s="1">
        <f>IFERROR(__xludf.DUMMYFUNCTION("""COMPUTED_VALUE"""),1.0)</f>
        <v>1</v>
      </c>
      <c r="C6" s="1" t="str">
        <f>IFERROR(__xludf.DUMMYFUNCTION("GOOGLETRANSLATE(A6,""en"",""ko"")"),"아메리칸 사모아")</f>
        <v>아메리칸 사모아</v>
      </c>
    </row>
    <row r="7">
      <c r="A7" s="1" t="str">
        <f>IFERROR(__xludf.DUMMYFUNCTION("""COMPUTED_VALUE"""),"Andorra")</f>
        <v>Andorra</v>
      </c>
      <c r="B7" s="1">
        <f>IFERROR(__xludf.DUMMYFUNCTION("""COMPUTED_VALUE"""),1.0)</f>
        <v>1</v>
      </c>
      <c r="C7" s="1" t="str">
        <f>IFERROR(__xludf.DUMMYFUNCTION("GOOGLETRANSLATE(A7,""en"",""ko"")"),"안도라")</f>
        <v>안도라</v>
      </c>
    </row>
    <row r="8">
      <c r="A8" s="1" t="str">
        <f>IFERROR(__xludf.DUMMYFUNCTION("""COMPUTED_VALUE"""),"Angola")</f>
        <v>Angola</v>
      </c>
      <c r="B8" s="1">
        <f>IFERROR(__xludf.DUMMYFUNCTION("""COMPUTED_VALUE"""),1.0)</f>
        <v>1</v>
      </c>
      <c r="C8" s="1" t="str">
        <f>IFERROR(__xludf.DUMMYFUNCTION("GOOGLETRANSLATE(A8,""en"",""ko"")"),"앙골라")</f>
        <v>앙골라</v>
      </c>
    </row>
    <row r="9">
      <c r="A9" s="1" t="str">
        <f>IFERROR(__xludf.DUMMYFUNCTION("""COMPUTED_VALUE"""),"Antigua and Barbuda")</f>
        <v>Antigua and Barbuda</v>
      </c>
      <c r="B9" s="1">
        <f>IFERROR(__xludf.DUMMYFUNCTION("""COMPUTED_VALUE"""),1.0)</f>
        <v>1</v>
      </c>
      <c r="C9" s="1" t="str">
        <f>IFERROR(__xludf.DUMMYFUNCTION("GOOGLETRANSLATE(A9,""en"",""ko"")"),"앤티가 바부다")</f>
        <v>앤티가 바부다</v>
      </c>
    </row>
    <row r="10">
      <c r="A10" s="1" t="str">
        <f>IFERROR(__xludf.DUMMYFUNCTION("""COMPUTED_VALUE"""),"Argentina")</f>
        <v>Argentina</v>
      </c>
      <c r="B10" s="1">
        <f>IFERROR(__xludf.DUMMYFUNCTION("""COMPUTED_VALUE"""),3.0)</f>
        <v>3</v>
      </c>
      <c r="C10" s="1" t="str">
        <f>IFERROR(__xludf.DUMMYFUNCTION("GOOGLETRANSLATE(A10,""en"",""ko"")"),"아르헨티나")</f>
        <v>아르헨티나</v>
      </c>
    </row>
    <row r="11">
      <c r="A11" s="1" t="str">
        <f>IFERROR(__xludf.DUMMYFUNCTION("""COMPUTED_VALUE"""),"Armenia")</f>
        <v>Armenia</v>
      </c>
      <c r="B11" s="1">
        <f>IFERROR(__xludf.DUMMYFUNCTION("""COMPUTED_VALUE"""),1.0)</f>
        <v>1</v>
      </c>
      <c r="C11" s="1" t="str">
        <f>IFERROR(__xludf.DUMMYFUNCTION("GOOGLETRANSLATE(A11,""en"",""ko"")"),"아르메니아")</f>
        <v>아르메니아</v>
      </c>
    </row>
    <row r="12">
      <c r="A12" s="1" t="str">
        <f>IFERROR(__xludf.DUMMYFUNCTION("""COMPUTED_VALUE"""),"Aruba")</f>
        <v>Aruba</v>
      </c>
      <c r="B12" s="1">
        <f>IFERROR(__xludf.DUMMYFUNCTION("""COMPUTED_VALUE"""),1.0)</f>
        <v>1</v>
      </c>
      <c r="C12" s="1" t="str">
        <f>IFERROR(__xludf.DUMMYFUNCTION("GOOGLETRANSLATE(A12,""en"",""ko"")"),"아루바")</f>
        <v>아루바</v>
      </c>
    </row>
    <row r="13">
      <c r="A13" s="1" t="str">
        <f>IFERROR(__xludf.DUMMYFUNCTION("""COMPUTED_VALUE"""),"Australia")</f>
        <v>Australia</v>
      </c>
      <c r="B13" s="1">
        <f>IFERROR(__xludf.DUMMYFUNCTION("""COMPUTED_VALUE"""),5.0)</f>
        <v>5</v>
      </c>
      <c r="C13" s="1" t="str">
        <f>IFERROR(__xludf.DUMMYFUNCTION("GOOGLETRANSLATE(A13,""en"",""ko"")"),"호주")</f>
        <v>호주</v>
      </c>
    </row>
    <row r="14">
      <c r="A14" s="1" t="str">
        <f>IFERROR(__xludf.DUMMYFUNCTION("""COMPUTED_VALUE"""),"Austria")</f>
        <v>Austria</v>
      </c>
      <c r="B14" s="1">
        <f>IFERROR(__xludf.DUMMYFUNCTION("""COMPUTED_VALUE"""),1.0)</f>
        <v>1</v>
      </c>
      <c r="C14" s="1" t="str">
        <f>IFERROR(__xludf.DUMMYFUNCTION("GOOGLETRANSLATE(A14,""en"",""ko"")"),"오스트리아")</f>
        <v>오스트리아</v>
      </c>
    </row>
    <row r="15">
      <c r="A15" s="1" t="str">
        <f>IFERROR(__xludf.DUMMYFUNCTION("""COMPUTED_VALUE"""),"Azerbaijan")</f>
        <v>Azerbaijan</v>
      </c>
      <c r="B15" s="1">
        <f>IFERROR(__xludf.DUMMYFUNCTION("""COMPUTED_VALUE"""),1.0)</f>
        <v>1</v>
      </c>
      <c r="C15" s="1" t="str">
        <f>IFERROR(__xludf.DUMMYFUNCTION("GOOGLETRANSLATE(A15,""en"",""ko"")"),"아제르바이잔")</f>
        <v>아제르바이잔</v>
      </c>
    </row>
    <row r="16">
      <c r="A16" s="1" t="str">
        <f>IFERROR(__xludf.DUMMYFUNCTION("""COMPUTED_VALUE"""),"Bahamas")</f>
        <v>Bahamas</v>
      </c>
      <c r="B16" s="1">
        <f>IFERROR(__xludf.DUMMYFUNCTION("""COMPUTED_VALUE"""),1.0)</f>
        <v>1</v>
      </c>
      <c r="C16" s="1" t="str">
        <f>IFERROR(__xludf.DUMMYFUNCTION("GOOGLETRANSLATE(A16,""en"",""ko"")"),"바하마")</f>
        <v>바하마</v>
      </c>
    </row>
    <row r="17">
      <c r="A17" s="1" t="str">
        <f>IFERROR(__xludf.DUMMYFUNCTION("""COMPUTED_VALUE"""),"Bahrain")</f>
        <v>Bahrain</v>
      </c>
      <c r="B17" s="1">
        <f>IFERROR(__xludf.DUMMYFUNCTION("""COMPUTED_VALUE"""),1.0)</f>
        <v>1</v>
      </c>
      <c r="C17" s="1" t="str">
        <f>IFERROR(__xludf.DUMMYFUNCTION("GOOGLETRANSLATE(A17,""en"",""ko"")"),"바레인")</f>
        <v>바레인</v>
      </c>
    </row>
    <row r="18">
      <c r="A18" s="1" t="str">
        <f>IFERROR(__xludf.DUMMYFUNCTION("""COMPUTED_VALUE"""),"Bangladesh")</f>
        <v>Bangladesh</v>
      </c>
      <c r="B18" s="1">
        <f>IFERROR(__xludf.DUMMYFUNCTION("""COMPUTED_VALUE"""),3.0)</f>
        <v>3</v>
      </c>
      <c r="C18" s="1" t="str">
        <f>IFERROR(__xludf.DUMMYFUNCTION("GOOGLETRANSLATE(A18,""en"",""ko"")"),"방글라데시")</f>
        <v>방글라데시</v>
      </c>
    </row>
    <row r="19">
      <c r="A19" s="1" t="str">
        <f>IFERROR(__xludf.DUMMYFUNCTION("""COMPUTED_VALUE"""),"Barbados")</f>
        <v>Barbados</v>
      </c>
      <c r="B19" s="1">
        <f>IFERROR(__xludf.DUMMYFUNCTION("""COMPUTED_VALUE"""),1.0)</f>
        <v>1</v>
      </c>
      <c r="C19" s="1" t="str">
        <f>IFERROR(__xludf.DUMMYFUNCTION("GOOGLETRANSLATE(A19,""en"",""ko"")"),"바베이도스")</f>
        <v>바베이도스</v>
      </c>
    </row>
    <row r="20">
      <c r="A20" s="1" t="str">
        <f>IFERROR(__xludf.DUMMYFUNCTION("""COMPUTED_VALUE"""),"Belarus")</f>
        <v>Belarus</v>
      </c>
      <c r="B20" s="1">
        <f>IFERROR(__xludf.DUMMYFUNCTION("""COMPUTED_VALUE"""),1.0)</f>
        <v>1</v>
      </c>
      <c r="C20" s="1" t="str">
        <f>IFERROR(__xludf.DUMMYFUNCTION("GOOGLETRANSLATE(A20,""en"",""ko"")"),"벨라루스")</f>
        <v>벨라루스</v>
      </c>
    </row>
    <row r="21">
      <c r="A21" s="1" t="str">
        <f>IFERROR(__xludf.DUMMYFUNCTION("""COMPUTED_VALUE"""),"Belgium")</f>
        <v>Belgium</v>
      </c>
      <c r="B21" s="1">
        <f>IFERROR(__xludf.DUMMYFUNCTION("""COMPUTED_VALUE"""),1.0)</f>
        <v>1</v>
      </c>
      <c r="C21" s="1" t="str">
        <f>IFERROR(__xludf.DUMMYFUNCTION("GOOGLETRANSLATE(A21,""en"",""ko"")"),"벨기에")</f>
        <v>벨기에</v>
      </c>
    </row>
    <row r="22">
      <c r="A22" s="1" t="str">
        <f>IFERROR(__xludf.DUMMYFUNCTION("""COMPUTED_VALUE"""),"Belize")</f>
        <v>Belize</v>
      </c>
      <c r="B22" s="1">
        <f>IFERROR(__xludf.DUMMYFUNCTION("""COMPUTED_VALUE"""),1.0)</f>
        <v>1</v>
      </c>
      <c r="C22" s="1" t="str">
        <f>IFERROR(__xludf.DUMMYFUNCTION("GOOGLETRANSLATE(A22,""en"",""ko"")"),"벨리즈")</f>
        <v>벨리즈</v>
      </c>
    </row>
    <row r="23">
      <c r="A23" s="1" t="str">
        <f>IFERROR(__xludf.DUMMYFUNCTION("""COMPUTED_VALUE"""),"Benin")</f>
        <v>Benin</v>
      </c>
      <c r="B23" s="1">
        <f>IFERROR(__xludf.DUMMYFUNCTION("""COMPUTED_VALUE"""),1.0)</f>
        <v>1</v>
      </c>
      <c r="C23" s="1" t="str">
        <f>IFERROR(__xludf.DUMMYFUNCTION("GOOGLETRANSLATE(A23,""en"",""ko"")"),"베냉")</f>
        <v>베냉</v>
      </c>
    </row>
    <row r="24">
      <c r="A24" s="1" t="str">
        <f>IFERROR(__xludf.DUMMYFUNCTION("""COMPUTED_VALUE"""),"Bhutan")</f>
        <v>Bhutan</v>
      </c>
      <c r="B24" s="1">
        <f>IFERROR(__xludf.DUMMYFUNCTION("""COMPUTED_VALUE"""),1.0)</f>
        <v>1</v>
      </c>
      <c r="C24" s="1" t="str">
        <f>IFERROR(__xludf.DUMMYFUNCTION("GOOGLETRANSLATE(A24,""en"",""ko"")"),"부탄")</f>
        <v>부탄</v>
      </c>
    </row>
    <row r="25">
      <c r="A25" s="1" t="str">
        <f>IFERROR(__xludf.DUMMYFUNCTION("""COMPUTED_VALUE"""),"Bolivia")</f>
        <v>Bolivia</v>
      </c>
      <c r="B25" s="1">
        <f>IFERROR(__xludf.DUMMYFUNCTION("""COMPUTED_VALUE"""),3.0)</f>
        <v>3</v>
      </c>
      <c r="C25" s="1" t="str">
        <f>IFERROR(__xludf.DUMMYFUNCTION("GOOGLETRANSLATE(A25,""en"",""ko"")"),"볼리비아")</f>
        <v>볼리비아</v>
      </c>
    </row>
    <row r="26">
      <c r="A26" s="1" t="str">
        <f>IFERROR(__xludf.DUMMYFUNCTION("""COMPUTED_VALUE"""),"Bosnia and Herzegovina")</f>
        <v>Bosnia and Herzegovina</v>
      </c>
      <c r="B26" s="1">
        <f>IFERROR(__xludf.DUMMYFUNCTION("""COMPUTED_VALUE"""),1.0)</f>
        <v>1</v>
      </c>
      <c r="C26" s="1" t="str">
        <f>IFERROR(__xludf.DUMMYFUNCTION("GOOGLETRANSLATE(A26,""en"",""ko"")"),"보스니아 헤르체고비나")</f>
        <v>보스니아 헤르체고비나</v>
      </c>
    </row>
    <row r="27">
      <c r="A27" s="1" t="str">
        <f>IFERROR(__xludf.DUMMYFUNCTION("""COMPUTED_VALUE"""),"Botswana")</f>
        <v>Botswana</v>
      </c>
      <c r="B27" s="1">
        <f>IFERROR(__xludf.DUMMYFUNCTION("""COMPUTED_VALUE"""),1.0)</f>
        <v>1</v>
      </c>
      <c r="C27" s="1" t="str">
        <f>IFERROR(__xludf.DUMMYFUNCTION("GOOGLETRANSLATE(A27,""en"",""ko"")"),"보츠와나")</f>
        <v>보츠와나</v>
      </c>
    </row>
    <row r="28">
      <c r="A28" s="1" t="str">
        <f>IFERROR(__xludf.DUMMYFUNCTION("""COMPUTED_VALUE"""),"Brazil")</f>
        <v>Brazil</v>
      </c>
      <c r="B28" s="1">
        <f>IFERROR(__xludf.DUMMYFUNCTION("""COMPUTED_VALUE"""),11.0)</f>
        <v>11</v>
      </c>
      <c r="C28" s="1" t="str">
        <f>IFERROR(__xludf.DUMMYFUNCTION("GOOGLETRANSLATE(A28,""en"",""ko"")"),"브라질")</f>
        <v>브라질</v>
      </c>
    </row>
    <row r="29">
      <c r="A29" s="1" t="str">
        <f>IFERROR(__xludf.DUMMYFUNCTION("""COMPUTED_VALUE"""),"British Virgin Islands")</f>
        <v>British Virgin Islands</v>
      </c>
      <c r="B29" s="1">
        <f>IFERROR(__xludf.DUMMYFUNCTION("""COMPUTED_VALUE"""),1.0)</f>
        <v>1</v>
      </c>
      <c r="C29" s="1" t="str">
        <f>IFERROR(__xludf.DUMMYFUNCTION("GOOGLETRANSLATE(A29,""en"",""ko"")"),"영국령 버진아일랜드")</f>
        <v>영국령 버진아일랜드</v>
      </c>
    </row>
    <row r="30">
      <c r="A30" s="1" t="str">
        <f>IFERROR(__xludf.DUMMYFUNCTION("""COMPUTED_VALUE"""),"Brunei")</f>
        <v>Brunei</v>
      </c>
      <c r="B30" s="1">
        <f>IFERROR(__xludf.DUMMYFUNCTION("""COMPUTED_VALUE"""),1.0)</f>
        <v>1</v>
      </c>
      <c r="C30" s="1" t="str">
        <f>IFERROR(__xludf.DUMMYFUNCTION("GOOGLETRANSLATE(A30,""en"",""ko"")"),"브루나이")</f>
        <v>브루나이</v>
      </c>
    </row>
    <row r="31">
      <c r="A31" s="1" t="str">
        <f>IFERROR(__xludf.DUMMYFUNCTION("""COMPUTED_VALUE"""),"Bulgaria")</f>
        <v>Bulgaria</v>
      </c>
      <c r="B31" s="1">
        <f>IFERROR(__xludf.DUMMYFUNCTION("""COMPUTED_VALUE"""),1.0)</f>
        <v>1</v>
      </c>
      <c r="C31" s="1" t="str">
        <f>IFERROR(__xludf.DUMMYFUNCTION("GOOGLETRANSLATE(A31,""en"",""ko"")"),"불가리아")</f>
        <v>불가리아</v>
      </c>
    </row>
    <row r="32">
      <c r="A32" s="1" t="str">
        <f>IFERROR(__xludf.DUMMYFUNCTION("""COMPUTED_VALUE"""),"Burkina Faso")</f>
        <v>Burkina Faso</v>
      </c>
      <c r="B32" s="1">
        <f>IFERROR(__xludf.DUMMYFUNCTION("""COMPUTED_VALUE"""),1.0)</f>
        <v>1</v>
      </c>
      <c r="C32" s="1" t="str">
        <f>IFERROR(__xludf.DUMMYFUNCTION("GOOGLETRANSLATE(A32,""en"",""ko"")"),"부르키나파소")</f>
        <v>부르키나파소</v>
      </c>
    </row>
    <row r="33">
      <c r="A33" s="1" t="str">
        <f>IFERROR(__xludf.DUMMYFUNCTION("""COMPUTED_VALUE"""),"Burundi")</f>
        <v>Burundi</v>
      </c>
      <c r="B33" s="1">
        <f>IFERROR(__xludf.DUMMYFUNCTION("""COMPUTED_VALUE"""),2.0)</f>
        <v>2</v>
      </c>
      <c r="C33" s="1" t="str">
        <f>IFERROR(__xludf.DUMMYFUNCTION("GOOGLETRANSLATE(A33,""en"",""ko"")"),"부룬디")</f>
        <v>부룬디</v>
      </c>
    </row>
    <row r="34">
      <c r="A34" s="1" t="str">
        <f>IFERROR(__xludf.DUMMYFUNCTION("""COMPUTED_VALUE"""),"Cabo Verde")</f>
        <v>Cabo Verde</v>
      </c>
      <c r="B34" s="1">
        <f>IFERROR(__xludf.DUMMYFUNCTION("""COMPUTED_VALUE"""),1.0)</f>
        <v>1</v>
      </c>
      <c r="C34" s="1" t="str">
        <f>IFERROR(__xludf.DUMMYFUNCTION("GOOGLETRANSLATE(A34,""en"",""ko"")"),"카보 베르데")</f>
        <v>카보 베르데</v>
      </c>
    </row>
    <row r="35">
      <c r="A35" s="1" t="str">
        <f>IFERROR(__xludf.DUMMYFUNCTION("""COMPUTED_VALUE"""),"Cambodia")</f>
        <v>Cambodia</v>
      </c>
      <c r="B35" s="1">
        <f>IFERROR(__xludf.DUMMYFUNCTION("""COMPUTED_VALUE"""),1.0)</f>
        <v>1</v>
      </c>
      <c r="C35" s="1" t="str">
        <f>IFERROR(__xludf.DUMMYFUNCTION("GOOGLETRANSLATE(A35,""en"",""ko"")"),"캄보디아")</f>
        <v>캄보디아</v>
      </c>
    </row>
    <row r="36">
      <c r="A36" s="1" t="str">
        <f>IFERROR(__xludf.DUMMYFUNCTION("""COMPUTED_VALUE"""),"Cameroon")</f>
        <v>Cameroon</v>
      </c>
      <c r="B36" s="1">
        <f>IFERROR(__xludf.DUMMYFUNCTION("""COMPUTED_VALUE"""),2.0)</f>
        <v>2</v>
      </c>
      <c r="C36" s="1" t="str">
        <f>IFERROR(__xludf.DUMMYFUNCTION("GOOGLETRANSLATE(A36,""en"",""ko"")"),"카메룬")</f>
        <v>카메룬</v>
      </c>
    </row>
    <row r="37">
      <c r="A37" s="1" t="str">
        <f>IFERROR(__xludf.DUMMYFUNCTION("""COMPUTED_VALUE"""),"Canada")</f>
        <v>Canada</v>
      </c>
      <c r="B37" s="1">
        <f>IFERROR(__xludf.DUMMYFUNCTION("""COMPUTED_VALUE"""),5.0)</f>
        <v>5</v>
      </c>
      <c r="C37" s="1" t="str">
        <f>IFERROR(__xludf.DUMMYFUNCTION("GOOGLETRANSLATE(A37,""en"",""ko"")"),"캐나다")</f>
        <v>캐나다</v>
      </c>
    </row>
    <row r="38">
      <c r="A38" s="1" t="str">
        <f>IFERROR(__xludf.DUMMYFUNCTION("""COMPUTED_VALUE"""),"Central African Republic")</f>
        <v>Central African Republic</v>
      </c>
      <c r="B38" s="1">
        <f>IFERROR(__xludf.DUMMYFUNCTION("""COMPUTED_VALUE"""),1.0)</f>
        <v>1</v>
      </c>
      <c r="C38" s="1" t="str">
        <f>IFERROR(__xludf.DUMMYFUNCTION("GOOGLETRANSLATE(A38,""en"",""ko"")"),"중앙아프리카 공화국")</f>
        <v>중앙아프리카 공화국</v>
      </c>
    </row>
    <row r="39">
      <c r="A39" s="1" t="str">
        <f>IFERROR(__xludf.DUMMYFUNCTION("""COMPUTED_VALUE"""),"Chad")</f>
        <v>Chad</v>
      </c>
      <c r="B39" s="1">
        <f>IFERROR(__xludf.DUMMYFUNCTION("""COMPUTED_VALUE"""),1.0)</f>
        <v>1</v>
      </c>
      <c r="C39" s="1" t="str">
        <f>IFERROR(__xludf.DUMMYFUNCTION("GOOGLETRANSLATE(A39,""en"",""ko"")"),"차드")</f>
        <v>차드</v>
      </c>
    </row>
    <row r="40">
      <c r="A40" s="1" t="str">
        <f>IFERROR(__xludf.DUMMYFUNCTION("""COMPUTED_VALUE"""),"Chile")</f>
        <v>Chile</v>
      </c>
      <c r="B40" s="1">
        <f>IFERROR(__xludf.DUMMYFUNCTION("""COMPUTED_VALUE"""),1.0)</f>
        <v>1</v>
      </c>
      <c r="C40" s="1" t="str">
        <f>IFERROR(__xludf.DUMMYFUNCTION("GOOGLETRANSLATE(A40,""en"",""ko"")"),"칠레")</f>
        <v>칠레</v>
      </c>
    </row>
    <row r="41">
      <c r="A41" s="1" t="str">
        <f>IFERROR(__xludf.DUMMYFUNCTION("""COMPUTED_VALUE"""),"China")</f>
        <v>China</v>
      </c>
      <c r="B41" s="1">
        <f>IFERROR(__xludf.DUMMYFUNCTION("""COMPUTED_VALUE"""),12.0)</f>
        <v>12</v>
      </c>
      <c r="C41" s="1" t="str">
        <f>IFERROR(__xludf.DUMMYFUNCTION("GOOGLETRANSLATE(A41,""en"",""ko"")"),"중국")</f>
        <v>중국</v>
      </c>
    </row>
    <row r="42">
      <c r="A42" s="1" t="str">
        <f>IFERROR(__xludf.DUMMYFUNCTION("""COMPUTED_VALUE"""),"Colombia")</f>
        <v>Colombia</v>
      </c>
      <c r="B42" s="1">
        <f>IFERROR(__xludf.DUMMYFUNCTION("""COMPUTED_VALUE"""),4.0)</f>
        <v>4</v>
      </c>
      <c r="C42" s="1" t="str">
        <f>IFERROR(__xludf.DUMMYFUNCTION("GOOGLETRANSLATE(A42,""en"",""ko"")"),"콜롬비아")</f>
        <v>콜롬비아</v>
      </c>
    </row>
    <row r="43">
      <c r="A43" s="1" t="str">
        <f>IFERROR(__xludf.DUMMYFUNCTION("""COMPUTED_VALUE"""),"Comoros")</f>
        <v>Comoros</v>
      </c>
      <c r="B43" s="1">
        <f>IFERROR(__xludf.DUMMYFUNCTION("""COMPUTED_VALUE"""),1.0)</f>
        <v>1</v>
      </c>
      <c r="C43" s="1" t="str">
        <f>IFERROR(__xludf.DUMMYFUNCTION("GOOGLETRANSLATE(A43,""en"",""ko"")"),"코모로")</f>
        <v>코모로</v>
      </c>
    </row>
    <row r="44">
      <c r="A44" s="1" t="str">
        <f>IFERROR(__xludf.DUMMYFUNCTION("""COMPUTED_VALUE"""),"Cook Islands")</f>
        <v>Cook Islands</v>
      </c>
      <c r="B44" s="1">
        <f>IFERROR(__xludf.DUMMYFUNCTION("""COMPUTED_VALUE"""),1.0)</f>
        <v>1</v>
      </c>
      <c r="C44" s="1" t="str">
        <f>IFERROR(__xludf.DUMMYFUNCTION("GOOGLETRANSLATE(A44,""en"",""ko"")"),"쿡 제도")</f>
        <v>쿡 제도</v>
      </c>
    </row>
    <row r="45">
      <c r="A45" s="1" t="str">
        <f>IFERROR(__xludf.DUMMYFUNCTION("""COMPUTED_VALUE"""),"Croatia")</f>
        <v>Croatia</v>
      </c>
      <c r="B45" s="1">
        <f>IFERROR(__xludf.DUMMYFUNCTION("""COMPUTED_VALUE"""),1.0)</f>
        <v>1</v>
      </c>
      <c r="C45" s="1" t="str">
        <f>IFERROR(__xludf.DUMMYFUNCTION("GOOGLETRANSLATE(A45,""en"",""ko"")"),"크로아티아")</f>
        <v>크로아티아</v>
      </c>
    </row>
    <row r="46">
      <c r="A46" s="1" t="str">
        <f>IFERROR(__xludf.DUMMYFUNCTION("""COMPUTED_VALUE"""),"Cuba")</f>
        <v>Cuba</v>
      </c>
      <c r="B46" s="1">
        <f>IFERROR(__xludf.DUMMYFUNCTION("""COMPUTED_VALUE"""),1.0)</f>
        <v>1</v>
      </c>
      <c r="C46" s="1" t="str">
        <f>IFERROR(__xludf.DUMMYFUNCTION("GOOGLETRANSLATE(A46,""en"",""ko"")"),"쿠바")</f>
        <v>쿠바</v>
      </c>
    </row>
    <row r="47">
      <c r="A47" s="1" t="str">
        <f>IFERROR(__xludf.DUMMYFUNCTION("""COMPUTED_VALUE"""),"Curacao")</f>
        <v>Curacao</v>
      </c>
      <c r="B47" s="1">
        <f>IFERROR(__xludf.DUMMYFUNCTION("""COMPUTED_VALUE"""),1.0)</f>
        <v>1</v>
      </c>
      <c r="C47" s="1" t="str">
        <f>IFERROR(__xludf.DUMMYFUNCTION("GOOGLETRANSLATE(A47,""en"",""ko"")"),"퀴라소")</f>
        <v>퀴라소</v>
      </c>
    </row>
    <row r="48">
      <c r="A48" s="1" t="str">
        <f>IFERROR(__xludf.DUMMYFUNCTION("""COMPUTED_VALUE"""),"Cyprus")</f>
        <v>Cyprus</v>
      </c>
      <c r="B48" s="1">
        <f>IFERROR(__xludf.DUMMYFUNCTION("""COMPUTED_VALUE"""),1.0)</f>
        <v>1</v>
      </c>
      <c r="C48" s="1" t="str">
        <f>IFERROR(__xludf.DUMMYFUNCTION("GOOGLETRANSLATE(A48,""en"",""ko"")"),"키프로스")</f>
        <v>키프로스</v>
      </c>
    </row>
    <row r="49">
      <c r="A49" s="1" t="str">
        <f>IFERROR(__xludf.DUMMYFUNCTION("""COMPUTED_VALUE"""),"Czechia")</f>
        <v>Czechia</v>
      </c>
      <c r="B49" s="1">
        <f>IFERROR(__xludf.DUMMYFUNCTION("""COMPUTED_VALUE"""),1.0)</f>
        <v>1</v>
      </c>
      <c r="C49" s="1" t="str">
        <f>IFERROR(__xludf.DUMMYFUNCTION("GOOGLETRANSLATE(A49,""en"",""ko"")"),"체코")</f>
        <v>체코</v>
      </c>
    </row>
    <row r="50">
      <c r="A50" s="1" t="str">
        <f>IFERROR(__xludf.DUMMYFUNCTION("""COMPUTED_VALUE"""),"Democratic Republic of the Congo")</f>
        <v>Democratic Republic of the Congo</v>
      </c>
      <c r="B50" s="1">
        <f>IFERROR(__xludf.DUMMYFUNCTION("""COMPUTED_VALUE"""),2.0)</f>
        <v>2</v>
      </c>
      <c r="C50" s="1" t="str">
        <f>IFERROR(__xludf.DUMMYFUNCTION("GOOGLETRANSLATE(A50,""en"",""ko"")"),"콩고 민주 공화국")</f>
        <v>콩고 민주 공화국</v>
      </c>
    </row>
    <row r="51">
      <c r="A51" s="1" t="str">
        <f>IFERROR(__xludf.DUMMYFUNCTION("""COMPUTED_VALUE"""),"Denmark")</f>
        <v>Denmark</v>
      </c>
      <c r="B51" s="1">
        <f>IFERROR(__xludf.DUMMYFUNCTION("""COMPUTED_VALUE"""),1.0)</f>
        <v>1</v>
      </c>
      <c r="C51" s="1" t="str">
        <f>IFERROR(__xludf.DUMMYFUNCTION("GOOGLETRANSLATE(A51,""en"",""ko"")"),"덴마크")</f>
        <v>덴마크</v>
      </c>
    </row>
    <row r="52">
      <c r="A52" s="1" t="str">
        <f>IFERROR(__xludf.DUMMYFUNCTION("""COMPUTED_VALUE"""),"Djibouti")</f>
        <v>Djibouti</v>
      </c>
      <c r="B52" s="1">
        <f>IFERROR(__xludf.DUMMYFUNCTION("""COMPUTED_VALUE"""),1.0)</f>
        <v>1</v>
      </c>
      <c r="C52" s="1" t="str">
        <f>IFERROR(__xludf.DUMMYFUNCTION("GOOGLETRANSLATE(A52,""en"",""ko"")"),"지부티")</f>
        <v>지부티</v>
      </c>
    </row>
    <row r="53">
      <c r="A53" s="1" t="str">
        <f>IFERROR(__xludf.DUMMYFUNCTION("""COMPUTED_VALUE"""),"Dominica")</f>
        <v>Dominica</v>
      </c>
      <c r="B53" s="1">
        <f>IFERROR(__xludf.DUMMYFUNCTION("""COMPUTED_VALUE"""),1.0)</f>
        <v>1</v>
      </c>
      <c r="C53" s="1" t="str">
        <f>IFERROR(__xludf.DUMMYFUNCTION("GOOGLETRANSLATE(A53,""en"",""ko"")"),"도미니카")</f>
        <v>도미니카</v>
      </c>
    </row>
    <row r="54">
      <c r="A54" s="1" t="str">
        <f>IFERROR(__xludf.DUMMYFUNCTION("""COMPUTED_VALUE"""),"Dominican Republic")</f>
        <v>Dominican Republic</v>
      </c>
      <c r="B54" s="1">
        <f>IFERROR(__xludf.DUMMYFUNCTION("""COMPUTED_VALUE"""),1.0)</f>
        <v>1</v>
      </c>
      <c r="C54" s="1" t="str">
        <f>IFERROR(__xludf.DUMMYFUNCTION("GOOGLETRANSLATE(A54,""en"",""ko"")"),"도미니카 공화국")</f>
        <v>도미니카 공화국</v>
      </c>
    </row>
    <row r="55">
      <c r="A55" s="1" t="str">
        <f>IFERROR(__xludf.DUMMYFUNCTION("""COMPUTED_VALUE"""),"Ecuador")</f>
        <v>Ecuador</v>
      </c>
      <c r="B55" s="1">
        <f>IFERROR(__xludf.DUMMYFUNCTION("""COMPUTED_VALUE"""),2.0)</f>
        <v>2</v>
      </c>
      <c r="C55" s="1" t="str">
        <f>IFERROR(__xludf.DUMMYFUNCTION("GOOGLETRANSLATE(A55,""en"",""ko"")"),"에콰도르")</f>
        <v>에콰도르</v>
      </c>
    </row>
    <row r="56">
      <c r="A56" s="1" t="str">
        <f>IFERROR(__xludf.DUMMYFUNCTION("""COMPUTED_VALUE"""),"Egypt")</f>
        <v>Egypt</v>
      </c>
      <c r="B56" s="1">
        <f>IFERROR(__xludf.DUMMYFUNCTION("""COMPUTED_VALUE"""),3.0)</f>
        <v>3</v>
      </c>
      <c r="C56" s="1" t="str">
        <f>IFERROR(__xludf.DUMMYFUNCTION("GOOGLETRANSLATE(A56,""en"",""ko"")"),"이집트")</f>
        <v>이집트</v>
      </c>
    </row>
    <row r="57">
      <c r="A57" s="1" t="str">
        <f>IFERROR(__xludf.DUMMYFUNCTION("""COMPUTED_VALUE"""),"El Salvador")</f>
        <v>El Salvador</v>
      </c>
      <c r="B57" s="1">
        <f>IFERROR(__xludf.DUMMYFUNCTION("""COMPUTED_VALUE"""),1.0)</f>
        <v>1</v>
      </c>
      <c r="C57" s="1" t="str">
        <f>IFERROR(__xludf.DUMMYFUNCTION("GOOGLETRANSLATE(A57,""en"",""ko"")"),"엘살바도르")</f>
        <v>엘살바도르</v>
      </c>
    </row>
    <row r="58">
      <c r="A58" s="1" t="str">
        <f>IFERROR(__xludf.DUMMYFUNCTION("""COMPUTED_VALUE"""),"Equatorial Guinea")</f>
        <v>Equatorial Guinea</v>
      </c>
      <c r="B58" s="1">
        <f>IFERROR(__xludf.DUMMYFUNCTION("""COMPUTED_VALUE"""),1.0)</f>
        <v>1</v>
      </c>
      <c r="C58" s="1" t="str">
        <f>IFERROR(__xludf.DUMMYFUNCTION("GOOGLETRANSLATE(A58,""en"",""ko"")"),"적도 기니")</f>
        <v>적도 기니</v>
      </c>
    </row>
    <row r="59">
      <c r="A59" s="1" t="str">
        <f>IFERROR(__xludf.DUMMYFUNCTION("""COMPUTED_VALUE"""),"Eritrea")</f>
        <v>Eritrea</v>
      </c>
      <c r="B59" s="1">
        <f>IFERROR(__xludf.DUMMYFUNCTION("""COMPUTED_VALUE"""),1.0)</f>
        <v>1</v>
      </c>
      <c r="C59" s="1" t="str">
        <f>IFERROR(__xludf.DUMMYFUNCTION("GOOGLETRANSLATE(A59,""en"",""ko"")"),"에리트레아")</f>
        <v>에리트레아</v>
      </c>
    </row>
    <row r="60">
      <c r="A60" s="1" t="str">
        <f>IFERROR(__xludf.DUMMYFUNCTION("""COMPUTED_VALUE"""),"Estonia")</f>
        <v>Estonia</v>
      </c>
      <c r="B60" s="1">
        <f>IFERROR(__xludf.DUMMYFUNCTION("""COMPUTED_VALUE"""),1.0)</f>
        <v>1</v>
      </c>
      <c r="C60" s="1" t="str">
        <f>IFERROR(__xludf.DUMMYFUNCTION("GOOGLETRANSLATE(A60,""en"",""ko"")"),"에스토니아")</f>
        <v>에스토니아</v>
      </c>
    </row>
    <row r="61">
      <c r="A61" s="1" t="str">
        <f>IFERROR(__xludf.DUMMYFUNCTION("""COMPUTED_VALUE"""),"Eswatini")</f>
        <v>Eswatini</v>
      </c>
      <c r="B61" s="1">
        <f>IFERROR(__xludf.DUMMYFUNCTION("""COMPUTED_VALUE"""),1.0)</f>
        <v>1</v>
      </c>
      <c r="C61" s="1" t="str">
        <f>IFERROR(__xludf.DUMMYFUNCTION("GOOGLETRANSLATE(A61,""en"",""ko"")"),"에스와티니")</f>
        <v>에스와티니</v>
      </c>
    </row>
    <row r="62">
      <c r="A62" s="1" t="str">
        <f>IFERROR(__xludf.DUMMYFUNCTION("""COMPUTED_VALUE"""),"Ethiopia")</f>
        <v>Ethiopia</v>
      </c>
      <c r="B62" s="1">
        <f>IFERROR(__xludf.DUMMYFUNCTION("""COMPUTED_VALUE"""),1.0)</f>
        <v>1</v>
      </c>
      <c r="C62" s="1" t="str">
        <f>IFERROR(__xludf.DUMMYFUNCTION("GOOGLETRANSLATE(A62,""en"",""ko"")"),"에티오피아")</f>
        <v>에티오피아</v>
      </c>
    </row>
    <row r="63">
      <c r="A63" s="1" t="str">
        <f>IFERROR(__xludf.DUMMYFUNCTION("""COMPUTED_VALUE"""),"Faroe Islands")</f>
        <v>Faroe Islands</v>
      </c>
      <c r="B63" s="1">
        <f>IFERROR(__xludf.DUMMYFUNCTION("""COMPUTED_VALUE"""),1.0)</f>
        <v>1</v>
      </c>
      <c r="C63" s="1" t="str">
        <f>IFERROR(__xludf.DUMMYFUNCTION("GOOGLETRANSLATE(A63,""en"",""ko"")"),"페로 제도")</f>
        <v>페로 제도</v>
      </c>
    </row>
    <row r="64">
      <c r="A64" s="1" t="str">
        <f>IFERROR(__xludf.DUMMYFUNCTION("""COMPUTED_VALUE"""),"Fiji")</f>
        <v>Fiji</v>
      </c>
      <c r="B64" s="1">
        <f>IFERROR(__xludf.DUMMYFUNCTION("""COMPUTED_VALUE"""),1.0)</f>
        <v>1</v>
      </c>
      <c r="C64" s="1" t="str">
        <f>IFERROR(__xludf.DUMMYFUNCTION("GOOGLETRANSLATE(A64,""en"",""ko"")"),"피지")</f>
        <v>피지</v>
      </c>
    </row>
    <row r="65">
      <c r="A65" s="1" t="str">
        <f>IFERROR(__xludf.DUMMYFUNCTION("""COMPUTED_VALUE"""),"Finland")</f>
        <v>Finland</v>
      </c>
      <c r="B65" s="1">
        <f>IFERROR(__xludf.DUMMYFUNCTION("""COMPUTED_VALUE"""),1.0)</f>
        <v>1</v>
      </c>
      <c r="C65" s="1" t="str">
        <f>IFERROR(__xludf.DUMMYFUNCTION("GOOGLETRANSLATE(A65,""en"",""ko"")"),"핀란드")</f>
        <v>핀란드</v>
      </c>
    </row>
    <row r="66">
      <c r="A66" s="1" t="str">
        <f>IFERROR(__xludf.DUMMYFUNCTION("""COMPUTED_VALUE"""),"France")</f>
        <v>France</v>
      </c>
      <c r="B66" s="1">
        <f>IFERROR(__xludf.DUMMYFUNCTION("""COMPUTED_VALUE"""),1.0)</f>
        <v>1</v>
      </c>
      <c r="C66" s="1" t="str">
        <f>IFERROR(__xludf.DUMMYFUNCTION("GOOGLETRANSLATE(A66,""en"",""ko"")"),"프랑스")</f>
        <v>프랑스</v>
      </c>
    </row>
    <row r="67">
      <c r="A67" s="1" t="str">
        <f>IFERROR(__xludf.DUMMYFUNCTION("""COMPUTED_VALUE"""),"French Guiana")</f>
        <v>French Guiana</v>
      </c>
      <c r="B67" s="1">
        <f>IFERROR(__xludf.DUMMYFUNCTION("""COMPUTED_VALUE"""),1.0)</f>
        <v>1</v>
      </c>
      <c r="C67" s="1" t="str">
        <f>IFERROR(__xludf.DUMMYFUNCTION("GOOGLETRANSLATE(A67,""en"",""ko"")"),"프랑스령 기아나")</f>
        <v>프랑스령 기아나</v>
      </c>
    </row>
    <row r="68">
      <c r="A68" s="1" t="str">
        <f>IFERROR(__xludf.DUMMYFUNCTION("""COMPUTED_VALUE"""),"French Polynesia")</f>
        <v>French Polynesia</v>
      </c>
      <c r="B68" s="1">
        <f>IFERROR(__xludf.DUMMYFUNCTION("""COMPUTED_VALUE"""),1.0)</f>
        <v>1</v>
      </c>
      <c r="C68" s="1" t="str">
        <f>IFERROR(__xludf.DUMMYFUNCTION("GOOGLETRANSLATE(A68,""en"",""ko"")"),"프랑스령 폴리네시아")</f>
        <v>프랑스령 폴리네시아</v>
      </c>
    </row>
    <row r="69">
      <c r="A69" s="1" t="str">
        <f>IFERROR(__xludf.DUMMYFUNCTION("""COMPUTED_VALUE"""),"Gabon")</f>
        <v>Gabon</v>
      </c>
      <c r="B69" s="1">
        <f>IFERROR(__xludf.DUMMYFUNCTION("""COMPUTED_VALUE"""),1.0)</f>
        <v>1</v>
      </c>
      <c r="C69" s="1" t="str">
        <f>IFERROR(__xludf.DUMMYFUNCTION("GOOGLETRANSLATE(A69,""en"",""ko"")"),"가봉")</f>
        <v>가봉</v>
      </c>
    </row>
    <row r="70">
      <c r="A70" s="1" t="str">
        <f>IFERROR(__xludf.DUMMYFUNCTION("""COMPUTED_VALUE"""),"Gambia")</f>
        <v>Gambia</v>
      </c>
      <c r="B70" s="1">
        <f>IFERROR(__xludf.DUMMYFUNCTION("""COMPUTED_VALUE"""),1.0)</f>
        <v>1</v>
      </c>
      <c r="C70" s="1" t="str">
        <f>IFERROR(__xludf.DUMMYFUNCTION("GOOGLETRANSLATE(A70,""en"",""ko"")"),"감비아")</f>
        <v>감비아</v>
      </c>
    </row>
    <row r="71">
      <c r="A71" s="1" t="str">
        <f>IFERROR(__xludf.DUMMYFUNCTION("""COMPUTED_VALUE"""),"Georgia")</f>
        <v>Georgia</v>
      </c>
      <c r="B71" s="1">
        <f>IFERROR(__xludf.DUMMYFUNCTION("""COMPUTED_VALUE"""),1.0)</f>
        <v>1</v>
      </c>
      <c r="C71" s="1" t="str">
        <f>IFERROR(__xludf.DUMMYFUNCTION("GOOGLETRANSLATE(A71,""en"",""ko"")"),"그루지야")</f>
        <v>그루지야</v>
      </c>
    </row>
    <row r="72">
      <c r="A72" s="1" t="str">
        <f>IFERROR(__xludf.DUMMYFUNCTION("""COMPUTED_VALUE"""),"Germany")</f>
        <v>Germany</v>
      </c>
      <c r="B72" s="1">
        <f>IFERROR(__xludf.DUMMYFUNCTION("""COMPUTED_VALUE"""),2.0)</f>
        <v>2</v>
      </c>
      <c r="C72" s="1" t="str">
        <f>IFERROR(__xludf.DUMMYFUNCTION("GOOGLETRANSLATE(A72,""en"",""ko"")"),"독일")</f>
        <v>독일</v>
      </c>
    </row>
    <row r="73">
      <c r="A73" s="1" t="str">
        <f>IFERROR(__xludf.DUMMYFUNCTION("""COMPUTED_VALUE"""),"Ghana")</f>
        <v>Ghana</v>
      </c>
      <c r="B73" s="1">
        <f>IFERROR(__xludf.DUMMYFUNCTION("""COMPUTED_VALUE"""),2.0)</f>
        <v>2</v>
      </c>
      <c r="C73" s="1" t="str">
        <f>IFERROR(__xludf.DUMMYFUNCTION("GOOGLETRANSLATE(A73,""en"",""ko"")"),"가나")</f>
        <v>가나</v>
      </c>
    </row>
    <row r="74">
      <c r="A74" s="1" t="str">
        <f>IFERROR(__xludf.DUMMYFUNCTION("""COMPUTED_VALUE"""),"Gibraltar")</f>
        <v>Gibraltar</v>
      </c>
      <c r="B74" s="1">
        <f>IFERROR(__xludf.DUMMYFUNCTION("""COMPUTED_VALUE"""),1.0)</f>
        <v>1</v>
      </c>
      <c r="C74" s="1" t="str">
        <f>IFERROR(__xludf.DUMMYFUNCTION("GOOGLETRANSLATE(A74,""en"",""ko"")"),"지브롤터")</f>
        <v>지브롤터</v>
      </c>
    </row>
    <row r="75">
      <c r="A75" s="1" t="str">
        <f>IFERROR(__xludf.DUMMYFUNCTION("""COMPUTED_VALUE"""),"Greece")</f>
        <v>Greece</v>
      </c>
      <c r="B75" s="1">
        <f>IFERROR(__xludf.DUMMYFUNCTION("""COMPUTED_VALUE"""),1.0)</f>
        <v>1</v>
      </c>
      <c r="C75" s="1" t="str">
        <f>IFERROR(__xludf.DUMMYFUNCTION("GOOGLETRANSLATE(A75,""en"",""ko"")"),"그리스")</f>
        <v>그리스</v>
      </c>
    </row>
    <row r="76">
      <c r="A76" s="1" t="str">
        <f>IFERROR(__xludf.DUMMYFUNCTION("""COMPUTED_VALUE"""),"Greenland")</f>
        <v>Greenland</v>
      </c>
      <c r="B76" s="1">
        <f>IFERROR(__xludf.DUMMYFUNCTION("""COMPUTED_VALUE"""),1.0)</f>
        <v>1</v>
      </c>
      <c r="C76" s="1" t="str">
        <f>IFERROR(__xludf.DUMMYFUNCTION("GOOGLETRANSLATE(A76,""en"",""ko"")"),"그린란드")</f>
        <v>그린란드</v>
      </c>
    </row>
    <row r="77">
      <c r="A77" s="1" t="str">
        <f>IFERROR(__xludf.DUMMYFUNCTION("""COMPUTED_VALUE"""),"Grenada")</f>
        <v>Grenada</v>
      </c>
      <c r="B77" s="1">
        <f>IFERROR(__xludf.DUMMYFUNCTION("""COMPUTED_VALUE"""),1.0)</f>
        <v>1</v>
      </c>
      <c r="C77" s="1" t="str">
        <f>IFERROR(__xludf.DUMMYFUNCTION("GOOGLETRANSLATE(A77,""en"",""ko"")"),"그레나다")</f>
        <v>그레나다</v>
      </c>
    </row>
    <row r="78">
      <c r="A78" s="1" t="str">
        <f>IFERROR(__xludf.DUMMYFUNCTION("""COMPUTED_VALUE"""),"Guadeloupe")</f>
        <v>Guadeloupe</v>
      </c>
      <c r="B78" s="1">
        <f>IFERROR(__xludf.DUMMYFUNCTION("""COMPUTED_VALUE"""),1.0)</f>
        <v>1</v>
      </c>
      <c r="C78" s="1" t="str">
        <f>IFERROR(__xludf.DUMMYFUNCTION("GOOGLETRANSLATE(A78,""en"",""ko"")"),"과들루프")</f>
        <v>과들루프</v>
      </c>
    </row>
    <row r="79">
      <c r="A79" s="1" t="str">
        <f>IFERROR(__xludf.DUMMYFUNCTION("""COMPUTED_VALUE"""),"Guatemala")</f>
        <v>Guatemala</v>
      </c>
      <c r="B79" s="1">
        <f>IFERROR(__xludf.DUMMYFUNCTION("""COMPUTED_VALUE"""),1.0)</f>
        <v>1</v>
      </c>
      <c r="C79" s="1" t="str">
        <f>IFERROR(__xludf.DUMMYFUNCTION("GOOGLETRANSLATE(A79,""en"",""ko"")"),"과테말라")</f>
        <v>과테말라</v>
      </c>
    </row>
    <row r="80">
      <c r="A80" s="1" t="str">
        <f>IFERROR(__xludf.DUMMYFUNCTION("""COMPUTED_VALUE"""),"Guernsey")</f>
        <v>Guernsey</v>
      </c>
      <c r="B80" s="1">
        <f>IFERROR(__xludf.DUMMYFUNCTION("""COMPUTED_VALUE"""),1.0)</f>
        <v>1</v>
      </c>
      <c r="C80" s="1" t="str">
        <f>IFERROR(__xludf.DUMMYFUNCTION("GOOGLETRANSLATE(A80,""en"",""ko"")"),"건지섬")</f>
        <v>건지섬</v>
      </c>
    </row>
    <row r="81">
      <c r="A81" s="1" t="str">
        <f>IFERROR(__xludf.DUMMYFUNCTION("""COMPUTED_VALUE"""),"Guinea")</f>
        <v>Guinea</v>
      </c>
      <c r="B81" s="1">
        <f>IFERROR(__xludf.DUMMYFUNCTION("""COMPUTED_VALUE"""),2.0)</f>
        <v>2</v>
      </c>
      <c r="C81" s="1" t="str">
        <f>IFERROR(__xludf.DUMMYFUNCTION("GOOGLETRANSLATE(A81,""en"",""ko"")"),"기니")</f>
        <v>기니</v>
      </c>
    </row>
    <row r="82">
      <c r="A82" s="1" t="str">
        <f>IFERROR(__xludf.DUMMYFUNCTION("""COMPUTED_VALUE"""),"Guinea-Bissau")</f>
        <v>Guinea-Bissau</v>
      </c>
      <c r="B82" s="1">
        <f>IFERROR(__xludf.DUMMYFUNCTION("""COMPUTED_VALUE"""),1.0)</f>
        <v>1</v>
      </c>
      <c r="C82" s="1" t="str">
        <f>IFERROR(__xludf.DUMMYFUNCTION("GOOGLETRANSLATE(A82,""en"",""ko"")"),"기니비사우")</f>
        <v>기니비사우</v>
      </c>
    </row>
    <row r="83">
      <c r="A83" s="1" t="str">
        <f>IFERROR(__xludf.DUMMYFUNCTION("""COMPUTED_VALUE"""),"Guyana")</f>
        <v>Guyana</v>
      </c>
      <c r="B83" s="1">
        <f>IFERROR(__xludf.DUMMYFUNCTION("""COMPUTED_VALUE"""),1.0)</f>
        <v>1</v>
      </c>
      <c r="C83" s="1" t="str">
        <f>IFERROR(__xludf.DUMMYFUNCTION("GOOGLETRANSLATE(A83,""en"",""ko"")"),"가이아나")</f>
        <v>가이아나</v>
      </c>
    </row>
    <row r="84">
      <c r="A84" s="1" t="str">
        <f>IFERROR(__xludf.DUMMYFUNCTION("""COMPUTED_VALUE"""),"Haiti")</f>
        <v>Haiti</v>
      </c>
      <c r="B84" s="1">
        <f>IFERROR(__xludf.DUMMYFUNCTION("""COMPUTED_VALUE"""),1.0)</f>
        <v>1</v>
      </c>
      <c r="C84" s="1" t="str">
        <f>IFERROR(__xludf.DUMMYFUNCTION("GOOGLETRANSLATE(A84,""en"",""ko"")"),"아이티")</f>
        <v>아이티</v>
      </c>
    </row>
    <row r="85">
      <c r="A85" s="1" t="str">
        <f>IFERROR(__xludf.DUMMYFUNCTION("""COMPUTED_VALUE"""),"Honduras")</f>
        <v>Honduras</v>
      </c>
      <c r="B85" s="1">
        <f>IFERROR(__xludf.DUMMYFUNCTION("""COMPUTED_VALUE"""),1.0)</f>
        <v>1</v>
      </c>
      <c r="C85" s="1" t="str">
        <f>IFERROR(__xludf.DUMMYFUNCTION("GOOGLETRANSLATE(A85,""en"",""ko"")"),"온두라스")</f>
        <v>온두라스</v>
      </c>
    </row>
    <row r="86">
      <c r="A86" s="1" t="str">
        <f>IFERROR(__xludf.DUMMYFUNCTION("""COMPUTED_VALUE"""),"Hong Kong")</f>
        <v>Hong Kong</v>
      </c>
      <c r="B86" s="1">
        <f>IFERROR(__xludf.DUMMYFUNCTION("""COMPUTED_VALUE"""),2.0)</f>
        <v>2</v>
      </c>
      <c r="C86" s="1" t="str">
        <f>IFERROR(__xludf.DUMMYFUNCTION("GOOGLETRANSLATE(A86,""en"",""ko"")"),"홍콩")</f>
        <v>홍콩</v>
      </c>
    </row>
    <row r="87">
      <c r="A87" s="1" t="str">
        <f>IFERROR(__xludf.DUMMYFUNCTION("""COMPUTED_VALUE"""),"Hungary")</f>
        <v>Hungary</v>
      </c>
      <c r="B87" s="1">
        <f>IFERROR(__xludf.DUMMYFUNCTION("""COMPUTED_VALUE"""),1.0)</f>
        <v>1</v>
      </c>
      <c r="C87" s="1" t="str">
        <f>IFERROR(__xludf.DUMMYFUNCTION("GOOGLETRANSLATE(A87,""en"",""ko"")"),"헝가리")</f>
        <v>헝가리</v>
      </c>
    </row>
    <row r="88">
      <c r="A88" s="1" t="str">
        <f>IFERROR(__xludf.DUMMYFUNCTION("""COMPUTED_VALUE"""),"Iceland")</f>
        <v>Iceland</v>
      </c>
      <c r="B88" s="1">
        <f>IFERROR(__xludf.DUMMYFUNCTION("""COMPUTED_VALUE"""),1.0)</f>
        <v>1</v>
      </c>
      <c r="C88" s="1" t="str">
        <f>IFERROR(__xludf.DUMMYFUNCTION("GOOGLETRANSLATE(A88,""en"",""ko"")"),"아이슬란드")</f>
        <v>아이슬란드</v>
      </c>
    </row>
    <row r="89">
      <c r="A89" s="1" t="str">
        <f>IFERROR(__xludf.DUMMYFUNCTION("""COMPUTED_VALUE"""),"India")</f>
        <v>India</v>
      </c>
      <c r="B89" s="1">
        <f>IFERROR(__xludf.DUMMYFUNCTION("""COMPUTED_VALUE"""),11.0)</f>
        <v>11</v>
      </c>
      <c r="C89" s="1" t="str">
        <f>IFERROR(__xludf.DUMMYFUNCTION("GOOGLETRANSLATE(A89,""en"",""ko"")"),"인도")</f>
        <v>인도</v>
      </c>
    </row>
    <row r="90">
      <c r="A90" s="1" t="str">
        <f>IFERROR(__xludf.DUMMYFUNCTION("""COMPUTED_VALUE"""),"Indonesia")</f>
        <v>Indonesia</v>
      </c>
      <c r="B90" s="1">
        <f>IFERROR(__xludf.DUMMYFUNCTION("""COMPUTED_VALUE"""),11.0)</f>
        <v>11</v>
      </c>
      <c r="C90" s="1" t="str">
        <f>IFERROR(__xludf.DUMMYFUNCTION("GOOGLETRANSLATE(A90,""en"",""ko"")"),"인도네시아 공화국")</f>
        <v>인도네시아 공화국</v>
      </c>
    </row>
    <row r="91">
      <c r="A91" s="1" t="str">
        <f>IFERROR(__xludf.DUMMYFUNCTION("""COMPUTED_VALUE"""),"Iran")</f>
        <v>Iran</v>
      </c>
      <c r="B91" s="1">
        <f>IFERROR(__xludf.DUMMYFUNCTION("""COMPUTED_VALUE"""),5.0)</f>
        <v>5</v>
      </c>
      <c r="C91" s="1" t="str">
        <f>IFERROR(__xludf.DUMMYFUNCTION("GOOGLETRANSLATE(A91,""en"",""ko"")"),"이란")</f>
        <v>이란</v>
      </c>
    </row>
    <row r="92">
      <c r="A92" s="1" t="str">
        <f>IFERROR(__xludf.DUMMYFUNCTION("""COMPUTED_VALUE"""),"Iraq")</f>
        <v>Iraq</v>
      </c>
      <c r="B92" s="1">
        <f>IFERROR(__xludf.DUMMYFUNCTION("""COMPUTED_VALUE"""),3.0)</f>
        <v>3</v>
      </c>
      <c r="C92" s="1" t="str">
        <f>IFERROR(__xludf.DUMMYFUNCTION("GOOGLETRANSLATE(A92,""en"",""ko"")"),"이라크")</f>
        <v>이라크</v>
      </c>
    </row>
    <row r="93">
      <c r="A93" s="1" t="str">
        <f>IFERROR(__xludf.DUMMYFUNCTION("""COMPUTED_VALUE"""),"Ireland")</f>
        <v>Ireland</v>
      </c>
      <c r="B93" s="1">
        <f>IFERROR(__xludf.DUMMYFUNCTION("""COMPUTED_VALUE"""),1.0)</f>
        <v>1</v>
      </c>
      <c r="C93" s="1" t="str">
        <f>IFERROR(__xludf.DUMMYFUNCTION("GOOGLETRANSLATE(A93,""en"",""ko"")"),"아일랜드")</f>
        <v>아일랜드</v>
      </c>
    </row>
    <row r="94">
      <c r="A94" s="1" t="str">
        <f>IFERROR(__xludf.DUMMYFUNCTION("""COMPUTED_VALUE"""),"Isle of Man")</f>
        <v>Isle of Man</v>
      </c>
      <c r="B94" s="1">
        <f>IFERROR(__xludf.DUMMYFUNCTION("""COMPUTED_VALUE"""),1.0)</f>
        <v>1</v>
      </c>
      <c r="C94" s="1" t="str">
        <f>IFERROR(__xludf.DUMMYFUNCTION("GOOGLETRANSLATE(A94,""en"",""ko"")"),"맨 섬")</f>
        <v>맨 섬</v>
      </c>
    </row>
    <row r="95">
      <c r="A95" s="1" t="str">
        <f>IFERROR(__xludf.DUMMYFUNCTION("""COMPUTED_VALUE"""),"Israel")</f>
        <v>Israel</v>
      </c>
      <c r="B95" s="1">
        <f>IFERROR(__xludf.DUMMYFUNCTION("""COMPUTED_VALUE"""),2.0)</f>
        <v>2</v>
      </c>
      <c r="C95" s="1" t="str">
        <f>IFERROR(__xludf.DUMMYFUNCTION("GOOGLETRANSLATE(A95,""en"",""ko"")"),"이스라엘")</f>
        <v>이스라엘</v>
      </c>
    </row>
    <row r="96">
      <c r="A96" s="1" t="str">
        <f>IFERROR(__xludf.DUMMYFUNCTION("""COMPUTED_VALUE"""),"Italy")</f>
        <v>Italy</v>
      </c>
      <c r="B96" s="1">
        <f>IFERROR(__xludf.DUMMYFUNCTION("""COMPUTED_VALUE"""),1.0)</f>
        <v>1</v>
      </c>
      <c r="C96" s="1" t="str">
        <f>IFERROR(__xludf.DUMMYFUNCTION("GOOGLETRANSLATE(A96,""en"",""ko"")"),"이탈리아")</f>
        <v>이탈리아</v>
      </c>
    </row>
    <row r="97">
      <c r="A97" s="1" t="str">
        <f>IFERROR(__xludf.DUMMYFUNCTION("""COMPUTED_VALUE"""),"Ivory Coast")</f>
        <v>Ivory Coast</v>
      </c>
      <c r="B97" s="1">
        <f>IFERROR(__xludf.DUMMYFUNCTION("""COMPUTED_VALUE"""),2.0)</f>
        <v>2</v>
      </c>
      <c r="C97" s="1" t="str">
        <f>IFERROR(__xludf.DUMMYFUNCTION("GOOGLETRANSLATE(A97,""en"",""ko"")"),"상아 해안")</f>
        <v>상아 해안</v>
      </c>
    </row>
    <row r="98">
      <c r="A98" s="1" t="str">
        <f>IFERROR(__xludf.DUMMYFUNCTION("""COMPUTED_VALUE"""),"Jamaica")</f>
        <v>Jamaica</v>
      </c>
      <c r="B98" s="1">
        <f>IFERROR(__xludf.DUMMYFUNCTION("""COMPUTED_VALUE"""),1.0)</f>
        <v>1</v>
      </c>
      <c r="C98" s="1" t="str">
        <f>IFERROR(__xludf.DUMMYFUNCTION("GOOGLETRANSLATE(A98,""en"",""ko"")"),"자메이카")</f>
        <v>자메이카</v>
      </c>
    </row>
    <row r="99">
      <c r="A99" s="1" t="str">
        <f>IFERROR(__xludf.DUMMYFUNCTION("""COMPUTED_VALUE"""),"Japan")</f>
        <v>Japan</v>
      </c>
      <c r="B99" s="1">
        <f>IFERROR(__xludf.DUMMYFUNCTION("""COMPUTED_VALUE"""),9.0)</f>
        <v>9</v>
      </c>
      <c r="C99" s="1" t="str">
        <f>IFERROR(__xludf.DUMMYFUNCTION("GOOGLETRANSLATE(A99,""en"",""ko"")"),"일본")</f>
        <v>일본</v>
      </c>
    </row>
    <row r="100">
      <c r="A100" s="1" t="str">
        <f>IFERROR(__xludf.DUMMYFUNCTION("""COMPUTED_VALUE"""),"Jersey")</f>
        <v>Jersey</v>
      </c>
      <c r="B100" s="1">
        <f>IFERROR(__xludf.DUMMYFUNCTION("""COMPUTED_VALUE"""),1.0)</f>
        <v>1</v>
      </c>
      <c r="C100" s="1" t="str">
        <f>IFERROR(__xludf.DUMMYFUNCTION("GOOGLETRANSLATE(A100,""en"",""ko"")"),"저지")</f>
        <v>저지</v>
      </c>
    </row>
    <row r="101">
      <c r="A101" s="1" t="str">
        <f>IFERROR(__xludf.DUMMYFUNCTION("""COMPUTED_VALUE"""),"Jordan")</f>
        <v>Jordan</v>
      </c>
      <c r="B101" s="1">
        <f>IFERROR(__xludf.DUMMYFUNCTION("""COMPUTED_VALUE"""),1.0)</f>
        <v>1</v>
      </c>
      <c r="C101" s="1" t="str">
        <f>IFERROR(__xludf.DUMMYFUNCTION("GOOGLETRANSLATE(A101,""en"",""ko"")"),"요르단")</f>
        <v>요르단</v>
      </c>
    </row>
    <row r="102">
      <c r="A102" s="1" t="str">
        <f>IFERROR(__xludf.DUMMYFUNCTION("""COMPUTED_VALUE"""),"Kazakhstan")</f>
        <v>Kazakhstan</v>
      </c>
      <c r="B102" s="1">
        <f>IFERROR(__xludf.DUMMYFUNCTION("""COMPUTED_VALUE"""),2.0)</f>
        <v>2</v>
      </c>
      <c r="C102" s="1" t="str">
        <f>IFERROR(__xludf.DUMMYFUNCTION("GOOGLETRANSLATE(A102,""en"",""ko"")"),"카자흐스탄")</f>
        <v>카자흐스탄</v>
      </c>
    </row>
    <row r="103">
      <c r="A103" s="1" t="str">
        <f>IFERROR(__xludf.DUMMYFUNCTION("""COMPUTED_VALUE"""),"Kenya")</f>
        <v>Kenya</v>
      </c>
      <c r="B103" s="1">
        <f>IFERROR(__xludf.DUMMYFUNCTION("""COMPUTED_VALUE"""),1.0)</f>
        <v>1</v>
      </c>
      <c r="C103" s="1" t="str">
        <f>IFERROR(__xludf.DUMMYFUNCTION("GOOGLETRANSLATE(A103,""en"",""ko"")"),"케냐")</f>
        <v>케냐</v>
      </c>
    </row>
    <row r="104">
      <c r="A104" s="1" t="str">
        <f>IFERROR(__xludf.DUMMYFUNCTION("""COMPUTED_VALUE"""),"Kiribati")</f>
        <v>Kiribati</v>
      </c>
      <c r="B104" s="1">
        <f>IFERROR(__xludf.DUMMYFUNCTION("""COMPUTED_VALUE"""),1.0)</f>
        <v>1</v>
      </c>
      <c r="C104" s="1" t="str">
        <f>IFERROR(__xludf.DUMMYFUNCTION("GOOGLETRANSLATE(A104,""en"",""ko"")"),"키리바시")</f>
        <v>키리바시</v>
      </c>
    </row>
    <row r="105">
      <c r="A105" s="1" t="str">
        <f>IFERROR(__xludf.DUMMYFUNCTION("""COMPUTED_VALUE"""),"Kosovo")</f>
        <v>Kosovo</v>
      </c>
      <c r="B105" s="1">
        <f>IFERROR(__xludf.DUMMYFUNCTION("""COMPUTED_VALUE"""),1.0)</f>
        <v>1</v>
      </c>
      <c r="C105" s="1" t="str">
        <f>IFERROR(__xludf.DUMMYFUNCTION("GOOGLETRANSLATE(A105,""en"",""ko"")"),"코소보")</f>
        <v>코소보</v>
      </c>
    </row>
    <row r="106">
      <c r="A106" s="1" t="str">
        <f>IFERROR(__xludf.DUMMYFUNCTION("""COMPUTED_VALUE"""),"Kuwait")</f>
        <v>Kuwait</v>
      </c>
      <c r="B106" s="1">
        <f>IFERROR(__xludf.DUMMYFUNCTION("""COMPUTED_VALUE"""),1.0)</f>
        <v>1</v>
      </c>
      <c r="C106" s="1" t="str">
        <f>IFERROR(__xludf.DUMMYFUNCTION("GOOGLETRANSLATE(A106,""en"",""ko"")"),"쿠웨이트")</f>
        <v>쿠웨이트</v>
      </c>
    </row>
    <row r="107">
      <c r="A107" s="1" t="str">
        <f>IFERROR(__xludf.DUMMYFUNCTION("""COMPUTED_VALUE"""),"Kyrgyzstan")</f>
        <v>Kyrgyzstan</v>
      </c>
      <c r="B107" s="1">
        <f>IFERROR(__xludf.DUMMYFUNCTION("""COMPUTED_VALUE"""),1.0)</f>
        <v>1</v>
      </c>
      <c r="C107" s="1" t="str">
        <f>IFERROR(__xludf.DUMMYFUNCTION("GOOGLETRANSLATE(A107,""en"",""ko"")"),"키르기스스탄")</f>
        <v>키르기스스탄</v>
      </c>
    </row>
    <row r="108">
      <c r="A108" s="1" t="str">
        <f>IFERROR(__xludf.DUMMYFUNCTION("""COMPUTED_VALUE"""),"Laos")</f>
        <v>Laos</v>
      </c>
      <c r="B108" s="1">
        <f>IFERROR(__xludf.DUMMYFUNCTION("""COMPUTED_VALUE"""),1.0)</f>
        <v>1</v>
      </c>
      <c r="C108" s="1" t="str">
        <f>IFERROR(__xludf.DUMMYFUNCTION("GOOGLETRANSLATE(A108,""en"",""ko"")"),"라오스")</f>
        <v>라오스</v>
      </c>
    </row>
    <row r="109">
      <c r="A109" s="1" t="str">
        <f>IFERROR(__xludf.DUMMYFUNCTION("""COMPUTED_VALUE"""),"Latvia")</f>
        <v>Latvia</v>
      </c>
      <c r="B109" s="1">
        <f>IFERROR(__xludf.DUMMYFUNCTION("""COMPUTED_VALUE"""),1.0)</f>
        <v>1</v>
      </c>
      <c r="C109" s="1" t="str">
        <f>IFERROR(__xludf.DUMMYFUNCTION("GOOGLETRANSLATE(A109,""en"",""ko"")"),"라트비아")</f>
        <v>라트비아</v>
      </c>
    </row>
    <row r="110">
      <c r="A110" s="1" t="str">
        <f>IFERROR(__xludf.DUMMYFUNCTION("""COMPUTED_VALUE"""),"Lebanon")</f>
        <v>Lebanon</v>
      </c>
      <c r="B110" s="1">
        <f>IFERROR(__xludf.DUMMYFUNCTION("""COMPUTED_VALUE"""),1.0)</f>
        <v>1</v>
      </c>
      <c r="C110" s="1" t="str">
        <f>IFERROR(__xludf.DUMMYFUNCTION("GOOGLETRANSLATE(A110,""en"",""ko"")"),"레바논")</f>
        <v>레바논</v>
      </c>
    </row>
    <row r="111">
      <c r="A111" s="1" t="str">
        <f>IFERROR(__xludf.DUMMYFUNCTION("""COMPUTED_VALUE"""),"Lesotho")</f>
        <v>Lesotho</v>
      </c>
      <c r="B111" s="1">
        <f>IFERROR(__xludf.DUMMYFUNCTION("""COMPUTED_VALUE"""),1.0)</f>
        <v>1</v>
      </c>
      <c r="C111" s="1" t="str">
        <f>IFERROR(__xludf.DUMMYFUNCTION("GOOGLETRANSLATE(A111,""en"",""ko"")"),"레소토")</f>
        <v>레소토</v>
      </c>
    </row>
    <row r="112">
      <c r="A112" s="1" t="str">
        <f>IFERROR(__xludf.DUMMYFUNCTION("""COMPUTED_VALUE"""),"Liberia")</f>
        <v>Liberia</v>
      </c>
      <c r="B112" s="1">
        <f>IFERROR(__xludf.DUMMYFUNCTION("""COMPUTED_VALUE"""),1.0)</f>
        <v>1</v>
      </c>
      <c r="C112" s="1" t="str">
        <f>IFERROR(__xludf.DUMMYFUNCTION("GOOGLETRANSLATE(A112,""en"",""ko"")"),"라이베리아")</f>
        <v>라이베리아</v>
      </c>
    </row>
    <row r="113">
      <c r="A113" s="1" t="str">
        <f>IFERROR(__xludf.DUMMYFUNCTION("""COMPUTED_VALUE"""),"Libya")</f>
        <v>Libya</v>
      </c>
      <c r="B113" s="1">
        <f>IFERROR(__xludf.DUMMYFUNCTION("""COMPUTED_VALUE"""),1.0)</f>
        <v>1</v>
      </c>
      <c r="C113" s="1" t="str">
        <f>IFERROR(__xludf.DUMMYFUNCTION("GOOGLETRANSLATE(A113,""en"",""ko"")"),"리비아")</f>
        <v>리비아</v>
      </c>
    </row>
    <row r="114">
      <c r="A114" s="1" t="str">
        <f>IFERROR(__xludf.DUMMYFUNCTION("""COMPUTED_VALUE"""),"Liechtenstein")</f>
        <v>Liechtenstein</v>
      </c>
      <c r="B114" s="1">
        <f>IFERROR(__xludf.DUMMYFUNCTION("""COMPUTED_VALUE"""),1.0)</f>
        <v>1</v>
      </c>
      <c r="C114" s="1" t="str">
        <f>IFERROR(__xludf.DUMMYFUNCTION("GOOGLETRANSLATE(A114,""en"",""ko"")"),"리히텐슈타인")</f>
        <v>리히텐슈타인</v>
      </c>
    </row>
    <row r="115">
      <c r="A115" s="1" t="str">
        <f>IFERROR(__xludf.DUMMYFUNCTION("""COMPUTED_VALUE"""),"Lithuania")</f>
        <v>Lithuania</v>
      </c>
      <c r="B115" s="1">
        <f>IFERROR(__xludf.DUMMYFUNCTION("""COMPUTED_VALUE"""),1.0)</f>
        <v>1</v>
      </c>
      <c r="C115" s="1" t="str">
        <f>IFERROR(__xludf.DUMMYFUNCTION("GOOGLETRANSLATE(A115,""en"",""ko"")"),"리투아니아")</f>
        <v>리투아니아</v>
      </c>
    </row>
    <row r="116">
      <c r="A116" s="1" t="str">
        <f>IFERROR(__xludf.DUMMYFUNCTION("""COMPUTED_VALUE"""),"Luxembourg")</f>
        <v>Luxembourg</v>
      </c>
      <c r="B116" s="1">
        <f>IFERROR(__xludf.DUMMYFUNCTION("""COMPUTED_VALUE"""),1.0)</f>
        <v>1</v>
      </c>
      <c r="C116" s="1" t="str">
        <f>IFERROR(__xludf.DUMMYFUNCTION("GOOGLETRANSLATE(A116,""en"",""ko"")"),"룩셈부르크")</f>
        <v>룩셈부르크</v>
      </c>
    </row>
    <row r="117">
      <c r="A117" s="1" t="str">
        <f>IFERROR(__xludf.DUMMYFUNCTION("""COMPUTED_VALUE"""),"Macao")</f>
        <v>Macao</v>
      </c>
      <c r="B117" s="1">
        <f>IFERROR(__xludf.DUMMYFUNCTION("""COMPUTED_VALUE"""),1.0)</f>
        <v>1</v>
      </c>
      <c r="C117" s="1" t="str">
        <f>IFERROR(__xludf.DUMMYFUNCTION("GOOGLETRANSLATE(A117,""en"",""ko"")"),"마카오")</f>
        <v>마카오</v>
      </c>
    </row>
    <row r="118">
      <c r="A118" s="1" t="str">
        <f>IFERROR(__xludf.DUMMYFUNCTION("""COMPUTED_VALUE"""),"Madagascar")</f>
        <v>Madagascar</v>
      </c>
      <c r="B118" s="1">
        <f>IFERROR(__xludf.DUMMYFUNCTION("""COMPUTED_VALUE"""),1.0)</f>
        <v>1</v>
      </c>
      <c r="C118" s="1" t="str">
        <f>IFERROR(__xludf.DUMMYFUNCTION("GOOGLETRANSLATE(A118,""en"",""ko"")"),"마다가스카르")</f>
        <v>마다가스카르</v>
      </c>
    </row>
    <row r="119">
      <c r="A119" s="1" t="str">
        <f>IFERROR(__xludf.DUMMYFUNCTION("""COMPUTED_VALUE"""),"Malawi")</f>
        <v>Malawi</v>
      </c>
      <c r="B119" s="1">
        <f>IFERROR(__xludf.DUMMYFUNCTION("""COMPUTED_VALUE"""),1.0)</f>
        <v>1</v>
      </c>
      <c r="C119" s="1" t="str">
        <f>IFERROR(__xludf.DUMMYFUNCTION("GOOGLETRANSLATE(A119,""en"",""ko"")"),"말라위")</f>
        <v>말라위</v>
      </c>
    </row>
    <row r="120">
      <c r="A120" s="1" t="str">
        <f>IFERROR(__xludf.DUMMYFUNCTION("""COMPUTED_VALUE"""),"Malaysia")</f>
        <v>Malaysia</v>
      </c>
      <c r="B120" s="1">
        <f>IFERROR(__xludf.DUMMYFUNCTION("""COMPUTED_VALUE"""),3.0)</f>
        <v>3</v>
      </c>
      <c r="C120" s="1" t="str">
        <f>IFERROR(__xludf.DUMMYFUNCTION("GOOGLETRANSLATE(A120,""en"",""ko"")"),"말레이시아")</f>
        <v>말레이시아</v>
      </c>
    </row>
    <row r="121">
      <c r="A121" s="1" t="str">
        <f>IFERROR(__xludf.DUMMYFUNCTION("""COMPUTED_VALUE"""),"Maldives")</f>
        <v>Maldives</v>
      </c>
      <c r="B121" s="1">
        <f>IFERROR(__xludf.DUMMYFUNCTION("""COMPUTED_VALUE"""),1.0)</f>
        <v>1</v>
      </c>
      <c r="C121" s="1" t="str">
        <f>IFERROR(__xludf.DUMMYFUNCTION("GOOGLETRANSLATE(A121,""en"",""ko"")"),"몰디브")</f>
        <v>몰디브</v>
      </c>
    </row>
    <row r="122">
      <c r="A122" s="1" t="str">
        <f>IFERROR(__xludf.DUMMYFUNCTION("""COMPUTED_VALUE"""),"Mali")</f>
        <v>Mali</v>
      </c>
      <c r="B122" s="1">
        <f>IFERROR(__xludf.DUMMYFUNCTION("""COMPUTED_VALUE"""),1.0)</f>
        <v>1</v>
      </c>
      <c r="C122" s="1" t="str">
        <f>IFERROR(__xludf.DUMMYFUNCTION("GOOGLETRANSLATE(A122,""en"",""ko"")"),"말리")</f>
        <v>말리</v>
      </c>
    </row>
    <row r="123">
      <c r="A123" s="1" t="str">
        <f>IFERROR(__xludf.DUMMYFUNCTION("""COMPUTED_VALUE"""),"Malta")</f>
        <v>Malta</v>
      </c>
      <c r="B123" s="1">
        <f>IFERROR(__xludf.DUMMYFUNCTION("""COMPUTED_VALUE"""),1.0)</f>
        <v>1</v>
      </c>
      <c r="C123" s="1" t="str">
        <f>IFERROR(__xludf.DUMMYFUNCTION("GOOGLETRANSLATE(A123,""en"",""ko"")"),"몰타")</f>
        <v>몰타</v>
      </c>
    </row>
    <row r="124">
      <c r="A124" s="1" t="str">
        <f>IFERROR(__xludf.DUMMYFUNCTION("""COMPUTED_VALUE"""),"Marshall Islands")</f>
        <v>Marshall Islands</v>
      </c>
      <c r="B124" s="1">
        <f>IFERROR(__xludf.DUMMYFUNCTION("""COMPUTED_VALUE"""),1.0)</f>
        <v>1</v>
      </c>
      <c r="C124" s="1" t="str">
        <f>IFERROR(__xludf.DUMMYFUNCTION("GOOGLETRANSLATE(A124,""en"",""ko"")"),"마셜 제도")</f>
        <v>마셜 제도</v>
      </c>
    </row>
    <row r="125">
      <c r="A125" s="1" t="str">
        <f>IFERROR(__xludf.DUMMYFUNCTION("""COMPUTED_VALUE"""),"Martinique")</f>
        <v>Martinique</v>
      </c>
      <c r="B125" s="1">
        <f>IFERROR(__xludf.DUMMYFUNCTION("""COMPUTED_VALUE"""),1.0)</f>
        <v>1</v>
      </c>
      <c r="C125" s="1" t="str">
        <f>IFERROR(__xludf.DUMMYFUNCTION("GOOGLETRANSLATE(A125,""en"",""ko"")"),"마르티니크")</f>
        <v>마르티니크</v>
      </c>
    </row>
    <row r="126">
      <c r="A126" s="1" t="str">
        <f>IFERROR(__xludf.DUMMYFUNCTION("""COMPUTED_VALUE"""),"Mauritania")</f>
        <v>Mauritania</v>
      </c>
      <c r="B126" s="1">
        <f>IFERROR(__xludf.DUMMYFUNCTION("""COMPUTED_VALUE"""),1.0)</f>
        <v>1</v>
      </c>
      <c r="C126" s="1" t="str">
        <f>IFERROR(__xludf.DUMMYFUNCTION("GOOGLETRANSLATE(A126,""en"",""ko"")"),"모리타니")</f>
        <v>모리타니</v>
      </c>
    </row>
    <row r="127">
      <c r="A127" s="1" t="str">
        <f>IFERROR(__xludf.DUMMYFUNCTION("""COMPUTED_VALUE"""),"Mauritius")</f>
        <v>Mauritius</v>
      </c>
      <c r="B127" s="1">
        <f>IFERROR(__xludf.DUMMYFUNCTION("""COMPUTED_VALUE"""),1.0)</f>
        <v>1</v>
      </c>
      <c r="C127" s="1" t="str">
        <f>IFERROR(__xludf.DUMMYFUNCTION("GOOGLETRANSLATE(A127,""en"",""ko"")"),"모리셔스")</f>
        <v>모리셔스</v>
      </c>
    </row>
    <row r="128">
      <c r="A128" s="1" t="str">
        <f>IFERROR(__xludf.DUMMYFUNCTION("""COMPUTED_VALUE"""),"Mayotte")</f>
        <v>Mayotte</v>
      </c>
      <c r="B128" s="1">
        <f>IFERROR(__xludf.DUMMYFUNCTION("""COMPUTED_VALUE"""),1.0)</f>
        <v>1</v>
      </c>
      <c r="C128" s="1" t="str">
        <f>IFERROR(__xludf.DUMMYFUNCTION("GOOGLETRANSLATE(A128,""en"",""ko"")"),"마요트")</f>
        <v>마요트</v>
      </c>
    </row>
    <row r="129">
      <c r="A129" s="1" t="str">
        <f>IFERROR(__xludf.DUMMYFUNCTION("""COMPUTED_VALUE"""),"Mexico")</f>
        <v>Mexico</v>
      </c>
      <c r="B129" s="1">
        <f>IFERROR(__xludf.DUMMYFUNCTION("""COMPUTED_VALUE"""),5.0)</f>
        <v>5</v>
      </c>
      <c r="C129" s="1" t="str">
        <f>IFERROR(__xludf.DUMMYFUNCTION("GOOGLETRANSLATE(A129,""en"",""ko"")"),"멕시코")</f>
        <v>멕시코</v>
      </c>
    </row>
    <row r="130">
      <c r="A130" s="1" t="str">
        <f>IFERROR(__xludf.DUMMYFUNCTION("""COMPUTED_VALUE"""),"Moldova")</f>
        <v>Moldova</v>
      </c>
      <c r="B130" s="1">
        <f>IFERROR(__xludf.DUMMYFUNCTION("""COMPUTED_VALUE"""),1.0)</f>
        <v>1</v>
      </c>
      <c r="C130" s="1" t="str">
        <f>IFERROR(__xludf.DUMMYFUNCTION("GOOGLETRANSLATE(A130,""en"",""ko"")"),"몰도바")</f>
        <v>몰도바</v>
      </c>
    </row>
    <row r="131">
      <c r="A131" s="1" t="str">
        <f>IFERROR(__xludf.DUMMYFUNCTION("""COMPUTED_VALUE"""),"Monaco")</f>
        <v>Monaco</v>
      </c>
      <c r="B131" s="1">
        <f>IFERROR(__xludf.DUMMYFUNCTION("""COMPUTED_VALUE"""),1.0)</f>
        <v>1</v>
      </c>
      <c r="C131" s="1" t="str">
        <f>IFERROR(__xludf.DUMMYFUNCTION("GOOGLETRANSLATE(A131,""en"",""ko"")"),"모나코")</f>
        <v>모나코</v>
      </c>
    </row>
    <row r="132">
      <c r="A132" s="1" t="str">
        <f>IFERROR(__xludf.DUMMYFUNCTION("""COMPUTED_VALUE"""),"Mongolia")</f>
        <v>Mongolia</v>
      </c>
      <c r="B132" s="1">
        <f>IFERROR(__xludf.DUMMYFUNCTION("""COMPUTED_VALUE"""),1.0)</f>
        <v>1</v>
      </c>
      <c r="C132" s="1" t="str">
        <f>IFERROR(__xludf.DUMMYFUNCTION("GOOGLETRANSLATE(A132,""en"",""ko"")"),"몽골리아")</f>
        <v>몽골리아</v>
      </c>
    </row>
    <row r="133">
      <c r="A133" s="1" t="str">
        <f>IFERROR(__xludf.DUMMYFUNCTION("""COMPUTED_VALUE"""),"Montenegro")</f>
        <v>Montenegro</v>
      </c>
      <c r="B133" s="1">
        <f>IFERROR(__xludf.DUMMYFUNCTION("""COMPUTED_VALUE"""),1.0)</f>
        <v>1</v>
      </c>
      <c r="C133" s="1" t="str">
        <f>IFERROR(__xludf.DUMMYFUNCTION("GOOGLETRANSLATE(A133,""en"",""ko"")"),"몬테네그로")</f>
        <v>몬테네그로</v>
      </c>
    </row>
    <row r="134">
      <c r="A134" s="1" t="str">
        <f>IFERROR(__xludf.DUMMYFUNCTION("""COMPUTED_VALUE"""),"Morocco")</f>
        <v>Morocco</v>
      </c>
      <c r="B134" s="1">
        <f>IFERROR(__xludf.DUMMYFUNCTION("""COMPUTED_VALUE"""),2.0)</f>
        <v>2</v>
      </c>
      <c r="C134" s="1" t="str">
        <f>IFERROR(__xludf.DUMMYFUNCTION("GOOGLETRANSLATE(A134,""en"",""ko"")"),"모로코 가죽")</f>
        <v>모로코 가죽</v>
      </c>
    </row>
    <row r="135">
      <c r="A135" s="1" t="str">
        <f>IFERROR(__xludf.DUMMYFUNCTION("""COMPUTED_VALUE"""),"Mozambique")</f>
        <v>Mozambique</v>
      </c>
      <c r="B135" s="1">
        <f>IFERROR(__xludf.DUMMYFUNCTION("""COMPUTED_VALUE"""),1.0)</f>
        <v>1</v>
      </c>
      <c r="C135" s="1" t="str">
        <f>IFERROR(__xludf.DUMMYFUNCTION("GOOGLETRANSLATE(A135,""en"",""ko"")"),"모잠비크")</f>
        <v>모잠비크</v>
      </c>
    </row>
    <row r="136">
      <c r="A136" s="1" t="str">
        <f>IFERROR(__xludf.DUMMYFUNCTION("""COMPUTED_VALUE"""),"Myanmar")</f>
        <v>Myanmar</v>
      </c>
      <c r="B136" s="1">
        <f>IFERROR(__xludf.DUMMYFUNCTION("""COMPUTED_VALUE"""),2.0)</f>
        <v>2</v>
      </c>
      <c r="C136" s="1" t="str">
        <f>IFERROR(__xludf.DUMMYFUNCTION("GOOGLETRANSLATE(A136,""en"",""ko"")"),"미얀마")</f>
        <v>미얀마</v>
      </c>
    </row>
    <row r="137">
      <c r="A137" s="1" t="str">
        <f>IFERROR(__xludf.DUMMYFUNCTION("""COMPUTED_VALUE"""),"Namibia")</f>
        <v>Namibia</v>
      </c>
      <c r="B137" s="1">
        <f>IFERROR(__xludf.DUMMYFUNCTION("""COMPUTED_VALUE"""),1.0)</f>
        <v>1</v>
      </c>
      <c r="C137" s="1" t="str">
        <f>IFERROR(__xludf.DUMMYFUNCTION("GOOGLETRANSLATE(A137,""en"",""ko"")"),"나미비아")</f>
        <v>나미비아</v>
      </c>
    </row>
    <row r="138">
      <c r="A138" s="1" t="str">
        <f>IFERROR(__xludf.DUMMYFUNCTION("""COMPUTED_VALUE"""),"Nepal")</f>
        <v>Nepal</v>
      </c>
      <c r="B138" s="1">
        <f>IFERROR(__xludf.DUMMYFUNCTION("""COMPUTED_VALUE"""),1.0)</f>
        <v>1</v>
      </c>
      <c r="C138" s="1" t="str">
        <f>IFERROR(__xludf.DUMMYFUNCTION("GOOGLETRANSLATE(A138,""en"",""ko"")"),"네팔")</f>
        <v>네팔</v>
      </c>
    </row>
    <row r="139">
      <c r="A139" s="1" t="str">
        <f>IFERROR(__xludf.DUMMYFUNCTION("""COMPUTED_VALUE"""),"Netherlands")</f>
        <v>Netherlands</v>
      </c>
      <c r="B139" s="1">
        <f>IFERROR(__xludf.DUMMYFUNCTION("""COMPUTED_VALUE"""),1.0)</f>
        <v>1</v>
      </c>
      <c r="C139" s="1" t="str">
        <f>IFERROR(__xludf.DUMMYFUNCTION("GOOGLETRANSLATE(A139,""en"",""ko"")"),"네덜란드")</f>
        <v>네덜란드</v>
      </c>
    </row>
    <row r="140">
      <c r="A140" s="1" t="str">
        <f>IFERROR(__xludf.DUMMYFUNCTION("""COMPUTED_VALUE"""),"New Caledonia")</f>
        <v>New Caledonia</v>
      </c>
      <c r="B140" s="1">
        <f>IFERROR(__xludf.DUMMYFUNCTION("""COMPUTED_VALUE"""),1.0)</f>
        <v>1</v>
      </c>
      <c r="C140" s="1" t="str">
        <f>IFERROR(__xludf.DUMMYFUNCTION("GOOGLETRANSLATE(A140,""en"",""ko"")"),"뉴칼레도니아")</f>
        <v>뉴칼레도니아</v>
      </c>
    </row>
    <row r="141">
      <c r="A141" s="1" t="str">
        <f>IFERROR(__xludf.DUMMYFUNCTION("""COMPUTED_VALUE"""),"New Zealand")</f>
        <v>New Zealand</v>
      </c>
      <c r="B141" s="1">
        <f>IFERROR(__xludf.DUMMYFUNCTION("""COMPUTED_VALUE"""),2.0)</f>
        <v>2</v>
      </c>
      <c r="C141" s="1" t="str">
        <f>IFERROR(__xludf.DUMMYFUNCTION("GOOGLETRANSLATE(A141,""en"",""ko"")"),"뉴질랜드")</f>
        <v>뉴질랜드</v>
      </c>
    </row>
    <row r="142">
      <c r="A142" s="1" t="str">
        <f>IFERROR(__xludf.DUMMYFUNCTION("""COMPUTED_VALUE"""),"Nicaragua")</f>
        <v>Nicaragua</v>
      </c>
      <c r="B142" s="1">
        <f>IFERROR(__xludf.DUMMYFUNCTION("""COMPUTED_VALUE"""),1.0)</f>
        <v>1</v>
      </c>
      <c r="C142" s="1" t="str">
        <f>IFERROR(__xludf.DUMMYFUNCTION("GOOGLETRANSLATE(A142,""en"",""ko"")"),"니카라과")</f>
        <v>니카라과</v>
      </c>
    </row>
    <row r="143">
      <c r="A143" s="1" t="str">
        <f>IFERROR(__xludf.DUMMYFUNCTION("""COMPUTED_VALUE"""),"Niger")</f>
        <v>Niger</v>
      </c>
      <c r="B143" s="1">
        <f>IFERROR(__xludf.DUMMYFUNCTION("""COMPUTED_VALUE"""),1.0)</f>
        <v>1</v>
      </c>
      <c r="C143" s="1" t="str">
        <f>IFERROR(__xludf.DUMMYFUNCTION("GOOGLETRANSLATE(A143,""en"",""ko"")"),"니제르")</f>
        <v>니제르</v>
      </c>
    </row>
    <row r="144">
      <c r="A144" s="1" t="str">
        <f>IFERROR(__xludf.DUMMYFUNCTION("""COMPUTED_VALUE"""),"Nigeria")</f>
        <v>Nigeria</v>
      </c>
      <c r="B144" s="1">
        <f>IFERROR(__xludf.DUMMYFUNCTION("""COMPUTED_VALUE"""),5.0)</f>
        <v>5</v>
      </c>
      <c r="C144" s="1" t="str">
        <f>IFERROR(__xludf.DUMMYFUNCTION("GOOGLETRANSLATE(A144,""en"",""ko"")"),"나이지리아")</f>
        <v>나이지리아</v>
      </c>
    </row>
    <row r="145">
      <c r="A145" s="1" t="str">
        <f>IFERROR(__xludf.DUMMYFUNCTION("""COMPUTED_VALUE"""),"North Korea")</f>
        <v>North Korea</v>
      </c>
      <c r="B145" s="1">
        <f>IFERROR(__xludf.DUMMYFUNCTION("""COMPUTED_VALUE"""),1.0)</f>
        <v>1</v>
      </c>
      <c r="C145" s="1" t="str">
        <f>IFERROR(__xludf.DUMMYFUNCTION("GOOGLETRANSLATE(A145,""en"",""ko"")"),"북한")</f>
        <v>북한</v>
      </c>
    </row>
    <row r="146">
      <c r="A146" s="1" t="str">
        <f>IFERROR(__xludf.DUMMYFUNCTION("""COMPUTED_VALUE"""),"North Macedonia")</f>
        <v>North Macedonia</v>
      </c>
      <c r="B146" s="1">
        <f>IFERROR(__xludf.DUMMYFUNCTION("""COMPUTED_VALUE"""),1.0)</f>
        <v>1</v>
      </c>
      <c r="C146" s="1" t="str">
        <f>IFERROR(__xludf.DUMMYFUNCTION("GOOGLETRANSLATE(A146,""en"",""ko"")"),"북마케도니아")</f>
        <v>북마케도니아</v>
      </c>
    </row>
    <row r="147">
      <c r="A147" s="1" t="str">
        <f>IFERROR(__xludf.DUMMYFUNCTION("""COMPUTED_VALUE"""),"Northern Mariana Islands")</f>
        <v>Northern Mariana Islands</v>
      </c>
      <c r="B147" s="1">
        <f>IFERROR(__xludf.DUMMYFUNCTION("""COMPUTED_VALUE"""),1.0)</f>
        <v>1</v>
      </c>
      <c r="C147" s="1" t="str">
        <f>IFERROR(__xludf.DUMMYFUNCTION("GOOGLETRANSLATE(A147,""en"",""ko"")"),"북마리아나 제도")</f>
        <v>북마리아나 제도</v>
      </c>
    </row>
    <row r="148">
      <c r="A148" s="1" t="str">
        <f>IFERROR(__xludf.DUMMYFUNCTION("""COMPUTED_VALUE"""),"Norway")</f>
        <v>Norway</v>
      </c>
      <c r="B148" s="1">
        <f>IFERROR(__xludf.DUMMYFUNCTION("""COMPUTED_VALUE"""),1.0)</f>
        <v>1</v>
      </c>
      <c r="C148" s="1" t="str">
        <f>IFERROR(__xludf.DUMMYFUNCTION("GOOGLETRANSLATE(A148,""en"",""ko"")"),"노르웨이")</f>
        <v>노르웨이</v>
      </c>
    </row>
    <row r="149">
      <c r="A149" s="1" t="str">
        <f>IFERROR(__xludf.DUMMYFUNCTION("""COMPUTED_VALUE"""),"Oman")</f>
        <v>Oman</v>
      </c>
      <c r="B149" s="1">
        <f>IFERROR(__xludf.DUMMYFUNCTION("""COMPUTED_VALUE"""),1.0)</f>
        <v>1</v>
      </c>
      <c r="C149" s="1" t="str">
        <f>IFERROR(__xludf.DUMMYFUNCTION("GOOGLETRANSLATE(A149,""en"",""ko"")"),"오만")</f>
        <v>오만</v>
      </c>
    </row>
    <row r="150">
      <c r="A150" s="1" t="str">
        <f>IFERROR(__xludf.DUMMYFUNCTION("""COMPUTED_VALUE"""),"Pakistan")</f>
        <v>Pakistan</v>
      </c>
      <c r="B150" s="1">
        <f>IFERROR(__xludf.DUMMYFUNCTION("""COMPUTED_VALUE"""),8.0)</f>
        <v>8</v>
      </c>
      <c r="C150" s="1" t="str">
        <f>IFERROR(__xludf.DUMMYFUNCTION("GOOGLETRANSLATE(A150,""en"",""ko"")"),"파키스탄")</f>
        <v>파키스탄</v>
      </c>
    </row>
    <row r="151">
      <c r="A151" s="1" t="str">
        <f>IFERROR(__xludf.DUMMYFUNCTION("""COMPUTED_VALUE"""),"Panama")</f>
        <v>Panama</v>
      </c>
      <c r="B151" s="1">
        <f>IFERROR(__xludf.DUMMYFUNCTION("""COMPUTED_VALUE"""),1.0)</f>
        <v>1</v>
      </c>
      <c r="C151" s="1" t="str">
        <f>IFERROR(__xludf.DUMMYFUNCTION("GOOGLETRANSLATE(A151,""en"",""ko"")"),"파나마")</f>
        <v>파나마</v>
      </c>
    </row>
    <row r="152">
      <c r="A152" s="1" t="str">
        <f>IFERROR(__xludf.DUMMYFUNCTION("""COMPUTED_VALUE"""),"Papua New Guinea")</f>
        <v>Papua New Guinea</v>
      </c>
      <c r="B152" s="1">
        <f>IFERROR(__xludf.DUMMYFUNCTION("""COMPUTED_VALUE"""),1.0)</f>
        <v>1</v>
      </c>
      <c r="C152" s="1" t="str">
        <f>IFERROR(__xludf.DUMMYFUNCTION("GOOGLETRANSLATE(A152,""en"",""ko"")"),"파푸아뉴기니")</f>
        <v>파푸아뉴기니</v>
      </c>
    </row>
    <row r="153">
      <c r="A153" s="1" t="str">
        <f>IFERROR(__xludf.DUMMYFUNCTION("""COMPUTED_VALUE"""),"Paraguay")</f>
        <v>Paraguay</v>
      </c>
      <c r="B153" s="1">
        <f>IFERROR(__xludf.DUMMYFUNCTION("""COMPUTED_VALUE"""),1.0)</f>
        <v>1</v>
      </c>
      <c r="C153" s="1" t="str">
        <f>IFERROR(__xludf.DUMMYFUNCTION("GOOGLETRANSLATE(A153,""en"",""ko"")"),"파라과이")</f>
        <v>파라과이</v>
      </c>
    </row>
    <row r="154">
      <c r="A154" s="1" t="str">
        <f>IFERROR(__xludf.DUMMYFUNCTION("""COMPUTED_VALUE"""),"Peru")</f>
        <v>Peru</v>
      </c>
      <c r="B154" s="1">
        <f>IFERROR(__xludf.DUMMYFUNCTION("""COMPUTED_VALUE"""),1.0)</f>
        <v>1</v>
      </c>
      <c r="C154" s="1" t="str">
        <f>IFERROR(__xludf.DUMMYFUNCTION("GOOGLETRANSLATE(A154,""en"",""ko"")"),"페루")</f>
        <v>페루</v>
      </c>
    </row>
    <row r="155">
      <c r="A155" s="1" t="str">
        <f>IFERROR(__xludf.DUMMYFUNCTION("""COMPUTED_VALUE"""),"Philippines")</f>
        <v>Philippines</v>
      </c>
      <c r="B155" s="1">
        <f>IFERROR(__xludf.DUMMYFUNCTION("""COMPUTED_VALUE"""),3.0)</f>
        <v>3</v>
      </c>
      <c r="C155" s="1" t="str">
        <f>IFERROR(__xludf.DUMMYFUNCTION("GOOGLETRANSLATE(A155,""en"",""ko"")"),"필리핀 제도")</f>
        <v>필리핀 제도</v>
      </c>
    </row>
    <row r="156">
      <c r="A156" s="1" t="str">
        <f>IFERROR(__xludf.DUMMYFUNCTION("""COMPUTED_VALUE"""),"Poland")</f>
        <v>Poland</v>
      </c>
      <c r="B156" s="1">
        <f>IFERROR(__xludf.DUMMYFUNCTION("""COMPUTED_VALUE"""),1.0)</f>
        <v>1</v>
      </c>
      <c r="C156" s="1" t="str">
        <f>IFERROR(__xludf.DUMMYFUNCTION("GOOGLETRANSLATE(A156,""en"",""ko"")"),"폴란드")</f>
        <v>폴란드</v>
      </c>
    </row>
    <row r="157">
      <c r="A157" s="1" t="str">
        <f>IFERROR(__xludf.DUMMYFUNCTION("""COMPUTED_VALUE"""),"Portugal")</f>
        <v>Portugal</v>
      </c>
      <c r="B157" s="1">
        <f>IFERROR(__xludf.DUMMYFUNCTION("""COMPUTED_VALUE"""),1.0)</f>
        <v>1</v>
      </c>
      <c r="C157" s="1" t="str">
        <f>IFERROR(__xludf.DUMMYFUNCTION("GOOGLETRANSLATE(A157,""en"",""ko"")"),"포르투갈")</f>
        <v>포르투갈</v>
      </c>
    </row>
    <row r="158">
      <c r="A158" s="1" t="str">
        <f>IFERROR(__xludf.DUMMYFUNCTION("""COMPUTED_VALUE"""),"Qatar")</f>
        <v>Qatar</v>
      </c>
      <c r="B158" s="1">
        <f>IFERROR(__xludf.DUMMYFUNCTION("""COMPUTED_VALUE"""),1.0)</f>
        <v>1</v>
      </c>
      <c r="C158" s="1" t="str">
        <f>IFERROR(__xludf.DUMMYFUNCTION("GOOGLETRANSLATE(A158,""en"",""ko"")"),"카타르")</f>
        <v>카타르</v>
      </c>
    </row>
    <row r="159">
      <c r="A159" s="1" t="str">
        <f>IFERROR(__xludf.DUMMYFUNCTION("""COMPUTED_VALUE"""),"Republic of the Congo")</f>
        <v>Republic of the Congo</v>
      </c>
      <c r="B159" s="1">
        <f>IFERROR(__xludf.DUMMYFUNCTION("""COMPUTED_VALUE"""),1.0)</f>
        <v>1</v>
      </c>
      <c r="C159" s="1" t="str">
        <f>IFERROR(__xludf.DUMMYFUNCTION("GOOGLETRANSLATE(A159,""en"",""ko"")"),"콩고 공화국")</f>
        <v>콩고 공화국</v>
      </c>
    </row>
    <row r="160">
      <c r="A160" s="1" t="str">
        <f>IFERROR(__xludf.DUMMYFUNCTION("""COMPUTED_VALUE"""),"Reunion")</f>
        <v>Reunion</v>
      </c>
      <c r="B160" s="1">
        <f>IFERROR(__xludf.DUMMYFUNCTION("""COMPUTED_VALUE"""),2.0)</f>
        <v>2</v>
      </c>
      <c r="C160" s="1" t="str">
        <f>IFERROR(__xludf.DUMMYFUNCTION("GOOGLETRANSLATE(A160,""en"",""ko"")"),"재결합")</f>
        <v>재결합</v>
      </c>
    </row>
    <row r="161">
      <c r="A161" s="1" t="str">
        <f>IFERROR(__xludf.DUMMYFUNCTION("""COMPUTED_VALUE"""),"Romania")</f>
        <v>Romania</v>
      </c>
      <c r="B161" s="1">
        <f>IFERROR(__xludf.DUMMYFUNCTION("""COMPUTED_VALUE"""),1.0)</f>
        <v>1</v>
      </c>
      <c r="C161" s="1" t="str">
        <f>IFERROR(__xludf.DUMMYFUNCTION("GOOGLETRANSLATE(A161,""en"",""ko"")"),"루마니아")</f>
        <v>루마니아</v>
      </c>
    </row>
    <row r="162">
      <c r="A162" s="1" t="str">
        <f>IFERROR(__xludf.DUMMYFUNCTION("""COMPUTED_VALUE"""),"Russia")</f>
        <v>Russia</v>
      </c>
      <c r="B162" s="1">
        <f>IFERROR(__xludf.DUMMYFUNCTION("""COMPUTED_VALUE"""),4.0)</f>
        <v>4</v>
      </c>
      <c r="C162" s="1" t="str">
        <f>IFERROR(__xludf.DUMMYFUNCTION("GOOGLETRANSLATE(A162,""en"",""ko"")"),"러시아 제국")</f>
        <v>러시아 제국</v>
      </c>
    </row>
    <row r="163">
      <c r="A163" s="1" t="str">
        <f>IFERROR(__xludf.DUMMYFUNCTION("""COMPUTED_VALUE"""),"Rwanda")</f>
        <v>Rwanda</v>
      </c>
      <c r="B163" s="1">
        <f>IFERROR(__xludf.DUMMYFUNCTION("""COMPUTED_VALUE"""),1.0)</f>
        <v>1</v>
      </c>
      <c r="C163" s="1" t="str">
        <f>IFERROR(__xludf.DUMMYFUNCTION("GOOGLETRANSLATE(A163,""en"",""ko"")"),"르완다")</f>
        <v>르완다</v>
      </c>
    </row>
    <row r="164">
      <c r="A164" s="1" t="str">
        <f>IFERROR(__xludf.DUMMYFUNCTION("""COMPUTED_VALUE"""),"Saint Barthelemy")</f>
        <v>Saint Barthelemy</v>
      </c>
      <c r="B164" s="1">
        <f>IFERROR(__xludf.DUMMYFUNCTION("""COMPUTED_VALUE"""),1.0)</f>
        <v>1</v>
      </c>
      <c r="C164" s="1" t="str">
        <f>IFERROR(__xludf.DUMMYFUNCTION("GOOGLETRANSLATE(A164,""en"",""ko"")"),"생바르텔레미")</f>
        <v>생바르텔레미</v>
      </c>
    </row>
    <row r="165">
      <c r="A165" s="1" t="str">
        <f>IFERROR(__xludf.DUMMYFUNCTION("""COMPUTED_VALUE"""),"Saint Kitts and Nevis")</f>
        <v>Saint Kitts and Nevis</v>
      </c>
      <c r="B165" s="1">
        <f>IFERROR(__xludf.DUMMYFUNCTION("""COMPUTED_VALUE"""),1.0)</f>
        <v>1</v>
      </c>
      <c r="C165" s="1" t="str">
        <f>IFERROR(__xludf.DUMMYFUNCTION("GOOGLETRANSLATE(A165,""en"",""ko"")"),"세인트키츠 네비스")</f>
        <v>세인트키츠 네비스</v>
      </c>
    </row>
    <row r="166">
      <c r="A166" s="1" t="str">
        <f>IFERROR(__xludf.DUMMYFUNCTION("""COMPUTED_VALUE"""),"Saint Lucia")</f>
        <v>Saint Lucia</v>
      </c>
      <c r="B166" s="1">
        <f>IFERROR(__xludf.DUMMYFUNCTION("""COMPUTED_VALUE"""),1.0)</f>
        <v>1</v>
      </c>
      <c r="C166" s="1" t="str">
        <f>IFERROR(__xludf.DUMMYFUNCTION("GOOGLETRANSLATE(A166,""en"",""ko"")"),"세인트 루시아")</f>
        <v>세인트 루시아</v>
      </c>
    </row>
    <row r="167">
      <c r="A167" s="1" t="str">
        <f>IFERROR(__xludf.DUMMYFUNCTION("""COMPUTED_VALUE"""),"Saint Martin")</f>
        <v>Saint Martin</v>
      </c>
      <c r="B167" s="1">
        <f>IFERROR(__xludf.DUMMYFUNCTION("""COMPUTED_VALUE"""),1.0)</f>
        <v>1</v>
      </c>
      <c r="C167" s="1" t="str">
        <f>IFERROR(__xludf.DUMMYFUNCTION("GOOGLETRANSLATE(A167,""en"",""ko"")"),"생마르탱")</f>
        <v>생마르탱</v>
      </c>
    </row>
    <row r="168">
      <c r="A168" s="1" t="str">
        <f>IFERROR(__xludf.DUMMYFUNCTION("""COMPUTED_VALUE"""),"Saint Vincent and the Grenadines")</f>
        <v>Saint Vincent and the Grenadines</v>
      </c>
      <c r="B168" s="1">
        <f>IFERROR(__xludf.DUMMYFUNCTION("""COMPUTED_VALUE"""),1.0)</f>
        <v>1</v>
      </c>
      <c r="C168" s="1" t="str">
        <f>IFERROR(__xludf.DUMMYFUNCTION("GOOGLETRANSLATE(A168,""en"",""ko"")"),"세인트빈센트 그레나딘")</f>
        <v>세인트빈센트 그레나딘</v>
      </c>
    </row>
    <row r="169">
      <c r="A169" s="1" t="str">
        <f>IFERROR(__xludf.DUMMYFUNCTION("""COMPUTED_VALUE"""),"Samoa")</f>
        <v>Samoa</v>
      </c>
      <c r="B169" s="1">
        <f>IFERROR(__xludf.DUMMYFUNCTION("""COMPUTED_VALUE"""),1.0)</f>
        <v>1</v>
      </c>
      <c r="C169" s="1" t="str">
        <f>IFERROR(__xludf.DUMMYFUNCTION("GOOGLETRANSLATE(A169,""en"",""ko"")"),"사모아")</f>
        <v>사모아</v>
      </c>
    </row>
    <row r="170">
      <c r="A170" s="1" t="str">
        <f>IFERROR(__xludf.DUMMYFUNCTION("""COMPUTED_VALUE"""),"Sao Tome and Principe")</f>
        <v>Sao Tome and Principe</v>
      </c>
      <c r="B170" s="1">
        <f>IFERROR(__xludf.DUMMYFUNCTION("""COMPUTED_VALUE"""),1.0)</f>
        <v>1</v>
      </c>
      <c r="C170" s="1" t="str">
        <f>IFERROR(__xludf.DUMMYFUNCTION("GOOGLETRANSLATE(A170,""en"",""ko"")"),"상투메 프린시페")</f>
        <v>상투메 프린시페</v>
      </c>
    </row>
    <row r="171">
      <c r="A171" s="1" t="str">
        <f>IFERROR(__xludf.DUMMYFUNCTION("""COMPUTED_VALUE"""),"Saudi Arabia")</f>
        <v>Saudi Arabia</v>
      </c>
      <c r="B171" s="1">
        <f>IFERROR(__xludf.DUMMYFUNCTION("""COMPUTED_VALUE"""),4.0)</f>
        <v>4</v>
      </c>
      <c r="C171" s="1" t="str">
        <f>IFERROR(__xludf.DUMMYFUNCTION("GOOGLETRANSLATE(A171,""en"",""ko"")"),"사우디 아라비아")</f>
        <v>사우디 아라비아</v>
      </c>
    </row>
    <row r="172">
      <c r="A172" s="1" t="str">
        <f>IFERROR(__xludf.DUMMYFUNCTION("""COMPUTED_VALUE"""),"Senegal")</f>
        <v>Senegal</v>
      </c>
      <c r="B172" s="1">
        <f>IFERROR(__xludf.DUMMYFUNCTION("""COMPUTED_VALUE"""),1.0)</f>
        <v>1</v>
      </c>
      <c r="C172" s="1" t="str">
        <f>IFERROR(__xludf.DUMMYFUNCTION("GOOGLETRANSLATE(A172,""en"",""ko"")"),"세네갈")</f>
        <v>세네갈</v>
      </c>
    </row>
    <row r="173">
      <c r="A173" s="1" t="str">
        <f>IFERROR(__xludf.DUMMYFUNCTION("""COMPUTED_VALUE"""),"Serbia")</f>
        <v>Serbia</v>
      </c>
      <c r="B173" s="1">
        <f>IFERROR(__xludf.DUMMYFUNCTION("""COMPUTED_VALUE"""),1.0)</f>
        <v>1</v>
      </c>
      <c r="C173" s="1" t="str">
        <f>IFERROR(__xludf.DUMMYFUNCTION("GOOGLETRANSLATE(A173,""en"",""ko"")"),"세르비아")</f>
        <v>세르비아</v>
      </c>
    </row>
    <row r="174">
      <c r="A174" s="1" t="str">
        <f>IFERROR(__xludf.DUMMYFUNCTION("""COMPUTED_VALUE"""),"Sierra Leone")</f>
        <v>Sierra Leone</v>
      </c>
      <c r="B174" s="1">
        <f>IFERROR(__xludf.DUMMYFUNCTION("""COMPUTED_VALUE"""),1.0)</f>
        <v>1</v>
      </c>
      <c r="C174" s="1" t="str">
        <f>IFERROR(__xludf.DUMMYFUNCTION("GOOGLETRANSLATE(A174,""en"",""ko"")"),"시에라리온")</f>
        <v>시에라리온</v>
      </c>
    </row>
    <row r="175">
      <c r="A175" s="1" t="str">
        <f>IFERROR(__xludf.DUMMYFUNCTION("""COMPUTED_VALUE"""),"Singapore")</f>
        <v>Singapore</v>
      </c>
      <c r="B175" s="1">
        <f>IFERROR(__xludf.DUMMYFUNCTION("""COMPUTED_VALUE"""),1.0)</f>
        <v>1</v>
      </c>
      <c r="C175" s="1" t="str">
        <f>IFERROR(__xludf.DUMMYFUNCTION("GOOGLETRANSLATE(A175,""en"",""ko"")"),"싱가포르")</f>
        <v>싱가포르</v>
      </c>
    </row>
    <row r="176">
      <c r="A176" s="1" t="str">
        <f>IFERROR(__xludf.DUMMYFUNCTION("""COMPUTED_VALUE"""),"Slovakia")</f>
        <v>Slovakia</v>
      </c>
      <c r="B176" s="1">
        <f>IFERROR(__xludf.DUMMYFUNCTION("""COMPUTED_VALUE"""),1.0)</f>
        <v>1</v>
      </c>
      <c r="C176" s="1" t="str">
        <f>IFERROR(__xludf.DUMMYFUNCTION("GOOGLETRANSLATE(A176,""en"",""ko"")"),"슬로바키아")</f>
        <v>슬로바키아</v>
      </c>
    </row>
    <row r="177">
      <c r="A177" s="1" t="str">
        <f>IFERROR(__xludf.DUMMYFUNCTION("""COMPUTED_VALUE"""),"Slovenia")</f>
        <v>Slovenia</v>
      </c>
      <c r="B177" s="1">
        <f>IFERROR(__xludf.DUMMYFUNCTION("""COMPUTED_VALUE"""),1.0)</f>
        <v>1</v>
      </c>
      <c r="C177" s="1" t="str">
        <f>IFERROR(__xludf.DUMMYFUNCTION("GOOGLETRANSLATE(A177,""en"",""ko"")"),"슬로베니아")</f>
        <v>슬로베니아</v>
      </c>
    </row>
    <row r="178">
      <c r="A178" s="1" t="str">
        <f>IFERROR(__xludf.DUMMYFUNCTION("""COMPUTED_VALUE"""),"Solomon Islands")</f>
        <v>Solomon Islands</v>
      </c>
      <c r="B178" s="1">
        <f>IFERROR(__xludf.DUMMYFUNCTION("""COMPUTED_VALUE"""),1.0)</f>
        <v>1</v>
      </c>
      <c r="C178" s="1" t="str">
        <f>IFERROR(__xludf.DUMMYFUNCTION("GOOGLETRANSLATE(A178,""en"",""ko"")"),"솔로몬 제도")</f>
        <v>솔로몬 제도</v>
      </c>
    </row>
    <row r="179">
      <c r="A179" s="1" t="str">
        <f>IFERROR(__xludf.DUMMYFUNCTION("""COMPUTED_VALUE"""),"Somalia")</f>
        <v>Somalia</v>
      </c>
      <c r="B179" s="1">
        <f>IFERROR(__xludf.DUMMYFUNCTION("""COMPUTED_VALUE"""),1.0)</f>
        <v>1</v>
      </c>
      <c r="C179" s="1" t="str">
        <f>IFERROR(__xludf.DUMMYFUNCTION("GOOGLETRANSLATE(A179,""en"",""ko"")"),"소말리아")</f>
        <v>소말리아</v>
      </c>
    </row>
    <row r="180">
      <c r="A180" s="1" t="str">
        <f>IFERROR(__xludf.DUMMYFUNCTION("""COMPUTED_VALUE"""),"South Africa")</f>
        <v>South Africa</v>
      </c>
      <c r="B180" s="1">
        <f>IFERROR(__xludf.DUMMYFUNCTION("""COMPUTED_VALUE"""),5.0)</f>
        <v>5</v>
      </c>
      <c r="C180" s="1" t="str">
        <f>IFERROR(__xludf.DUMMYFUNCTION("GOOGLETRANSLATE(A180,""en"",""ko"")"),"남아프리카 공화국")</f>
        <v>남아프리카 공화국</v>
      </c>
    </row>
    <row r="181">
      <c r="A181" s="1" t="str">
        <f>IFERROR(__xludf.DUMMYFUNCTION("""COMPUTED_VALUE"""),"South Korea")</f>
        <v>South Korea</v>
      </c>
      <c r="B181" s="1">
        <f>IFERROR(__xludf.DUMMYFUNCTION("""COMPUTED_VALUE"""),6.0)</f>
        <v>6</v>
      </c>
      <c r="C181" s="1" t="str">
        <f>IFERROR(__xludf.DUMMYFUNCTION("GOOGLETRANSLATE(A181,""en"",""ko"")"),"대한민국")</f>
        <v>대한민국</v>
      </c>
    </row>
    <row r="182">
      <c r="A182" s="1" t="str">
        <f>IFERROR(__xludf.DUMMYFUNCTION("""COMPUTED_VALUE"""),"South Sudan")</f>
        <v>South Sudan</v>
      </c>
      <c r="B182" s="1">
        <f>IFERROR(__xludf.DUMMYFUNCTION("""COMPUTED_VALUE"""),1.0)</f>
        <v>1</v>
      </c>
      <c r="C182" s="1" t="str">
        <f>IFERROR(__xludf.DUMMYFUNCTION("GOOGLETRANSLATE(A182,""en"",""ko"")"),"남수단")</f>
        <v>남수단</v>
      </c>
    </row>
    <row r="183">
      <c r="A183" s="1" t="str">
        <f>IFERROR(__xludf.DUMMYFUNCTION("""COMPUTED_VALUE"""),"Spain")</f>
        <v>Spain</v>
      </c>
      <c r="B183" s="1">
        <f>IFERROR(__xludf.DUMMYFUNCTION("""COMPUTED_VALUE"""),2.0)</f>
        <v>2</v>
      </c>
      <c r="C183" s="1" t="str">
        <f>IFERROR(__xludf.DUMMYFUNCTION("GOOGLETRANSLATE(A183,""en"",""ko"")"),"스페인")</f>
        <v>스페인</v>
      </c>
    </row>
    <row r="184">
      <c r="A184" s="1" t="str">
        <f>IFERROR(__xludf.DUMMYFUNCTION("""COMPUTED_VALUE"""),"Sri Lanka")</f>
        <v>Sri Lanka</v>
      </c>
      <c r="B184" s="1">
        <f>IFERROR(__xludf.DUMMYFUNCTION("""COMPUTED_VALUE"""),1.0)</f>
        <v>1</v>
      </c>
      <c r="C184" s="1" t="str">
        <f>IFERROR(__xludf.DUMMYFUNCTION("GOOGLETRANSLATE(A184,""en"",""ko"")"),"스리랑카")</f>
        <v>스리랑카</v>
      </c>
    </row>
    <row r="185">
      <c r="A185" s="1" t="str">
        <f>IFERROR(__xludf.DUMMYFUNCTION("""COMPUTED_VALUE"""),"Sudan")</f>
        <v>Sudan</v>
      </c>
      <c r="B185" s="1">
        <f>IFERROR(__xludf.DUMMYFUNCTION("""COMPUTED_VALUE"""),1.0)</f>
        <v>1</v>
      </c>
      <c r="C185" s="1" t="str">
        <f>IFERROR(__xludf.DUMMYFUNCTION("GOOGLETRANSLATE(A185,""en"",""ko"")"),"수단")</f>
        <v>수단</v>
      </c>
    </row>
    <row r="186">
      <c r="A186" s="1" t="str">
        <f>IFERROR(__xludf.DUMMYFUNCTION("""COMPUTED_VALUE"""),"Suriname")</f>
        <v>Suriname</v>
      </c>
      <c r="B186" s="1">
        <f>IFERROR(__xludf.DUMMYFUNCTION("""COMPUTED_VALUE"""),1.0)</f>
        <v>1</v>
      </c>
      <c r="C186" s="1" t="str">
        <f>IFERROR(__xludf.DUMMYFUNCTION("GOOGLETRANSLATE(A186,""en"",""ko"")"),"수리남")</f>
        <v>수리남</v>
      </c>
    </row>
    <row r="187">
      <c r="A187" s="1" t="str">
        <f>IFERROR(__xludf.DUMMYFUNCTION("""COMPUTED_VALUE"""),"Sweden")</f>
        <v>Sweden</v>
      </c>
      <c r="B187" s="1">
        <f>IFERROR(__xludf.DUMMYFUNCTION("""COMPUTED_VALUE"""),1.0)</f>
        <v>1</v>
      </c>
      <c r="C187" s="1" t="str">
        <f>IFERROR(__xludf.DUMMYFUNCTION("GOOGLETRANSLATE(A187,""en"",""ko"")"),"스웨덴")</f>
        <v>스웨덴</v>
      </c>
    </row>
    <row r="188">
      <c r="A188" s="1" t="str">
        <f>IFERROR(__xludf.DUMMYFUNCTION("""COMPUTED_VALUE"""),"Switzerland")</f>
        <v>Switzerland</v>
      </c>
      <c r="B188" s="1">
        <f>IFERROR(__xludf.DUMMYFUNCTION("""COMPUTED_VALUE"""),1.0)</f>
        <v>1</v>
      </c>
      <c r="C188" s="1" t="str">
        <f>IFERROR(__xludf.DUMMYFUNCTION("GOOGLETRANSLATE(A188,""en"",""ko"")"),"스위스")</f>
        <v>스위스</v>
      </c>
    </row>
    <row r="189">
      <c r="A189" s="1" t="str">
        <f>IFERROR(__xludf.DUMMYFUNCTION("""COMPUTED_VALUE"""),"Syria")</f>
        <v>Syria</v>
      </c>
      <c r="B189" s="1">
        <f>IFERROR(__xludf.DUMMYFUNCTION("""COMPUTED_VALUE"""),2.0)</f>
        <v>2</v>
      </c>
      <c r="C189" s="1" t="str">
        <f>IFERROR(__xludf.DUMMYFUNCTION("GOOGLETRANSLATE(A189,""en"",""ko"")"),"시리아")</f>
        <v>시리아</v>
      </c>
    </row>
    <row r="190">
      <c r="A190" s="1" t="str">
        <f>IFERROR(__xludf.DUMMYFUNCTION("""COMPUTED_VALUE"""),"Taiwan")</f>
        <v>Taiwan</v>
      </c>
      <c r="B190" s="1">
        <f>IFERROR(__xludf.DUMMYFUNCTION("""COMPUTED_VALUE"""),2.0)</f>
        <v>2</v>
      </c>
      <c r="C190" s="1" t="str">
        <f>IFERROR(__xludf.DUMMYFUNCTION("GOOGLETRANSLATE(A190,""en"",""ko"")"),"대만")</f>
        <v>대만</v>
      </c>
    </row>
    <row r="191">
      <c r="A191" s="1" t="str">
        <f>IFERROR(__xludf.DUMMYFUNCTION("""COMPUTED_VALUE"""),"Tajikistan")</f>
        <v>Tajikistan</v>
      </c>
      <c r="B191" s="1">
        <f>IFERROR(__xludf.DUMMYFUNCTION("""COMPUTED_VALUE"""),1.0)</f>
        <v>1</v>
      </c>
      <c r="C191" s="1" t="str">
        <f>IFERROR(__xludf.DUMMYFUNCTION("GOOGLETRANSLATE(A191,""en"",""ko"")"),"타지키스탄")</f>
        <v>타지키스탄</v>
      </c>
    </row>
    <row r="192">
      <c r="A192" s="1" t="str">
        <f>IFERROR(__xludf.DUMMYFUNCTION("""COMPUTED_VALUE"""),"Tanzania")</f>
        <v>Tanzania</v>
      </c>
      <c r="B192" s="1">
        <f>IFERROR(__xludf.DUMMYFUNCTION("""COMPUTED_VALUE"""),2.0)</f>
        <v>2</v>
      </c>
      <c r="C192" s="1" t="str">
        <f>IFERROR(__xludf.DUMMYFUNCTION("GOOGLETRANSLATE(A192,""en"",""ko"")"),"탄자니아")</f>
        <v>탄자니아</v>
      </c>
    </row>
    <row r="193">
      <c r="A193" s="1" t="str">
        <f>IFERROR(__xludf.DUMMYFUNCTION("""COMPUTED_VALUE"""),"Thailand")</f>
        <v>Thailand</v>
      </c>
      <c r="B193" s="1">
        <f>IFERROR(__xludf.DUMMYFUNCTION("""COMPUTED_VALUE"""),1.0)</f>
        <v>1</v>
      </c>
      <c r="C193" s="1" t="str">
        <f>IFERROR(__xludf.DUMMYFUNCTION("GOOGLETRANSLATE(A193,""en"",""ko"")"),"태국")</f>
        <v>태국</v>
      </c>
    </row>
    <row r="194">
      <c r="A194" s="1" t="str">
        <f>IFERROR(__xludf.DUMMYFUNCTION("""COMPUTED_VALUE"""),"Timor Leste")</f>
        <v>Timor Leste</v>
      </c>
      <c r="B194" s="1">
        <f>IFERROR(__xludf.DUMMYFUNCTION("""COMPUTED_VALUE"""),1.0)</f>
        <v>1</v>
      </c>
      <c r="C194" s="1" t="str">
        <f>IFERROR(__xludf.DUMMYFUNCTION("GOOGLETRANSLATE(A194,""en"",""ko"")"),"동티모르")</f>
        <v>동티모르</v>
      </c>
    </row>
    <row r="195">
      <c r="A195" s="1" t="str">
        <f>IFERROR(__xludf.DUMMYFUNCTION("""COMPUTED_VALUE"""),"Togo")</f>
        <v>Togo</v>
      </c>
      <c r="B195" s="1">
        <f>IFERROR(__xludf.DUMMYFUNCTION("""COMPUTED_VALUE"""),1.0)</f>
        <v>1</v>
      </c>
      <c r="C195" s="1" t="str">
        <f>IFERROR(__xludf.DUMMYFUNCTION("GOOGLETRANSLATE(A195,""en"",""ko"")"),"토고")</f>
        <v>토고</v>
      </c>
    </row>
    <row r="196">
      <c r="A196" s="1" t="str">
        <f>IFERROR(__xludf.DUMMYFUNCTION("""COMPUTED_VALUE"""),"Tonga")</f>
        <v>Tonga</v>
      </c>
      <c r="B196" s="1">
        <f>IFERROR(__xludf.DUMMYFUNCTION("""COMPUTED_VALUE"""),1.0)</f>
        <v>1</v>
      </c>
      <c r="C196" s="1" t="str">
        <f>IFERROR(__xludf.DUMMYFUNCTION("GOOGLETRANSLATE(A196,""en"",""ko"")"),"통가")</f>
        <v>통가</v>
      </c>
    </row>
    <row r="197">
      <c r="A197" s="1" t="str">
        <f>IFERROR(__xludf.DUMMYFUNCTION("""COMPUTED_VALUE"""),"Trinidad and Tobago")</f>
        <v>Trinidad and Tobago</v>
      </c>
      <c r="B197" s="1">
        <f>IFERROR(__xludf.DUMMYFUNCTION("""COMPUTED_VALUE"""),1.0)</f>
        <v>1</v>
      </c>
      <c r="C197" s="1" t="str">
        <f>IFERROR(__xludf.DUMMYFUNCTION("GOOGLETRANSLATE(A197,""en"",""ko"")"),"트리니다드 토바고")</f>
        <v>트리니다드 토바고</v>
      </c>
    </row>
    <row r="198">
      <c r="A198" s="1" t="str">
        <f>IFERROR(__xludf.DUMMYFUNCTION("""COMPUTED_VALUE"""),"Tunisia")</f>
        <v>Tunisia</v>
      </c>
      <c r="B198" s="1">
        <f>IFERROR(__xludf.DUMMYFUNCTION("""COMPUTED_VALUE"""),1.0)</f>
        <v>1</v>
      </c>
      <c r="C198" s="1" t="str">
        <f>IFERROR(__xludf.DUMMYFUNCTION("GOOGLETRANSLATE(A198,""en"",""ko"")"),"튀니지")</f>
        <v>튀니지</v>
      </c>
    </row>
    <row r="199">
      <c r="A199" s="1" t="str">
        <f>IFERROR(__xludf.DUMMYFUNCTION("""COMPUTED_VALUE"""),"Turkey")</f>
        <v>Turkey</v>
      </c>
      <c r="B199" s="1">
        <f>IFERROR(__xludf.DUMMYFUNCTION("""COMPUTED_VALUE"""),4.0)</f>
        <v>4</v>
      </c>
      <c r="C199" s="2" t="s">
        <v>584</v>
      </c>
    </row>
    <row r="200">
      <c r="A200" s="1" t="str">
        <f>IFERROR(__xludf.DUMMYFUNCTION("""COMPUTED_VALUE"""),"Turkmenistan")</f>
        <v>Turkmenistan</v>
      </c>
      <c r="B200" s="1">
        <f>IFERROR(__xludf.DUMMYFUNCTION("""COMPUTED_VALUE"""),1.0)</f>
        <v>1</v>
      </c>
      <c r="C200" s="1" t="str">
        <f>IFERROR(__xludf.DUMMYFUNCTION("GOOGLETRANSLATE(A200,""en"",""ko"")"),"투르크메니스탄")</f>
        <v>투르크메니스탄</v>
      </c>
    </row>
    <row r="201">
      <c r="A201" s="1" t="str">
        <f>IFERROR(__xludf.DUMMYFUNCTION("""COMPUTED_VALUE"""),"Tuvalu")</f>
        <v>Tuvalu</v>
      </c>
      <c r="B201" s="1">
        <f>IFERROR(__xludf.DUMMYFUNCTION("""COMPUTED_VALUE"""),1.0)</f>
        <v>1</v>
      </c>
      <c r="C201" s="1" t="str">
        <f>IFERROR(__xludf.DUMMYFUNCTION("GOOGLETRANSLATE(A201,""en"",""ko"")"),"투발루")</f>
        <v>투발루</v>
      </c>
    </row>
    <row r="202">
      <c r="A202" s="1" t="str">
        <f>IFERROR(__xludf.DUMMYFUNCTION("""COMPUTED_VALUE"""),"U.S. Virgin Islands")</f>
        <v>U.S. Virgin Islands</v>
      </c>
      <c r="B202" s="1">
        <f>IFERROR(__xludf.DUMMYFUNCTION("""COMPUTED_VALUE"""),1.0)</f>
        <v>1</v>
      </c>
      <c r="C202" s="1" t="str">
        <f>IFERROR(__xludf.DUMMYFUNCTION("GOOGLETRANSLATE(A202,""en"",""ko"")"),"미국령 버진아일랜드")</f>
        <v>미국령 버진아일랜드</v>
      </c>
    </row>
    <row r="203">
      <c r="A203" s="1" t="str">
        <f>IFERROR(__xludf.DUMMYFUNCTION("""COMPUTED_VALUE"""),"Uganda")</f>
        <v>Uganda</v>
      </c>
      <c r="B203" s="1">
        <f>IFERROR(__xludf.DUMMYFUNCTION("""COMPUTED_VALUE"""),1.0)</f>
        <v>1</v>
      </c>
      <c r="C203" s="1" t="str">
        <f>IFERROR(__xludf.DUMMYFUNCTION("GOOGLETRANSLATE(A203,""en"",""ko"")"),"우간다")</f>
        <v>우간다</v>
      </c>
    </row>
    <row r="204">
      <c r="A204" s="1" t="str">
        <f>IFERROR(__xludf.DUMMYFUNCTION("""COMPUTED_VALUE"""),"Ukraine")</f>
        <v>Ukraine</v>
      </c>
      <c r="B204" s="1">
        <f>IFERROR(__xludf.DUMMYFUNCTION("""COMPUTED_VALUE"""),2.0)</f>
        <v>2</v>
      </c>
      <c r="C204" s="1" t="str">
        <f>IFERROR(__xludf.DUMMYFUNCTION("GOOGLETRANSLATE(A204,""en"",""ko"")"),"우크라이나")</f>
        <v>우크라이나</v>
      </c>
    </row>
    <row r="205">
      <c r="A205" s="1" t="str">
        <f>IFERROR(__xludf.DUMMYFUNCTION("""COMPUTED_VALUE"""),"United Arab Emirates")</f>
        <v>United Arab Emirates</v>
      </c>
      <c r="B205" s="1">
        <f>IFERROR(__xludf.DUMMYFUNCTION("""COMPUTED_VALUE"""),3.0)</f>
        <v>3</v>
      </c>
      <c r="C205" s="1" t="str">
        <f>IFERROR(__xludf.DUMMYFUNCTION("GOOGLETRANSLATE(A205,""en"",""ko"")"),"아랍에미리트")</f>
        <v>아랍에미리트</v>
      </c>
    </row>
    <row r="206">
      <c r="A206" s="1" t="str">
        <f>IFERROR(__xludf.DUMMYFUNCTION("""COMPUTED_VALUE"""),"United Kingdom")</f>
        <v>United Kingdom</v>
      </c>
      <c r="B206" s="1">
        <f>IFERROR(__xludf.DUMMYFUNCTION("""COMPUTED_VALUE"""),1.0)</f>
        <v>1</v>
      </c>
      <c r="C206" s="1" t="str">
        <f>IFERROR(__xludf.DUMMYFUNCTION("GOOGLETRANSLATE(A206,""en"",""ko"")"),"영국")</f>
        <v>영국</v>
      </c>
    </row>
    <row r="207">
      <c r="A207" s="1" t="str">
        <f>IFERROR(__xludf.DUMMYFUNCTION("""COMPUTED_VALUE"""),"United States")</f>
        <v>United States</v>
      </c>
      <c r="B207" s="1">
        <f>IFERROR(__xludf.DUMMYFUNCTION("""COMPUTED_VALUE"""),21.0)</f>
        <v>21</v>
      </c>
      <c r="C207" s="1" t="str">
        <f>IFERROR(__xludf.DUMMYFUNCTION("GOOGLETRANSLATE(A207,""en"",""ko"")"),"미국")</f>
        <v>미국</v>
      </c>
    </row>
    <row r="208">
      <c r="A208" s="1" t="str">
        <f>IFERROR(__xludf.DUMMYFUNCTION("""COMPUTED_VALUE"""),"Uruguay")</f>
        <v>Uruguay</v>
      </c>
      <c r="B208" s="1">
        <f>IFERROR(__xludf.DUMMYFUNCTION("""COMPUTED_VALUE"""),1.0)</f>
        <v>1</v>
      </c>
      <c r="C208" s="1" t="str">
        <f>IFERROR(__xludf.DUMMYFUNCTION("GOOGLETRANSLATE(A208,""en"",""ko"")"),"우루과이")</f>
        <v>우루과이</v>
      </c>
    </row>
    <row r="209">
      <c r="A209" s="1" t="str">
        <f>IFERROR(__xludf.DUMMYFUNCTION("""COMPUTED_VALUE"""),"Uzbekistan")</f>
        <v>Uzbekistan</v>
      </c>
      <c r="B209" s="1">
        <f>IFERROR(__xludf.DUMMYFUNCTION("""COMPUTED_VALUE"""),1.0)</f>
        <v>1</v>
      </c>
      <c r="C209" s="1" t="str">
        <f>IFERROR(__xludf.DUMMYFUNCTION("GOOGLETRANSLATE(A209,""en"",""ko"")"),"우즈베키스탄")</f>
        <v>우즈베키스탄</v>
      </c>
    </row>
    <row r="210">
      <c r="A210" s="1" t="str">
        <f>IFERROR(__xludf.DUMMYFUNCTION("""COMPUTED_VALUE"""),"Vanuatu")</f>
        <v>Vanuatu</v>
      </c>
      <c r="B210" s="1">
        <f>IFERROR(__xludf.DUMMYFUNCTION("""COMPUTED_VALUE"""),1.0)</f>
        <v>1</v>
      </c>
      <c r="C210" s="1" t="str">
        <f>IFERROR(__xludf.DUMMYFUNCTION("GOOGLETRANSLATE(A210,""en"",""ko"")"),"바누아투")</f>
        <v>바누아투</v>
      </c>
    </row>
    <row r="211">
      <c r="A211" s="1" t="str">
        <f>IFERROR(__xludf.DUMMYFUNCTION("""COMPUTED_VALUE"""),"Venezuela")</f>
        <v>Venezuela</v>
      </c>
      <c r="B211" s="1">
        <f>IFERROR(__xludf.DUMMYFUNCTION("""COMPUTED_VALUE"""),4.0)</f>
        <v>4</v>
      </c>
      <c r="C211" s="1" t="str">
        <f>IFERROR(__xludf.DUMMYFUNCTION("GOOGLETRANSLATE(A211,""en"",""ko"")"),"베네수엘라")</f>
        <v>베네수엘라</v>
      </c>
    </row>
    <row r="212">
      <c r="A212" s="1" t="str">
        <f>IFERROR(__xludf.DUMMYFUNCTION("""COMPUTED_VALUE"""),"Vietnam")</f>
        <v>Vietnam</v>
      </c>
      <c r="B212" s="1">
        <f>IFERROR(__xludf.DUMMYFUNCTION("""COMPUTED_VALUE"""),2.0)</f>
        <v>2</v>
      </c>
      <c r="C212" s="1" t="str">
        <f>IFERROR(__xludf.DUMMYFUNCTION("GOOGLETRANSLATE(A212,""en"",""ko"")"),"베트남")</f>
        <v>베트남</v>
      </c>
    </row>
    <row r="213">
      <c r="A213" s="1" t="str">
        <f>IFERROR(__xludf.DUMMYFUNCTION("""COMPUTED_VALUE"""),"Yemen")</f>
        <v>Yemen</v>
      </c>
      <c r="B213" s="1">
        <f>IFERROR(__xludf.DUMMYFUNCTION("""COMPUTED_VALUE"""),1.0)</f>
        <v>1</v>
      </c>
      <c r="C213" s="1" t="str">
        <f>IFERROR(__xludf.DUMMYFUNCTION("GOOGLETRANSLATE(A213,""en"",""ko"")"),"예멘 아랍 공화국")</f>
        <v>예멘 아랍 공화국</v>
      </c>
    </row>
    <row r="214">
      <c r="A214" s="1" t="str">
        <f>IFERROR(__xludf.DUMMYFUNCTION("""COMPUTED_VALUE"""),"Zambia")</f>
        <v>Zambia</v>
      </c>
      <c r="B214" s="1">
        <f>IFERROR(__xludf.DUMMYFUNCTION("""COMPUTED_VALUE"""),1.0)</f>
        <v>1</v>
      </c>
      <c r="C214" s="1" t="str">
        <f>IFERROR(__xludf.DUMMYFUNCTION("GOOGLETRANSLATE(A214,""en"",""ko"")"),"잠비아")</f>
        <v>잠비아</v>
      </c>
    </row>
    <row r="215">
      <c r="A215" s="1" t="str">
        <f>IFERROR(__xludf.DUMMYFUNCTION("""COMPUTED_VALUE"""),"Zimbabwe")</f>
        <v>Zimbabwe</v>
      </c>
      <c r="B215" s="1">
        <f>IFERROR(__xludf.DUMMYFUNCTION("""COMPUTED_VALUE"""),1.0)</f>
        <v>1</v>
      </c>
      <c r="C215" s="1" t="str">
        <f>IFERROR(__xludf.DUMMYFUNCTION("GOOGLETRANSLATE(A215,""en"",""ko"")"),"짐바브웨")</f>
        <v>짐바브웨</v>
      </c>
    </row>
  </sheetData>
  <drawing r:id="rId1"/>
</worksheet>
</file>