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PhD_Berkeley/Projects/Ballinger_allenbergmann_XXXX_2021/data/raw/"/>
    </mc:Choice>
  </mc:AlternateContent>
  <xr:revisionPtr revIDLastSave="0" documentId="13_ncr:1_{97C6F1E6-46E3-574D-90C4-9C6A481619D5}" xr6:coauthVersionLast="46" xr6:coauthVersionMax="46" xr10:uidLastSave="{00000000-0000-0000-0000-000000000000}"/>
  <bookViews>
    <workbookView xWindow="60000" yWindow="-3160" windowWidth="27760" windowHeight="16520" activeTab="1" xr2:uid="{00000000-000D-0000-FFFF-FFFF00000000}"/>
  </bookViews>
  <sheets>
    <sheet name="README" sheetId="2" r:id="rId1"/>
    <sheet name="EnvAdatProj_Nachman_Arcto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R417" i="1" l="1"/>
  <c r="BR89" i="1"/>
  <c r="BR255" i="1"/>
  <c r="BR215" i="1"/>
  <c r="BR293" i="1"/>
  <c r="BR349" i="1"/>
  <c r="BR314" i="1"/>
  <c r="BR232" i="1"/>
  <c r="BR12" i="1"/>
  <c r="BR33" i="1"/>
  <c r="BR73" i="1"/>
  <c r="BR256" i="1"/>
  <c r="BR321" i="1"/>
  <c r="BR298" i="1"/>
  <c r="BR138" i="1"/>
  <c r="BR366" i="1"/>
  <c r="BR214" i="1"/>
  <c r="BR292" i="1"/>
  <c r="BR355" i="1"/>
  <c r="BR400" i="1"/>
  <c r="BR58" i="1"/>
  <c r="BR106" i="1"/>
  <c r="BR194" i="1"/>
  <c r="BR336" i="1"/>
  <c r="BR97" i="1"/>
  <c r="BR189" i="1"/>
  <c r="BR68" i="1"/>
  <c r="BR114" i="1"/>
  <c r="BR430" i="1"/>
  <c r="BR320" i="1"/>
  <c r="BR414" i="1"/>
  <c r="BR19" i="1"/>
  <c r="BR378" i="1"/>
  <c r="BR11" i="1"/>
  <c r="BR170" i="1"/>
  <c r="BR403" i="1"/>
  <c r="BR379" i="1"/>
  <c r="BR115" i="1"/>
  <c r="BR181" i="1"/>
  <c r="BR173" i="1"/>
  <c r="BR206" i="1"/>
  <c r="BR397" i="1"/>
  <c r="BR334" i="1"/>
  <c r="BR129" i="1"/>
  <c r="BR177" i="1"/>
  <c r="BR109" i="1"/>
  <c r="BR426" i="1"/>
  <c r="BR10" i="1"/>
  <c r="BR49" i="1"/>
  <c r="BR128" i="1"/>
  <c r="BR116" i="1"/>
  <c r="BR199" i="1"/>
  <c r="BR200" i="1"/>
  <c r="BR201" i="1"/>
  <c r="BR184" i="1"/>
  <c r="BR350" i="1"/>
  <c r="BR205" i="1"/>
  <c r="BR123" i="1"/>
  <c r="BR104" i="1"/>
  <c r="BR216" i="1"/>
  <c r="BR237" i="1"/>
  <c r="BR358" i="1"/>
  <c r="BR277" i="1"/>
  <c r="BR63" i="1"/>
  <c r="BR276" i="1"/>
  <c r="BR59" i="1"/>
  <c r="BR229" i="1"/>
  <c r="BR164" i="1"/>
  <c r="BR266" i="1"/>
  <c r="BR230" i="1"/>
  <c r="BR393" i="1"/>
  <c r="BR328" i="1"/>
  <c r="BR260" i="1"/>
  <c r="BR418" i="1"/>
  <c r="BR421" i="1"/>
  <c r="BR360" i="1"/>
  <c r="BR359" i="1"/>
  <c r="BR335" i="1"/>
  <c r="BR383" i="1"/>
  <c r="BR361" i="1"/>
  <c r="BR209" i="1"/>
  <c r="BR268" i="1"/>
  <c r="BR386" i="1"/>
  <c r="BR281" i="1"/>
  <c r="BR179" i="1"/>
  <c r="BR207" i="1"/>
  <c r="BR402" i="1"/>
  <c r="BR144" i="1"/>
  <c r="BR117" i="1"/>
  <c r="BR41" i="1"/>
  <c r="BR391" i="1"/>
  <c r="BR412" i="1"/>
  <c r="BR84" i="1"/>
  <c r="BR305" i="1"/>
  <c r="BR375" i="1"/>
  <c r="BR224" i="1"/>
  <c r="BR306" i="1"/>
  <c r="BR420" i="1"/>
  <c r="BR54" i="1"/>
  <c r="BR251" i="1"/>
  <c r="BR280" i="1"/>
  <c r="BR427" i="1"/>
  <c r="BR53" i="1"/>
  <c r="BR240" i="1"/>
  <c r="BR219" i="1"/>
  <c r="BR93" i="1"/>
  <c r="BR369" i="1"/>
  <c r="BR308" i="1"/>
  <c r="BR136" i="1"/>
  <c r="BR348" i="1"/>
  <c r="BR343" i="1"/>
  <c r="BR286" i="1"/>
  <c r="BR242" i="1"/>
  <c r="BR354" i="1"/>
  <c r="BR14" i="1"/>
  <c r="BR119" i="1"/>
  <c r="BR351" i="1"/>
  <c r="BR28" i="1"/>
  <c r="BR270" i="1"/>
  <c r="BR110" i="1"/>
  <c r="BR225" i="1"/>
  <c r="BR27" i="1"/>
  <c r="BR31" i="1"/>
  <c r="BR34" i="1"/>
  <c r="BR404" i="1"/>
  <c r="BR243" i="1"/>
  <c r="BR69" i="1"/>
  <c r="BR257" i="1"/>
  <c r="BR387" i="1"/>
  <c r="BR88" i="1"/>
  <c r="BR208" i="1"/>
  <c r="BR271" i="1"/>
  <c r="BR317" i="1"/>
  <c r="BR389" i="1"/>
  <c r="BR368" i="1"/>
  <c r="BR318" i="1"/>
  <c r="BR409" i="1"/>
  <c r="BR7" i="1"/>
  <c r="BR13" i="1"/>
  <c r="BR178" i="1"/>
  <c r="BR175" i="1"/>
  <c r="BR244" i="1"/>
  <c r="BR310" i="1"/>
  <c r="BR61" i="1"/>
  <c r="BR38" i="1"/>
  <c r="BR107" i="1"/>
  <c r="BR157" i="1"/>
  <c r="BR76" i="1"/>
  <c r="BR78" i="1"/>
  <c r="BR98" i="1"/>
  <c r="BR62" i="1"/>
  <c r="BR311" i="1"/>
  <c r="BR392" i="1"/>
  <c r="BR147" i="1"/>
  <c r="BR363" i="1"/>
  <c r="BR195" i="1"/>
  <c r="BR197" i="1"/>
  <c r="BR125" i="1"/>
  <c r="BR211" i="1"/>
  <c r="BR8" i="1"/>
  <c r="BR75" i="1"/>
  <c r="BR137" i="1"/>
  <c r="BR159" i="1"/>
  <c r="BR156" i="1"/>
  <c r="BR231" i="1"/>
  <c r="BR127" i="1"/>
  <c r="BR46" i="1"/>
  <c r="BR86" i="1"/>
  <c r="BR22" i="1"/>
  <c r="BR96" i="1"/>
  <c r="BR212" i="1"/>
  <c r="BR341" i="1"/>
  <c r="BR376" i="1"/>
  <c r="BR51" i="1"/>
  <c r="BR56" i="1"/>
  <c r="BR42" i="1"/>
  <c r="BR233" i="1"/>
  <c r="BR87" i="1"/>
  <c r="BR81" i="1"/>
  <c r="BR25" i="1"/>
  <c r="BR322" i="1"/>
  <c r="BR90" i="1"/>
  <c r="BR413" i="1"/>
  <c r="BR259" i="1"/>
  <c r="BR67" i="1"/>
  <c r="BR176" i="1"/>
  <c r="BR171" i="1"/>
  <c r="BR39" i="1"/>
  <c r="BR108" i="1"/>
  <c r="BR303" i="1"/>
  <c r="BR429" i="1"/>
  <c r="BR353" i="1"/>
  <c r="BR278" i="1"/>
  <c r="BR185" i="1"/>
  <c r="BR32" i="1"/>
  <c r="BR99" i="1"/>
  <c r="BR196" i="1"/>
  <c r="BR103" i="1"/>
  <c r="BR279" i="1"/>
  <c r="BR40" i="1"/>
  <c r="BR396" i="1"/>
  <c r="BR304" i="1"/>
  <c r="BR132" i="1"/>
  <c r="BR398" i="1"/>
  <c r="BR425" i="1"/>
  <c r="BR371" i="1"/>
  <c r="BR3" i="1"/>
  <c r="BR100" i="1"/>
  <c r="BR160" i="1"/>
  <c r="BR167" i="1"/>
  <c r="BR141" i="1"/>
  <c r="BR131" i="1"/>
  <c r="BR172" i="1"/>
  <c r="BR79" i="1"/>
  <c r="BR198" i="1"/>
  <c r="BR74" i="1"/>
  <c r="BR180" i="1"/>
  <c r="BR302" i="1"/>
  <c r="BR148" i="1"/>
  <c r="BR370" i="1"/>
  <c r="BR274" i="1"/>
  <c r="BR153" i="1"/>
  <c r="BR154" i="1"/>
  <c r="BR158" i="1"/>
  <c r="BR80" i="1"/>
  <c r="BR372" i="1"/>
  <c r="BR161" i="1"/>
  <c r="BR300" i="1"/>
  <c r="BR24" i="1"/>
  <c r="BR377" i="1"/>
  <c r="BR380" i="1"/>
  <c r="BR149" i="1"/>
  <c r="BR324" i="1"/>
  <c r="BR126" i="1"/>
  <c r="BR168" i="1"/>
  <c r="BR316" i="1"/>
  <c r="BR299" i="1"/>
  <c r="BR218" i="1"/>
  <c r="BR139" i="1"/>
  <c r="BR385" i="1"/>
  <c r="BR289" i="1"/>
  <c r="BR296" i="1"/>
  <c r="BR428" i="1"/>
  <c r="BR6" i="1"/>
  <c r="BR424" i="1"/>
  <c r="BR60" i="1"/>
  <c r="BR327" i="1"/>
  <c r="BR45" i="1"/>
  <c r="BR26" i="1"/>
  <c r="BR191" i="1"/>
  <c r="BR162" i="1"/>
  <c r="BR186" i="1"/>
  <c r="BR133" i="1"/>
  <c r="BR287" i="1"/>
  <c r="BR295" i="1"/>
  <c r="BR337" i="1"/>
  <c r="BR71" i="1"/>
  <c r="BR23" i="1"/>
  <c r="BR82" i="1"/>
  <c r="BR166" i="1"/>
  <c r="BR187" i="1"/>
  <c r="BR252" i="1"/>
  <c r="BR374" i="1"/>
  <c r="BR188" i="1"/>
  <c r="BR262" i="1"/>
  <c r="BR192" i="1"/>
  <c r="BR83" i="1"/>
  <c r="BR283" i="1"/>
  <c r="BR408" i="1"/>
  <c r="BR411" i="1"/>
  <c r="BR163" i="1"/>
  <c r="BR213" i="1"/>
  <c r="BR112" i="1"/>
  <c r="BR150" i="1"/>
  <c r="BR356" i="1"/>
  <c r="BR313" i="1"/>
  <c r="BR264" i="1"/>
  <c r="BR294" i="1"/>
  <c r="BR407" i="1"/>
  <c r="BR265" i="1"/>
  <c r="BR272" i="1"/>
  <c r="BR155" i="1"/>
  <c r="BR382" i="1"/>
  <c r="BR357" i="1"/>
  <c r="BR338" i="1"/>
  <c r="BR47" i="1"/>
  <c r="BR238" i="1"/>
  <c r="BR290" i="1"/>
  <c r="BR312" i="1"/>
  <c r="BR245" i="1"/>
  <c r="BR190" i="1"/>
  <c r="BR221" i="1"/>
  <c r="BR297" i="1"/>
  <c r="BR284" i="1"/>
  <c r="BR422" i="1"/>
  <c r="BR77" i="1"/>
  <c r="BR65" i="1"/>
  <c r="BR143" i="1"/>
  <c r="BR16" i="1"/>
  <c r="BR18" i="1"/>
  <c r="BR275" i="1"/>
  <c r="BR30" i="1"/>
  <c r="BR66" i="1"/>
  <c r="BR204" i="1"/>
  <c r="BR85" i="1"/>
  <c r="BR134" i="1"/>
  <c r="BR113" i="1"/>
  <c r="BR333" i="1"/>
  <c r="BR70" i="1"/>
  <c r="BR102" i="1"/>
  <c r="BR273" i="1"/>
  <c r="BR410" i="1"/>
  <c r="BR346" i="1"/>
  <c r="BR210" i="1"/>
  <c r="BR362" i="1"/>
  <c r="BR323" i="1"/>
  <c r="BR35" i="1"/>
  <c r="BR326" i="1"/>
  <c r="BR203" i="1"/>
  <c r="BR227" i="1"/>
  <c r="BR220" i="1"/>
  <c r="BR165" i="1"/>
  <c r="BR267" i="1"/>
  <c r="BR263" i="1"/>
  <c r="BR235" i="1"/>
  <c r="BR120" i="1"/>
  <c r="BR20" i="1"/>
  <c r="BR29" i="1"/>
  <c r="BR21" i="1"/>
  <c r="BR92" i="1"/>
  <c r="BR122" i="1"/>
  <c r="BR329" i="1"/>
  <c r="BR121" i="1"/>
  <c r="BR72" i="1"/>
  <c r="BR135" i="1"/>
  <c r="BR152" i="1"/>
  <c r="BR282" i="1"/>
  <c r="BR2" i="1"/>
  <c r="BR4" i="1"/>
  <c r="BR101" i="1"/>
  <c r="BR364" i="1"/>
  <c r="BR202" i="1"/>
  <c r="BR37" i="1"/>
  <c r="BR344" i="1"/>
  <c r="BR342" i="1"/>
  <c r="BR118" i="1"/>
  <c r="BR285" i="1"/>
  <c r="BR332" i="1"/>
  <c r="BR17" i="1"/>
  <c r="BR301" i="1"/>
  <c r="BR325" i="1"/>
  <c r="BR217" i="1"/>
  <c r="BR228" i="1"/>
  <c r="BR64" i="1"/>
  <c r="BR151" i="1"/>
  <c r="BR145" i="1"/>
  <c r="BR250" i="1"/>
  <c r="BR388" i="1"/>
  <c r="BR111" i="1"/>
  <c r="BR142" i="1"/>
  <c r="BR95" i="1"/>
  <c r="BR55" i="1"/>
  <c r="BR258" i="1"/>
  <c r="BR226" i="1"/>
  <c r="BR91" i="1"/>
  <c r="BR367" i="1"/>
  <c r="BR146" i="1"/>
  <c r="BR234" i="1"/>
  <c r="BR395" i="1"/>
  <c r="BR236" i="1"/>
  <c r="BR43" i="1"/>
  <c r="BR52" i="1"/>
  <c r="BR140" i="1"/>
  <c r="BR169" i="1"/>
  <c r="BR352" i="1"/>
  <c r="BR254" i="1"/>
  <c r="BR15" i="1"/>
  <c r="BR288" i="1"/>
  <c r="BR50" i="1"/>
  <c r="BR183" i="1"/>
  <c r="BR331" i="1"/>
  <c r="BR130" i="1"/>
  <c r="BR315" i="1"/>
  <c r="BR253" i="1"/>
  <c r="BR347" i="1"/>
  <c r="BR222" i="1"/>
  <c r="BR247" i="1"/>
  <c r="BR415" i="1"/>
  <c r="BR223" i="1"/>
  <c r="BR345" i="1"/>
  <c r="BR105" i="1"/>
  <c r="BR239" i="1"/>
  <c r="BR9" i="1"/>
  <c r="BR124" i="1"/>
  <c r="BR182" i="1"/>
  <c r="BR405" i="1"/>
  <c r="BR241" i="1"/>
  <c r="BR248" i="1"/>
  <c r="BR291" i="1"/>
  <c r="BR307" i="1"/>
  <c r="BR340" i="1"/>
  <c r="BR384" i="1"/>
  <c r="BR373" i="1"/>
  <c r="BR406" i="1"/>
  <c r="BR365" i="1"/>
  <c r="BR381" i="1"/>
  <c r="BR390" i="1"/>
  <c r="BR57" i="1"/>
  <c r="BR394" i="1"/>
  <c r="BR193" i="1"/>
  <c r="BR249" i="1"/>
  <c r="BR269" i="1"/>
  <c r="BR319" i="1"/>
  <c r="BR423" i="1"/>
  <c r="BR309" i="1"/>
  <c r="BR330" i="1"/>
  <c r="BR339" i="1"/>
  <c r="BR419" i="1"/>
  <c r="BR5" i="1"/>
  <c r="BR48" i="1"/>
  <c r="BR36" i="1"/>
  <c r="BR174" i="1"/>
  <c r="BR401" i="1"/>
  <c r="BR399" i="1"/>
  <c r="BR416" i="1"/>
  <c r="BR44" i="1"/>
  <c r="BR94" i="1"/>
  <c r="BR261" i="1"/>
  <c r="BR246" i="1"/>
  <c r="BO417" i="1"/>
  <c r="BS417" i="1" s="1"/>
  <c r="BO89" i="1"/>
  <c r="BS89" i="1" s="1"/>
  <c r="BO255" i="1"/>
  <c r="BS255" i="1" s="1"/>
  <c r="BO215" i="1"/>
  <c r="BS215" i="1" s="1"/>
  <c r="BO293" i="1"/>
  <c r="BS293" i="1" s="1"/>
  <c r="BO349" i="1"/>
  <c r="BS349" i="1" s="1"/>
  <c r="BO314" i="1"/>
  <c r="BS314" i="1" s="1"/>
  <c r="BO232" i="1"/>
  <c r="BS232" i="1" s="1"/>
  <c r="BO12" i="1"/>
  <c r="BS12" i="1" s="1"/>
  <c r="BO33" i="1"/>
  <c r="BS33" i="1" s="1"/>
  <c r="BO73" i="1"/>
  <c r="BS73" i="1" s="1"/>
  <c r="BO256" i="1"/>
  <c r="BS256" i="1" s="1"/>
  <c r="BO321" i="1"/>
  <c r="BS321" i="1" s="1"/>
  <c r="BO298" i="1"/>
  <c r="BS298" i="1" s="1"/>
  <c r="BO138" i="1"/>
  <c r="BS138" i="1" s="1"/>
  <c r="BO366" i="1"/>
  <c r="BS366" i="1" s="1"/>
  <c r="BO214" i="1"/>
  <c r="BS214" i="1" s="1"/>
  <c r="BO292" i="1"/>
  <c r="BS292" i="1" s="1"/>
  <c r="BO355" i="1"/>
  <c r="BS355" i="1" s="1"/>
  <c r="BO400" i="1"/>
  <c r="BS400" i="1" s="1"/>
  <c r="BO58" i="1"/>
  <c r="BS58" i="1" s="1"/>
  <c r="BO194" i="1"/>
  <c r="BS194" i="1" s="1"/>
  <c r="BO336" i="1"/>
  <c r="BS336" i="1" s="1"/>
  <c r="BO97" i="1"/>
  <c r="BS97" i="1" s="1"/>
  <c r="BO189" i="1"/>
  <c r="BS189" i="1" s="1"/>
  <c r="BO68" i="1"/>
  <c r="BS68" i="1" s="1"/>
  <c r="BO114" i="1"/>
  <c r="BS114" i="1" s="1"/>
  <c r="BO320" i="1"/>
  <c r="BS320" i="1" s="1"/>
  <c r="BO414" i="1"/>
  <c r="BS414" i="1" s="1"/>
  <c r="BO19" i="1"/>
  <c r="BS19" i="1" s="1"/>
  <c r="BO378" i="1"/>
  <c r="BS378" i="1" s="1"/>
  <c r="BO11" i="1"/>
  <c r="BS11" i="1" s="1"/>
  <c r="BO170" i="1"/>
  <c r="BS170" i="1" s="1"/>
  <c r="BO403" i="1"/>
  <c r="BS403" i="1" s="1"/>
  <c r="BO379" i="1"/>
  <c r="BS379" i="1" s="1"/>
  <c r="BO115" i="1"/>
  <c r="BS115" i="1" s="1"/>
  <c r="BO181" i="1"/>
  <c r="BS181" i="1" s="1"/>
  <c r="BO173" i="1"/>
  <c r="BS173" i="1" s="1"/>
  <c r="BO206" i="1"/>
  <c r="BS206" i="1" s="1"/>
  <c r="BO397" i="1"/>
  <c r="BS397" i="1" s="1"/>
  <c r="BO334" i="1"/>
  <c r="BS334" i="1" s="1"/>
  <c r="BO129" i="1"/>
  <c r="BS129" i="1" s="1"/>
  <c r="BO177" i="1"/>
  <c r="BS177" i="1" s="1"/>
  <c r="BO109" i="1"/>
  <c r="BS109" i="1" s="1"/>
  <c r="BO426" i="1"/>
  <c r="BS426" i="1" s="1"/>
  <c r="BO10" i="1"/>
  <c r="BS10" i="1" s="1"/>
  <c r="BO49" i="1"/>
  <c r="BS49" i="1" s="1"/>
  <c r="BO128" i="1"/>
  <c r="BS128" i="1" s="1"/>
  <c r="BO116" i="1"/>
  <c r="BS116" i="1" s="1"/>
  <c r="BO199" i="1"/>
  <c r="BS199" i="1" s="1"/>
  <c r="BO200" i="1"/>
  <c r="BS200" i="1" s="1"/>
  <c r="BO201" i="1"/>
  <c r="BS201" i="1" s="1"/>
  <c r="BO184" i="1"/>
  <c r="BS184" i="1" s="1"/>
  <c r="BO350" i="1"/>
  <c r="BS350" i="1" s="1"/>
  <c r="BO205" i="1"/>
  <c r="BS205" i="1" s="1"/>
  <c r="BO123" i="1"/>
  <c r="BS123" i="1" s="1"/>
  <c r="BO104" i="1"/>
  <c r="BS104" i="1" s="1"/>
  <c r="BO216" i="1"/>
  <c r="BS216" i="1" s="1"/>
  <c r="BO237" i="1"/>
  <c r="BS237" i="1" s="1"/>
  <c r="BO358" i="1"/>
  <c r="BS358" i="1" s="1"/>
  <c r="BO277" i="1"/>
  <c r="BS277" i="1" s="1"/>
  <c r="BO276" i="1"/>
  <c r="BS276" i="1" s="1"/>
  <c r="BO59" i="1"/>
  <c r="BS59" i="1" s="1"/>
  <c r="BO229" i="1"/>
  <c r="BS229" i="1" s="1"/>
  <c r="BO164" i="1"/>
  <c r="BS164" i="1" s="1"/>
  <c r="BO266" i="1"/>
  <c r="BS266" i="1" s="1"/>
  <c r="BO230" i="1"/>
  <c r="BS230" i="1" s="1"/>
  <c r="BO393" i="1"/>
  <c r="BS393" i="1" s="1"/>
  <c r="BO328" i="1"/>
  <c r="BS328" i="1" s="1"/>
  <c r="BO260" i="1"/>
  <c r="BS260" i="1" s="1"/>
  <c r="BO418" i="1"/>
  <c r="BS418" i="1" s="1"/>
  <c r="BO421" i="1"/>
  <c r="BS421" i="1" s="1"/>
  <c r="BO360" i="1"/>
  <c r="BS360" i="1" s="1"/>
  <c r="BO359" i="1"/>
  <c r="BS359" i="1" s="1"/>
  <c r="BO335" i="1"/>
  <c r="BS335" i="1" s="1"/>
  <c r="BO383" i="1"/>
  <c r="BS383" i="1" s="1"/>
  <c r="BO361" i="1"/>
  <c r="BS361" i="1" s="1"/>
  <c r="BO209" i="1"/>
  <c r="BS209" i="1" s="1"/>
  <c r="BO268" i="1"/>
  <c r="BS268" i="1" s="1"/>
  <c r="BO386" i="1"/>
  <c r="BS386" i="1" s="1"/>
  <c r="BO281" i="1"/>
  <c r="BS281" i="1" s="1"/>
  <c r="BO179" i="1"/>
  <c r="BS179" i="1" s="1"/>
  <c r="BO207" i="1"/>
  <c r="BS207" i="1" s="1"/>
  <c r="BO402" i="1"/>
  <c r="BS402" i="1" s="1"/>
  <c r="BO144" i="1"/>
  <c r="BS144" i="1" s="1"/>
  <c r="BO117" i="1"/>
  <c r="BS117" i="1" s="1"/>
  <c r="BO41" i="1"/>
  <c r="BS41" i="1" s="1"/>
  <c r="BO391" i="1"/>
  <c r="BS391" i="1" s="1"/>
  <c r="BO412" i="1"/>
  <c r="BS412" i="1" s="1"/>
  <c r="BO84" i="1"/>
  <c r="BS84" i="1" s="1"/>
  <c r="BO305" i="1"/>
  <c r="BS305" i="1" s="1"/>
  <c r="BO375" i="1"/>
  <c r="BS375" i="1" s="1"/>
  <c r="BO224" i="1"/>
  <c r="BS224" i="1" s="1"/>
  <c r="BO306" i="1"/>
  <c r="BS306" i="1" s="1"/>
  <c r="BO420" i="1"/>
  <c r="BS420" i="1" s="1"/>
  <c r="BO54" i="1"/>
  <c r="BS54" i="1" s="1"/>
  <c r="BO251" i="1"/>
  <c r="BS251" i="1" s="1"/>
  <c r="BO280" i="1"/>
  <c r="BS280" i="1" s="1"/>
  <c r="BO427" i="1"/>
  <c r="BS427" i="1" s="1"/>
  <c r="BO53" i="1"/>
  <c r="BS53" i="1" s="1"/>
  <c r="BO240" i="1"/>
  <c r="BS240" i="1" s="1"/>
  <c r="BO219" i="1"/>
  <c r="BS219" i="1" s="1"/>
  <c r="BO93" i="1"/>
  <c r="BS93" i="1" s="1"/>
  <c r="BO369" i="1"/>
  <c r="BS369" i="1" s="1"/>
  <c r="BO308" i="1"/>
  <c r="BS308" i="1" s="1"/>
  <c r="BO136" i="1"/>
  <c r="BS136" i="1" s="1"/>
  <c r="BO348" i="1"/>
  <c r="BS348" i="1" s="1"/>
  <c r="BO343" i="1"/>
  <c r="BS343" i="1" s="1"/>
  <c r="BO286" i="1"/>
  <c r="BS286" i="1" s="1"/>
  <c r="BO242" i="1"/>
  <c r="BS242" i="1" s="1"/>
  <c r="BO354" i="1"/>
  <c r="BS354" i="1" s="1"/>
  <c r="BO14" i="1"/>
  <c r="BS14" i="1" s="1"/>
  <c r="BO119" i="1"/>
  <c r="BS119" i="1" s="1"/>
  <c r="BO351" i="1"/>
  <c r="BS351" i="1" s="1"/>
  <c r="BO28" i="1"/>
  <c r="BS28" i="1" s="1"/>
  <c r="BO270" i="1"/>
  <c r="BS270" i="1" s="1"/>
  <c r="BO110" i="1"/>
  <c r="BS110" i="1" s="1"/>
  <c r="BO225" i="1"/>
  <c r="BS225" i="1" s="1"/>
  <c r="BO27" i="1"/>
  <c r="BS27" i="1" s="1"/>
  <c r="BO31" i="1"/>
  <c r="BS31" i="1" s="1"/>
  <c r="BO34" i="1"/>
  <c r="BS34" i="1" s="1"/>
  <c r="BO404" i="1"/>
  <c r="BS404" i="1" s="1"/>
  <c r="BO243" i="1"/>
  <c r="BS243" i="1" s="1"/>
  <c r="BO69" i="1"/>
  <c r="BS69" i="1" s="1"/>
  <c r="BO257" i="1"/>
  <c r="BS257" i="1" s="1"/>
  <c r="BO387" i="1"/>
  <c r="BS387" i="1" s="1"/>
  <c r="BO88" i="1"/>
  <c r="BS88" i="1" s="1"/>
  <c r="BO208" i="1"/>
  <c r="BS208" i="1" s="1"/>
  <c r="BO271" i="1"/>
  <c r="BS271" i="1" s="1"/>
  <c r="BO317" i="1"/>
  <c r="BS317" i="1" s="1"/>
  <c r="BO389" i="1"/>
  <c r="BS389" i="1" s="1"/>
  <c r="BO368" i="1"/>
  <c r="BS368" i="1" s="1"/>
  <c r="BO318" i="1"/>
  <c r="BS318" i="1" s="1"/>
  <c r="BO409" i="1"/>
  <c r="BS409" i="1" s="1"/>
  <c r="BO7" i="1"/>
  <c r="BS7" i="1" s="1"/>
  <c r="BO13" i="1"/>
  <c r="BS13" i="1" s="1"/>
  <c r="BO178" i="1"/>
  <c r="BS178" i="1" s="1"/>
  <c r="BO175" i="1"/>
  <c r="BS175" i="1" s="1"/>
  <c r="BO244" i="1"/>
  <c r="BS244" i="1" s="1"/>
  <c r="BO310" i="1"/>
  <c r="BS310" i="1" s="1"/>
  <c r="BO61" i="1"/>
  <c r="BS61" i="1" s="1"/>
  <c r="BO38" i="1"/>
  <c r="BS38" i="1" s="1"/>
  <c r="BO107" i="1"/>
  <c r="BS107" i="1" s="1"/>
  <c r="BO157" i="1"/>
  <c r="BS157" i="1" s="1"/>
  <c r="BO76" i="1"/>
  <c r="BS76" i="1" s="1"/>
  <c r="BO78" i="1"/>
  <c r="BS78" i="1" s="1"/>
  <c r="BO98" i="1"/>
  <c r="BS98" i="1" s="1"/>
  <c r="BO62" i="1"/>
  <c r="BS62" i="1" s="1"/>
  <c r="BO311" i="1"/>
  <c r="BS311" i="1" s="1"/>
  <c r="BO392" i="1"/>
  <c r="BS392" i="1" s="1"/>
  <c r="BO147" i="1"/>
  <c r="BS147" i="1" s="1"/>
  <c r="BO363" i="1"/>
  <c r="BS363" i="1" s="1"/>
  <c r="BO195" i="1"/>
  <c r="BS195" i="1" s="1"/>
  <c r="BO197" i="1"/>
  <c r="BS197" i="1" s="1"/>
  <c r="BO125" i="1"/>
  <c r="BS125" i="1" s="1"/>
  <c r="BO211" i="1"/>
  <c r="BS211" i="1" s="1"/>
  <c r="BO8" i="1"/>
  <c r="BS8" i="1" s="1"/>
  <c r="BO75" i="1"/>
  <c r="BS75" i="1" s="1"/>
  <c r="BO137" i="1"/>
  <c r="BS137" i="1" s="1"/>
  <c r="BO159" i="1"/>
  <c r="BS159" i="1" s="1"/>
  <c r="BO156" i="1"/>
  <c r="BS156" i="1" s="1"/>
  <c r="BO231" i="1"/>
  <c r="BS231" i="1" s="1"/>
  <c r="BO127" i="1"/>
  <c r="BS127" i="1" s="1"/>
  <c r="BO46" i="1"/>
  <c r="BS46" i="1" s="1"/>
  <c r="BO86" i="1"/>
  <c r="BS86" i="1" s="1"/>
  <c r="BO22" i="1"/>
  <c r="BS22" i="1" s="1"/>
  <c r="BO96" i="1"/>
  <c r="BS96" i="1" s="1"/>
  <c r="BO212" i="1"/>
  <c r="BS212" i="1" s="1"/>
  <c r="BO341" i="1"/>
  <c r="BS341" i="1" s="1"/>
  <c r="BO376" i="1"/>
  <c r="BS376" i="1" s="1"/>
  <c r="BO51" i="1"/>
  <c r="BS51" i="1" s="1"/>
  <c r="BO56" i="1"/>
  <c r="BS56" i="1" s="1"/>
  <c r="BO42" i="1"/>
  <c r="BS42" i="1" s="1"/>
  <c r="BO233" i="1"/>
  <c r="BS233" i="1" s="1"/>
  <c r="BO87" i="1"/>
  <c r="BS87" i="1" s="1"/>
  <c r="BO81" i="1"/>
  <c r="BS81" i="1" s="1"/>
  <c r="BO25" i="1"/>
  <c r="BS25" i="1" s="1"/>
  <c r="BO322" i="1"/>
  <c r="BS322" i="1" s="1"/>
  <c r="BO90" i="1"/>
  <c r="BS90" i="1" s="1"/>
  <c r="BO413" i="1"/>
  <c r="BS413" i="1" s="1"/>
  <c r="BO259" i="1"/>
  <c r="BS259" i="1" s="1"/>
  <c r="BO67" i="1"/>
  <c r="BS67" i="1" s="1"/>
  <c r="BO176" i="1"/>
  <c r="BS176" i="1" s="1"/>
  <c r="BO171" i="1"/>
  <c r="BS171" i="1" s="1"/>
  <c r="BO39" i="1"/>
  <c r="BS39" i="1" s="1"/>
  <c r="BO108" i="1"/>
  <c r="BS108" i="1" s="1"/>
  <c r="BO303" i="1"/>
  <c r="BS303" i="1" s="1"/>
  <c r="BO429" i="1"/>
  <c r="BS429" i="1" s="1"/>
  <c r="BO353" i="1"/>
  <c r="BS353" i="1" s="1"/>
  <c r="BO278" i="1"/>
  <c r="BS278" i="1" s="1"/>
  <c r="BO185" i="1"/>
  <c r="BS185" i="1" s="1"/>
  <c r="BO32" i="1"/>
  <c r="BS32" i="1" s="1"/>
  <c r="BO99" i="1"/>
  <c r="BS99" i="1" s="1"/>
  <c r="BO196" i="1"/>
  <c r="BS196" i="1" s="1"/>
  <c r="BO103" i="1"/>
  <c r="BS103" i="1" s="1"/>
  <c r="BO279" i="1"/>
  <c r="BS279" i="1" s="1"/>
  <c r="BO40" i="1"/>
  <c r="BS40" i="1" s="1"/>
  <c r="BO396" i="1"/>
  <c r="BS396" i="1" s="1"/>
  <c r="BO304" i="1"/>
  <c r="BS304" i="1" s="1"/>
  <c r="BO132" i="1"/>
  <c r="BS132" i="1" s="1"/>
  <c r="BO398" i="1"/>
  <c r="BS398" i="1" s="1"/>
  <c r="BO425" i="1"/>
  <c r="BS425" i="1" s="1"/>
  <c r="BO371" i="1"/>
  <c r="BS371" i="1" s="1"/>
  <c r="BO3" i="1"/>
  <c r="BS3" i="1" s="1"/>
  <c r="BO100" i="1"/>
  <c r="BS100" i="1" s="1"/>
  <c r="BO160" i="1"/>
  <c r="BS160" i="1" s="1"/>
  <c r="BO167" i="1"/>
  <c r="BS167" i="1" s="1"/>
  <c r="BO141" i="1"/>
  <c r="BS141" i="1" s="1"/>
  <c r="BO131" i="1"/>
  <c r="BS131" i="1" s="1"/>
  <c r="BO172" i="1"/>
  <c r="BS172" i="1" s="1"/>
  <c r="BO79" i="1"/>
  <c r="BS79" i="1" s="1"/>
  <c r="BO198" i="1"/>
  <c r="BS198" i="1" s="1"/>
  <c r="BO74" i="1"/>
  <c r="BS74" i="1" s="1"/>
  <c r="BO180" i="1"/>
  <c r="BS180" i="1" s="1"/>
  <c r="BO302" i="1"/>
  <c r="BS302" i="1" s="1"/>
  <c r="BO148" i="1"/>
  <c r="BS148" i="1" s="1"/>
  <c r="BO370" i="1"/>
  <c r="BS370" i="1" s="1"/>
  <c r="BO274" i="1"/>
  <c r="BS274" i="1" s="1"/>
  <c r="BO153" i="1"/>
  <c r="BS153" i="1" s="1"/>
  <c r="BO154" i="1"/>
  <c r="BS154" i="1" s="1"/>
  <c r="BO158" i="1"/>
  <c r="BS158" i="1" s="1"/>
  <c r="BO80" i="1"/>
  <c r="BS80" i="1" s="1"/>
  <c r="BO372" i="1"/>
  <c r="BS372" i="1" s="1"/>
  <c r="BO161" i="1"/>
  <c r="BS161" i="1" s="1"/>
  <c r="BO300" i="1"/>
  <c r="BS300" i="1" s="1"/>
  <c r="BO24" i="1"/>
  <c r="BS24" i="1" s="1"/>
  <c r="BO377" i="1"/>
  <c r="BS377" i="1" s="1"/>
  <c r="BO380" i="1"/>
  <c r="BS380" i="1" s="1"/>
  <c r="BO149" i="1"/>
  <c r="BS149" i="1" s="1"/>
  <c r="BO324" i="1"/>
  <c r="BS324" i="1" s="1"/>
  <c r="BO126" i="1"/>
  <c r="BS126" i="1" s="1"/>
  <c r="BO168" i="1"/>
  <c r="BS168" i="1" s="1"/>
  <c r="BO316" i="1"/>
  <c r="BS316" i="1" s="1"/>
  <c r="BO299" i="1"/>
  <c r="BS299" i="1" s="1"/>
  <c r="BO218" i="1"/>
  <c r="BS218" i="1" s="1"/>
  <c r="BO139" i="1"/>
  <c r="BS139" i="1" s="1"/>
  <c r="BO385" i="1"/>
  <c r="BS385" i="1" s="1"/>
  <c r="BO289" i="1"/>
  <c r="BS289" i="1" s="1"/>
  <c r="BO296" i="1"/>
  <c r="BS296" i="1" s="1"/>
  <c r="BO428" i="1"/>
  <c r="BS428" i="1" s="1"/>
  <c r="BO6" i="1"/>
  <c r="BS6" i="1" s="1"/>
  <c r="BO424" i="1"/>
  <c r="BS424" i="1" s="1"/>
  <c r="BO60" i="1"/>
  <c r="BS60" i="1" s="1"/>
  <c r="BO327" i="1"/>
  <c r="BS327" i="1" s="1"/>
  <c r="BO45" i="1"/>
  <c r="BS45" i="1" s="1"/>
  <c r="BO26" i="1"/>
  <c r="BS26" i="1" s="1"/>
  <c r="BO191" i="1"/>
  <c r="BS191" i="1" s="1"/>
  <c r="BO162" i="1"/>
  <c r="BS162" i="1" s="1"/>
  <c r="BO186" i="1"/>
  <c r="BS186" i="1" s="1"/>
  <c r="BO133" i="1"/>
  <c r="BS133" i="1" s="1"/>
  <c r="BO287" i="1"/>
  <c r="BS287" i="1" s="1"/>
  <c r="BO295" i="1"/>
  <c r="BS295" i="1" s="1"/>
  <c r="BO337" i="1"/>
  <c r="BS337" i="1" s="1"/>
  <c r="BO71" i="1"/>
  <c r="BS71" i="1" s="1"/>
  <c r="BO23" i="1"/>
  <c r="BS23" i="1" s="1"/>
  <c r="BO82" i="1"/>
  <c r="BS82" i="1" s="1"/>
  <c r="BO166" i="1"/>
  <c r="BS166" i="1" s="1"/>
  <c r="BO187" i="1"/>
  <c r="BS187" i="1" s="1"/>
  <c r="BO252" i="1"/>
  <c r="BS252" i="1" s="1"/>
  <c r="BO374" i="1"/>
  <c r="BS374" i="1" s="1"/>
  <c r="BO188" i="1"/>
  <c r="BS188" i="1" s="1"/>
  <c r="BO262" i="1"/>
  <c r="BS262" i="1" s="1"/>
  <c r="BO192" i="1"/>
  <c r="BS192" i="1" s="1"/>
  <c r="BO83" i="1"/>
  <c r="BS83" i="1" s="1"/>
  <c r="BO283" i="1"/>
  <c r="BS283" i="1" s="1"/>
  <c r="BO408" i="1"/>
  <c r="BS408" i="1" s="1"/>
  <c r="BO411" i="1"/>
  <c r="BS411" i="1" s="1"/>
  <c r="BO163" i="1"/>
  <c r="BS163" i="1" s="1"/>
  <c r="BO213" i="1"/>
  <c r="BS213" i="1" s="1"/>
  <c r="BO112" i="1"/>
  <c r="BS112" i="1" s="1"/>
  <c r="BO150" i="1"/>
  <c r="BS150" i="1" s="1"/>
  <c r="BO356" i="1"/>
  <c r="BS356" i="1" s="1"/>
  <c r="BO313" i="1"/>
  <c r="BS313" i="1" s="1"/>
  <c r="BO264" i="1"/>
  <c r="BS264" i="1" s="1"/>
  <c r="BO294" i="1"/>
  <c r="BS294" i="1" s="1"/>
  <c r="BO407" i="1"/>
  <c r="BS407" i="1" s="1"/>
  <c r="BO265" i="1"/>
  <c r="BS265" i="1" s="1"/>
  <c r="BO272" i="1"/>
  <c r="BS272" i="1" s="1"/>
  <c r="BO155" i="1"/>
  <c r="BS155" i="1" s="1"/>
  <c r="BO382" i="1"/>
  <c r="BS382" i="1" s="1"/>
  <c r="BO357" i="1"/>
  <c r="BS357" i="1" s="1"/>
  <c r="BO338" i="1"/>
  <c r="BS338" i="1" s="1"/>
  <c r="BO47" i="1"/>
  <c r="BS47" i="1" s="1"/>
  <c r="BO238" i="1"/>
  <c r="BS238" i="1" s="1"/>
  <c r="BO290" i="1"/>
  <c r="BS290" i="1" s="1"/>
  <c r="BO312" i="1"/>
  <c r="BS312" i="1" s="1"/>
  <c r="BO245" i="1"/>
  <c r="BS245" i="1" s="1"/>
  <c r="BO190" i="1"/>
  <c r="BS190" i="1" s="1"/>
  <c r="BO221" i="1"/>
  <c r="BS221" i="1" s="1"/>
  <c r="BO297" i="1"/>
  <c r="BS297" i="1" s="1"/>
  <c r="BO284" i="1"/>
  <c r="BS284" i="1" s="1"/>
  <c r="BO422" i="1"/>
  <c r="BS422" i="1" s="1"/>
  <c r="BO77" i="1"/>
  <c r="BS77" i="1" s="1"/>
  <c r="BO65" i="1"/>
  <c r="BS65" i="1" s="1"/>
  <c r="BO143" i="1"/>
  <c r="BS143" i="1" s="1"/>
  <c r="BO16" i="1"/>
  <c r="BS16" i="1" s="1"/>
  <c r="BO18" i="1"/>
  <c r="BS18" i="1" s="1"/>
  <c r="BO275" i="1"/>
  <c r="BS275" i="1" s="1"/>
  <c r="BO30" i="1"/>
  <c r="BS30" i="1" s="1"/>
  <c r="BO66" i="1"/>
  <c r="BS66" i="1" s="1"/>
  <c r="BO204" i="1"/>
  <c r="BS204" i="1" s="1"/>
  <c r="BO85" i="1"/>
  <c r="BS85" i="1" s="1"/>
  <c r="BO134" i="1"/>
  <c r="BS134" i="1" s="1"/>
  <c r="BO113" i="1"/>
  <c r="BS113" i="1" s="1"/>
  <c r="BO333" i="1"/>
  <c r="BS333" i="1" s="1"/>
  <c r="BO70" i="1"/>
  <c r="BS70" i="1" s="1"/>
  <c r="BO102" i="1"/>
  <c r="BS102" i="1" s="1"/>
  <c r="BO273" i="1"/>
  <c r="BS273" i="1" s="1"/>
  <c r="BO410" i="1"/>
  <c r="BS410" i="1" s="1"/>
  <c r="BO346" i="1"/>
  <c r="BS346" i="1" s="1"/>
  <c r="BO210" i="1"/>
  <c r="BS210" i="1" s="1"/>
  <c r="BO362" i="1"/>
  <c r="BS362" i="1" s="1"/>
  <c r="BO323" i="1"/>
  <c r="BS323" i="1" s="1"/>
  <c r="BO35" i="1"/>
  <c r="BS35" i="1" s="1"/>
  <c r="BO326" i="1"/>
  <c r="BS326" i="1" s="1"/>
  <c r="BO203" i="1"/>
  <c r="BS203" i="1" s="1"/>
  <c r="BO227" i="1"/>
  <c r="BS227" i="1" s="1"/>
  <c r="BO220" i="1"/>
  <c r="BS220" i="1" s="1"/>
  <c r="BO165" i="1"/>
  <c r="BS165" i="1" s="1"/>
  <c r="BO267" i="1"/>
  <c r="BS267" i="1" s="1"/>
  <c r="BO263" i="1"/>
  <c r="BS263" i="1" s="1"/>
  <c r="BO235" i="1"/>
  <c r="BS235" i="1" s="1"/>
  <c r="BO120" i="1"/>
  <c r="BS120" i="1" s="1"/>
  <c r="BO20" i="1"/>
  <c r="BS20" i="1" s="1"/>
  <c r="BO29" i="1"/>
  <c r="BS29" i="1" s="1"/>
  <c r="BO21" i="1"/>
  <c r="BS21" i="1" s="1"/>
  <c r="BO92" i="1"/>
  <c r="BS92" i="1" s="1"/>
  <c r="BO122" i="1"/>
  <c r="BS122" i="1" s="1"/>
  <c r="BO329" i="1"/>
  <c r="BS329" i="1" s="1"/>
  <c r="BO121" i="1"/>
  <c r="BS121" i="1" s="1"/>
  <c r="BO72" i="1"/>
  <c r="BS72" i="1" s="1"/>
  <c r="BO135" i="1"/>
  <c r="BS135" i="1" s="1"/>
  <c r="BO152" i="1"/>
  <c r="BS152" i="1" s="1"/>
  <c r="BO282" i="1"/>
  <c r="BS282" i="1" s="1"/>
  <c r="BO2" i="1"/>
  <c r="BS2" i="1" s="1"/>
  <c r="BO4" i="1"/>
  <c r="BS4" i="1" s="1"/>
  <c r="BO101" i="1"/>
  <c r="BS101" i="1" s="1"/>
  <c r="BO364" i="1"/>
  <c r="BS364" i="1" s="1"/>
  <c r="BO202" i="1"/>
  <c r="BS202" i="1" s="1"/>
  <c r="BO37" i="1"/>
  <c r="BS37" i="1" s="1"/>
  <c r="BO344" i="1"/>
  <c r="BS344" i="1" s="1"/>
  <c r="BO342" i="1"/>
  <c r="BS342" i="1" s="1"/>
  <c r="BO118" i="1"/>
  <c r="BS118" i="1" s="1"/>
  <c r="BO285" i="1"/>
  <c r="BS285" i="1" s="1"/>
  <c r="BO332" i="1"/>
  <c r="BS332" i="1" s="1"/>
  <c r="BO17" i="1"/>
  <c r="BS17" i="1" s="1"/>
  <c r="BO301" i="1"/>
  <c r="BS301" i="1" s="1"/>
  <c r="BO325" i="1"/>
  <c r="BS325" i="1" s="1"/>
  <c r="BO217" i="1"/>
  <c r="BS217" i="1" s="1"/>
  <c r="BO228" i="1"/>
  <c r="BS228" i="1" s="1"/>
  <c r="BO64" i="1"/>
  <c r="BS64" i="1" s="1"/>
  <c r="BO151" i="1"/>
  <c r="BS151" i="1" s="1"/>
  <c r="BO145" i="1"/>
  <c r="BS145" i="1" s="1"/>
  <c r="BO250" i="1"/>
  <c r="BS250" i="1" s="1"/>
  <c r="BO388" i="1"/>
  <c r="BS388" i="1" s="1"/>
  <c r="BO111" i="1"/>
  <c r="BS111" i="1" s="1"/>
  <c r="BO142" i="1"/>
  <c r="BS142" i="1" s="1"/>
  <c r="BO95" i="1"/>
  <c r="BS95" i="1" s="1"/>
  <c r="BO55" i="1"/>
  <c r="BS55" i="1" s="1"/>
  <c r="BO258" i="1"/>
  <c r="BS258" i="1" s="1"/>
  <c r="BO226" i="1"/>
  <c r="BS226" i="1" s="1"/>
  <c r="BO91" i="1"/>
  <c r="BS91" i="1" s="1"/>
  <c r="BO367" i="1"/>
  <c r="BS367" i="1" s="1"/>
  <c r="BO146" i="1"/>
  <c r="BS146" i="1" s="1"/>
  <c r="BO234" i="1"/>
  <c r="BS234" i="1" s="1"/>
  <c r="BO395" i="1"/>
  <c r="BS395" i="1" s="1"/>
  <c r="BO236" i="1"/>
  <c r="BS236" i="1" s="1"/>
  <c r="BO43" i="1"/>
  <c r="BS43" i="1" s="1"/>
  <c r="BO52" i="1"/>
  <c r="BS52" i="1" s="1"/>
  <c r="BO140" i="1"/>
  <c r="BS140" i="1" s="1"/>
  <c r="BO169" i="1"/>
  <c r="BS169" i="1" s="1"/>
  <c r="BO352" i="1"/>
  <c r="BS352" i="1" s="1"/>
  <c r="BO254" i="1"/>
  <c r="BS254" i="1" s="1"/>
  <c r="BO15" i="1"/>
  <c r="BS15" i="1" s="1"/>
  <c r="BO288" i="1"/>
  <c r="BS288" i="1" s="1"/>
  <c r="BO50" i="1"/>
  <c r="BS50" i="1" s="1"/>
  <c r="BO183" i="1"/>
  <c r="BS183" i="1" s="1"/>
  <c r="BO331" i="1"/>
  <c r="BS331" i="1" s="1"/>
  <c r="BO130" i="1"/>
  <c r="BS130" i="1" s="1"/>
  <c r="BO315" i="1"/>
  <c r="BS315" i="1" s="1"/>
  <c r="BO253" i="1"/>
  <c r="BS253" i="1" s="1"/>
  <c r="BO347" i="1"/>
  <c r="BS347" i="1" s="1"/>
  <c r="BO222" i="1"/>
  <c r="BS222" i="1" s="1"/>
  <c r="BO247" i="1"/>
  <c r="BS247" i="1" s="1"/>
  <c r="BO415" i="1"/>
  <c r="BS415" i="1" s="1"/>
  <c r="BO223" i="1"/>
  <c r="BS223" i="1" s="1"/>
  <c r="BO345" i="1"/>
  <c r="BS345" i="1" s="1"/>
  <c r="BO105" i="1"/>
  <c r="BS105" i="1" s="1"/>
  <c r="BO239" i="1"/>
  <c r="BS239" i="1" s="1"/>
  <c r="BO9" i="1"/>
  <c r="BS9" i="1" s="1"/>
  <c r="BO124" i="1"/>
  <c r="BS124" i="1" s="1"/>
  <c r="BO182" i="1"/>
  <c r="BS182" i="1" s="1"/>
  <c r="BO405" i="1"/>
  <c r="BS405" i="1" s="1"/>
  <c r="BO241" i="1"/>
  <c r="BS241" i="1" s="1"/>
  <c r="BO248" i="1"/>
  <c r="BS248" i="1" s="1"/>
  <c r="BO291" i="1"/>
  <c r="BS291" i="1" s="1"/>
  <c r="BO307" i="1"/>
  <c r="BS307" i="1" s="1"/>
  <c r="BO340" i="1"/>
  <c r="BS340" i="1" s="1"/>
  <c r="BO384" i="1"/>
  <c r="BS384" i="1" s="1"/>
  <c r="BO373" i="1"/>
  <c r="BS373" i="1" s="1"/>
  <c r="BO406" i="1"/>
  <c r="BS406" i="1" s="1"/>
  <c r="BO365" i="1"/>
  <c r="BS365" i="1" s="1"/>
  <c r="BO381" i="1"/>
  <c r="BS381" i="1" s="1"/>
  <c r="BO390" i="1"/>
  <c r="BS390" i="1" s="1"/>
  <c r="BO57" i="1"/>
  <c r="BS57" i="1" s="1"/>
  <c r="BO394" i="1"/>
  <c r="BS394" i="1" s="1"/>
  <c r="BO193" i="1"/>
  <c r="BS193" i="1" s="1"/>
  <c r="BO249" i="1"/>
  <c r="BS249" i="1" s="1"/>
  <c r="BO269" i="1"/>
  <c r="BS269" i="1" s="1"/>
  <c r="BO319" i="1"/>
  <c r="BS319" i="1" s="1"/>
  <c r="BO423" i="1"/>
  <c r="BS423" i="1" s="1"/>
  <c r="BO309" i="1"/>
  <c r="BS309" i="1" s="1"/>
  <c r="BO330" i="1"/>
  <c r="BS330" i="1" s="1"/>
  <c r="BO339" i="1"/>
  <c r="BS339" i="1" s="1"/>
  <c r="BO419" i="1"/>
  <c r="BS419" i="1" s="1"/>
  <c r="BO5" i="1"/>
  <c r="BS5" i="1" s="1"/>
  <c r="BO48" i="1"/>
  <c r="BS48" i="1" s="1"/>
  <c r="BO36" i="1"/>
  <c r="BS36" i="1" s="1"/>
  <c r="BO174" i="1"/>
  <c r="BS174" i="1" s="1"/>
  <c r="BO401" i="1"/>
  <c r="BS401" i="1" s="1"/>
  <c r="BO399" i="1"/>
  <c r="BS399" i="1" s="1"/>
  <c r="BO416" i="1"/>
  <c r="BS416" i="1" s="1"/>
  <c r="BO44" i="1"/>
  <c r="BS44" i="1" s="1"/>
  <c r="BO94" i="1"/>
  <c r="BS94" i="1" s="1"/>
  <c r="BO261" i="1"/>
  <c r="BS261" i="1" s="1"/>
  <c r="BO246" i="1"/>
  <c r="BS246" i="1" s="1"/>
  <c r="BM417" i="1"/>
  <c r="BM89" i="1"/>
  <c r="BM255" i="1"/>
  <c r="BM215" i="1"/>
  <c r="BM293" i="1"/>
  <c r="BM349" i="1"/>
  <c r="BM314" i="1"/>
  <c r="BM232" i="1"/>
  <c r="BM12" i="1"/>
  <c r="BM33" i="1"/>
  <c r="BM73" i="1"/>
  <c r="BM256" i="1"/>
  <c r="BM321" i="1"/>
  <c r="BM298" i="1"/>
  <c r="BM138" i="1"/>
  <c r="BM366" i="1"/>
  <c r="BM214" i="1"/>
  <c r="BM292" i="1"/>
  <c r="BM355" i="1"/>
  <c r="BM400" i="1"/>
  <c r="BM58" i="1"/>
  <c r="BM194" i="1"/>
  <c r="BM336" i="1"/>
  <c r="BM97" i="1"/>
  <c r="BM189" i="1"/>
  <c r="BM68" i="1"/>
  <c r="BM114" i="1"/>
  <c r="BM320" i="1"/>
  <c r="BM414" i="1"/>
  <c r="BM19" i="1"/>
  <c r="BM378" i="1"/>
  <c r="BM11" i="1"/>
  <c r="BM170" i="1"/>
  <c r="BM403" i="1"/>
  <c r="BM379" i="1"/>
  <c r="BM115" i="1"/>
  <c r="BM181" i="1"/>
  <c r="BM173" i="1"/>
  <c r="BM206" i="1"/>
  <c r="BM397" i="1"/>
  <c r="BM334" i="1"/>
  <c r="BM129" i="1"/>
  <c r="BM177" i="1"/>
  <c r="BM109" i="1"/>
  <c r="BM426" i="1"/>
  <c r="BM10" i="1"/>
  <c r="BM49" i="1"/>
  <c r="BM128" i="1"/>
  <c r="BM116" i="1"/>
  <c r="BM199" i="1"/>
  <c r="BM200" i="1"/>
  <c r="BM201" i="1"/>
  <c r="BM184" i="1"/>
  <c r="BM350" i="1"/>
  <c r="BM205" i="1"/>
  <c r="BM123" i="1"/>
  <c r="BM104" i="1"/>
  <c r="BM216" i="1"/>
  <c r="BM237" i="1"/>
  <c r="BM358" i="1"/>
  <c r="BM277" i="1"/>
  <c r="BM276" i="1"/>
  <c r="BM59" i="1"/>
  <c r="BM229" i="1"/>
  <c r="BM164" i="1"/>
  <c r="BM266" i="1"/>
  <c r="BM230" i="1"/>
  <c r="BM393" i="1"/>
  <c r="BM328" i="1"/>
  <c r="BM260" i="1"/>
  <c r="BM418" i="1"/>
  <c r="BM421" i="1"/>
  <c r="BM360" i="1"/>
  <c r="BM359" i="1"/>
  <c r="BM335" i="1"/>
  <c r="BM383" i="1"/>
  <c r="BM361" i="1"/>
  <c r="BM209" i="1"/>
  <c r="BM268" i="1"/>
  <c r="BM386" i="1"/>
  <c r="BM281" i="1"/>
  <c r="BM179" i="1"/>
  <c r="BM207" i="1"/>
  <c r="BM402" i="1"/>
  <c r="BM144" i="1"/>
  <c r="BM117" i="1"/>
  <c r="BM41" i="1"/>
  <c r="BM391" i="1"/>
  <c r="BM412" i="1"/>
  <c r="BM84" i="1"/>
  <c r="BM305" i="1"/>
  <c r="BM375" i="1"/>
  <c r="BM224" i="1"/>
  <c r="BM306" i="1"/>
  <c r="BM420" i="1"/>
  <c r="BM54" i="1"/>
  <c r="BM251" i="1"/>
  <c r="BM280" i="1"/>
  <c r="BM427" i="1"/>
  <c r="BM53" i="1"/>
  <c r="BM240" i="1"/>
  <c r="BM219" i="1"/>
  <c r="BM93" i="1"/>
  <c r="BM369" i="1"/>
  <c r="BM308" i="1"/>
  <c r="BM136" i="1"/>
  <c r="BM348" i="1"/>
  <c r="BM343" i="1"/>
  <c r="BM286" i="1"/>
  <c r="BM242" i="1"/>
  <c r="BM354" i="1"/>
  <c r="BM14" i="1"/>
  <c r="BM119" i="1"/>
  <c r="BM351" i="1"/>
  <c r="BM28" i="1"/>
  <c r="BM270" i="1"/>
  <c r="BM110" i="1"/>
  <c r="BM225" i="1"/>
  <c r="BM27" i="1"/>
  <c r="BM31" i="1"/>
  <c r="BM34" i="1"/>
  <c r="BM404" i="1"/>
  <c r="BM243" i="1"/>
  <c r="BM69" i="1"/>
  <c r="BM257" i="1"/>
  <c r="BM387" i="1"/>
  <c r="BM88" i="1"/>
  <c r="BM208" i="1"/>
  <c r="BM271" i="1"/>
  <c r="BM317" i="1"/>
  <c r="BM389" i="1"/>
  <c r="BM368" i="1"/>
  <c r="BM318" i="1"/>
  <c r="BM409" i="1"/>
  <c r="BM7" i="1"/>
  <c r="BM13" i="1"/>
  <c r="BM178" i="1"/>
  <c r="BM175" i="1"/>
  <c r="BM244" i="1"/>
  <c r="BM310" i="1"/>
  <c r="BM61" i="1"/>
  <c r="BM38" i="1"/>
  <c r="BM107" i="1"/>
  <c r="BM157" i="1"/>
  <c r="BM76" i="1"/>
  <c r="BM78" i="1"/>
  <c r="BM98" i="1"/>
  <c r="BM62" i="1"/>
  <c r="BM311" i="1"/>
  <c r="BM392" i="1"/>
  <c r="BM147" i="1"/>
  <c r="BM363" i="1"/>
  <c r="BM195" i="1"/>
  <c r="BM197" i="1"/>
  <c r="BM125" i="1"/>
  <c r="BM211" i="1"/>
  <c r="BM8" i="1"/>
  <c r="BM75" i="1"/>
  <c r="BM137" i="1"/>
  <c r="BM159" i="1"/>
  <c r="BM156" i="1"/>
  <c r="BM231" i="1"/>
  <c r="BM127" i="1"/>
  <c r="BM46" i="1"/>
  <c r="BM86" i="1"/>
  <c r="BM22" i="1"/>
  <c r="BM96" i="1"/>
  <c r="BM212" i="1"/>
  <c r="BM341" i="1"/>
  <c r="BM376" i="1"/>
  <c r="BM51" i="1"/>
  <c r="BM56" i="1"/>
  <c r="BM42" i="1"/>
  <c r="BM233" i="1"/>
  <c r="BM87" i="1"/>
  <c r="BM81" i="1"/>
  <c r="BM25" i="1"/>
  <c r="BM322" i="1"/>
  <c r="BM90" i="1"/>
  <c r="BM413" i="1"/>
  <c r="BM259" i="1"/>
  <c r="BM67" i="1"/>
  <c r="BM176" i="1"/>
  <c r="BM171" i="1"/>
  <c r="BM39" i="1"/>
  <c r="BM108" i="1"/>
  <c r="BM303" i="1"/>
  <c r="BM429" i="1"/>
  <c r="BM353" i="1"/>
  <c r="BM278" i="1"/>
  <c r="BM185" i="1"/>
  <c r="BM32" i="1"/>
  <c r="BM99" i="1"/>
  <c r="BM196" i="1"/>
  <c r="BM103" i="1"/>
  <c r="BM279" i="1"/>
  <c r="BM40" i="1"/>
  <c r="BM396" i="1"/>
  <c r="BM304" i="1"/>
  <c r="BM132" i="1"/>
  <c r="BM398" i="1"/>
  <c r="BM425" i="1"/>
  <c r="BM371" i="1"/>
  <c r="BM3" i="1"/>
  <c r="BM100" i="1"/>
  <c r="BM160" i="1"/>
  <c r="BM167" i="1"/>
  <c r="BM141" i="1"/>
  <c r="BM131" i="1"/>
  <c r="BM172" i="1"/>
  <c r="BM79" i="1"/>
  <c r="BM198" i="1"/>
  <c r="BM74" i="1"/>
  <c r="BM180" i="1"/>
  <c r="BM302" i="1"/>
  <c r="BM148" i="1"/>
  <c r="BM370" i="1"/>
  <c r="BM274" i="1"/>
  <c r="BM153" i="1"/>
  <c r="BM154" i="1"/>
  <c r="BM158" i="1"/>
  <c r="BM80" i="1"/>
  <c r="BM372" i="1"/>
  <c r="BM161" i="1"/>
  <c r="BM300" i="1"/>
  <c r="BM24" i="1"/>
  <c r="BM377" i="1"/>
  <c r="BM380" i="1"/>
  <c r="BM149" i="1"/>
  <c r="BM324" i="1"/>
  <c r="BM126" i="1"/>
  <c r="BM168" i="1"/>
  <c r="BM316" i="1"/>
  <c r="BM299" i="1"/>
  <c r="BM218" i="1"/>
  <c r="BM139" i="1"/>
  <c r="BM385" i="1"/>
  <c r="BM289" i="1"/>
  <c r="BM296" i="1"/>
  <c r="BM428" i="1"/>
  <c r="BM6" i="1"/>
  <c r="BM424" i="1"/>
  <c r="BM60" i="1"/>
  <c r="BM327" i="1"/>
  <c r="BM45" i="1"/>
  <c r="BM26" i="1"/>
  <c r="BM191" i="1"/>
  <c r="BM162" i="1"/>
  <c r="BM186" i="1"/>
  <c r="BM133" i="1"/>
  <c r="BM287" i="1"/>
  <c r="BM295" i="1"/>
  <c r="BM337" i="1"/>
  <c r="BM71" i="1"/>
  <c r="BM23" i="1"/>
  <c r="BM82" i="1"/>
  <c r="BM166" i="1"/>
  <c r="BM187" i="1"/>
  <c r="BM252" i="1"/>
  <c r="BM374" i="1"/>
  <c r="BM188" i="1"/>
  <c r="BM262" i="1"/>
  <c r="BM192" i="1"/>
  <c r="BM83" i="1"/>
  <c r="BM283" i="1"/>
  <c r="BM408" i="1"/>
  <c r="BM411" i="1"/>
  <c r="BM163" i="1"/>
  <c r="BM213" i="1"/>
  <c r="BM112" i="1"/>
  <c r="BM150" i="1"/>
  <c r="BM356" i="1"/>
  <c r="BM313" i="1"/>
  <c r="BM264" i="1"/>
  <c r="BM294" i="1"/>
  <c r="BM407" i="1"/>
  <c r="BM265" i="1"/>
  <c r="BM272" i="1"/>
  <c r="BM155" i="1"/>
  <c r="BM382" i="1"/>
  <c r="BM357" i="1"/>
  <c r="BM338" i="1"/>
  <c r="BM47" i="1"/>
  <c r="BM238" i="1"/>
  <c r="BM290" i="1"/>
  <c r="BM312" i="1"/>
  <c r="BM245" i="1"/>
  <c r="BM190" i="1"/>
  <c r="BM221" i="1"/>
  <c r="BM297" i="1"/>
  <c r="BM284" i="1"/>
  <c r="BM422" i="1"/>
  <c r="BM77" i="1"/>
  <c r="BM65" i="1"/>
  <c r="BM143" i="1"/>
  <c r="BM16" i="1"/>
  <c r="BM18" i="1"/>
  <c r="BM275" i="1"/>
  <c r="BM30" i="1"/>
  <c r="BM66" i="1"/>
  <c r="BM204" i="1"/>
  <c r="BM85" i="1"/>
  <c r="BM134" i="1"/>
  <c r="BM113" i="1"/>
  <c r="BM333" i="1"/>
  <c r="BM70" i="1"/>
  <c r="BM102" i="1"/>
  <c r="BM273" i="1"/>
  <c r="BM410" i="1"/>
  <c r="BM346" i="1"/>
  <c r="BM210" i="1"/>
  <c r="BM362" i="1"/>
  <c r="BM323" i="1"/>
  <c r="BM35" i="1"/>
  <c r="BM326" i="1"/>
  <c r="BM203" i="1"/>
  <c r="BM227" i="1"/>
  <c r="BM220" i="1"/>
  <c r="BM165" i="1"/>
  <c r="BM267" i="1"/>
  <c r="BM263" i="1"/>
  <c r="BM235" i="1"/>
  <c r="BM120" i="1"/>
  <c r="BM20" i="1"/>
  <c r="BM29" i="1"/>
  <c r="BM21" i="1"/>
  <c r="BM92" i="1"/>
  <c r="BM122" i="1"/>
  <c r="BM329" i="1"/>
  <c r="BM121" i="1"/>
  <c r="BM72" i="1"/>
  <c r="BM135" i="1"/>
  <c r="BM152" i="1"/>
  <c r="BM282" i="1"/>
  <c r="BM2" i="1"/>
  <c r="BM4" i="1"/>
  <c r="BM101" i="1"/>
  <c r="BM364" i="1"/>
  <c r="BM202" i="1"/>
  <c r="BM37" i="1"/>
  <c r="BM344" i="1"/>
  <c r="BM342" i="1"/>
  <c r="BM118" i="1"/>
  <c r="BM285" i="1"/>
  <c r="BM332" i="1"/>
  <c r="BM17" i="1"/>
  <c r="BM301" i="1"/>
  <c r="BM325" i="1"/>
  <c r="BM217" i="1"/>
  <c r="BM228" i="1"/>
  <c r="BM64" i="1"/>
  <c r="BM151" i="1"/>
  <c r="BM145" i="1"/>
  <c r="BM250" i="1"/>
  <c r="BM388" i="1"/>
  <c r="BM111" i="1"/>
  <c r="BM142" i="1"/>
  <c r="BM95" i="1"/>
  <c r="BM55" i="1"/>
  <c r="BM258" i="1"/>
  <c r="BM226" i="1"/>
  <c r="BM91" i="1"/>
  <c r="BM367" i="1"/>
  <c r="BM146" i="1"/>
  <c r="BM234" i="1"/>
  <c r="BM395" i="1"/>
  <c r="BM236" i="1"/>
  <c r="BM43" i="1"/>
  <c r="BM52" i="1"/>
  <c r="BM140" i="1"/>
  <c r="BM169" i="1"/>
  <c r="BM352" i="1"/>
  <c r="BM254" i="1"/>
  <c r="BM15" i="1"/>
  <c r="BM288" i="1"/>
  <c r="BM50" i="1"/>
  <c r="BM183" i="1"/>
  <c r="BM331" i="1"/>
  <c r="BM130" i="1"/>
  <c r="BM315" i="1"/>
  <c r="BM253" i="1"/>
  <c r="BM347" i="1"/>
  <c r="BM222" i="1"/>
  <c r="BM247" i="1"/>
  <c r="BM415" i="1"/>
  <c r="BM223" i="1"/>
  <c r="BM345" i="1"/>
  <c r="BM105" i="1"/>
  <c r="BM239" i="1"/>
  <c r="BM9" i="1"/>
  <c r="BM124" i="1"/>
  <c r="BM182" i="1"/>
  <c r="BM405" i="1"/>
  <c r="BM241" i="1"/>
  <c r="BM248" i="1"/>
  <c r="BM291" i="1"/>
  <c r="BM307" i="1"/>
  <c r="BM340" i="1"/>
  <c r="BM384" i="1"/>
  <c r="BM373" i="1"/>
  <c r="BM406" i="1"/>
  <c r="BM365" i="1"/>
  <c r="BM381" i="1"/>
  <c r="BM390" i="1"/>
  <c r="BM57" i="1"/>
  <c r="BM394" i="1"/>
  <c r="BM193" i="1"/>
  <c r="BM249" i="1"/>
  <c r="BM269" i="1"/>
  <c r="BM319" i="1"/>
  <c r="BM423" i="1"/>
  <c r="BM309" i="1"/>
  <c r="BM330" i="1"/>
  <c r="BM339" i="1"/>
  <c r="BM419" i="1"/>
  <c r="BM5" i="1"/>
  <c r="BM48" i="1"/>
  <c r="BM36" i="1"/>
  <c r="BM174" i="1"/>
  <c r="BM401" i="1"/>
  <c r="BM399" i="1"/>
  <c r="BM416" i="1"/>
  <c r="BM44" i="1"/>
  <c r="BM94" i="1"/>
  <c r="BM261" i="1"/>
  <c r="BM246" i="1"/>
  <c r="AV417" i="1"/>
  <c r="AV89" i="1"/>
  <c r="AV255" i="1"/>
  <c r="AV215" i="1"/>
  <c r="AV293" i="1"/>
  <c r="AV349" i="1"/>
  <c r="AV314" i="1"/>
  <c r="AV232" i="1"/>
  <c r="AV12" i="1"/>
  <c r="AV33" i="1"/>
  <c r="AV73" i="1"/>
  <c r="AV256" i="1"/>
  <c r="AV321" i="1"/>
  <c r="AV298" i="1"/>
  <c r="AV138" i="1"/>
  <c r="AV366" i="1"/>
  <c r="AV214" i="1"/>
  <c r="AV292" i="1"/>
  <c r="AV355" i="1"/>
  <c r="AV400" i="1"/>
  <c r="AV58" i="1"/>
  <c r="AV106" i="1"/>
  <c r="AV194" i="1"/>
  <c r="AV336" i="1"/>
  <c r="AV97" i="1"/>
  <c r="AV189" i="1"/>
  <c r="AV68" i="1"/>
  <c r="AV114" i="1"/>
  <c r="AV430" i="1"/>
  <c r="AV320" i="1"/>
  <c r="AV414" i="1"/>
  <c r="AV19" i="1"/>
  <c r="AV378" i="1"/>
  <c r="AV11" i="1"/>
  <c r="AV170" i="1"/>
  <c r="AV403" i="1"/>
  <c r="AV379" i="1"/>
  <c r="AV115" i="1"/>
  <c r="AV181" i="1"/>
  <c r="AV173" i="1"/>
  <c r="AV206" i="1"/>
  <c r="AV397" i="1"/>
  <c r="AV334" i="1"/>
  <c r="AV129" i="1"/>
  <c r="AV177" i="1"/>
  <c r="AV109" i="1"/>
  <c r="AV426" i="1"/>
  <c r="AV10" i="1"/>
  <c r="AV49" i="1"/>
  <c r="AV128" i="1"/>
  <c r="AV116" i="1"/>
  <c r="AV199" i="1"/>
  <c r="AV200" i="1"/>
  <c r="AV201" i="1"/>
  <c r="AV184" i="1"/>
  <c r="AV350" i="1"/>
  <c r="AV205" i="1"/>
  <c r="AV123" i="1"/>
  <c r="AV104" i="1"/>
  <c r="AV216" i="1"/>
  <c r="AV237" i="1"/>
  <c r="AV358" i="1"/>
  <c r="AV277" i="1"/>
  <c r="AV63" i="1"/>
  <c r="AV276" i="1"/>
  <c r="AV59" i="1"/>
  <c r="AV229" i="1"/>
  <c r="AV164" i="1"/>
  <c r="AV266" i="1"/>
  <c r="AV230" i="1"/>
  <c r="AV393" i="1"/>
  <c r="AV328" i="1"/>
  <c r="AV260" i="1"/>
  <c r="AV418" i="1"/>
  <c r="AV421" i="1"/>
  <c r="AV360" i="1"/>
  <c r="AV359" i="1"/>
  <c r="AV335" i="1"/>
  <c r="AV383" i="1"/>
  <c r="AV361" i="1"/>
  <c r="AV209" i="1"/>
  <c r="AV268" i="1"/>
  <c r="AV386" i="1"/>
  <c r="AV281" i="1"/>
  <c r="AV179" i="1"/>
  <c r="AV207" i="1"/>
  <c r="AV402" i="1"/>
  <c r="AV144" i="1"/>
  <c r="AV117" i="1"/>
  <c r="AV41" i="1"/>
  <c r="AV391" i="1"/>
  <c r="AV412" i="1"/>
  <c r="AV84" i="1"/>
  <c r="AV305" i="1"/>
  <c r="AV375" i="1"/>
  <c r="AV224" i="1"/>
  <c r="AV306" i="1"/>
  <c r="AV420" i="1"/>
  <c r="AV54" i="1"/>
  <c r="AV251" i="1"/>
  <c r="AV280" i="1"/>
  <c r="AV427" i="1"/>
  <c r="AV53" i="1"/>
  <c r="AV240" i="1"/>
  <c r="AV219" i="1"/>
  <c r="AV93" i="1"/>
  <c r="AV369" i="1"/>
  <c r="AV308" i="1"/>
  <c r="AV136" i="1"/>
  <c r="AV348" i="1"/>
  <c r="AV343" i="1"/>
  <c r="AV286" i="1"/>
  <c r="AV242" i="1"/>
  <c r="AV354" i="1"/>
  <c r="AV14" i="1"/>
  <c r="AV119" i="1"/>
  <c r="AV351" i="1"/>
  <c r="AV28" i="1"/>
  <c r="AV270" i="1"/>
  <c r="AV110" i="1"/>
  <c r="AV225" i="1"/>
  <c r="AV27" i="1"/>
  <c r="AV31" i="1"/>
  <c r="AV34" i="1"/>
  <c r="AV404" i="1"/>
  <c r="AV243" i="1"/>
  <c r="AV69" i="1"/>
  <c r="AV257" i="1"/>
  <c r="AV387" i="1"/>
  <c r="AV88" i="1"/>
  <c r="AV208" i="1"/>
  <c r="AV271" i="1"/>
  <c r="AV317" i="1"/>
  <c r="AV389" i="1"/>
  <c r="AV368" i="1"/>
  <c r="AV318" i="1"/>
  <c r="AV409" i="1"/>
  <c r="AV7" i="1"/>
  <c r="AV13" i="1"/>
  <c r="AV178" i="1"/>
  <c r="AV175" i="1"/>
  <c r="AV244" i="1"/>
  <c r="AV310" i="1"/>
  <c r="AV61" i="1"/>
  <c r="AV38" i="1"/>
  <c r="AV107" i="1"/>
  <c r="AV157" i="1"/>
  <c r="AV76" i="1"/>
  <c r="AV78" i="1"/>
  <c r="AV98" i="1"/>
  <c r="AV62" i="1"/>
  <c r="AV311" i="1"/>
  <c r="AV392" i="1"/>
  <c r="AV147" i="1"/>
  <c r="AV363" i="1"/>
  <c r="AV195" i="1"/>
  <c r="AV197" i="1"/>
  <c r="AV125" i="1"/>
  <c r="AV211" i="1"/>
  <c r="AV8" i="1"/>
  <c r="AV75" i="1"/>
  <c r="AV137" i="1"/>
  <c r="AV159" i="1"/>
  <c r="AV156" i="1"/>
  <c r="AV231" i="1"/>
  <c r="AV127" i="1"/>
  <c r="AV46" i="1"/>
  <c r="AV86" i="1"/>
  <c r="AV22" i="1"/>
  <c r="AV96" i="1"/>
  <c r="AV212" i="1"/>
  <c r="AV341" i="1"/>
  <c r="AV376" i="1"/>
  <c r="AV51" i="1"/>
  <c r="AV56" i="1"/>
  <c r="AV42" i="1"/>
  <c r="AV233" i="1"/>
  <c r="AV87" i="1"/>
  <c r="AV81" i="1"/>
  <c r="AV25" i="1"/>
  <c r="AV322" i="1"/>
  <c r="AV90" i="1"/>
  <c r="AV413" i="1"/>
  <c r="AV259" i="1"/>
  <c r="AV67" i="1"/>
  <c r="AV176" i="1"/>
  <c r="AV171" i="1"/>
  <c r="AV39" i="1"/>
  <c r="AV108" i="1"/>
  <c r="AV303" i="1"/>
  <c r="AV429" i="1"/>
  <c r="AV353" i="1"/>
  <c r="AV278" i="1"/>
  <c r="AV185" i="1"/>
  <c r="AV32" i="1"/>
  <c r="AV99" i="1"/>
  <c r="AV196" i="1"/>
  <c r="AV103" i="1"/>
  <c r="AV279" i="1"/>
  <c r="AV40" i="1"/>
  <c r="AV396" i="1"/>
  <c r="AV304" i="1"/>
  <c r="AV132" i="1"/>
  <c r="AV398" i="1"/>
  <c r="AV425" i="1"/>
  <c r="AV371" i="1"/>
  <c r="AV3" i="1"/>
  <c r="AV100" i="1"/>
  <c r="AV160" i="1"/>
  <c r="AV167" i="1"/>
  <c r="AV141" i="1"/>
  <c r="AV131" i="1"/>
  <c r="AV172" i="1"/>
  <c r="AV79" i="1"/>
  <c r="AV198" i="1"/>
  <c r="AV74" i="1"/>
  <c r="AV180" i="1"/>
  <c r="AV302" i="1"/>
  <c r="AV148" i="1"/>
  <c r="AV370" i="1"/>
  <c r="AV274" i="1"/>
  <c r="AV153" i="1"/>
  <c r="AV154" i="1"/>
  <c r="AV158" i="1"/>
  <c r="AV80" i="1"/>
  <c r="AV372" i="1"/>
  <c r="AV161" i="1"/>
  <c r="AV300" i="1"/>
  <c r="AV24" i="1"/>
  <c r="AV377" i="1"/>
  <c r="AV380" i="1"/>
  <c r="AV149" i="1"/>
  <c r="AV324" i="1"/>
  <c r="AV126" i="1"/>
  <c r="AV168" i="1"/>
  <c r="AV316" i="1"/>
  <c r="AV299" i="1"/>
  <c r="AV218" i="1"/>
  <c r="AV139" i="1"/>
  <c r="AV385" i="1"/>
  <c r="AV289" i="1"/>
  <c r="AV296" i="1"/>
  <c r="AV428" i="1"/>
  <c r="AV6" i="1"/>
  <c r="AV424" i="1"/>
  <c r="AV60" i="1"/>
  <c r="AV327" i="1"/>
  <c r="AV45" i="1"/>
  <c r="AV26" i="1"/>
  <c r="AV191" i="1"/>
  <c r="AV162" i="1"/>
  <c r="AV186" i="1"/>
  <c r="AV133" i="1"/>
  <c r="AV287" i="1"/>
  <c r="AV295" i="1"/>
  <c r="AV337" i="1"/>
  <c r="AV71" i="1"/>
  <c r="AV23" i="1"/>
  <c r="AV82" i="1"/>
  <c r="AV166" i="1"/>
  <c r="AV187" i="1"/>
  <c r="AV252" i="1"/>
  <c r="AV374" i="1"/>
  <c r="AV188" i="1"/>
  <c r="AV262" i="1"/>
  <c r="AV192" i="1"/>
  <c r="AV83" i="1"/>
  <c r="AV283" i="1"/>
  <c r="AV408" i="1"/>
  <c r="AV411" i="1"/>
  <c r="AV163" i="1"/>
  <c r="AV213" i="1"/>
  <c r="AV112" i="1"/>
  <c r="AV150" i="1"/>
  <c r="AV356" i="1"/>
  <c r="AV313" i="1"/>
  <c r="AV264" i="1"/>
  <c r="AV294" i="1"/>
  <c r="AV407" i="1"/>
  <c r="AV265" i="1"/>
  <c r="AV272" i="1"/>
  <c r="AV155" i="1"/>
  <c r="AV382" i="1"/>
  <c r="AV357" i="1"/>
  <c r="AV338" i="1"/>
  <c r="AV47" i="1"/>
  <c r="AV238" i="1"/>
  <c r="AV290" i="1"/>
  <c r="AV312" i="1"/>
  <c r="AV245" i="1"/>
  <c r="AV190" i="1"/>
  <c r="AV221" i="1"/>
  <c r="AV297" i="1"/>
  <c r="AV284" i="1"/>
  <c r="AV422" i="1"/>
  <c r="AV77" i="1"/>
  <c r="AV65" i="1"/>
  <c r="AV143" i="1"/>
  <c r="AV16" i="1"/>
  <c r="AV18" i="1"/>
  <c r="AV275" i="1"/>
  <c r="AV30" i="1"/>
  <c r="AV66" i="1"/>
  <c r="AV204" i="1"/>
  <c r="AV85" i="1"/>
  <c r="AV134" i="1"/>
  <c r="AV113" i="1"/>
  <c r="AV333" i="1"/>
  <c r="AV70" i="1"/>
  <c r="AV102" i="1"/>
  <c r="AV273" i="1"/>
  <c r="AV410" i="1"/>
  <c r="AV346" i="1"/>
  <c r="AV210" i="1"/>
  <c r="AV362" i="1"/>
  <c r="AV323" i="1"/>
  <c r="AV35" i="1"/>
  <c r="AV326" i="1"/>
  <c r="AV203" i="1"/>
  <c r="AV227" i="1"/>
  <c r="AV220" i="1"/>
  <c r="AV165" i="1"/>
  <c r="AV267" i="1"/>
  <c r="AV263" i="1"/>
  <c r="AV235" i="1"/>
  <c r="AV120" i="1"/>
  <c r="AV20" i="1"/>
  <c r="AV29" i="1"/>
  <c r="AV21" i="1"/>
  <c r="AV92" i="1"/>
  <c r="AV122" i="1"/>
  <c r="AV329" i="1"/>
  <c r="AV121" i="1"/>
  <c r="AV72" i="1"/>
  <c r="AV135" i="1"/>
  <c r="AV152" i="1"/>
  <c r="AV282" i="1"/>
  <c r="AV2" i="1"/>
  <c r="AV4" i="1"/>
  <c r="AV101" i="1"/>
  <c r="AV364" i="1"/>
  <c r="AV202" i="1"/>
  <c r="AV37" i="1"/>
  <c r="AV344" i="1"/>
  <c r="AV342" i="1"/>
  <c r="AV118" i="1"/>
  <c r="AV285" i="1"/>
  <c r="AV332" i="1"/>
  <c r="AV17" i="1"/>
  <c r="AV301" i="1"/>
  <c r="AV325" i="1"/>
  <c r="AV217" i="1"/>
  <c r="AV228" i="1"/>
  <c r="AV64" i="1"/>
  <c r="AV151" i="1"/>
  <c r="AV145" i="1"/>
  <c r="AV250" i="1"/>
  <c r="AV388" i="1"/>
  <c r="AV111" i="1"/>
  <c r="AV142" i="1"/>
  <c r="AV95" i="1"/>
  <c r="AV55" i="1"/>
  <c r="AV258" i="1"/>
  <c r="AV226" i="1"/>
  <c r="AV91" i="1"/>
  <c r="AV367" i="1"/>
  <c r="AV146" i="1"/>
  <c r="AV234" i="1"/>
  <c r="AV395" i="1"/>
  <c r="AV236" i="1"/>
  <c r="AV43" i="1"/>
  <c r="AV52" i="1"/>
  <c r="AV140" i="1"/>
  <c r="AV169" i="1"/>
  <c r="AV352" i="1"/>
  <c r="AV254" i="1"/>
  <c r="AV15" i="1"/>
  <c r="AV288" i="1"/>
  <c r="AV50" i="1"/>
  <c r="AV183" i="1"/>
  <c r="AV331" i="1"/>
  <c r="AV130" i="1"/>
  <c r="AV315" i="1"/>
  <c r="AV253" i="1"/>
  <c r="AV347" i="1"/>
  <c r="AV222" i="1"/>
  <c r="AV247" i="1"/>
  <c r="AV415" i="1"/>
  <c r="AV223" i="1"/>
  <c r="AV345" i="1"/>
  <c r="AV105" i="1"/>
  <c r="AV239" i="1"/>
  <c r="AV9" i="1"/>
  <c r="AV124" i="1"/>
  <c r="AV182" i="1"/>
  <c r="AV405" i="1"/>
  <c r="AV241" i="1"/>
  <c r="AV248" i="1"/>
  <c r="AV291" i="1"/>
  <c r="AV307" i="1"/>
  <c r="AV340" i="1"/>
  <c r="AV384" i="1"/>
  <c r="AV373" i="1"/>
  <c r="AV406" i="1"/>
  <c r="AV365" i="1"/>
  <c r="AV381" i="1"/>
  <c r="AV390" i="1"/>
  <c r="AV57" i="1"/>
  <c r="AV394" i="1"/>
  <c r="AV193" i="1"/>
  <c r="AV249" i="1"/>
  <c r="AV269" i="1"/>
  <c r="AV319" i="1"/>
  <c r="AV423" i="1"/>
  <c r="AV330" i="1"/>
  <c r="AV339" i="1"/>
  <c r="AV419" i="1"/>
  <c r="AV5" i="1"/>
  <c r="AV48" i="1"/>
  <c r="AV36" i="1"/>
  <c r="AV174" i="1"/>
  <c r="AV401" i="1"/>
  <c r="AV399" i="1"/>
  <c r="AV416" i="1"/>
  <c r="AV44" i="1"/>
  <c r="AV94" i="1"/>
  <c r="AV261" i="1"/>
  <c r="AV246" i="1"/>
  <c r="AP417" i="1"/>
  <c r="AP89" i="1"/>
  <c r="AP255" i="1"/>
  <c r="AP215" i="1"/>
  <c r="AP293" i="1"/>
  <c r="AP349" i="1"/>
  <c r="AP314" i="1"/>
  <c r="AP232" i="1"/>
  <c r="AP12" i="1"/>
  <c r="AP33" i="1"/>
  <c r="AP73" i="1"/>
  <c r="AP256" i="1"/>
  <c r="AP321" i="1"/>
  <c r="AP298" i="1"/>
  <c r="AP138" i="1"/>
  <c r="AP366" i="1"/>
  <c r="AP214" i="1"/>
  <c r="AP292" i="1"/>
  <c r="AP355" i="1"/>
  <c r="AP400" i="1"/>
  <c r="AP58" i="1"/>
  <c r="AP106" i="1"/>
  <c r="AP194" i="1"/>
  <c r="AP336" i="1"/>
  <c r="AP97" i="1"/>
  <c r="AP189" i="1"/>
  <c r="AP68" i="1"/>
  <c r="AP114" i="1"/>
  <c r="AP430" i="1"/>
  <c r="AP320" i="1"/>
  <c r="AP414" i="1"/>
  <c r="AP19" i="1"/>
  <c r="AP378" i="1"/>
  <c r="AP11" i="1"/>
  <c r="AP170" i="1"/>
  <c r="AP403" i="1"/>
  <c r="AP379" i="1"/>
  <c r="AP115" i="1"/>
  <c r="AP181" i="1"/>
  <c r="AP173" i="1"/>
  <c r="AP206" i="1"/>
  <c r="AP397" i="1"/>
  <c r="AP334" i="1"/>
  <c r="AP129" i="1"/>
  <c r="AP177" i="1"/>
  <c r="AP109" i="1"/>
  <c r="AP426" i="1"/>
  <c r="AP10" i="1"/>
  <c r="AP49" i="1"/>
  <c r="AP128" i="1"/>
  <c r="AP116" i="1"/>
  <c r="AP199" i="1"/>
  <c r="AP200" i="1"/>
  <c r="AP201" i="1"/>
  <c r="AP184" i="1"/>
  <c r="AP350" i="1"/>
  <c r="AP205" i="1"/>
  <c r="AP123" i="1"/>
  <c r="AP104" i="1"/>
  <c r="AP216" i="1"/>
  <c r="AP237" i="1"/>
  <c r="AP358" i="1"/>
  <c r="AP277" i="1"/>
  <c r="AP63" i="1"/>
  <c r="AP276" i="1"/>
  <c r="AP59" i="1"/>
  <c r="AP229" i="1"/>
  <c r="AP164" i="1"/>
  <c r="AP266" i="1"/>
  <c r="AP230" i="1"/>
  <c r="AP393" i="1"/>
  <c r="AP328" i="1"/>
  <c r="AP260" i="1"/>
  <c r="AP418" i="1"/>
  <c r="AP421" i="1"/>
  <c r="AP360" i="1"/>
  <c r="AP359" i="1"/>
  <c r="AP335" i="1"/>
  <c r="AP383" i="1"/>
  <c r="AP361" i="1"/>
  <c r="AP209" i="1"/>
  <c r="AP268" i="1"/>
  <c r="AP386" i="1"/>
  <c r="AP281" i="1"/>
  <c r="AP179" i="1"/>
  <c r="AP207" i="1"/>
  <c r="AP402" i="1"/>
  <c r="AP144" i="1"/>
  <c r="AP117" i="1"/>
  <c r="AP41" i="1"/>
  <c r="AP391" i="1"/>
  <c r="AP412" i="1"/>
  <c r="AP84" i="1"/>
  <c r="AP305" i="1"/>
  <c r="AP375" i="1"/>
  <c r="AP224" i="1"/>
  <c r="AP306" i="1"/>
  <c r="AP420" i="1"/>
  <c r="AP54" i="1"/>
  <c r="AP251" i="1"/>
  <c r="AP280" i="1"/>
  <c r="AP427" i="1"/>
  <c r="AP53" i="1"/>
  <c r="AP240" i="1"/>
  <c r="AP219" i="1"/>
  <c r="AP93" i="1"/>
  <c r="AP369" i="1"/>
  <c r="AP308" i="1"/>
  <c r="AP136" i="1"/>
  <c r="AP348" i="1"/>
  <c r="AP343" i="1"/>
  <c r="AP286" i="1"/>
  <c r="AP242" i="1"/>
  <c r="AP354" i="1"/>
  <c r="AP14" i="1"/>
  <c r="AP119" i="1"/>
  <c r="AP351" i="1"/>
  <c r="AP28" i="1"/>
  <c r="AP270" i="1"/>
  <c r="AP110" i="1"/>
  <c r="AP225" i="1"/>
  <c r="AP27" i="1"/>
  <c r="AP31" i="1"/>
  <c r="AP34" i="1"/>
  <c r="AP404" i="1"/>
  <c r="AP243" i="1"/>
  <c r="AP69" i="1"/>
  <c r="AP257" i="1"/>
  <c r="AP387" i="1"/>
  <c r="AP88" i="1"/>
  <c r="AP208" i="1"/>
  <c r="AP271" i="1"/>
  <c r="AP317" i="1"/>
  <c r="AP389" i="1"/>
  <c r="AP368" i="1"/>
  <c r="AP318" i="1"/>
  <c r="AP409" i="1"/>
  <c r="AP7" i="1"/>
  <c r="AP13" i="1"/>
  <c r="AP178" i="1"/>
  <c r="AP175" i="1"/>
  <c r="AP244" i="1"/>
  <c r="AP310" i="1"/>
  <c r="AP61" i="1"/>
  <c r="AP38" i="1"/>
  <c r="AP107" i="1"/>
  <c r="AP157" i="1"/>
  <c r="AP76" i="1"/>
  <c r="AP78" i="1"/>
  <c r="AP98" i="1"/>
  <c r="AP62" i="1"/>
  <c r="AP311" i="1"/>
  <c r="AP392" i="1"/>
  <c r="AP147" i="1"/>
  <c r="AP363" i="1"/>
  <c r="AP195" i="1"/>
  <c r="AP197" i="1"/>
  <c r="AP125" i="1"/>
  <c r="AP211" i="1"/>
  <c r="AP8" i="1"/>
  <c r="AP75" i="1"/>
  <c r="AP137" i="1"/>
  <c r="AP159" i="1"/>
  <c r="AP156" i="1"/>
  <c r="AP231" i="1"/>
  <c r="AP127" i="1"/>
  <c r="AP46" i="1"/>
  <c r="AP86" i="1"/>
  <c r="AP22" i="1"/>
  <c r="AP96" i="1"/>
  <c r="AP212" i="1"/>
  <c r="AP341" i="1"/>
  <c r="AP376" i="1"/>
  <c r="AP51" i="1"/>
  <c r="AP56" i="1"/>
  <c r="AP42" i="1"/>
  <c r="AP233" i="1"/>
  <c r="AP87" i="1"/>
  <c r="AP81" i="1"/>
  <c r="AP25" i="1"/>
  <c r="AP322" i="1"/>
  <c r="AP90" i="1"/>
  <c r="AP413" i="1"/>
  <c r="AP259" i="1"/>
  <c r="AP67" i="1"/>
  <c r="AP176" i="1"/>
  <c r="AP171" i="1"/>
  <c r="AP39" i="1"/>
  <c r="AP108" i="1"/>
  <c r="AP303" i="1"/>
  <c r="AP429" i="1"/>
  <c r="AP353" i="1"/>
  <c r="AP278" i="1"/>
  <c r="AP185" i="1"/>
  <c r="AP32" i="1"/>
  <c r="AP99" i="1"/>
  <c r="AP196" i="1"/>
  <c r="AP103" i="1"/>
  <c r="AP279" i="1"/>
  <c r="AP40" i="1"/>
  <c r="AP396" i="1"/>
  <c r="AP304" i="1"/>
  <c r="AP132" i="1"/>
  <c r="AP398" i="1"/>
  <c r="AP425" i="1"/>
  <c r="AP371" i="1"/>
  <c r="AP3" i="1"/>
  <c r="AP100" i="1"/>
  <c r="AP160" i="1"/>
  <c r="AP167" i="1"/>
  <c r="AP141" i="1"/>
  <c r="AP131" i="1"/>
  <c r="AP172" i="1"/>
  <c r="AP79" i="1"/>
  <c r="AP198" i="1"/>
  <c r="AP74" i="1"/>
  <c r="AP180" i="1"/>
  <c r="AP302" i="1"/>
  <c r="AP148" i="1"/>
  <c r="AP370" i="1"/>
  <c r="AP274" i="1"/>
  <c r="AP153" i="1"/>
  <c r="AP154" i="1"/>
  <c r="AP158" i="1"/>
  <c r="AP80" i="1"/>
  <c r="AP372" i="1"/>
  <c r="AP161" i="1"/>
  <c r="AP300" i="1"/>
  <c r="AP24" i="1"/>
  <c r="AP377" i="1"/>
  <c r="AP380" i="1"/>
  <c r="AP149" i="1"/>
  <c r="AP324" i="1"/>
  <c r="AP126" i="1"/>
  <c r="AP168" i="1"/>
  <c r="AP316" i="1"/>
  <c r="AP299" i="1"/>
  <c r="AP218" i="1"/>
  <c r="AP139" i="1"/>
  <c r="AP385" i="1"/>
  <c r="AP289" i="1"/>
  <c r="AP296" i="1"/>
  <c r="AP428" i="1"/>
  <c r="AP6" i="1"/>
  <c r="AP424" i="1"/>
  <c r="AP60" i="1"/>
  <c r="AP327" i="1"/>
  <c r="AP45" i="1"/>
  <c r="AP26" i="1"/>
  <c r="AP191" i="1"/>
  <c r="AP162" i="1"/>
  <c r="AP186" i="1"/>
  <c r="AP133" i="1"/>
  <c r="AP287" i="1"/>
  <c r="AP295" i="1"/>
  <c r="AP337" i="1"/>
  <c r="AP71" i="1"/>
  <c r="AP23" i="1"/>
  <c r="AP82" i="1"/>
  <c r="AP166" i="1"/>
  <c r="AP187" i="1"/>
  <c r="AP252" i="1"/>
  <c r="AP374" i="1"/>
  <c r="AP188" i="1"/>
  <c r="AP262" i="1"/>
  <c r="AP192" i="1"/>
  <c r="AP83" i="1"/>
  <c r="AP283" i="1"/>
  <c r="AP408" i="1"/>
  <c r="AP411" i="1"/>
  <c r="AP163" i="1"/>
  <c r="AP213" i="1"/>
  <c r="AP112" i="1"/>
  <c r="AP150" i="1"/>
  <c r="AP356" i="1"/>
  <c r="AP313" i="1"/>
  <c r="AP264" i="1"/>
  <c r="AP294" i="1"/>
  <c r="AP407" i="1"/>
  <c r="AP265" i="1"/>
  <c r="AP272" i="1"/>
  <c r="AP155" i="1"/>
  <c r="AP382" i="1"/>
  <c r="AP357" i="1"/>
  <c r="AP338" i="1"/>
  <c r="AP47" i="1"/>
  <c r="AP238" i="1"/>
  <c r="AP290" i="1"/>
  <c r="AP312" i="1"/>
  <c r="AP245" i="1"/>
  <c r="AP190" i="1"/>
  <c r="AP221" i="1"/>
  <c r="AP297" i="1"/>
  <c r="AP284" i="1"/>
  <c r="AP422" i="1"/>
  <c r="AP77" i="1"/>
  <c r="AP65" i="1"/>
  <c r="AP143" i="1"/>
  <c r="AP16" i="1"/>
  <c r="AP18" i="1"/>
  <c r="AP275" i="1"/>
  <c r="AP30" i="1"/>
  <c r="AP66" i="1"/>
  <c r="AP204" i="1"/>
  <c r="AP85" i="1"/>
  <c r="AP134" i="1"/>
  <c r="AP113" i="1"/>
  <c r="AP333" i="1"/>
  <c r="AP70" i="1"/>
  <c r="AP102" i="1"/>
  <c r="AP273" i="1"/>
  <c r="AP410" i="1"/>
  <c r="AP346" i="1"/>
  <c r="AP210" i="1"/>
  <c r="AP362" i="1"/>
  <c r="AP323" i="1"/>
  <c r="AP35" i="1"/>
  <c r="AP326" i="1"/>
  <c r="AP203" i="1"/>
  <c r="AP227" i="1"/>
  <c r="AP220" i="1"/>
  <c r="AP165" i="1"/>
  <c r="AP267" i="1"/>
  <c r="AP263" i="1"/>
  <c r="AP235" i="1"/>
  <c r="AP120" i="1"/>
  <c r="AP20" i="1"/>
  <c r="AP29" i="1"/>
  <c r="AP21" i="1"/>
  <c r="AP92" i="1"/>
  <c r="AP122" i="1"/>
  <c r="AP329" i="1"/>
  <c r="AP121" i="1"/>
  <c r="AP72" i="1"/>
  <c r="AP135" i="1"/>
  <c r="AP152" i="1"/>
  <c r="AP282" i="1"/>
  <c r="AP2" i="1"/>
  <c r="AP4" i="1"/>
  <c r="AP101" i="1"/>
  <c r="AP364" i="1"/>
  <c r="AP202" i="1"/>
  <c r="AP37" i="1"/>
  <c r="AP344" i="1"/>
  <c r="AP342" i="1"/>
  <c r="AP118" i="1"/>
  <c r="AP285" i="1"/>
  <c r="AP332" i="1"/>
  <c r="AP17" i="1"/>
  <c r="AP301" i="1"/>
  <c r="AP325" i="1"/>
  <c r="AP217" i="1"/>
  <c r="AP228" i="1"/>
  <c r="AP64" i="1"/>
  <c r="AP151" i="1"/>
  <c r="AP145" i="1"/>
  <c r="AP250" i="1"/>
  <c r="AP388" i="1"/>
  <c r="AP111" i="1"/>
  <c r="AP142" i="1"/>
  <c r="AP95" i="1"/>
  <c r="AP55" i="1"/>
  <c r="AP258" i="1"/>
  <c r="AP226" i="1"/>
  <c r="AP91" i="1"/>
  <c r="AP367" i="1"/>
  <c r="AP146" i="1"/>
  <c r="AP234" i="1"/>
  <c r="AP395" i="1"/>
  <c r="AP236" i="1"/>
  <c r="AP43" i="1"/>
  <c r="AP52" i="1"/>
  <c r="AP140" i="1"/>
  <c r="AP169" i="1"/>
  <c r="AP352" i="1"/>
  <c r="AP254" i="1"/>
  <c r="AP15" i="1"/>
  <c r="AP288" i="1"/>
  <c r="AP50" i="1"/>
  <c r="AP183" i="1"/>
  <c r="AP331" i="1"/>
  <c r="AP130" i="1"/>
  <c r="AP315" i="1"/>
  <c r="AP253" i="1"/>
  <c r="AP347" i="1"/>
  <c r="AP222" i="1"/>
  <c r="AP247" i="1"/>
  <c r="AP415" i="1"/>
  <c r="AP223" i="1"/>
  <c r="AP345" i="1"/>
  <c r="AP105" i="1"/>
  <c r="AP239" i="1"/>
  <c r="AP9" i="1"/>
  <c r="AP124" i="1"/>
  <c r="AP182" i="1"/>
  <c r="AP405" i="1"/>
  <c r="AP241" i="1"/>
  <c r="AP248" i="1"/>
  <c r="AP291" i="1"/>
  <c r="AP307" i="1"/>
  <c r="AP340" i="1"/>
  <c r="AP384" i="1"/>
  <c r="AP373" i="1"/>
  <c r="AP406" i="1"/>
  <c r="AP365" i="1"/>
  <c r="AP381" i="1"/>
  <c r="AP390" i="1"/>
  <c r="AP57" i="1"/>
  <c r="AP394" i="1"/>
  <c r="AP193" i="1"/>
  <c r="AP249" i="1"/>
  <c r="AP269" i="1"/>
  <c r="AP319" i="1"/>
  <c r="AP423" i="1"/>
  <c r="AP309" i="1"/>
  <c r="AP330" i="1"/>
  <c r="AP339" i="1"/>
  <c r="AP419" i="1"/>
  <c r="AP5" i="1"/>
  <c r="AP48" i="1"/>
  <c r="AP36" i="1"/>
  <c r="AP174" i="1"/>
  <c r="AP401" i="1"/>
  <c r="AP399" i="1"/>
  <c r="AP416" i="1"/>
  <c r="AP44" i="1"/>
  <c r="AP94" i="1"/>
  <c r="AP261" i="1"/>
  <c r="AP246" i="1"/>
  <c r="Y170" i="1"/>
  <c r="Y378" i="1"/>
  <c r="Y11" i="1"/>
  <c r="Y19" i="1"/>
  <c r="Y414" i="1"/>
  <c r="Y430" i="1"/>
  <c r="Y189" i="1"/>
  <c r="Y114" i="1"/>
  <c r="Y68" i="1"/>
  <c r="Y336" i="1"/>
  <c r="Y194" i="1"/>
  <c r="Y106" i="1"/>
  <c r="Y400" i="1"/>
  <c r="Y355" i="1"/>
  <c r="Y292" i="1"/>
  <c r="Y214" i="1"/>
  <c r="Y138" i="1"/>
  <c r="Y366" i="1"/>
  <c r="Y298" i="1"/>
  <c r="Y321" i="1"/>
  <c r="Y256" i="1"/>
  <c r="Y73" i="1"/>
  <c r="Y33" i="1"/>
  <c r="Y12" i="1"/>
  <c r="Y232" i="1"/>
  <c r="Y314" i="1"/>
  <c r="Y349" i="1"/>
  <c r="Y293" i="1"/>
  <c r="Y255" i="1"/>
  <c r="Y89" i="1"/>
  <c r="Y215" i="1"/>
  <c r="Y246" i="1"/>
  <c r="Y417" i="1"/>
  <c r="Y320" i="1"/>
  <c r="Y97" i="1"/>
  <c r="Y354" i="1"/>
  <c r="Y14" i="1"/>
  <c r="Y351" i="1"/>
  <c r="Y28" i="1"/>
  <c r="Y119" i="1"/>
  <c r="Y270" i="1"/>
  <c r="Y27" i="1"/>
  <c r="Y31" i="1"/>
  <c r="Y34" i="1"/>
  <c r="Y404" i="1"/>
  <c r="Y257" i="1"/>
  <c r="Y69" i="1"/>
  <c r="Y181" i="1"/>
  <c r="Y397" i="1"/>
  <c r="Y334" i="1"/>
  <c r="Y115" i="1"/>
  <c r="Y173" i="1"/>
  <c r="Y206" i="1"/>
  <c r="Y116" i="1"/>
  <c r="Y128" i="1"/>
  <c r="Y109" i="1"/>
  <c r="Y426" i="1"/>
  <c r="Y10" i="1"/>
  <c r="Y49" i="1"/>
  <c r="Y403" i="1"/>
  <c r="Y271" i="1"/>
  <c r="Y178" i="1"/>
  <c r="Y244" i="1"/>
  <c r="Y13" i="1"/>
  <c r="Y7" i="1"/>
  <c r="Y387" i="1"/>
  <c r="Y88" i="1"/>
  <c r="Y409" i="1"/>
  <c r="Y318" i="1"/>
  <c r="Y208" i="1"/>
  <c r="Y379" i="1"/>
  <c r="Y177" i="1"/>
  <c r="Y129" i="1"/>
  <c r="Y175" i="1"/>
  <c r="Y368" i="1"/>
  <c r="Y225" i="1"/>
  <c r="Y110" i="1"/>
  <c r="Y216" i="1"/>
  <c r="Y199" i="1"/>
  <c r="Y200" i="1"/>
  <c r="Y104" i="1"/>
  <c r="Y123" i="1"/>
  <c r="Y201" i="1"/>
  <c r="Y358" i="1"/>
  <c r="Y237" i="1"/>
  <c r="Y277" i="1"/>
  <c r="Y350" i="1"/>
  <c r="Y184" i="1"/>
  <c r="Y205" i="1"/>
  <c r="Y276" i="1"/>
  <c r="Y63" i="1"/>
  <c r="Y317" i="1"/>
  <c r="Y389" i="1"/>
  <c r="Y279" i="1"/>
  <c r="Y196" i="1"/>
  <c r="Y103" i="1"/>
  <c r="Y99" i="1"/>
  <c r="Y40" i="1"/>
  <c r="Y32" i="1"/>
  <c r="Y160" i="1"/>
  <c r="Y185" i="1"/>
  <c r="Y167" i="1"/>
  <c r="Y212" i="1"/>
  <c r="Y74" i="1"/>
  <c r="Y211" i="1"/>
  <c r="Y363" i="1"/>
  <c r="Y60" i="1"/>
  <c r="Y195" i="1"/>
  <c r="Y147" i="1"/>
  <c r="Y197" i="1"/>
  <c r="Y75" i="1"/>
  <c r="Y8" i="1"/>
  <c r="Y156" i="1"/>
  <c r="Y231" i="1"/>
  <c r="Y137" i="1"/>
  <c r="Y198" i="1"/>
  <c r="Y125" i="1"/>
  <c r="Y96" i="1"/>
  <c r="Y141" i="1"/>
  <c r="Y159" i="1"/>
  <c r="Y322" i="1"/>
  <c r="Y46" i="1"/>
  <c r="Y127" i="1"/>
  <c r="Y86" i="1"/>
  <c r="Y25" i="1"/>
  <c r="Y311" i="1"/>
  <c r="Y392" i="1"/>
  <c r="Y62" i="1"/>
  <c r="Y171" i="1"/>
  <c r="Y81" i="1"/>
  <c r="Y22" i="1"/>
  <c r="Y376" i="1"/>
  <c r="Y341" i="1"/>
  <c r="Y310" i="1"/>
  <c r="Y78" i="1"/>
  <c r="Y56" i="1"/>
  <c r="Y51" i="1"/>
  <c r="Y87" i="1"/>
  <c r="Y42" i="1"/>
  <c r="Y233" i="1"/>
  <c r="Y98" i="1"/>
  <c r="Y172" i="1"/>
  <c r="Y131" i="1"/>
  <c r="Y79" i="1"/>
  <c r="Y80" i="1"/>
  <c r="Y154" i="1"/>
  <c r="Y153" i="1"/>
  <c r="Y3" i="1"/>
  <c r="Y100" i="1"/>
  <c r="Y371" i="1"/>
  <c r="Y158" i="1"/>
  <c r="Y396" i="1"/>
  <c r="Y304" i="1"/>
  <c r="Y398" i="1"/>
  <c r="Y302" i="1"/>
  <c r="Y180" i="1"/>
  <c r="Y132" i="1"/>
  <c r="Y278" i="1"/>
  <c r="Y353" i="1"/>
  <c r="Y303" i="1"/>
  <c r="Y429" i="1"/>
  <c r="Y39" i="1"/>
  <c r="Y108" i="1"/>
  <c r="Y61" i="1"/>
  <c r="Y425" i="1"/>
  <c r="Y370" i="1"/>
  <c r="Y148" i="1"/>
  <c r="Y274" i="1"/>
  <c r="Y176" i="1"/>
  <c r="Y413" i="1"/>
  <c r="Y67" i="1"/>
  <c r="Y90" i="1"/>
  <c r="Y259" i="1"/>
  <c r="Y157" i="1"/>
  <c r="Y38" i="1"/>
  <c r="Y107" i="1"/>
  <c r="Y76" i="1"/>
  <c r="Y240" i="1"/>
  <c r="Y251" i="1"/>
  <c r="Y427" i="1"/>
  <c r="Y280" i="1"/>
  <c r="Y53" i="1"/>
  <c r="Y54" i="1"/>
  <c r="Y41" i="1"/>
  <c r="Y306" i="1"/>
  <c r="Y420" i="1"/>
  <c r="Y412" i="1"/>
  <c r="Y391" i="1"/>
  <c r="Y375" i="1"/>
  <c r="Y84" i="1"/>
  <c r="Y305" i="1"/>
  <c r="Y224" i="1"/>
  <c r="Y327" i="1"/>
  <c r="Y117" i="1"/>
  <c r="Y386" i="1"/>
  <c r="Y209" i="1"/>
  <c r="Y260" i="1"/>
  <c r="Y418" i="1"/>
  <c r="Y360" i="1"/>
  <c r="Y335" i="1"/>
  <c r="Y361" i="1"/>
  <c r="Y383" i="1"/>
  <c r="Y268" i="1"/>
  <c r="Y230" i="1"/>
  <c r="Y393" i="1"/>
  <c r="Y164" i="1"/>
  <c r="Y266" i="1"/>
  <c r="Y328" i="1"/>
  <c r="Y359" i="1"/>
  <c r="Y421" i="1"/>
  <c r="Y59" i="1"/>
  <c r="Y229" i="1"/>
  <c r="Y207" i="1"/>
  <c r="Y179" i="1"/>
  <c r="Y402" i="1"/>
  <c r="Y281" i="1"/>
  <c r="Y242" i="1"/>
  <c r="Y219" i="1"/>
  <c r="Y343" i="1"/>
  <c r="Y308" i="1"/>
  <c r="Y136" i="1"/>
  <c r="Y369" i="1"/>
  <c r="Y93" i="1"/>
  <c r="Y286" i="1"/>
  <c r="Y348" i="1"/>
  <c r="Y144" i="1"/>
</calcChain>
</file>

<file path=xl/sharedStrings.xml><?xml version="1.0" encoding="utf-8"?>
<sst xmlns="http://schemas.openxmlformats.org/spreadsheetml/2006/main" count="10656" uniqueCount="2416">
  <si>
    <t>USE_LICENSE_URL</t>
  </si>
  <si>
    <t>GUID</t>
  </si>
  <si>
    <t>SCIENTIFIC_NAME</t>
  </si>
  <si>
    <t>GENUS</t>
  </si>
  <si>
    <t>SPECIES</t>
  </si>
  <si>
    <t>COLLECTORS</t>
  </si>
  <si>
    <t>CONTINENT_OCEAN</t>
  </si>
  <si>
    <t>COUNTRY</t>
  </si>
  <si>
    <t>STATE_PROV</t>
  </si>
  <si>
    <t>COUNTY</t>
  </si>
  <si>
    <t>MIN_ELEV_IN_M</t>
  </si>
  <si>
    <t>MAX_ELEV_IN_M</t>
  </si>
  <si>
    <t>MINIMUM_ELEVATION</t>
  </si>
  <si>
    <t>MAXIMUM_ELEVATION</t>
  </si>
  <si>
    <t>ELEV_IN_M</t>
  </si>
  <si>
    <t>DEPTH_IN_M</t>
  </si>
  <si>
    <t>SPEC_LOCALITY</t>
  </si>
  <si>
    <t>LOCALITY_REMARKS</t>
  </si>
  <si>
    <t>VERBATIM_LOCALITY</t>
  </si>
  <si>
    <t>VERBATIM_DATE</t>
  </si>
  <si>
    <t>DAY_COLLECTED</t>
  </si>
  <si>
    <t>MONTH_COLLECTED</t>
  </si>
  <si>
    <t>YEAR_COLLECTED</t>
  </si>
  <si>
    <t>VERBATIM_COORDINATES</t>
  </si>
  <si>
    <t>ORIG_LAT_LONG_UNITS</t>
  </si>
  <si>
    <t>DEC_LAT</t>
  </si>
  <si>
    <t>DEC_LONG</t>
  </si>
  <si>
    <t>COORDINATEUNCERTAINTYINMETERS</t>
  </si>
  <si>
    <t>DATUM</t>
  </si>
  <si>
    <t>FORMATTED_SCIENTIFIC_NAME</t>
  </si>
  <si>
    <t>COLL_EVENT_REMARKS</t>
  </si>
  <si>
    <t>ASSOCIATED_SPECIES</t>
  </si>
  <si>
    <t>AGE</t>
  </si>
  <si>
    <t>AGE_CLASS</t>
  </si>
  <si>
    <t>BODY_CONDITION</t>
  </si>
  <si>
    <t>BODY_WIDTH</t>
  </si>
  <si>
    <t>CALCAR_LENGTH</t>
  </si>
  <si>
    <t>DESCRIPTION</t>
  </si>
  <si>
    <t>DIMENSIONS</t>
  </si>
  <si>
    <t>EAR_FROM_NOTCH</t>
  </si>
  <si>
    <t>EMBRYO_WEIGHT</t>
  </si>
  <si>
    <t>HEAD_LENGTH</t>
  </si>
  <si>
    <t>HEAD_WIDTH</t>
  </si>
  <si>
    <t>HEIGHT</t>
  </si>
  <si>
    <t>HIND_FOOT_WITH_CLAW</t>
  </si>
  <si>
    <t>HIND_LIMB_LENGTH</t>
  </si>
  <si>
    <t>LEFT_GONAD_LENGTH</t>
  </si>
  <si>
    <t>LEFT_GONAD_WIDTH</t>
  </si>
  <si>
    <t>MAXIMUM_STANDARD_LENGTH</t>
  </si>
  <si>
    <t>MAXIMUM_TOTAL_LENGTH</t>
  </si>
  <si>
    <t>MINIMUM_STANDARD_LENGTH</t>
  </si>
  <si>
    <t>MINIMUM_TOTAL_LENGTH</t>
  </si>
  <si>
    <t>REPRODUCTIVE_DATA</t>
  </si>
  <si>
    <t>RIGHT_GONAD_LENGTH</t>
  </si>
  <si>
    <t>RIGHT_GONAD_WIDTH</t>
  </si>
  <si>
    <t>SEX</t>
  </si>
  <si>
    <t>STANDARD_LENGTH</t>
  </si>
  <si>
    <t>TAIL_BASE_WIDTH</t>
  </si>
  <si>
    <t>TAIL_CONDITION</t>
  </si>
  <si>
    <t>TAIL_LENGTH</t>
  </si>
  <si>
    <t>TOTAL_LENGTH</t>
  </si>
  <si>
    <t>VERBATIM_COLLECTOR</t>
  </si>
  <si>
    <t>WEIGHT</t>
  </si>
  <si>
    <t>http://creativecommons.org/licenses/by/3.0/; http://mvz.berkeley.edu/mvzdata_terms</t>
  </si>
  <si>
    <t>Mus musculus</t>
  </si>
  <si>
    <t>Mus</t>
  </si>
  <si>
    <t>Dana Lin</t>
  </si>
  <si>
    <t>North America</t>
  </si>
  <si>
    <t>United States</t>
  </si>
  <si>
    <t>Arizona</t>
  </si>
  <si>
    <t>Pima County</t>
  </si>
  <si>
    <t>700-700</t>
  </si>
  <si>
    <t>decimal degrees</t>
  </si>
  <si>
    <t>unknown</t>
  </si>
  <si>
    <t>&lt;i&gt;Mus musculus&lt;/i&gt; Linnaeus, 1758</t>
  </si>
  <si>
    <t>adult</t>
  </si>
  <si>
    <t>13 mm</t>
  </si>
  <si>
    <t>12 mm</t>
  </si>
  <si>
    <t>female</t>
  </si>
  <si>
    <t>85 mm</t>
  </si>
  <si>
    <t>167 mm</t>
  </si>
  <si>
    <t>22 g</t>
  </si>
  <si>
    <t>17 mm</t>
  </si>
  <si>
    <t>male</t>
  </si>
  <si>
    <t>78 mm</t>
  </si>
  <si>
    <t>159 mm</t>
  </si>
  <si>
    <t>16.75 g</t>
  </si>
  <si>
    <t>14 mm</t>
  </si>
  <si>
    <t>15 mm</t>
  </si>
  <si>
    <t>165 mm</t>
  </si>
  <si>
    <t>12.75 g</t>
  </si>
  <si>
    <t>MVZ:Mamm:230438</t>
  </si>
  <si>
    <t>657-657</t>
  </si>
  <si>
    <t>Carter's Tack and Feed, 1430 W Wetmore Rd., Tucson</t>
  </si>
  <si>
    <t>Carter's Tack and Feed, 1430 West Wetmore Road, Tucson, Pima County, Arizona, United States</t>
  </si>
  <si>
    <t>23.4791/-111.6599333333</t>
  </si>
  <si>
    <t>World Geodetic System 1984</t>
  </si>
  <si>
    <t>testes scrotal, 8 x 4 mm</t>
  </si>
  <si>
    <t>76 mm</t>
  </si>
  <si>
    <t>164 mm</t>
  </si>
  <si>
    <t>15.25 g</t>
  </si>
  <si>
    <t>MVZ:Mamm:230439</t>
  </si>
  <si>
    <t>pregnant, 4 embryos</t>
  </si>
  <si>
    <t>91 mm</t>
  </si>
  <si>
    <t>186 mm</t>
  </si>
  <si>
    <t>20.75 g</t>
  </si>
  <si>
    <t>MVZ:Mamm:230441</t>
  </si>
  <si>
    <t>845-845</t>
  </si>
  <si>
    <t>River Valley Ranch, 9801 E Millmar Rd., Tucson</t>
  </si>
  <si>
    <t>River Valley Ranch, 9801 E. Millmar Road, Tucson, Pima County, Arizona, United States</t>
  </si>
  <si>
    <t>32.1013/-110.4658</t>
  </si>
  <si>
    <t>20 mm</t>
  </si>
  <si>
    <t>testes scrotal, length 8 mm</t>
  </si>
  <si>
    <t>90 mm</t>
  </si>
  <si>
    <t>172 mm</t>
  </si>
  <si>
    <t>17.25 g</t>
  </si>
  <si>
    <t>MVZ:Mamm:230442</t>
  </si>
  <si>
    <t>835-835</t>
  </si>
  <si>
    <t>Horse Heaven Equestrian Center, 4885 S Houghton Rd.</t>
  </si>
  <si>
    <t>Horse Heaven Equestrian Center, 4885 S. Houghton Road, Pima County, Arizona, United States</t>
  </si>
  <si>
    <t>32.0948/-110.4617</t>
  </si>
  <si>
    <t>18 mm</t>
  </si>
  <si>
    <t>pregnant, embryos 2L, 4R</t>
  </si>
  <si>
    <t>88 mm</t>
  </si>
  <si>
    <t>22.5 g</t>
  </si>
  <si>
    <t>MVZ:Mamm:230443</t>
  </si>
  <si>
    <t>841-841</t>
  </si>
  <si>
    <t>Raven Ranch, 9295 E Graf Lane</t>
  </si>
  <si>
    <t>Raven Ranch, 9295 E. Graf Lane, Pima County, Arizona, United States</t>
  </si>
  <si>
    <t>32.1029/-110.7715</t>
  </si>
  <si>
    <t>19 mm</t>
  </si>
  <si>
    <t>testes abdominal, length 7 mm</t>
  </si>
  <si>
    <t>175 mm</t>
  </si>
  <si>
    <t>14 g</t>
  </si>
  <si>
    <t>Megan Phifer-Rixey</t>
  </si>
  <si>
    <t>17.9 mm</t>
  </si>
  <si>
    <t>75 mm</t>
  </si>
  <si>
    <t>166.5 mm</t>
  </si>
  <si>
    <t>15.5 g</t>
  </si>
  <si>
    <t>15.9 mm</t>
  </si>
  <si>
    <t>19.1 mm</t>
  </si>
  <si>
    <t>18.5 mm</t>
  </si>
  <si>
    <t>179 mm</t>
  </si>
  <si>
    <t>MVZ:Mamm:230589</t>
  </si>
  <si>
    <t>Carter's Feed Supply, elev. 700m, 1430 W Wetmore Rd., Tucson, Pima County, Arizona, United States</t>
  </si>
  <si>
    <t>32.28721/-110.99599</t>
  </si>
  <si>
    <t>pregnant; embryos 6 x 8 mm</t>
  </si>
  <si>
    <t>84 mm</t>
  </si>
  <si>
    <t>166 mm</t>
  </si>
  <si>
    <t>16.5 g</t>
  </si>
  <si>
    <t>MVZ:Mamm:230794</t>
  </si>
  <si>
    <t>Carter's Feed Supply, 1430 W Wetmore Rd., Tucson, Pima County, Arizona, United States</t>
  </si>
  <si>
    <t>parous</t>
  </si>
  <si>
    <t>81 mm</t>
  </si>
  <si>
    <t>170 mm</t>
  </si>
  <si>
    <t>MVZ:Mamm:230795</t>
  </si>
  <si>
    <t>642-642</t>
  </si>
  <si>
    <t>Arizona Feeds Country Store, on N. Highway Dr. near Ruthrauff Rd., Tucson</t>
  </si>
  <si>
    <t>Arozona Feeds Country Store, on Highway Rd near Ruthrauft Rd., Tuscon, Pima County, Arizona, United States</t>
  </si>
  <si>
    <t>32.29215/-111.026311</t>
  </si>
  <si>
    <t>86 mm</t>
  </si>
  <si>
    <t>173 mm</t>
  </si>
  <si>
    <t>MVZ:Mamm:230796</t>
  </si>
  <si>
    <t>649-649</t>
  </si>
  <si>
    <t>Kennel Comfort Pet Hotel on Zinnia Ave. near N. Highway Dr., Tucson</t>
  </si>
  <si>
    <t>Kennel Comfort Pet Hotel on Zinnia Ave near Highway R., Tucson, Pima County, Arizona, United States</t>
  </si>
  <si>
    <t>32.2904/-111.02068</t>
  </si>
  <si>
    <t>19.75 mm</t>
  </si>
  <si>
    <t>testes scrotal, length 10 mm</t>
  </si>
  <si>
    <t>99 mm</t>
  </si>
  <si>
    <t>192 mm</t>
  </si>
  <si>
    <t>21.25 g</t>
  </si>
  <si>
    <t>MVZ:Mamm:230798</t>
  </si>
  <si>
    <t>pregnant, embryos 3L, 4R</t>
  </si>
  <si>
    <t>83 mm</t>
  </si>
  <si>
    <t>23 g</t>
  </si>
  <si>
    <t>MVZ:Mamm:230797</t>
  </si>
  <si>
    <t>704-704</t>
  </si>
  <si>
    <t>Silverbell Boarding Stables on Silverbell Rd., N of Goret Rd., Tucson</t>
  </si>
  <si>
    <t>Silverbell Boarding Stable on Silvervell Rd. north of Goret Rd., Tuscon, Pima County, Arizona, United States</t>
  </si>
  <si>
    <t>32.26812/-110.02657</t>
  </si>
  <si>
    <t>160 mm</t>
  </si>
  <si>
    <t>15.13 g</t>
  </si>
  <si>
    <t>Florida</t>
  </si>
  <si>
    <t>Marion County</t>
  </si>
  <si>
    <t>37-37</t>
  </si>
  <si>
    <t>14.5 mm</t>
  </si>
  <si>
    <t>157 mm</t>
  </si>
  <si>
    <t>12.3 g</t>
  </si>
  <si>
    <t>82 mm</t>
  </si>
  <si>
    <t>24-24</t>
  </si>
  <si>
    <t>92 mm</t>
  </si>
  <si>
    <t>177 mm</t>
  </si>
  <si>
    <t>18 g</t>
  </si>
  <si>
    <t>79 mm</t>
  </si>
  <si>
    <t>17 g</t>
  </si>
  <si>
    <t>12.5 mm</t>
  </si>
  <si>
    <t>74 mm</t>
  </si>
  <si>
    <t>180 mm</t>
  </si>
  <si>
    <t>13 g</t>
  </si>
  <si>
    <t>18.6 g</t>
  </si>
  <si>
    <t>184 mm</t>
  </si>
  <si>
    <t>19.3 g</t>
  </si>
  <si>
    <t>subadult</t>
  </si>
  <si>
    <t>15.5 mm</t>
  </si>
  <si>
    <t>153 mm</t>
  </si>
  <si>
    <t>12.25 g</t>
  </si>
  <si>
    <t>13.5 mm</t>
  </si>
  <si>
    <t>80 mm</t>
  </si>
  <si>
    <t>13.8 g</t>
  </si>
  <si>
    <t>MVZ:Mamm:231410</t>
  </si>
  <si>
    <t>Felipe Martins</t>
  </si>
  <si>
    <t>South America</t>
  </si>
  <si>
    <t>Argentina</t>
  </si>
  <si>
    <t>Buenos Aires</t>
  </si>
  <si>
    <t>203-203</t>
  </si>
  <si>
    <t>Tandil</t>
  </si>
  <si>
    <t>Grainerie</t>
  </si>
  <si>
    <t>Argentina; Buenos Aires; Tandil; Grainerie; S 37 ¬∞17.389' ; 59¬∞ 09.264'; 666ft</t>
  </si>
  <si>
    <t>pregnant (4x0)</t>
  </si>
  <si>
    <t>MVZ:Mamm:231408</t>
  </si>
  <si>
    <t>201-201</t>
  </si>
  <si>
    <t>Argentina; Buenos Aires; Tandil; Grainerie; S 37 ¬∞17.45' ; 59¬∞ 12.037'; 659ft</t>
  </si>
  <si>
    <t>110 mm</t>
  </si>
  <si>
    <t>14.25 g</t>
  </si>
  <si>
    <t>MVZ:Mamm:231409</t>
  </si>
  <si>
    <t>juvenile</t>
  </si>
  <si>
    <t>10 mm</t>
  </si>
  <si>
    <t>testis abd.; testis (4.0 x 2.0 mm)</t>
  </si>
  <si>
    <t>63 mm</t>
  </si>
  <si>
    <t>124 mm</t>
  </si>
  <si>
    <t>6.5 g</t>
  </si>
  <si>
    <t>MVZ:Mamm:231402</t>
  </si>
  <si>
    <t>210-210</t>
  </si>
  <si>
    <t>Tandil, Ruta 226</t>
  </si>
  <si>
    <t>Argentina; Buenos Aires; Tandil; Ruta 226; Grainerie; S 37 ¬∞18.971' ; 59¬∞ 06.139'; 689ft</t>
  </si>
  <si>
    <t>11 mm</t>
  </si>
  <si>
    <t>abd.; testis (4.0 x 2.0)</t>
  </si>
  <si>
    <t>59 mm</t>
  </si>
  <si>
    <t>5.75 g</t>
  </si>
  <si>
    <t>MVZ:Mamm:231403</t>
  </si>
  <si>
    <t>pregnant</t>
  </si>
  <si>
    <t>185 mm</t>
  </si>
  <si>
    <t>16 g</t>
  </si>
  <si>
    <t>MVZ:Mamm:231407</t>
  </si>
  <si>
    <t>204-204</t>
  </si>
  <si>
    <t>Argentina; Buenos Aires; Tandil; Grainerie; S 37 ¬∞19.128' ; 59¬∞ 06.329'; 669ft</t>
  </si>
  <si>
    <t>Testis length: 6.0 x 2.0</t>
  </si>
  <si>
    <t>10.25 g</t>
  </si>
  <si>
    <t>MVZ:Mamm:231398</t>
  </si>
  <si>
    <t>Horse farm</t>
  </si>
  <si>
    <t>Argentina; Buenos Aires; Tandil; Ruta 226; Horse farm; S 37 ¬∞19.651' ; 59¬∞ 05.004'; 689ft</t>
  </si>
  <si>
    <t>pregnant (4x1)</t>
  </si>
  <si>
    <t>70 mm</t>
  </si>
  <si>
    <t>154 mm</t>
  </si>
  <si>
    <t>11.5 g</t>
  </si>
  <si>
    <t>MVZ:Mamm:231399</t>
  </si>
  <si>
    <t>Argentina; Buenos Aires; Tandil; Ruta 226; Horse farm; S 37 ¬∞19.651' ; W 59¬∞ 05.004'; 689</t>
  </si>
  <si>
    <t>nulliparous</t>
  </si>
  <si>
    <t>7.5 g</t>
  </si>
  <si>
    <t>MVZ:Mamm:231400</t>
  </si>
  <si>
    <t>scrotal</t>
  </si>
  <si>
    <t>12.5 g</t>
  </si>
  <si>
    <t>MVZ:Mamm:231397</t>
  </si>
  <si>
    <t>223-223</t>
  </si>
  <si>
    <t>Tandil, Avenida Dom Bosco 1102</t>
  </si>
  <si>
    <t>Chicken farm</t>
  </si>
  <si>
    <t>Argentina; Buenos Aires; Tandil; Avenida Dom Bosco 1102; Chicken farm; S 37 ¬∞21.465' ; 59¬∞ 07.317'; 732ft</t>
  </si>
  <si>
    <t>176 mm</t>
  </si>
  <si>
    <t>MVZ:Mamm:231405</t>
  </si>
  <si>
    <t>258-258</t>
  </si>
  <si>
    <t>Argentina; Buenos Aires; Tandil; Grainerie; S 37 ¬∞21'20.68" ; 59¬∞ 12'17.62"; 846ft</t>
  </si>
  <si>
    <t>scrotal; Testis: 7.0 x 4.0mm</t>
  </si>
  <si>
    <t>MVZ:Mamm:231406</t>
  </si>
  <si>
    <t>abdominal</t>
  </si>
  <si>
    <t>11 g</t>
  </si>
  <si>
    <t>MVZ:Mamm:231396</t>
  </si>
  <si>
    <t>112-112</t>
  </si>
  <si>
    <t>Balcarce, Ruta 55</t>
  </si>
  <si>
    <t>Argentina; Buenos Aires; Balcarce; Ruta 55; Grainerie; S 37 ¬∞48.613' ; 58¬∞ 12.666'; 367ft</t>
  </si>
  <si>
    <t>188 mm</t>
  </si>
  <si>
    <t>19 g</t>
  </si>
  <si>
    <t>MVZ:Mamm:231395</t>
  </si>
  <si>
    <t>132-132</t>
  </si>
  <si>
    <t>Balcarce, Ruta 226</t>
  </si>
  <si>
    <t>Instituto tecnologico Agropecu√°rio - sunflower</t>
  </si>
  <si>
    <t>Argentina; Buenos Aires; Balcarce; Ruta 226; Instituto tecnologico Agropecu√°rio - sunflower; S 37 ¬∞45.634' ; 58¬∞ 17.930'; 433</t>
  </si>
  <si>
    <t>37.7605666667/-58.2988333333</t>
  </si>
  <si>
    <t>abdominal; Testis (3.0 x 2.0mm)</t>
  </si>
  <si>
    <t>69 mm</t>
  </si>
  <si>
    <t>144 mm</t>
  </si>
  <si>
    <t>8 g</t>
  </si>
  <si>
    <t>MVZ:Mamm:231422</t>
  </si>
  <si>
    <t>Chubut</t>
  </si>
  <si>
    <t>Gaiman, La Angostura</t>
  </si>
  <si>
    <t>pig farm</t>
  </si>
  <si>
    <t>Argentina; Chubut; Gaiman; La Angostura; pig farm; S 43 ¬∞17'44.5" ; 65¬∞ 24'00.9"; 10ft</t>
  </si>
  <si>
    <t>scrotal; Testis (7.0 x 4.0mm)</t>
  </si>
  <si>
    <t>MVZ:Mamm:231421</t>
  </si>
  <si>
    <t>Farm</t>
  </si>
  <si>
    <t>Argentina; Chubut; Gaiman; La Angostura; Farm; S 43 ¬∞18'38.8" ; 65¬∞ 24'31.4"; 30ft</t>
  </si>
  <si>
    <t>pregnant (0x3)</t>
  </si>
  <si>
    <t>171 mm</t>
  </si>
  <si>
    <t>24 g</t>
  </si>
  <si>
    <t>MVZ:Mamm:231411</t>
  </si>
  <si>
    <t>farm</t>
  </si>
  <si>
    <t>Argentina; Chubut; Gaiman; La Angostura; farm; S 43 ¬∞18'43.8" ; 65¬∞ 31'36.5"; 30ft</t>
  </si>
  <si>
    <t>testes abdominal; Testis (7.0 x 3.0mm)</t>
  </si>
  <si>
    <t>10.75 g</t>
  </si>
  <si>
    <t>MVZ:Mamm:231414</t>
  </si>
  <si>
    <t>16-16</t>
  </si>
  <si>
    <t>Argentina; Chubut; Gaiman; La Angostura; Farm; S 43 ¬∞19'30.7" ; 65¬∞ 32'32.0"; 52ft</t>
  </si>
  <si>
    <t>MVZ:Mamm:231418</t>
  </si>
  <si>
    <t>89 mm</t>
  </si>
  <si>
    <t>183 mm</t>
  </si>
  <si>
    <t>14.75 g</t>
  </si>
  <si>
    <t>MVZ:Mamm:231423</t>
  </si>
  <si>
    <t>Argentina; Chubut; Gaiman; La Angostura; Farm; S 43 ¬∞19'38.3" ; 65¬∞ 22'29.1"; 30ft</t>
  </si>
  <si>
    <t>testes abdominal</t>
  </si>
  <si>
    <t>MVZ:Mamm:231413</t>
  </si>
  <si>
    <t>Argentina; Chubut; Gaiman; La Angostura; Farm; S 43 ¬∞19'47.5" ; 65¬∞ 32'50.0"; 16ft</t>
  </si>
  <si>
    <t>scrotal; testis (8.0 x 3.0mm)</t>
  </si>
  <si>
    <t>MVZ:Mamm:231419</t>
  </si>
  <si>
    <t>Argentina; Chubut; Gaiman; La Angostura; Farm; S 43 ¬∞19'51.2" ; 65¬∞ 28'58.3"; 10ft</t>
  </si>
  <si>
    <t>168 mm</t>
  </si>
  <si>
    <t>MVZ:Mamm:231420</t>
  </si>
  <si>
    <t>152 mm</t>
  </si>
  <si>
    <t>10 g</t>
  </si>
  <si>
    <t>MVZ:Mamm:231415</t>
  </si>
  <si>
    <t>Agronomy school</t>
  </si>
  <si>
    <t>Argentina; Chubut; Gaiman; La Angostura; Agronomy school; S 43 ¬∞19'57.9" ; 65¬∞ 28'28.3"; 13ft</t>
  </si>
  <si>
    <t>abdominal; t: (4.0x2.0mm)</t>
  </si>
  <si>
    <t>61 mm</t>
  </si>
  <si>
    <t>132 mm</t>
  </si>
  <si>
    <t>5.5 g</t>
  </si>
  <si>
    <t>MVZ:Mamm:231416</t>
  </si>
  <si>
    <t>60 mm</t>
  </si>
  <si>
    <t>122 mm</t>
  </si>
  <si>
    <t>5 g</t>
  </si>
  <si>
    <t>MVZ:Mamm:231417</t>
  </si>
  <si>
    <t>15 g</t>
  </si>
  <si>
    <t>MVZ:Mamm:231412</t>
  </si>
  <si>
    <t>Agricultural supply store</t>
  </si>
  <si>
    <t>Argentina; Chubut; Gaiman; La Angostura; Agricultural supply store; S 43 ¬∞20'24.4" ; 65¬∞ 31'53.6"; 10ft</t>
  </si>
  <si>
    <t>16 mm</t>
  </si>
  <si>
    <t>pregnant (3x1)</t>
  </si>
  <si>
    <t>87 mm</t>
  </si>
  <si>
    <t>178 mm</t>
  </si>
  <si>
    <t>MVZ:Mamm:231424</t>
  </si>
  <si>
    <t>abandoned farm</t>
  </si>
  <si>
    <t>Argentina; Chubut; Gaiman; La Angostura; abandoned farm; S 43 ¬∞20'30.8" ; 65¬∞ 94'04.4"; 30ft</t>
  </si>
  <si>
    <t>77 mm</t>
  </si>
  <si>
    <t>17.5 g</t>
  </si>
  <si>
    <t>MVZ:Mamm:231425</t>
  </si>
  <si>
    <t>Tierra del Fuego</t>
  </si>
  <si>
    <t>95-95</t>
  </si>
  <si>
    <t>Ushuaia, Barrio Andorra</t>
  </si>
  <si>
    <t>rabbit farm</t>
  </si>
  <si>
    <t>Argentina; Tierra del Fuego; Ushuaia; Barrio Andorra; rabbit farm; S 54 ¬∞47.153' ; 68¬∞ 16.534'; 313ft</t>
  </si>
  <si>
    <t>pregnant (4x2)</t>
  </si>
  <si>
    <t>21.75 g</t>
  </si>
  <si>
    <t>MVZ:Mamm:231426</t>
  </si>
  <si>
    <t>MVZ:Mamm:231427</t>
  </si>
  <si>
    <t>72 mm</t>
  </si>
  <si>
    <t>150 mm</t>
  </si>
  <si>
    <t>MVZ:Mamm:231428</t>
  </si>
  <si>
    <t>testes abdominal; Testis (7.0 x 4.0mm)</t>
  </si>
  <si>
    <t>169 mm</t>
  </si>
  <si>
    <t>MVZ:Mamm:231429</t>
  </si>
  <si>
    <t>26-26</t>
  </si>
  <si>
    <t>Ushuaia</t>
  </si>
  <si>
    <t>road to the city dump. Trout ranch</t>
  </si>
  <si>
    <t>Argentina; Tierra del Fuego; Ushuaia; road to the city dump; trout ranch; S 54 ¬∞47.834' ; 68¬∞ 13.756'; 85ft</t>
  </si>
  <si>
    <t>pregnant (4x4)</t>
  </si>
  <si>
    <t>MVZ:Mamm:231430</t>
  </si>
  <si>
    <t>73 mm</t>
  </si>
  <si>
    <t>MVZ:Mamm:231404</t>
  </si>
  <si>
    <t>MVZ:Mamm:231401</t>
  </si>
  <si>
    <t>261-261</t>
  </si>
  <si>
    <t>Argentina; Buenos Aires; Tandil; Ruta 226; rabbit farm; S 37 ¬∞21.00' ; 59¬∞ 12'17.07"; 856ft</t>
  </si>
  <si>
    <t>148 mm</t>
  </si>
  <si>
    <t>9 g</t>
  </si>
  <si>
    <t>MVZ:Mamm:231335</t>
  </si>
  <si>
    <t>Brazil</t>
  </si>
  <si>
    <t>Distrito Federal</t>
  </si>
  <si>
    <t>1082-1082</t>
  </si>
  <si>
    <t>Brasilia</t>
  </si>
  <si>
    <t>Fazenda UnB, Grainerie</t>
  </si>
  <si>
    <t>Brazil; Distrito Federal; Bras√≠lia; Fazenda UnB; Grainerie; S 15 ¬∞56' 57.57" ; 47¬∞ 56' 08.11"; 3549ft</t>
  </si>
  <si>
    <t>pregnant; embryo (right horn 1; left horn 0)</t>
  </si>
  <si>
    <t>14.5 g</t>
  </si>
  <si>
    <t>MVZ:Mamm:231336</t>
  </si>
  <si>
    <t>1076-1076</t>
  </si>
  <si>
    <t>Fazenda UnB, Primatology Center</t>
  </si>
  <si>
    <t>Brazil; Distrito Federal; Bras√≠lia; Fazenda UnB; Primatology center; S 15 ¬∞56' 47.68" ; 47¬∞ 56' 25.25"; 3530ft</t>
  </si>
  <si>
    <t>abdominal; testis (4.0 x 2.0 mm)</t>
  </si>
  <si>
    <t>62 mm</t>
  </si>
  <si>
    <t>6.25 g</t>
  </si>
  <si>
    <t>MVZ:Mamm:231337</t>
  </si>
  <si>
    <t>1086-1086</t>
  </si>
  <si>
    <t>Fazenda UnB, sede</t>
  </si>
  <si>
    <t>Brazil; Distrito Federal; Bras√≠lia; Fazenda UnB; sede; S 15 ¬∞56' 42.56" ; 47¬∞ 55' 53.04"; 3562ft</t>
  </si>
  <si>
    <t>MVZ:Mamm:231338</t>
  </si>
  <si>
    <t>67 mm</t>
  </si>
  <si>
    <t>136 mm</t>
  </si>
  <si>
    <t>7.25 g</t>
  </si>
  <si>
    <t>MVZ:Mamm:231339</t>
  </si>
  <si>
    <t>162 mm</t>
  </si>
  <si>
    <t>12 g</t>
  </si>
  <si>
    <t>MVZ:Mamm:231340</t>
  </si>
  <si>
    <t>1059-1059</t>
  </si>
  <si>
    <t>Fazenda UnB, residence</t>
  </si>
  <si>
    <t>Brazil; Distrito Federal; Bras√≠lia; Fazenda UnB; residence; S 15 ¬∞56' 24.14" ; 47¬∞ 56' 26.01"; 3474ft</t>
  </si>
  <si>
    <t>MVZ:Mamm:231343</t>
  </si>
  <si>
    <t>1252-1252</t>
  </si>
  <si>
    <t>Brazil; Distrito Federal; Bras√≠lia; ; Chicken farm; S 15 ¬∞38' 16.5" ; 47¬∞ 55' 05"; 4106ft</t>
  </si>
  <si>
    <t>nulliparaous</t>
  </si>
  <si>
    <t>141 mm</t>
  </si>
  <si>
    <t>MVZ:Mamm:231344</t>
  </si>
  <si>
    <t>146 mm</t>
  </si>
  <si>
    <t>MVZ:Mamm:231345</t>
  </si>
  <si>
    <t>1249-1249</t>
  </si>
  <si>
    <t>Brazil; Distrito Federal; Bras√≠lia; ; farm; S 15 ¬∞37' 24.53" ; 47¬∞ 55' 44.34"; 4098ft</t>
  </si>
  <si>
    <t>testes abdominal; testis (7x3mm)</t>
  </si>
  <si>
    <t>8.75 g</t>
  </si>
  <si>
    <t>MVZ:Mamm:231346</t>
  </si>
  <si>
    <t>1208-1208</t>
  </si>
  <si>
    <t>Brazil; Distrito Federal; Bras√≠lia; ; farm; S 15 ¬∞37' 15.85" ; 47¬∞ 56' 48.06"; 3963ft</t>
  </si>
  <si>
    <t>MVZ:Mamm:231347</t>
  </si>
  <si>
    <t>1229-1229</t>
  </si>
  <si>
    <t>small market</t>
  </si>
  <si>
    <t>Brazil; Distrito Federal; Bras√≠lia; ; small market; S 15 ¬∞36' 15.9" ; 47¬∞ 58' 08.03"; 4032ft</t>
  </si>
  <si>
    <t>15.6025/47.968</t>
  </si>
  <si>
    <t>65 mm</t>
  </si>
  <si>
    <t>10.5 g</t>
  </si>
  <si>
    <t>MVZ:Mamm:231348</t>
  </si>
  <si>
    <t>1263-1263</t>
  </si>
  <si>
    <t>Brazil; Distrito Federal; Bras√≠lia; ; Horse farm; S 15 ¬∞34' 50.2" ; 48¬∞ 01' 04.3"; 4145ft</t>
  </si>
  <si>
    <t>11.25 g</t>
  </si>
  <si>
    <t>MVZ:Mamm:231349</t>
  </si>
  <si>
    <t>testes abdominal; testis (8x4mm)</t>
  </si>
  <si>
    <t>151 mm</t>
  </si>
  <si>
    <t>MVZ:Mamm:231367</t>
  </si>
  <si>
    <t>Rio Grande do Sul</t>
  </si>
  <si>
    <t>44-44</t>
  </si>
  <si>
    <t>Uruguaiana</t>
  </si>
  <si>
    <t>Brazil; Rio Grande do Sul; Uruguaiana; ; Fazenda Schwanke; S 29 ¬∞53' 29.2" ; 57¬∞ 14' 04.5"; 145ft</t>
  </si>
  <si>
    <t>testes scrotal; testis (8x4mm)</t>
  </si>
  <si>
    <t>MVZ:Mamm:231368</t>
  </si>
  <si>
    <t>61-61</t>
  </si>
  <si>
    <t>Brazil; Rio Grande do Sul; Uruguaiana; ; farm; S 29 ¬∞52' 55.3" ; 57¬∞ 10' 35.8"; 201ft</t>
  </si>
  <si>
    <t>94 mm</t>
  </si>
  <si>
    <t>24.5 g</t>
  </si>
  <si>
    <t>MVZ:Mamm:231369</t>
  </si>
  <si>
    <t>67-67</t>
  </si>
  <si>
    <t>chicken farm</t>
  </si>
  <si>
    <t>Brazil; Rio Grande do Sul; Uruguaiana; ; chicken farm; S 29 ¬∞52' 27.9" ; 57¬∞ 08' 05.6"; 219ft</t>
  </si>
  <si>
    <t>Nulliparous</t>
  </si>
  <si>
    <t>MVZ:Mamm:231370</t>
  </si>
  <si>
    <t>77-77</t>
  </si>
  <si>
    <t>Fazenda Barbara's (sede)</t>
  </si>
  <si>
    <t>Brazil; Rio Grande do Sul; Uruguaiana; ; Fazenda Barbara's (sede); S 29 ¬∞53' 31.3" ; 57¬∞ 12' 02.5"; 251ft</t>
  </si>
  <si>
    <t>MVZ:Mamm:231371</t>
  </si>
  <si>
    <t>82-82</t>
  </si>
  <si>
    <t>Fazenda Barbara's (graineries)</t>
  </si>
  <si>
    <t>Brazil; Rio Grande do Sul; Uruguaiana; ; Fazenda Barbara's (graineries); S 29 ¬∞53' 10.7" ; 57¬∞ 11' 11.6"; 269ft</t>
  </si>
  <si>
    <t>pregnant; embryos (right horn: 3, left horn: 2)</t>
  </si>
  <si>
    <t>MVZ:Mamm:231372</t>
  </si>
  <si>
    <t>Dead in trap</t>
  </si>
  <si>
    <t>MVZ:Mamm:231373</t>
  </si>
  <si>
    <t>58-58</t>
  </si>
  <si>
    <t>Fazenda Macedo sede I</t>
  </si>
  <si>
    <t>Brazil; Rio Grande do Sul; Uruguaiana; ; Fazenda Macedo sede I; S 29 ¬∞49' 01.7" ; 57¬∞ 12' 03.9"; 190ft</t>
  </si>
  <si>
    <t>139 mm</t>
  </si>
  <si>
    <t>6.75 g</t>
  </si>
  <si>
    <t>MVZ:Mamm:231375</t>
  </si>
  <si>
    <t>testes abdominal; testis (6x3mm)</t>
  </si>
  <si>
    <t>MVZ:Mamm:231376</t>
  </si>
  <si>
    <t>74-74</t>
  </si>
  <si>
    <t>Fazenda Macedo sede II</t>
  </si>
  <si>
    <t>Brazil; Rio Grande do Sul; Uruguaiana; ; Fazenda Macedo sede II; S 29 ¬∞49' 45.1" ; 57¬∞ 11' 59.8"; 242ft</t>
  </si>
  <si>
    <t>MVZ:Mamm:231377</t>
  </si>
  <si>
    <t>testes scrotal; testis (9x4mm)</t>
  </si>
  <si>
    <t>MVZ:Mamm:231378</t>
  </si>
  <si>
    <t>testes abdominal; testis (4x2mm)</t>
  </si>
  <si>
    <t>121 mm</t>
  </si>
  <si>
    <t>MVZ:Mamm:231379</t>
  </si>
  <si>
    <t>58 mm</t>
  </si>
  <si>
    <t>MVZ:Mamm:231380</t>
  </si>
  <si>
    <t>107-107</t>
  </si>
  <si>
    <t>Brazil; Rio Grande do Sul; Uruguaiana; ; Horse farm; S 29 ¬∞54' 24.4" ; 57¬∞ 09' 16.8"; 352ft</t>
  </si>
  <si>
    <t>MVZ:Mamm:231381</t>
  </si>
  <si>
    <t>Rondonia</t>
  </si>
  <si>
    <t>94-94</t>
  </si>
  <si>
    <t>Porto Velho</t>
  </si>
  <si>
    <t>Bairro Cascalheiras; residence</t>
  </si>
  <si>
    <t>Brazil; Rond√¥nia; Porto Velho; Bairro Cascalheiras; residence; S 08 ¬∞47' 02.8" ; 63¬∞ 50' 29.8"; 308ft</t>
  </si>
  <si>
    <t>MVZ:Mamm:231382</t>
  </si>
  <si>
    <t>97-97</t>
  </si>
  <si>
    <t>Brazil; Rond√¥nia; Porto Velho; Bairro Cascalheiras; residence; S 08 ¬∞46' 17.6" ; 63¬∞ 47' 51.4"; 319ft</t>
  </si>
  <si>
    <t>testes abdominal; testis length (8x3mm)</t>
  </si>
  <si>
    <t>MVZ:Mamm:231385</t>
  </si>
  <si>
    <t>Brazil; Rond√¥nia; Porto Velho; Bairro Cascalheiras; residence; S 08 ¬∞45' 52.2" ; 63¬∞ 50' 23.2"; 253ft</t>
  </si>
  <si>
    <t>MVZ:Mamm:231386</t>
  </si>
  <si>
    <t>79-79</t>
  </si>
  <si>
    <t>Proto Velho</t>
  </si>
  <si>
    <t>Brazil; Rond√¥nia; Porto Velho; Bairro Cascalheiras; residence; S 08 ¬∞46' 32.3" ; 63¬∞ 50' 14.1"; 258ft</t>
  </si>
  <si>
    <t>MVZ:Mamm:231387</t>
  </si>
  <si>
    <t>4.5 g</t>
  </si>
  <si>
    <t>MVZ:Mamm:231388</t>
  </si>
  <si>
    <t>88-88</t>
  </si>
  <si>
    <t>Brazil; Rond√¥nia; Porto Velho; Bairro Cascalheiras; residence; S 08 ¬∞46' 58" ; 63¬∞ 51' 07.1"; 288ft</t>
  </si>
  <si>
    <t>13.5 g</t>
  </si>
  <si>
    <t>MVZ:Mamm:231389</t>
  </si>
  <si>
    <t>testes abdominal, testis (4x2mm)</t>
  </si>
  <si>
    <t>145 mm</t>
  </si>
  <si>
    <t>7 g</t>
  </si>
  <si>
    <t>MVZ:Mamm:231390</t>
  </si>
  <si>
    <t>85-85</t>
  </si>
  <si>
    <t>Brazil; Rond√¥nia; Porto Velho; Bairro Favela; residence; S 08 ¬∞46' 37.77" ; 63¬∞ 50' 40.43"; 279ft</t>
  </si>
  <si>
    <t>93 mm</t>
  </si>
  <si>
    <t>193 mm</t>
  </si>
  <si>
    <t>16.25 g</t>
  </si>
  <si>
    <t>MVZ:Mamm:231391</t>
  </si>
  <si>
    <t>pregnant; embryos (right horn:1, left horn:2)</t>
  </si>
  <si>
    <t>MVZ:Mamm:231393</t>
  </si>
  <si>
    <t>Ulisses Guimar√£es; residence</t>
  </si>
  <si>
    <t>Brazil; Rond√¥nia; Porto Velho; Ulisses Guimar√£es; residence; S 08 ¬∞47' 03.5" ; 63¬∞ 48' 11.7"; 288ft</t>
  </si>
  <si>
    <t>MVZ:Mamm:231364</t>
  </si>
  <si>
    <t>49-49</t>
  </si>
  <si>
    <t>BR-472; Ciolin grainerie</t>
  </si>
  <si>
    <t>Brazil; Rio Grande do Sul; Uruguaiana; BR-472; Ciolin grainerie; S 29 ¬∞53' 43.7" ; 57¬∞ 07' 53.7"; 162ft</t>
  </si>
  <si>
    <t>MVZ:Mamm:231365</t>
  </si>
  <si>
    <t>40-40</t>
  </si>
  <si>
    <t>Granja Sto Antonio</t>
  </si>
  <si>
    <t>Brazil; Rio Grande do Sul; Uruguaiana; ; Granja Sto Antonio; S 29 ¬∞52' 15.2" ; 57¬∞ 11' 18.7"; 131ft</t>
  </si>
  <si>
    <t>MVZ:Mamm:231366</t>
  </si>
  <si>
    <t>MVZ:Mamm:231392</t>
  </si>
  <si>
    <t>92-92</t>
  </si>
  <si>
    <t>Brazil; Rond√¥nia; Porto Velho; Ulisses Guimar√£es; residence; S 08 ¬∞46' 17.5" ; 63¬∞ 48' 10.3"; 301ft</t>
  </si>
  <si>
    <t>abd</t>
  </si>
  <si>
    <t>MVZ:Mamm:231394</t>
  </si>
  <si>
    <t>86-86</t>
  </si>
  <si>
    <t>Brazil; Rond√¥nia; Porto Velho; Ulisses Guimar√£es; residence; S 08 ¬∞46' 34.5" ; 63¬∞ 48' 01.41"; 282ft</t>
  </si>
  <si>
    <t>pregnant; embryos (right horn:0, left horn:4)</t>
  </si>
  <si>
    <t>MVZ:Mamm:231341</t>
  </si>
  <si>
    <t>1264-1264</t>
  </si>
  <si>
    <t>Brazil; Distrito Federal; Bras√≠lia; ; farm; S 15 ¬∞38' 35.87" ; 47¬∞ 54' 57.02"; 4147ft</t>
  </si>
  <si>
    <t>MVZ:Mamm:231342</t>
  </si>
  <si>
    <t>testes scrotal</t>
  </si>
  <si>
    <t>MVZ:Mamm:231350</t>
  </si>
  <si>
    <t>Parana</t>
  </si>
  <si>
    <t>522-522</t>
  </si>
  <si>
    <t>Maringa</t>
  </si>
  <si>
    <t>Pai√ßandu; Rua Antonio Alves Munhoz</t>
  </si>
  <si>
    <t>Brazil; Paran√°; Maring√°; Pai√ßandu; Rua Antonio Alves Munhoz; S 23 ¬∞26' 59.75" ; 52¬∞ 01' 38.21"; 1712ft</t>
  </si>
  <si>
    <t>MVZ:Mamm:231351</t>
  </si>
  <si>
    <t>555-555</t>
  </si>
  <si>
    <t>Campos Verdes Grainerie</t>
  </si>
  <si>
    <t>Brazil; Paran√°; Maring√°; ; Campos Verdes Grainerie; S 23 ¬∞27' 42.5" ; 51¬∞ 59' 55.6"; 1820ft</t>
  </si>
  <si>
    <t>testes scrotal; testis (7x3mm)</t>
  </si>
  <si>
    <t>MVZ:Mamm:231352</t>
  </si>
  <si>
    <t>Brazil; Paran√°; Maring√°; Campos Verdes Grainerie; S 23 ¬∞27' 42.5" ; 51¬∞ 59' 55.6"; 1820ft</t>
  </si>
  <si>
    <t>161 mm</t>
  </si>
  <si>
    <t>MVZ:Mamm:231353</t>
  </si>
  <si>
    <t>533-533</t>
  </si>
  <si>
    <t>Feij√£o de ouro Grainerie</t>
  </si>
  <si>
    <t>Brazil; Paran√°; Maring√°; ; Feij√£o de ouro Grainerie; S 23 ¬∞27' 11.9" ; 52¬∞ 00' 14.8"; 1749ft</t>
  </si>
  <si>
    <t>pregnant; embryo (Left horn:2, Right horn: 2)</t>
  </si>
  <si>
    <t>158 mm</t>
  </si>
  <si>
    <t>MVZ:Mamm:231354</t>
  </si>
  <si>
    <t>pregnant; embryo (Left horn:2, Right horn: 3)</t>
  </si>
  <si>
    <t>MVZ:Mamm:231355</t>
  </si>
  <si>
    <t>547-547</t>
  </si>
  <si>
    <t>Cargill Grainerie</t>
  </si>
  <si>
    <t>Brazil; Paran√°; Maring√°; ; Cargill Grainerie; S 23 ¬∞27' 42.5" ; 51¬∞ 59' 55.6"; 1793ft</t>
  </si>
  <si>
    <t>MVZ:Mamm:231356</t>
  </si>
  <si>
    <t>573-573</t>
  </si>
  <si>
    <t>Alisul Animal food factory</t>
  </si>
  <si>
    <t>Brazil; Paran√°; Maring√°; ; Alisul Animal food factory; S 23 ¬∞25' 21.8" ; 51¬∞ 57' 46.7"; 1881ft</t>
  </si>
  <si>
    <t>181 mm</t>
  </si>
  <si>
    <t>18.75 g</t>
  </si>
  <si>
    <t>MVZ:Mamm:231357</t>
  </si>
  <si>
    <t>585-585</t>
  </si>
  <si>
    <t>Bird breeder supply store</t>
  </si>
  <si>
    <t>Brazil; Paran√°; Maring√°; ; Bird breeder supply store; S 23 ¬∞25' 51.7" ; 51¬∞ 58' 18.8"; 1918ft</t>
  </si>
  <si>
    <t>MVZ:Mamm:231358</t>
  </si>
  <si>
    <t>556-556</t>
  </si>
  <si>
    <t>Hardware store</t>
  </si>
  <si>
    <t>Brazil; Paran√°; Maring√°; ; Hardware store; S 23 ¬∞25' 14.6" ; 51¬∞ 57' 10"; 1825ft</t>
  </si>
  <si>
    <t>abdominal; testis (7x3mm)</t>
  </si>
  <si>
    <t>MVZ:Mamm:231359</t>
  </si>
  <si>
    <t>539-539</t>
  </si>
  <si>
    <t>Rua Soldado Adiraldo Lopes Silva 784</t>
  </si>
  <si>
    <t>Brazil; Paran√°; Maring√°; ; Rua Soldado Adiraldo Lopes Silva 784; S 23 ¬∞27' 12.8" ; 51¬∞ 54' 44.4"; 1768ft</t>
  </si>
  <si>
    <t>MVZ:Mamm:231360</t>
  </si>
  <si>
    <t>MVZ:Mamm:231361</t>
  </si>
  <si>
    <t>554-554</t>
  </si>
  <si>
    <t>Rua Alexandre Rasgulaeff 257</t>
  </si>
  <si>
    <t>Brazil; Paran√°; Maring√°; ; Rua Alexandre Rasgulaeff 257; S 23 ¬∞23' 59.7" ; 51¬∞ 55' 28.3"; 1817ft</t>
  </si>
  <si>
    <t>MVZ:Mamm:231362</t>
  </si>
  <si>
    <t>508-508</t>
  </si>
  <si>
    <t>Rua Acopiara</t>
  </si>
  <si>
    <t>Brazil; Paran√°; Maring√°; ; Rua Acopiara; S 23 ¬∞23' 09.3" ; 51¬∞ 54' 49.5"; 1668ft</t>
  </si>
  <si>
    <t>pregnant; embryos (right horn: 2, left horn:4)</t>
  </si>
  <si>
    <t>MVZ:Mamm:231363</t>
  </si>
  <si>
    <t>MVZ:Mamm:231383</t>
  </si>
  <si>
    <t>83-83</t>
  </si>
  <si>
    <t>Brazil; Rond√¥nia; Porto Velho; Bairro Cascalheiras; residence; S 08 ¬∞46' 57.1" ; 63¬∞ 50' 44.6"; 271ft</t>
  </si>
  <si>
    <t>pregnant; embryo (right horn 1, left horn 2)</t>
  </si>
  <si>
    <t>13.75 g</t>
  </si>
  <si>
    <t>MVZ:Mamm:231384</t>
  </si>
  <si>
    <t>72-72</t>
  </si>
  <si>
    <t>Brazil; Rond√¥nia; Porto Velho; Bairro Cascalheiras; residence; S 08 ¬∞46' 40.5" ; 63¬∞ 50' 29.3"; 235ft</t>
  </si>
  <si>
    <t>pregnant; embryo (right horn 1, left horn 1)</t>
  </si>
  <si>
    <t>Taichi Suzuki</t>
  </si>
  <si>
    <t>21 g</t>
  </si>
  <si>
    <t>182.5 mm</t>
  </si>
  <si>
    <t>189 mm</t>
  </si>
  <si>
    <t>20 g</t>
  </si>
  <si>
    <t>19.8 mm</t>
  </si>
  <si>
    <t>95 mm</t>
  </si>
  <si>
    <t>187 mm</t>
  </si>
  <si>
    <t>18.5 g</t>
  </si>
  <si>
    <t>195 mm</t>
  </si>
  <si>
    <t>26 g</t>
  </si>
  <si>
    <t>19.5 g</t>
  </si>
  <si>
    <t>191 mm</t>
  </si>
  <si>
    <t>25 g</t>
  </si>
  <si>
    <t>174 mm</t>
  </si>
  <si>
    <t>19.5 mm</t>
  </si>
  <si>
    <t>97 mm</t>
  </si>
  <si>
    <t>207 mm</t>
  </si>
  <si>
    <t>96 mm</t>
  </si>
  <si>
    <t>15.2 mm</t>
  </si>
  <si>
    <t>184.5 mm</t>
  </si>
  <si>
    <t>20.1 g</t>
  </si>
  <si>
    <t>190 mm</t>
  </si>
  <si>
    <t>13.2 mm</t>
  </si>
  <si>
    <t>19.3 mm</t>
  </si>
  <si>
    <t>14.7 mm</t>
  </si>
  <si>
    <t>23.3 g</t>
  </si>
  <si>
    <t>21.9 g</t>
  </si>
  <si>
    <t>14.3 mm</t>
  </si>
  <si>
    <t>20.5 mm</t>
  </si>
  <si>
    <t>68 mm</t>
  </si>
  <si>
    <t>94.5 mm</t>
  </si>
  <si>
    <t>25.5 g</t>
  </si>
  <si>
    <t>196 mm</t>
  </si>
  <si>
    <t>90.5 mm</t>
  </si>
  <si>
    <t>20.4 mm</t>
  </si>
  <si>
    <t>23.7 g</t>
  </si>
  <si>
    <t>98 mm</t>
  </si>
  <si>
    <t>17.5 mm</t>
  </si>
  <si>
    <t>163 mm</t>
  </si>
  <si>
    <t>16.3 g</t>
  </si>
  <si>
    <t>15.6 mm</t>
  </si>
  <si>
    <t>168.5 mm</t>
  </si>
  <si>
    <t>182 mm</t>
  </si>
  <si>
    <t>89.5 mm</t>
  </si>
  <si>
    <t>178.5 mm</t>
  </si>
  <si>
    <t>21.1 g</t>
  </si>
  <si>
    <t>20.2 g</t>
  </si>
  <si>
    <t>17.3 g</t>
  </si>
  <si>
    <t>194 mm</t>
  </si>
  <si>
    <t>23.8 g</t>
  </si>
  <si>
    <t>111 mm</t>
  </si>
  <si>
    <t>21.7 g</t>
  </si>
  <si>
    <t>19.7 mm</t>
  </si>
  <si>
    <t>20.6 g</t>
  </si>
  <si>
    <t>197 mm</t>
  </si>
  <si>
    <t>21.5 g</t>
  </si>
  <si>
    <t>22 mm</t>
  </si>
  <si>
    <t>20.5 g</t>
  </si>
  <si>
    <t>135 mm</t>
  </si>
  <si>
    <t>19.4 mm</t>
  </si>
  <si>
    <t>88.5 mm</t>
  </si>
  <si>
    <t>180.5 mm</t>
  </si>
  <si>
    <t>175.5 mm</t>
  </si>
  <si>
    <t>19.6 mm</t>
  </si>
  <si>
    <t>14.8 mm</t>
  </si>
  <si>
    <t>20.9 g</t>
  </si>
  <si>
    <t>18.4 g</t>
  </si>
  <si>
    <t>21.8 g</t>
  </si>
  <si>
    <t>23.5 g</t>
  </si>
  <si>
    <t>29.5 g</t>
  </si>
  <si>
    <t>24.4 g</t>
  </si>
  <si>
    <t>127 mm</t>
  </si>
  <si>
    <t>18.25 g</t>
  </si>
  <si>
    <t>21.2 g</t>
  </si>
  <si>
    <t>85.5 mm</t>
  </si>
  <si>
    <t>190.5 mm</t>
  </si>
  <si>
    <t>10.5 mm</t>
  </si>
  <si>
    <t>17.2 g</t>
  </si>
  <si>
    <t>17.7 g</t>
  </si>
  <si>
    <t>156 mm</t>
  </si>
  <si>
    <t>20.6 mm</t>
  </si>
  <si>
    <t>48 mm</t>
  </si>
  <si>
    <t>23.75 g</t>
  </si>
  <si>
    <t>155 mm</t>
  </si>
  <si>
    <t>MVZ:Mamm:230395</t>
  </si>
  <si>
    <t>Ecuador</t>
  </si>
  <si>
    <t>Pichincha</t>
  </si>
  <si>
    <t>2589-2589</t>
  </si>
  <si>
    <t>Aquarium, 17 km E of Tumbaco</t>
  </si>
  <si>
    <t xml:space="preserve"> Ecuador; Provincia Pichincha;  Tumbaco;  17 km E of Tumbaco; S 00¬∞ 14.875'; 78¬∞ 21.421'; 8494ft</t>
  </si>
  <si>
    <t>testes scrotal, 6 x 3 mm</t>
  </si>
  <si>
    <t>MVZ:Mamm:230396</t>
  </si>
  <si>
    <t>testes abdominal, 6x3 mm</t>
  </si>
  <si>
    <t>MVZ:Mamm:230397</t>
  </si>
  <si>
    <t>pregnant, embryos 2R5L</t>
  </si>
  <si>
    <t>MVZ:Mamm:230398</t>
  </si>
  <si>
    <t>71 mm</t>
  </si>
  <si>
    <t>MVZ:Mamm:230399</t>
  </si>
  <si>
    <t>140 mm</t>
  </si>
  <si>
    <t>MVZ:Mamm:230404</t>
  </si>
  <si>
    <t>2614-2614</t>
  </si>
  <si>
    <t>Chicken farm, La Cocha, Tumbaco</t>
  </si>
  <si>
    <t>Ecuador; Provincia Pichincha; Tumbaco; 17 km E of Tumbaco; S 00¬∞ 14.894'; 78¬∞ 21.312'; 8494ft</t>
  </si>
  <si>
    <t>testes scrotal, 7 x 3 mm</t>
  </si>
  <si>
    <t>MVZ:Mamm:230406</t>
  </si>
  <si>
    <t>2653-2653</t>
  </si>
  <si>
    <t>Petting farm, Pifo - Amazonas, Tumbaco</t>
  </si>
  <si>
    <t>Ecuador; Provincia Pichincha; Pifo; S 00¬∞ 14.496'; 78¬∞ 20.099'; 8704ft</t>
  </si>
  <si>
    <t>testes abdominal, 7x3 mm</t>
  </si>
  <si>
    <t>MVZ:Mamm:230403</t>
  </si>
  <si>
    <t>Cuy Farm, Hacienda San Roque, Palugo, Tumbaco</t>
  </si>
  <si>
    <t>Ecuador; Provincia Pichincha; Tumbaco; Palugo; Hacienda San Roque; S 00¬∞ 15.179'; 78¬∞ 20.322'; 8705ft</t>
  </si>
  <si>
    <t>13.25 g</t>
  </si>
  <si>
    <t>MVZ:Mamm:230401</t>
  </si>
  <si>
    <t>2351-2351</t>
  </si>
  <si>
    <t>Pet shop downtown, Tumbaco</t>
  </si>
  <si>
    <t>Ecuador; Provincia Pichincha; Tumbaco; S 00¬∞ 12.970'; 78¬∞ 24.342'; 7713ft</t>
  </si>
  <si>
    <t>MVZ:Mamm:230846</t>
  </si>
  <si>
    <t>Cotopaxi</t>
  </si>
  <si>
    <t>2875-2875</t>
  </si>
  <si>
    <t>Mini-Market, Alaques, Latacunga</t>
  </si>
  <si>
    <t>Ecuador; Provincia Cotopaxi; Latacunga; Alaques; S 00¬∞ 51.299'; 78¬∞ 36.545'; 9434ft</t>
  </si>
  <si>
    <t>testes abdominal, 7 x 5mm</t>
  </si>
  <si>
    <t>MVZ:Mamm:230407</t>
  </si>
  <si>
    <t>2421-2421</t>
  </si>
  <si>
    <t xml:space="preserve"> Chicken farm, Puembo, Tumbaco</t>
  </si>
  <si>
    <t>Ecuador; Provincia Pichincha; Tumbaco; Puembo; S 00¬∞ 11.754'; 78¬∞ 22.063'; 7943ft</t>
  </si>
  <si>
    <t>pregnant, embryos 1R 2L</t>
  </si>
  <si>
    <t>MVZ:Mamm:230847</t>
  </si>
  <si>
    <t>2973-2973</t>
  </si>
  <si>
    <t xml:space="preserve"> Chicken farm, Alaques, Latacunga</t>
  </si>
  <si>
    <t>Ecuador; Provincia Cotopaxi; Latacunga; Alaques; S 00¬∞ 52.413'; 78¬∞ 36.425'; 9755ft</t>
  </si>
  <si>
    <t>testes abdominal, 6.5x4 mm</t>
  </si>
  <si>
    <t>MVZ:Mamm:230848</t>
  </si>
  <si>
    <t>Chicken farm, Alaques, Latacunga</t>
  </si>
  <si>
    <t>MVZ:Mamm:230405</t>
  </si>
  <si>
    <t>2450-2450</t>
  </si>
  <si>
    <t>Chicken farm, outside Puembo, Tumbaco</t>
  </si>
  <si>
    <t>testes abdominal, 5x2 mm</t>
  </si>
  <si>
    <t>66 mm</t>
  </si>
  <si>
    <t>MVZ:Mamm:230849</t>
  </si>
  <si>
    <t>MVZ:Mamm:230332</t>
  </si>
  <si>
    <t>MVZ:Mamm:230333</t>
  </si>
  <si>
    <t>testes abdominal, 7x4mm</t>
  </si>
  <si>
    <t>MVZ:Mamm:230334</t>
  </si>
  <si>
    <t>MVZ:Mamm:230335</t>
  </si>
  <si>
    <t>51 mm</t>
  </si>
  <si>
    <t>6.65 g</t>
  </si>
  <si>
    <t>MVZ:Mamm:230337</t>
  </si>
  <si>
    <t>2867-2867</t>
  </si>
  <si>
    <t>Cornmill, Alaques, Latacunga</t>
  </si>
  <si>
    <t>Ecuador; Provincia Cotopaxi; Latacunga; Alaques; S 00¬∞ 51.799'; 78¬∞ 36.714'; 9405ft</t>
  </si>
  <si>
    <t>testes abdominal, 5x3 mm</t>
  </si>
  <si>
    <t>MVZ:Mamm:230338</t>
  </si>
  <si>
    <t>pregnant, embryos 4R 2L</t>
  </si>
  <si>
    <t>MVZ:Mamm:230340</t>
  </si>
  <si>
    <t>2865-2865</t>
  </si>
  <si>
    <t>Cuy Barn, Instituto tecnologico Agropecu√°rio, Alaques, Latacunga</t>
  </si>
  <si>
    <t>Ecuador; Provincia Cotopaxi; Latacunga; Alaques; Instituto tecnologico Agropecu√°rio; S 00¬∞ 52.179'; 78¬∞ 37.283'; 9398ft</t>
  </si>
  <si>
    <t>MVZ:Mamm:230402</t>
  </si>
  <si>
    <t>2363-2363</t>
  </si>
  <si>
    <t>Seed room, Finca Moro, El Moro y Roberto Salazar, Tumbaco</t>
  </si>
  <si>
    <t xml:space="preserve"> Ecuador; Provincia Pichincha;  Tumbaco;  El Moro y Roberto Salazar, Finca Moro; S 00¬∞ 11.847'; 78¬∞ 23.647'; 7753ft</t>
  </si>
  <si>
    <t>testes scrotal, 7 x 4 mm</t>
  </si>
  <si>
    <t>MVZ:Mamm:230336</t>
  </si>
  <si>
    <t xml:space="preserve"> Ecuador; Provincia Cotopaxi;  Latacunga;  Alaques; S 00¬∞ 52.413'; 78¬∞ 36.425'; 9755ft</t>
  </si>
  <si>
    <t>testes abdominal, 6 x 3 mm</t>
  </si>
  <si>
    <t>MVZ:Mamm:230339</t>
  </si>
  <si>
    <t>2818-2818</t>
  </si>
  <si>
    <t>Cuy Farm, Alaques, Latacunga</t>
  </si>
  <si>
    <t xml:space="preserve"> Ecuador; Provincia Cotopaxi;  Latacunga;  Alaques; S 00¬∞ 51.368'; 78¬∞ 36.792'; 9244ft</t>
  </si>
  <si>
    <t>null.</t>
  </si>
  <si>
    <t>Canada</t>
  </si>
  <si>
    <t>Alberta</t>
  </si>
  <si>
    <t>13.6 mm</t>
  </si>
  <si>
    <t>670-670</t>
  </si>
  <si>
    <t>18.9 mm</t>
  </si>
  <si>
    <t>20.7 g</t>
  </si>
  <si>
    <t>731-731</t>
  </si>
  <si>
    <t>702-702</t>
  </si>
  <si>
    <t>Edmonton Capital Region; 6423 118 St NW, Edmonton</t>
  </si>
  <si>
    <t>U of Aberta farm facility</t>
  </si>
  <si>
    <t>53.5010333333/-113.5347</t>
  </si>
  <si>
    <t>MVZ:Mamm:230453</t>
  </si>
  <si>
    <t>Canada; Alberta; Edmonton Co.; 6423 118 St NW; U of Aberta farm facility; 53¬∞ 30.062'; 113¬∞ 32.082'; 2303ft</t>
  </si>
  <si>
    <t>9.5 g</t>
  </si>
  <si>
    <t>MVZ:Mamm:230454</t>
  </si>
  <si>
    <t>Leduc County</t>
  </si>
  <si>
    <t>732-732</t>
  </si>
  <si>
    <t>4101 9th Avenue SW; South of Edmonton</t>
  </si>
  <si>
    <t>Canada; Alberta; Leduc Co.; 4101 9 Avenue SW; ; 53¬∞ 25.466'; 113¬∞ 24.259'; 2403ft</t>
  </si>
  <si>
    <t>53.4244333333/-113.4043166667</t>
  </si>
  <si>
    <t>21.0 g</t>
  </si>
  <si>
    <t>MVZ:Mamm:230455</t>
  </si>
  <si>
    <t>MVZ:Mamm:230459</t>
  </si>
  <si>
    <t>699-699</t>
  </si>
  <si>
    <t>Range Road 245A and west of 34th Ave, Calmar</t>
  </si>
  <si>
    <t>CFCW farm</t>
  </si>
  <si>
    <t>Canada; Alberta; Leduc Co.; Range Road 245A and west of 34th Ave, Calmar; CFCW farm; 53¬∞ 22.789'; 113¬∞ 31.642'; 2294ft</t>
  </si>
  <si>
    <t>53.3798166667/-113.5273666667</t>
  </si>
  <si>
    <t>MVZ:Mamm:230460</t>
  </si>
  <si>
    <t>170.5 mm</t>
  </si>
  <si>
    <t>13.6 g</t>
  </si>
  <si>
    <t>MVZ:Mamm:230461</t>
  </si>
  <si>
    <t>18.4 mm</t>
  </si>
  <si>
    <t>11.3 g</t>
  </si>
  <si>
    <t>Parkland County</t>
  </si>
  <si>
    <t>719-719</t>
  </si>
  <si>
    <t>Township Road 522, between Range Rd. 14 and 15, SW of Stony Plain</t>
  </si>
  <si>
    <t>Hay stack</t>
  </si>
  <si>
    <t>Canada; Alberta; Parkland Co.; Township Road 522, between Range Rd. 14 and 15, SW of Stony Plain; Hay stack; 53¬∞ 29.014'; 114¬∞ 06.245'; 2359ft</t>
  </si>
  <si>
    <t>53.4835666667/-114.1040833333</t>
  </si>
  <si>
    <t>MVZ:Mamm:230464</t>
  </si>
  <si>
    <t>pregnant. Embryo (R5, L4, 4mm)</t>
  </si>
  <si>
    <t>MVZ:Mamm:230465</t>
  </si>
  <si>
    <t>125 mm</t>
  </si>
  <si>
    <t>7.2 g</t>
  </si>
  <si>
    <t>MVZ:Mamm:230466</t>
  </si>
  <si>
    <t>Alberta 628 and Century Rd., Spruce Grove</t>
  </si>
  <si>
    <t>Lewis farm</t>
  </si>
  <si>
    <t>Canada; Alberta; Parkland Co.; Alberta 628 and Century Rd., Spruce Grove; Lewis farm; 53¬∞ 30.768'; 113¬∞ 52.365'; 2397ft</t>
  </si>
  <si>
    <t>53.5128/-113.87275</t>
  </si>
  <si>
    <t>Taichi Suzuki; Winnie Feng</t>
  </si>
  <si>
    <t>79.5 mm</t>
  </si>
  <si>
    <t>MVZ:Mamm:230469</t>
  </si>
  <si>
    <t>testis (7.5 x 4.0 mm)</t>
  </si>
  <si>
    <t>150.5 mm</t>
  </si>
  <si>
    <t>14.2 mm</t>
  </si>
  <si>
    <t>MVZ:Mamm:230473</t>
  </si>
  <si>
    <t>711-711</t>
  </si>
  <si>
    <t>Inter. Range Rd. 274 and Township Road 512, Spruce Grove</t>
  </si>
  <si>
    <t>Canada; Alberta; Parkland Co.; Inter. Range Rd. 274 and Township Road 512, Spruce Grove; 53¬∞ 23.702'; 113¬∞ 56.268'; 2333ft</t>
  </si>
  <si>
    <t>53.3950333333/-113.9378</t>
  </si>
  <si>
    <t>149 mm</t>
  </si>
  <si>
    <t>708-708</t>
  </si>
  <si>
    <t>On Range Rd. 275 and between Township Rd. 513 and 512, Carvel</t>
  </si>
  <si>
    <t>sheep farm</t>
  </si>
  <si>
    <t>Canada; Alberta; Parkland Co.; On Range Rd. 275 and between Township Rd. 513 and 512, Carvel; Sheep farm; 53¬∞ 23.971'; 113¬∞ 57.579'; 2323ft</t>
  </si>
  <si>
    <t>53.3995166667/-113.95965</t>
  </si>
  <si>
    <t>MVZ:Mamm:230478</t>
  </si>
  <si>
    <t>17.8 g</t>
  </si>
  <si>
    <t>MVZ:Mamm:230479</t>
  </si>
  <si>
    <t>14.6 mm</t>
  </si>
  <si>
    <t>pregnant. Embryos (R2, L1, 19mm)</t>
  </si>
  <si>
    <t>25.4 g</t>
  </si>
  <si>
    <t>MVZ:Mamm:230480</t>
  </si>
  <si>
    <t>MVZ:Mamm:230481</t>
  </si>
  <si>
    <t>pregnant. Embryo (R6, L0, 15mm)</t>
  </si>
  <si>
    <t>78.5 mm</t>
  </si>
  <si>
    <t>MVZ:Mamm:230482</t>
  </si>
  <si>
    <t>167.5 mm</t>
  </si>
  <si>
    <t>15.8 g</t>
  </si>
  <si>
    <t>MVZ:Mamm:230483</t>
  </si>
  <si>
    <t>705-705</t>
  </si>
  <si>
    <t>Range Road 273 and south of Alberta 627, Spruce Grove</t>
  </si>
  <si>
    <t>horse vet</t>
  </si>
  <si>
    <t>Canada; Alberta; Parkland Co.; Range Road 273 and south of Alberta 627, Spruce Grove; Horse vet; 53¬∞ 26.678'; 113¬∞ 54.492'; 2314ft</t>
  </si>
  <si>
    <t>53.4446333333/-113.9082</t>
  </si>
  <si>
    <t>15.1 mm</t>
  </si>
  <si>
    <t>20 mm; 20 mm</t>
  </si>
  <si>
    <t>181.5 mm</t>
  </si>
  <si>
    <t>18.48 g</t>
  </si>
  <si>
    <t>MVZ:Mamm:230484</t>
  </si>
  <si>
    <t>706-706</t>
  </si>
  <si>
    <t>Inter. Range Road 272 and Township Rd. 522, Spruce Grove</t>
  </si>
  <si>
    <t>bird farm</t>
  </si>
  <si>
    <t>Canada; Alberta; Spruce Grove Co.; Inter. Range Road 272 and Township Rd. 522, Spruce Grove; Bird farm; 53¬∞ 28.184'; 113¬∞ 53.278'; 2315ft</t>
  </si>
  <si>
    <t>53.4697333333/-113.8879666667</t>
  </si>
  <si>
    <t>lactating</t>
  </si>
  <si>
    <t>MVZ:Mamm:230487</t>
  </si>
  <si>
    <t>712-712</t>
  </si>
  <si>
    <t>Near Inter. Township Rd 513 and Range Rd. 273, Spruce Grove</t>
  </si>
  <si>
    <t>cow farm</t>
  </si>
  <si>
    <t>Canada; Alberta; Parkland Co.; Near Inter. Township Rd 513 and Garden Spike, Spruce Grove; Cow farm; 53¬∞ 24.472'; 113¬∞ 54.427'; 2336ft</t>
  </si>
  <si>
    <t>53.4078666667/-113.9071166667</t>
  </si>
  <si>
    <t>MVZ:Mamm:230488</t>
  </si>
  <si>
    <t>Canada; Alberta; Parkland Co.; Near Inter. Township Rd 513 and Range Rd. 273, Spruce Grove; Cow farm; 53¬∞ 24.472'; 113¬∞ 54.427'; 2336ft</t>
  </si>
  <si>
    <t>pregnant (embryos R6, L1, 10mm)</t>
  </si>
  <si>
    <t>MVZ:Mamm:230489</t>
  </si>
  <si>
    <t>parous, (placental scars, R0, L3, color gray)</t>
  </si>
  <si>
    <t>MVZ:Mamm:230490</t>
  </si>
  <si>
    <t>parous (placental scars: R5, L3, color yellow)</t>
  </si>
  <si>
    <t>MVZ:Mamm:230491</t>
  </si>
  <si>
    <t>82.5 mm</t>
  </si>
  <si>
    <t>MVZ:Mamm:230493</t>
  </si>
  <si>
    <t>19.25 mm</t>
  </si>
  <si>
    <t>MVZ:Mamm:230495</t>
  </si>
  <si>
    <t>677-677</t>
  </si>
  <si>
    <t>Inter. Township Road 530 and north of 16A, Spruce Grove</t>
  </si>
  <si>
    <t>Canada; Alberta; Strathcona Co.; Inter. Township Road 530 and north of 16A, Spruce Grove; Chicken farm; 53¬∞ 32.527'; 113¬∞ 49.395'; 2220ft</t>
  </si>
  <si>
    <t>53.5421166667/-113.82325</t>
  </si>
  <si>
    <t>MVZ:Mamm:230496</t>
  </si>
  <si>
    <t>Strathcona County</t>
  </si>
  <si>
    <t>768-768</t>
  </si>
  <si>
    <t>22355 Township Road 512, Sherwood Park</t>
  </si>
  <si>
    <t>Forage seed</t>
  </si>
  <si>
    <t>Canada; Alberta; Strathcona Co.; 22355 Township Road 512, Sherwood Park; Forage seed; 53¬∞ 23.738'; 113¬∞ 11.374'; 2521ft</t>
  </si>
  <si>
    <t>53.3956333333/-113.1895666667</t>
  </si>
  <si>
    <t>18.1 mm</t>
  </si>
  <si>
    <t>MVZ:Mamm:230503</t>
  </si>
  <si>
    <t>747-747</t>
  </si>
  <si>
    <t>51505 Range Road 215, Sherwood Park</t>
  </si>
  <si>
    <t>Birch Bay Ranch</t>
  </si>
  <si>
    <t>Canada; Alberta; Strathcona Co.; 51505 Range Road 215; Sherwood Park; 53¬∞ 26.386'; 113¬∞ 04.173'; 2450ft</t>
  </si>
  <si>
    <t>53.4397666667/-113.06955</t>
  </si>
  <si>
    <t>MVZ:Mamm:230505</t>
  </si>
  <si>
    <t>Canada; Alberta; Strathcona Co.; 51505 Range Road 215; Birch Bay Ranch, Sherwood Park; 53¬∞ 26.386'; 113¬∞ 04.173'; 2450ft</t>
  </si>
  <si>
    <t>12.8 g</t>
  </si>
  <si>
    <t>Horse barn</t>
  </si>
  <si>
    <t>Sturgeon County</t>
  </si>
  <si>
    <t>651-651</t>
  </si>
  <si>
    <t>Near Township Road 564 and Range Rd. 231, Gibbons</t>
  </si>
  <si>
    <t>Alpaca farm</t>
  </si>
  <si>
    <t>Canada; Alberta; Sturgeon Co.; Near Township Road 564 and Range Rd. 231, Gibbons; Alpaka farm; 53¬∞ 51.691'; 113¬∞ 18.164'; 2136ft</t>
  </si>
  <si>
    <t>53.8615166667/-113.3027333333</t>
  </si>
  <si>
    <t>MVZ:Mamm:230511</t>
  </si>
  <si>
    <t>55328 Alberta 28A, South of Gibbons</t>
  </si>
  <si>
    <t>Canada; Alberta; Sturgeon Co.; 55328 Alberta 28A, South of Gibbons; Horse barn; 53¬∞ 47.494'; 113¬∞ 19.216'; 2197ft</t>
  </si>
  <si>
    <t>53.7915666667/-113.3187666667</t>
  </si>
  <si>
    <t>623-623</t>
  </si>
  <si>
    <t>Range Road 231 and north of Alberta 643, Gibbons</t>
  </si>
  <si>
    <t>Cow farm</t>
  </si>
  <si>
    <t>Canada; Alberta; Sturgeon Co.;Range Road 231 and north of Alberta 643, Gibbons; Cow farm; 53¬∞ 50.579'; 113¬∞ 17.996'; 2044ft</t>
  </si>
  <si>
    <t>53.8429833333/-113.2999333333</t>
  </si>
  <si>
    <t>MVZ:Mamm:230514</t>
  </si>
  <si>
    <t>145.5 mm</t>
  </si>
  <si>
    <t>8.9 g</t>
  </si>
  <si>
    <t>MVZ:Mamm:230515</t>
  </si>
  <si>
    <t>755-755</t>
  </si>
  <si>
    <t>Range Road 233 and North of Township Rd. 512, Sherwood Park</t>
  </si>
  <si>
    <t>Canada; Alberta; Strathcona Co.;Range Road 233 and North of Township Rd. 512, Sherwood Park; Cow farm; 53¬∞ 24.522'; 113¬∞ 19.141'; 2477ft</t>
  </si>
  <si>
    <t>53.4087/-113.3190166667</t>
  </si>
  <si>
    <t>12.6 g</t>
  </si>
  <si>
    <t>MVZ:Mamm:230516</t>
  </si>
  <si>
    <t>Range Road 234A and North of 37, Namao</t>
  </si>
  <si>
    <t>Milling company</t>
  </si>
  <si>
    <t>Canada; Alberta; Sturgeon Co.;Range Road 234A and North of 37, Namao; Milling company; 53¬∞ 43.233'; 113¬∞ 22.884'; 2312ft</t>
  </si>
  <si>
    <t>53.72055/-113.3814</t>
  </si>
  <si>
    <t>parous (placental scars: R4, L5, color yellow)</t>
  </si>
  <si>
    <t>MVZ:Mamm:230519</t>
  </si>
  <si>
    <t>1430 W. Wetmore Rd.</t>
  </si>
  <si>
    <t>tack and feed</t>
  </si>
  <si>
    <t>United States; Arizona; Pima Co.; 1430 W. Wetmore Rd.; tack and feed store; 32¬∞ 28.746'; 110¬∞ 99.596'; 657m</t>
  </si>
  <si>
    <t>32.4791/-111.6599333333</t>
  </si>
  <si>
    <t>18.8 mm</t>
  </si>
  <si>
    <t>MVZ:Mamm:230520</t>
  </si>
  <si>
    <t>testes scrotal (7.5x4.8mm)</t>
  </si>
  <si>
    <t>MVZ:Mamm:230521</t>
  </si>
  <si>
    <t>testes scrotal (7.0x4.5mm)</t>
  </si>
  <si>
    <t>171.5 mm</t>
  </si>
  <si>
    <t>15.4 g</t>
  </si>
  <si>
    <t>MVZ:Mamm:230523</t>
  </si>
  <si>
    <t>691-691</t>
  </si>
  <si>
    <t>2085 W Derexil Rd.</t>
  </si>
  <si>
    <t>United States; Arizona; Pima Co.; 2085 W Derexil Rd.; Cow farm; 32¬∞ 08.793'; 111¬∞ 00.665'; 2267ft</t>
  </si>
  <si>
    <t>32.14655/-111.0110833333</t>
  </si>
  <si>
    <t>16.6 mm</t>
  </si>
  <si>
    <t>testes scrotal (8.0x4.0mm)</t>
  </si>
  <si>
    <t>100.5 mm</t>
  </si>
  <si>
    <t>188.5 mm</t>
  </si>
  <si>
    <t>MVZ:Mamm:230524</t>
  </si>
  <si>
    <t>17.3 mm</t>
  </si>
  <si>
    <t>parous (placental scars R3, L2, yellow color)</t>
  </si>
  <si>
    <t>MVZ:Mamm:230525</t>
  </si>
  <si>
    <t>690-690</t>
  </si>
  <si>
    <t>2509 W. Zinnia Ave</t>
  </si>
  <si>
    <t>Pet Motel</t>
  </si>
  <si>
    <t>United States; Arizona; Pima Co.; 2509 W. Zinnia Ave; Pet Motel; 32¬∞ 17.433'; 111¬∞ 01.248'; 2264ft</t>
  </si>
  <si>
    <t>32.29055/-111.0208</t>
  </si>
  <si>
    <t>14.4 mm</t>
  </si>
  <si>
    <t>testes (7.0x5.0mm)</t>
  </si>
  <si>
    <t>175.1 mm</t>
  </si>
  <si>
    <t>14.4 g</t>
  </si>
  <si>
    <t>MVZ:Mamm:230526</t>
  </si>
  <si>
    <t>parous (placental scars R2, L3 and more small scars). Gave birth at least twice.</t>
  </si>
  <si>
    <t>186.0 mm</t>
  </si>
  <si>
    <t>18.2 g</t>
  </si>
  <si>
    <t>MVZ:Mamm:230527</t>
  </si>
  <si>
    <t>11.7 g</t>
  </si>
  <si>
    <t>MVZ:Mamm:230528</t>
  </si>
  <si>
    <t>parous (placental scars R3, L4)</t>
  </si>
  <si>
    <t>MVZ:Mamm:230529</t>
  </si>
  <si>
    <t>Roger Rd. and Mountain Ave.</t>
  </si>
  <si>
    <t>Pig shed, U of A agricultural center</t>
  </si>
  <si>
    <t>United States; Arizona; Pima Co.; Roger rd. and Mountain Ave.; UofA agricultural center; Pig shed; 32¬∞ 16.881'; 110¬∞ 56.997'; 2295ft</t>
  </si>
  <si>
    <t>32.28135/-110.94995</t>
  </si>
  <si>
    <t>pregnant (embryos R4, L1)</t>
  </si>
  <si>
    <t>MVZ:Mamm:230530</t>
  </si>
  <si>
    <t>802-802</t>
  </si>
  <si>
    <t>4517 W Valencia Rd.</t>
  </si>
  <si>
    <t>House (Chicken, cat, dog)</t>
  </si>
  <si>
    <t>United States; Arizona; Pima Co.; 4517 W Valencia Rd; House (Chicken, cat, dog); 32¬∞ 07.955'; 111¬∞ 03.692'; 2632ft</t>
  </si>
  <si>
    <t>32.1325833333/-111.0615333333</t>
  </si>
  <si>
    <t>parous (placental scars R6, L2, color black)</t>
  </si>
  <si>
    <t>15.9 g</t>
  </si>
  <si>
    <t>MVZ:Mamm:230531</t>
  </si>
  <si>
    <t>parous, lactating, (placental scars: R4, L5)</t>
  </si>
  <si>
    <t>MVZ:Mamm:230533</t>
  </si>
  <si>
    <t>680-680</t>
  </si>
  <si>
    <t>4743 N Hwy Drive</t>
  </si>
  <si>
    <t>Feed store</t>
  </si>
  <si>
    <t>United States; Arizona; Pima Co.; 4743 N Hwy Dr.; Arizona Feeds Country store; 32¬∞ 17.551'; 111¬∞ 01.578'; 2232ft</t>
  </si>
  <si>
    <t>32.2925166667/-111.0263</t>
  </si>
  <si>
    <t>pregnant (embryos R1, L2, 3mm)</t>
  </si>
  <si>
    <t>65.5 mm</t>
  </si>
  <si>
    <t>149.5 mm</t>
  </si>
  <si>
    <t>11.0 g</t>
  </si>
  <si>
    <t>MVZ:Mamm:230534</t>
  </si>
  <si>
    <t>5665 W Ajo Hwy</t>
  </si>
  <si>
    <t>Feed and Supply</t>
  </si>
  <si>
    <t>United States; Arizona; Pima Co.; 5665 W Ajo Hwy; Old  Town Feed and Supply; 32¬∞ 10.018'; 111¬∞ 05.153'; 2359ft</t>
  </si>
  <si>
    <t>32.1669666667/-111.0858833333</t>
  </si>
  <si>
    <t>parous (placental scars R6, L3)</t>
  </si>
  <si>
    <t>191.5 mm</t>
  </si>
  <si>
    <t>MVZ:Mamm:230535</t>
  </si>
  <si>
    <t>parous (placental scars R3, L3, color yellow)</t>
  </si>
  <si>
    <t>185.5 mm</t>
  </si>
  <si>
    <t>MVZ:Mamm:230536</t>
  </si>
  <si>
    <t>pregnant (embryos R6, L4, 9mm)</t>
  </si>
  <si>
    <t>MVZ:Mamm:230537</t>
  </si>
  <si>
    <t>17.6 mm</t>
  </si>
  <si>
    <t>testes (7.5x4.5mm)</t>
  </si>
  <si>
    <t>165.5 mm</t>
  </si>
  <si>
    <t>MVZ:Mamm:230539</t>
  </si>
  <si>
    <t>20.3 mm</t>
  </si>
  <si>
    <t>testes scrotal (8.0x5.0mm)</t>
  </si>
  <si>
    <t>MVZ:Mamm:230540</t>
  </si>
  <si>
    <t>parous (placental scars R3, L1)</t>
  </si>
  <si>
    <t>71.5 mm</t>
  </si>
  <si>
    <t>22.0 g</t>
  </si>
  <si>
    <t>MVZ:Mamm:230541</t>
  </si>
  <si>
    <t>testes scrotal (9.0x5.5mm)</t>
  </si>
  <si>
    <t>18.7 g</t>
  </si>
  <si>
    <t>MVZ:Mamm:230542</t>
  </si>
  <si>
    <t>parous (placental scars R5, L0)</t>
  </si>
  <si>
    <t>182.0 mm</t>
  </si>
  <si>
    <t>MVZ:Mamm:230543</t>
  </si>
  <si>
    <t>Montana</t>
  </si>
  <si>
    <t>Lake County</t>
  </si>
  <si>
    <t>733-733</t>
  </si>
  <si>
    <t>Dixon, 18027 Montana Highway 200</t>
  </si>
  <si>
    <t>United States; Montana; Lake Co.; Dixon, 18027 Mt Highway 200; Dixon Feeds Inc.; 47¬∞ 19.077'; 114¬∞ 19.656'; 2404ft</t>
  </si>
  <si>
    <t>47.31795/-114.3276</t>
  </si>
  <si>
    <t>pregnant (embryos R1, L0, &gt;20mm)</t>
  </si>
  <si>
    <t>83.5 mm</t>
  </si>
  <si>
    <t>MVZ:Mamm:230544</t>
  </si>
  <si>
    <t>1000-1000</t>
  </si>
  <si>
    <t>Polson, 32069 Cutting Horse Ln</t>
  </si>
  <si>
    <t>Milliron Tack and Feed, hay stack</t>
  </si>
  <si>
    <t>United States; Montana; Lake Co.; Polson, 32069 Cutting Horse Ln; Milliron Tack and Feed, hay stack; 47¬∞ 74.106'; 114¬∞ 22.883'; 3281ft</t>
  </si>
  <si>
    <t>48.2351/-114.3813833333</t>
  </si>
  <si>
    <t>pregnant (embryos R0, L2, 19.5mm)</t>
  </si>
  <si>
    <t>25.8 g</t>
  </si>
  <si>
    <t>MVZ:Mamm:230545</t>
  </si>
  <si>
    <t>Missoula County</t>
  </si>
  <si>
    <t>886-886</t>
  </si>
  <si>
    <t>Ronan, 36272 Road Butte Road</t>
  </si>
  <si>
    <t>Westland Seed Inc., hay stack</t>
  </si>
  <si>
    <t>United States; Montana; Missoula Co.; Ronan, 36272 Road Butte Road; Westland Seed Inc., hay stack; 47¬∞ 31.796'; 114¬∞ 07.094'; 2906ft</t>
  </si>
  <si>
    <t>47.5299333333/-114.1182333333</t>
  </si>
  <si>
    <t>18.2 mm</t>
  </si>
  <si>
    <t>157.5 mm</t>
  </si>
  <si>
    <t>MVZ:Mamm:230546</t>
  </si>
  <si>
    <t>10450 El. Toro Ln.</t>
  </si>
  <si>
    <t>United States; Montana; Missoula Co.; 10450 El. Toro Ln.; Horse barn; 46¬∞ 58.284'; 114¬∞ 07.613'; 3239ft</t>
  </si>
  <si>
    <t>46.9714/-114.1268833333</t>
  </si>
  <si>
    <t>testes abdominal (7.0x4.5mm)</t>
  </si>
  <si>
    <t>MVZ:Mamm:230547</t>
  </si>
  <si>
    <t>19.2 mm</t>
  </si>
  <si>
    <t>pregnant (embryos R2, L4, 4.0mm)</t>
  </si>
  <si>
    <t>15.6 g</t>
  </si>
  <si>
    <t>MVZ:Mamm:230532</t>
  </si>
  <si>
    <t>United States; Arizona; Pima Co.; 4743 N Hwy Dr.; Feed store; 32¬∞ 17.551'; 111¬∞ 01.578'; 2232ft</t>
  </si>
  <si>
    <t>testes (8.0x4.0mm)</t>
  </si>
  <si>
    <t>11.4 g</t>
  </si>
  <si>
    <t>MVZ:Mamm:230550</t>
  </si>
  <si>
    <t>Ravalli County</t>
  </si>
  <si>
    <t>1054-1054</t>
  </si>
  <si>
    <t>Corvallis, 1501-1799 Creamery Ln</t>
  </si>
  <si>
    <t>United States; Montana; Ravalli Co.; Corvallis, 1501-1799 Creamery Ln,; Cow farm; 46¬∞ 21.172'; 114¬∞ 07.164'; 3458ft</t>
  </si>
  <si>
    <t>46.3528666667/-114.1194</t>
  </si>
  <si>
    <t>14.1 mm</t>
  </si>
  <si>
    <t>18.3 mm</t>
  </si>
  <si>
    <t>parous (placental scars R3, L4, color gray)</t>
  </si>
  <si>
    <t>MVZ:Mamm:230551</t>
  </si>
  <si>
    <t>1062-1062</t>
  </si>
  <si>
    <t>Corvallis, 312 Quast Ln</t>
  </si>
  <si>
    <t>United States; Montana; Ravalli Co.; Corvallis, 312 Quast Ln; Cow farm; 46¬∞ 19.651'; 114¬∞ 06.723'; 3485ft</t>
  </si>
  <si>
    <t>46.3275166667/-114.11205</t>
  </si>
  <si>
    <t>lactating, parous (placental scars R5, L1, color yellow)</t>
  </si>
  <si>
    <t>173.5 mm</t>
  </si>
  <si>
    <t>MVZ:Mamm:230552</t>
  </si>
  <si>
    <t>1057-1057</t>
  </si>
  <si>
    <t>Corvallis, Near 1449 Eastside Hwy</t>
  </si>
  <si>
    <t>Horse Barn</t>
  </si>
  <si>
    <t>United States; Montana; Ravalli Co.; Corvallis, Near 1449 Eastside Hwy; Horse barn; 46¬∞ 20.361'; 114¬∞ 06.880'; 3468ft</t>
  </si>
  <si>
    <t>46.33935/-114.1146666667</t>
  </si>
  <si>
    <t>testes abdominal (5.5x3.5mm)</t>
  </si>
  <si>
    <t>9.6 g</t>
  </si>
  <si>
    <t>MVZ:Mamm:230553</t>
  </si>
  <si>
    <t>1032-1032</t>
  </si>
  <si>
    <t>Stevensville, 301 - 499 Spooner Creek Ln</t>
  </si>
  <si>
    <t>United States; Montana; Ravalli Co.; Stevensville, 301 - 499 Spooner Creek Ln; Hay stack; 46¬∞ 24.613'; 114¬∞ 05.170'; 3387ft</t>
  </si>
  <si>
    <t>46.4102166667/-114.0861666667</t>
  </si>
  <si>
    <t>13.9 mm</t>
  </si>
  <si>
    <t>parous, placental scar (R4, L4, color grey, old and small size)</t>
  </si>
  <si>
    <t>87.5 mm</t>
  </si>
  <si>
    <t>16.7 g</t>
  </si>
  <si>
    <t>MVZ:Mamm:230554</t>
  </si>
  <si>
    <t>1042-1042</t>
  </si>
  <si>
    <t>Stevensville, 3976-3988 Eastside Hwy</t>
  </si>
  <si>
    <t>Goat Farm</t>
  </si>
  <si>
    <t>United States; Montana; Ravalli Co.; Stevensville, 3976-3988 Eastside Hwy; Goat Farm; 46¬∞ 30.637'; 114¬∞ 04.300'; 3420ft</t>
  </si>
  <si>
    <t>46.5106166667/-114.0716666667</t>
  </si>
  <si>
    <t>13.8 mm</t>
  </si>
  <si>
    <t>testes scrotal (7.0x4.3mm)</t>
  </si>
  <si>
    <t>14.6 g</t>
  </si>
  <si>
    <t>MVZ:Mamm:230555</t>
  </si>
  <si>
    <t>pregnant (embryos R3, L4, 1.5mm)</t>
  </si>
  <si>
    <t>MVZ:Mamm:230556</t>
  </si>
  <si>
    <t>Utah</t>
  </si>
  <si>
    <t>Utah County</t>
  </si>
  <si>
    <t>1383-1383</t>
  </si>
  <si>
    <t>American Fork, 7905 N. 9150 West</t>
  </si>
  <si>
    <t>United States; Utah; Utah Co.; American Fork, 7905 N. 9150 West; Horse barn; 40¬∞ 22.479'; 111¬∞ 52.646'; 4538ft</t>
  </si>
  <si>
    <t>40.37465/-111.8774333333</t>
  </si>
  <si>
    <t>parous placental scars (R1, L0)</t>
  </si>
  <si>
    <t>16.6 g</t>
  </si>
  <si>
    <t>MVZ:Mamm:230557</t>
  </si>
  <si>
    <t>testes scrotal (6.0x4.0mm)</t>
  </si>
  <si>
    <t>13.1 g</t>
  </si>
  <si>
    <t>MVZ:Mamm:230558</t>
  </si>
  <si>
    <t>1389-1389</t>
  </si>
  <si>
    <t>Payson, Near 9432 S. 3200 west</t>
  </si>
  <si>
    <t>United States; Utah; Utah Co.; Payson, Near 9432 S. 3200 west; Horse farm; 40¬∞ 03.512'; 111¬∞ 43.952'; 4558ft</t>
  </si>
  <si>
    <t>40.0585333333/-111.7325333333</t>
  </si>
  <si>
    <t>pregnant embryos (R2, L2, 6.0mm)</t>
  </si>
  <si>
    <t>15.2 g</t>
  </si>
  <si>
    <t>MVZ:Mamm:230559</t>
  </si>
  <si>
    <t>1375-1375</t>
  </si>
  <si>
    <t>Provo, 1625 N. Geneva road</t>
  </si>
  <si>
    <t>Bunnell Farms Inc.</t>
  </si>
  <si>
    <t>United States; Utah; Utah Co.; Provo, 1625 N. Geneva road; Bunnell Farms Inc.; 40¬∞ 15.336'; 111¬∞ 42.615'; 4511ft</t>
  </si>
  <si>
    <t>40.2556/-111.71025</t>
  </si>
  <si>
    <t>testes scrotal (7.6x4.3mm)</t>
  </si>
  <si>
    <t>MVZ:Mamm:230560</t>
  </si>
  <si>
    <t>Provo, E State Rd.</t>
  </si>
  <si>
    <t>United States; Utah; Utah Co.; Provo, E state road; Horse barn; 40¬∞ 22.140'; 111¬∞ 46.032'; 4557ft</t>
  </si>
  <si>
    <t>40.369/-111.7672</t>
  </si>
  <si>
    <t>testes scrotal (7.0x5.0mm)</t>
  </si>
  <si>
    <t>MVZ:Mamm:230561</t>
  </si>
  <si>
    <t>1419-1419</t>
  </si>
  <si>
    <t>Spanish Fork, 250 Arrowhead trail Road</t>
  </si>
  <si>
    <t>IFA country store</t>
  </si>
  <si>
    <t>United States; Utah; Utah Co.; Spanish Fork, 250 Arrowhead trail Road; IFA country store; 40¬∞ 05.553'; 111¬∞ 39.567'; 4655ft</t>
  </si>
  <si>
    <t>40.09255/-111.65945</t>
  </si>
  <si>
    <t>18.7 mm</t>
  </si>
  <si>
    <t>testes abdominal (6.5x4.5mm)</t>
  </si>
  <si>
    <t>72.5 mm</t>
  </si>
  <si>
    <t>9.1 g</t>
  </si>
  <si>
    <t>MVZ:Mamm:230562</t>
  </si>
  <si>
    <t>1373-1373</t>
  </si>
  <si>
    <t>Spanish Fork, 5411 W. 4000 South</t>
  </si>
  <si>
    <t>Cow barn</t>
  </si>
  <si>
    <t>United States; Utah; Utah Co.; Spanish Fork, 5411 W. 4000 South; Cow barn; 40¬∞ 07.961'; 111¬∞ 43.823'; 4504ft</t>
  </si>
  <si>
    <t>40.1326833333/-111.7303833333</t>
  </si>
  <si>
    <t>testes scrotal (7.5x4.5mm)</t>
  </si>
  <si>
    <t>174.5 mm</t>
  </si>
  <si>
    <t>MVZ:Mamm:230563</t>
  </si>
  <si>
    <t>1388-1388</t>
  </si>
  <si>
    <t>Spanish Fork, 721 S. Main street</t>
  </si>
  <si>
    <t>Steve regan Co.</t>
  </si>
  <si>
    <t>United States; Utah; Utah Co.; Spanish Fork, 721 S. Main street; Steve regan Co.; 40¬∞ 06.017'; 111¬∞ 39.273'; 4555ft</t>
  </si>
  <si>
    <t>40.1002833333/-111.65455</t>
  </si>
  <si>
    <t>MVZ:Mamm:230564</t>
  </si>
  <si>
    <t>1392-1392</t>
  </si>
  <si>
    <t>Spanish Fork, 905 South Mill Rd.</t>
  </si>
  <si>
    <t>United States; Utah; Utah Co.; Spanish Fork, 905 South Mill Road; Leland Miling Company; 40¬∞ 05.862'; 111¬∞ 40.421'; 4568ft</t>
  </si>
  <si>
    <t>40.0977/-111.6736833333</t>
  </si>
  <si>
    <t>testes scrotal (7.5 x 5.0mm)</t>
  </si>
  <si>
    <t>86.5 mm</t>
  </si>
  <si>
    <t>MVZ:Mamm:230565</t>
  </si>
  <si>
    <t>United States; Utah; Utah Co.; Spanish Fork, 905 South Mill Road; 40¬∞ 05.862'; 111¬∞ 40.421'; 4568ft</t>
  </si>
  <si>
    <t>176.5 mm</t>
  </si>
  <si>
    <t>16.9 g</t>
  </si>
  <si>
    <t>MVZ:Mamm:230566</t>
  </si>
  <si>
    <t>1369-1369</t>
  </si>
  <si>
    <t>Spanish Fork, W. 4000 South</t>
  </si>
  <si>
    <t>Old horse barn behind the house</t>
  </si>
  <si>
    <t>United States; Utah; Utah Co.; Spanish Fork, W. 4000 South ; Old horse barn behind the house; 40¬∞ 09.489'; 111¬∞ 42.196'; 4492ft</t>
  </si>
  <si>
    <t>40.15815/-111.7032666667</t>
  </si>
  <si>
    <t>137 mm</t>
  </si>
  <si>
    <t>7.6 g</t>
  </si>
  <si>
    <t>MVZ:Mamm:230567</t>
  </si>
  <si>
    <t>Washington County</t>
  </si>
  <si>
    <t>Springville, 4612 S. 800 West</t>
  </si>
  <si>
    <t>United States; Utah; Washington Co.; Springville, 4612 S. 800 West; Horse barn; 40¬∞ 08.865'; 111¬∞ 40.444'; 4510ft</t>
  </si>
  <si>
    <t>40.14775/-111.6740666667</t>
  </si>
  <si>
    <t>pregnant (embryos R4, L3, 2.0mm)</t>
  </si>
  <si>
    <t>19.1 g</t>
  </si>
  <si>
    <t>MVZ:Mamm:230568</t>
  </si>
  <si>
    <t>1201 S. 2580 East</t>
  </si>
  <si>
    <t>United States; Utah; Washington Co.; 1201 S. 2580 East; Hay stack; 37¬∞ 05.353'; 113¬∞ 31.886'; 2292ft</t>
  </si>
  <si>
    <t>37.0892166667/-113.5314333333</t>
  </si>
  <si>
    <t>19.4 g</t>
  </si>
  <si>
    <t>MVZ:Mamm:230569</t>
  </si>
  <si>
    <t>831-831</t>
  </si>
  <si>
    <t>1469 W. Sunset Blvd.</t>
  </si>
  <si>
    <t>Sunset Western Headquarters</t>
  </si>
  <si>
    <t>United States; Utah; Washington Co.; 1469 W. Sunset Bouleverd; Sunset Western Headquarters; 37¬∞ 07.350'; 113¬∞ 36.928'; 2726ft</t>
  </si>
  <si>
    <t>37.1225/-113.6154666667</t>
  </si>
  <si>
    <t>18.1 g</t>
  </si>
  <si>
    <t>MVZ:Mamm:230570</t>
  </si>
  <si>
    <t>795-795</t>
  </si>
  <si>
    <t>1723 S. Carma Street</t>
  </si>
  <si>
    <t>Back of Staheli's house, horse house</t>
  </si>
  <si>
    <t>United States; Utah; Washington Co.; 1723 S. Carma st.; Back of Staheli's house, horse house; 37¬∞ 06.415'; 113¬∞ 30.215'; 2609ft</t>
  </si>
  <si>
    <t>37.1069166667/-113.5035833333</t>
  </si>
  <si>
    <t>13.0 mm</t>
  </si>
  <si>
    <t>16.8 g</t>
  </si>
  <si>
    <t>MVZ:Mamm:230571</t>
  </si>
  <si>
    <t>3210 East Rd.</t>
  </si>
  <si>
    <t>Horse and chicken farm</t>
  </si>
  <si>
    <t>United States; Utah; Washington Co.; 3210 East road; Horse and chicken farm; 37¬∞ 04.595'; 113¬∞ 31.065'; 2738ft</t>
  </si>
  <si>
    <t>37.0765833333/-113.51775</t>
  </si>
  <si>
    <t>pregnant (embryos R4, L2) + 2 babies in trap</t>
  </si>
  <si>
    <t>25.1 g</t>
  </si>
  <si>
    <t>MVZ:Mamm:230572</t>
  </si>
  <si>
    <t>807-807</t>
  </si>
  <si>
    <t>3400 Washington Fields Rd.</t>
  </si>
  <si>
    <t>Staheli's family farm</t>
  </si>
  <si>
    <t>United States; Utah; Washington Co.; 3400 Washington Fields road; family farm; 37¬∞ 05.116'; 113¬∞ 29.955'; 2649ft</t>
  </si>
  <si>
    <t>37.0852666667/-113.4999166667</t>
  </si>
  <si>
    <t>testes abdominal (7.2x4.5mm)</t>
  </si>
  <si>
    <t>MVZ:Mamm:230573</t>
  </si>
  <si>
    <t>760-760</t>
  </si>
  <si>
    <t>3785 S. 1550 West</t>
  </si>
  <si>
    <t>Reinmakers Equestrain Park</t>
  </si>
  <si>
    <t>United States; Utah; Washington Co.; 3785 S. 1550 West; equestrian Park; 37¬∞ 02.541'; 113¬∞ 37.005'; 2494ft</t>
  </si>
  <si>
    <t>37.04235/-113.61675</t>
  </si>
  <si>
    <t>17.1 mm</t>
  </si>
  <si>
    <t>81.5 mm</t>
  </si>
  <si>
    <t>16.1 g</t>
  </si>
  <si>
    <t>MVZ:Mamm:230574</t>
  </si>
  <si>
    <t>893-893</t>
  </si>
  <si>
    <t>725 Industrial Rd.</t>
  </si>
  <si>
    <t>Steve Regan Co.</t>
  </si>
  <si>
    <t>United States; Utah; Washington Co.; 725 Industrial road; Steve Regan Co.; 37¬∞ 07.220'; 113¬∞ 33.443'; 2931ft</t>
  </si>
  <si>
    <t>37.1203333333/-113.5573833333</t>
  </si>
  <si>
    <t>testes scrotal (5.0x3.0mm)</t>
  </si>
  <si>
    <t>8.5 g</t>
  </si>
  <si>
    <t>MVZ:Mamm:230575</t>
  </si>
  <si>
    <t>860-860</t>
  </si>
  <si>
    <t>Near 1125 W. 1130 North</t>
  </si>
  <si>
    <t>United States; Utah; Washington Co.; Near 1125 W. 1130 North; Horse barn; 37¬∞ 07.673'; 113¬∞ 36.399'; 2823ft</t>
  </si>
  <si>
    <t>37.1278833333/-113.60665</t>
  </si>
  <si>
    <t>pregnant (embryos R2, L2)</t>
  </si>
  <si>
    <t>163.5 mm</t>
  </si>
  <si>
    <t>MVZ:Mamm:230576</t>
  </si>
  <si>
    <t>parous (total placental scars R3, L2. But R2, L1 are yellow colored. R1, L1 are black colored).</t>
  </si>
  <si>
    <t>14.3 g</t>
  </si>
  <si>
    <t>MVZ:Mamm:230577</t>
  </si>
  <si>
    <t>testes scrotal (7.5 x 4.9mm)</t>
  </si>
  <si>
    <t>MVZ:Mamm:230578</t>
  </si>
  <si>
    <t>806-806</t>
  </si>
  <si>
    <t>Near 3320 E and 2620 S</t>
  </si>
  <si>
    <t>Red small barn</t>
  </si>
  <si>
    <t>United States; Utah; Washington Co.; Near 3320 E. 2620 south; Red small barn; 37¬∞ 03.825'; 113¬∞ 31.340'; 2645ft</t>
  </si>
  <si>
    <t>37.06375/-113.5223333333</t>
  </si>
  <si>
    <t>pregnant (embryos R2, L4)</t>
  </si>
  <si>
    <t>84.5 mm</t>
  </si>
  <si>
    <t>MVZ:Mamm:230579</t>
  </si>
  <si>
    <t>parous (placental scars R2, L3)</t>
  </si>
  <si>
    <t>11.9 g</t>
  </si>
  <si>
    <t>MVZ:Mamm:230580</t>
  </si>
  <si>
    <t>17.4 mm</t>
  </si>
  <si>
    <t>74.5 mm</t>
  </si>
  <si>
    <t>MVZ:Mamm:230581</t>
  </si>
  <si>
    <t>pregnant (embryos R4, L3, tiny)</t>
  </si>
  <si>
    <t>MVZ:Mamm:230582</t>
  </si>
  <si>
    <t>1176-1176</t>
  </si>
  <si>
    <t>Winchester Hills</t>
  </si>
  <si>
    <t>south horse barn</t>
  </si>
  <si>
    <t>United States; Utah; Washington Co.; Winchester hills; south horse barn; 37¬∞ 12.416'; 113¬∞ 37.020'; 3857ft</t>
  </si>
  <si>
    <t>37.2069333333/-113.617</t>
  </si>
  <si>
    <t>parous (placental scars R5, L1)</t>
  </si>
  <si>
    <t>75.5 mm</t>
  </si>
  <si>
    <t>MVZ:Mamm:230583</t>
  </si>
  <si>
    <t>93.5 mm</t>
  </si>
  <si>
    <t>MVZ:Mamm:230584</t>
  </si>
  <si>
    <t>119 mm</t>
  </si>
  <si>
    <t>MVZ:Mamm:230509</t>
  </si>
  <si>
    <t>testes (7.5x3.5mm)</t>
  </si>
  <si>
    <t>MVZ:Mamm:230510</t>
  </si>
  <si>
    <t>18.6 mm</t>
  </si>
  <si>
    <t>MVZ:Mamm:230538</t>
  </si>
  <si>
    <t>9643 N. Casa Grande Highway; Feed and Supply</t>
  </si>
  <si>
    <t>United States; Arizona; Pima Co.; 9643 N. Casa Grande Highway; Feed and Supply</t>
  </si>
  <si>
    <t>164.5 mm</t>
  </si>
  <si>
    <t>12.4 g</t>
  </si>
  <si>
    <t>MVZ:Mamm:230400</t>
  </si>
  <si>
    <t>2381-2381</t>
  </si>
  <si>
    <t>Agricultural supply store, Tumbaco</t>
  </si>
  <si>
    <t>Agricultural supply store, likely diet animal feed</t>
  </si>
  <si>
    <t>South America, Ecuador, Pichincha, Agricultural supply store, Tumbaco</t>
  </si>
  <si>
    <t>pregnant, embryos 5R, 2L</t>
  </si>
  <si>
    <t>MVZ:Mamm:230341</t>
  </si>
  <si>
    <t>South America, Ecuador, Cotopaxi, Cuy Barn, Instituto tecnologico Agropecu√°rio, Alaques, Latacunga</t>
  </si>
  <si>
    <t>testes abdominal, 6x4 mm</t>
  </si>
  <si>
    <t>MVZ:Mamm:230342</t>
  </si>
  <si>
    <t>2951-2951</t>
  </si>
  <si>
    <t>Agricultural supply store, Saquisili, Latacunga</t>
  </si>
  <si>
    <t>South America, Ecuador, Cotopaxi, Agricultural supply store, Saquisili, Latacunga</t>
  </si>
  <si>
    <t>MVZ:Mamm:230343</t>
  </si>
  <si>
    <t>2872-2872</t>
  </si>
  <si>
    <t>Chicken farm, Saquisili, Latacunga</t>
  </si>
  <si>
    <t>South America, Ecuador, Cotopaxi, Chicken farm, Saquisili, Latacunga</t>
  </si>
  <si>
    <t>MVZ:Mamm:230344</t>
  </si>
  <si>
    <t>testes abdominal, 7x5mm</t>
  </si>
  <si>
    <t>MVZ:Mamm:230345</t>
  </si>
  <si>
    <t>MVZ:Mamm:230346</t>
  </si>
  <si>
    <t>2927-2927</t>
  </si>
  <si>
    <t>Residence, Saquisili, Latacunga</t>
  </si>
  <si>
    <t>South America, Ecuador, Cotopaxi, Residence, Saquisili, Latacunga</t>
  </si>
  <si>
    <t>testes abdominal, 4x3 mm</t>
  </si>
  <si>
    <t>MVZ:Mamm:230351</t>
  </si>
  <si>
    <t>Manabi</t>
  </si>
  <si>
    <t>18-18</t>
  </si>
  <si>
    <t>Chicken farm, Calceta, Portoviejo</t>
  </si>
  <si>
    <t>South America, Ecuador, Manabi, Chicken farm, Calceta, Portoviejo</t>
  </si>
  <si>
    <t>MVZ:Mamm:230350</t>
  </si>
  <si>
    <t>55 mm</t>
  </si>
  <si>
    <t>MVZ:Mamm:230349</t>
  </si>
  <si>
    <t>testes abdominal, 8x3 mm</t>
  </si>
  <si>
    <t>MVZ:Mamm:230388</t>
  </si>
  <si>
    <t>3050-3050</t>
  </si>
  <si>
    <t>Cattle farm, San Antonio de Posochoa, Quito</t>
  </si>
  <si>
    <t>South America, Ecuador, Pichincha, Cattle farm, San Antonio de Posochoa, Quito</t>
  </si>
  <si>
    <t>pregnant, embryos (3x2)</t>
  </si>
  <si>
    <t>MVZ:Mamm:230347</t>
  </si>
  <si>
    <t>Agricultural supply store, Calceta, Portoviejo</t>
  </si>
  <si>
    <t>South America, Ecuador, Manabi, Agricultural supply store, Calceta, Portoviejo</t>
  </si>
  <si>
    <t>testes abdominal, 7x4 mm</t>
  </si>
  <si>
    <t>MVZ:Mamm:230352</t>
  </si>
  <si>
    <t>33-33</t>
  </si>
  <si>
    <t>138 mm</t>
  </si>
  <si>
    <t>MVZ:Mamm:230353</t>
  </si>
  <si>
    <t>15-15</t>
  </si>
  <si>
    <t>Grainerie, Calceta, Portoviejo</t>
  </si>
  <si>
    <t>MVZ:Mamm:230354</t>
  </si>
  <si>
    <t>MVZ:Mamm:230363</t>
  </si>
  <si>
    <t>73-73</t>
  </si>
  <si>
    <t>Grainerie, ruta Portoviejo - Esmeraldas, Portoviejo</t>
  </si>
  <si>
    <t>South America, Ecuador, Manabi, Grainerie, ruta Portoviejo - Esmeraldas, Portoviejo</t>
  </si>
  <si>
    <t>MVZ:Mamm:230365</t>
  </si>
  <si>
    <t>43-43</t>
  </si>
  <si>
    <t>testes abdominal, 6x3mm</t>
  </si>
  <si>
    <t>9.75 g</t>
  </si>
  <si>
    <t>MVZ:Mamm:230355</t>
  </si>
  <si>
    <t>South America, Ecuador, Manabi, Grainerie, Calceta, Portoviejo</t>
  </si>
  <si>
    <t>pregnant, embryos 2R 3L</t>
  </si>
  <si>
    <t>MVZ:Mamm:230356</t>
  </si>
  <si>
    <t>MVZ:Mamm:230357</t>
  </si>
  <si>
    <t>143 mm</t>
  </si>
  <si>
    <t>9.25 g</t>
  </si>
  <si>
    <t>MVZ:Mamm:230366</t>
  </si>
  <si>
    <t>testes abdominal, 6x3</t>
  </si>
  <si>
    <t>MVZ:Mamm:230358</t>
  </si>
  <si>
    <t>South America, Ecuador, Manabi, Grainerie, Calceta, Portoviejo, S 00¬∞ 50.991'; 80¬∞ 09.382', 13ft</t>
  </si>
  <si>
    <t>testes abdominal, 7x3mm</t>
  </si>
  <si>
    <t>MVZ:Mamm:230348</t>
  </si>
  <si>
    <t>14-14</t>
  </si>
  <si>
    <t>South America, Ecuador Manabi,, Agricultural supply store, Calceta, Portoviejo</t>
  </si>
  <si>
    <t>MVZ:Mamm:230376</t>
  </si>
  <si>
    <t>1577-1577</t>
  </si>
  <si>
    <t>Trout Ranch, Km 52 Road Quito-Manta, Belavista, Nanegalito</t>
  </si>
  <si>
    <t>South America, Ecuador, Pichincha, Trout Ranch, Km 52 Road Quito-Manta, Belavista, Nanegalito</t>
  </si>
  <si>
    <t>.0741/-78.6681166667</t>
  </si>
  <si>
    <t>testes abdominal, 6x2mm</t>
  </si>
  <si>
    <t>MVZ:Mamm:230375</t>
  </si>
  <si>
    <t>.0117833333/-78.6724666667</t>
  </si>
  <si>
    <t>testes abdominal, 7 x 4mm</t>
  </si>
  <si>
    <t>MVZ:Mamm:230377</t>
  </si>
  <si>
    <t>1470-1470</t>
  </si>
  <si>
    <t>Restaurant, Belavista, Nanegalito</t>
  </si>
  <si>
    <t>South America, Ecuador, Pichincha, Restaurant, Belavista, Nanegalito</t>
  </si>
  <si>
    <t>.033/-78.6813666667</t>
  </si>
  <si>
    <t>MVZ:Mamm:230383</t>
  </si>
  <si>
    <t>1377-1377</t>
  </si>
  <si>
    <t>Farm, ruta Nanegalito-Nanegal, Nanegalito</t>
  </si>
  <si>
    <t>South America, Ecuador, Pichincha, Farm, ruta Nanegalito-Nanegal, Nanegalito</t>
  </si>
  <si>
    <t>.0907666667/-78.6978333333</t>
  </si>
  <si>
    <t>MVZ:Mamm:230384</t>
  </si>
  <si>
    <t>MVZ:Mamm:230386</t>
  </si>
  <si>
    <t>testes abdominal, 4x2mm</t>
  </si>
  <si>
    <t>MVZ:Mamm:230378</t>
  </si>
  <si>
    <t>1599-1599</t>
  </si>
  <si>
    <t>Animal breeder, Nanegalito, Nanegalito</t>
  </si>
  <si>
    <t>South America, Ecuador, Pichincha, Animal breeder, Nanegalito, Nanegalito</t>
  </si>
  <si>
    <t>.0621833333/-78.6820194444</t>
  </si>
  <si>
    <t>MVZ:Mamm:230379</t>
  </si>
  <si>
    <t>pregnant, embryos 4R 4L</t>
  </si>
  <si>
    <t>MVZ:Mamm:230380</t>
  </si>
  <si>
    <t>MVZ:Mamm:230387</t>
  </si>
  <si>
    <t>South America, Ecuador, Pichinicha, Farm, ruta Nanegalito-Nanegal, Nanegalito</t>
  </si>
  <si>
    <t>130 mm</t>
  </si>
  <si>
    <t>MVZ:Mamm:230381</t>
  </si>
  <si>
    <t>1838-1838</t>
  </si>
  <si>
    <t>Residence, Reserva de Intillacta, Nanegalito</t>
  </si>
  <si>
    <t>South America, Ecuador, Pichincha, Residence, Reserva de Intillacta, Nanegalito</t>
  </si>
  <si>
    <t>2012-12--05</t>
  </si>
  <si>
    <t>.0479333333/-78.7179666667</t>
  </si>
  <si>
    <t>1832-1832</t>
  </si>
  <si>
    <t>Cattle farm, 5Km west of Nanegalito</t>
  </si>
  <si>
    <t>South America, Ecuador, Pichincha, Cattle farm, 5Km west of Nanegalito</t>
  </si>
  <si>
    <t>0.0369333333/-78.6967666667</t>
  </si>
  <si>
    <t>MVZ:Mamm:230367</t>
  </si>
  <si>
    <t>1892-1892</t>
  </si>
  <si>
    <t>Cattle farm, 4Km west of Nanegalito</t>
  </si>
  <si>
    <t>South America, Ecuador, Pichincha, Cattle farm, 4Km west of Nanegalito</t>
  </si>
  <si>
    <t>.0518666667/-78.69495</t>
  </si>
  <si>
    <t>MVZ:Mamm:230369</t>
  </si>
  <si>
    <t>testes abdmoninal, 3x2mm</t>
  </si>
  <si>
    <t>57 mm</t>
  </si>
  <si>
    <t>4 g</t>
  </si>
  <si>
    <t>MVZ:Mamm:230370</t>
  </si>
  <si>
    <t>MVZ:Mamm:230382</t>
  </si>
  <si>
    <t>1774-1774</t>
  </si>
  <si>
    <t>Agricultural supply store, ruta a Armenia, Nanegalito</t>
  </si>
  <si>
    <t>South America, Ecuador, Pichincha, Agricultural supply store, ruta a Armenia, Nanegalito</t>
  </si>
  <si>
    <t>.0649333333/-78.6893166667</t>
  </si>
  <si>
    <t>64 mm</t>
  </si>
  <si>
    <t>MVZ:Mamm:230373</t>
  </si>
  <si>
    <t>1747-1747</t>
  </si>
  <si>
    <t>Hacienda Armenia, Armenia, Nanegalito</t>
  </si>
  <si>
    <t>South America, Ecuador, Pichincha, Hacienda Armenia, Armenia, Nanegalito</t>
  </si>
  <si>
    <t>.076/-78.6959833333</t>
  </si>
  <si>
    <t>MVZ:Mamm:230374</t>
  </si>
  <si>
    <t>1768-1768</t>
  </si>
  <si>
    <t>Hacienda Bruna, Armenia, Nanegalito</t>
  </si>
  <si>
    <t>South America, Ecuador, Pichincha, Hacienda Bruna, Armenia, Nanegalito</t>
  </si>
  <si>
    <t>.0725666667/-78.6958166667</t>
  </si>
  <si>
    <t>testes scrotal, 7x3mm</t>
  </si>
  <si>
    <t>MVZ:Mamm:230371</t>
  </si>
  <si>
    <t>1737-1737</t>
  </si>
  <si>
    <t>Hacienda Las Lagunas, 5Km east of Nanegalito</t>
  </si>
  <si>
    <t>South America, Ecuador, Pichincha, Hacienda Las Lagunas, 5Km east of Nanegalito</t>
  </si>
  <si>
    <t>0.0620833333/-78.6902166667</t>
  </si>
  <si>
    <t>MVZ:Mamm:230372</t>
  </si>
  <si>
    <t>MVZ:Mamm:230425</t>
  </si>
  <si>
    <t>Santo Domingo</t>
  </si>
  <si>
    <t>465-465</t>
  </si>
  <si>
    <t>Agricultural supply store, ruta a Esmeraldas, Santo Domingo</t>
  </si>
  <si>
    <t>South America, Ecuador, Santo Domingo, Agricultural supply store, ruta a Esmeraldas, Santo Domingo</t>
  </si>
  <si>
    <t>pregnant,embryos 2R 4L</t>
  </si>
  <si>
    <t>MVZ:Mamm:230426</t>
  </si>
  <si>
    <t>testes scrotal 6x3mm</t>
  </si>
  <si>
    <t>MVZ:Mamm:230427</t>
  </si>
  <si>
    <t>MVZ:Mamm:230428</t>
  </si>
  <si>
    <t>388-388</t>
  </si>
  <si>
    <t>Cattle farm, ruta a Esmeraldas, Santo Domingo</t>
  </si>
  <si>
    <t>South America, Ecuador, Santo Domingo, Cattle farm, ruta a Esmeraldas, Santo Domingo</t>
  </si>
  <si>
    <t>142 mm</t>
  </si>
  <si>
    <t>MVZ:Mamm:230414</t>
  </si>
  <si>
    <t>369-369</t>
  </si>
  <si>
    <t>Chicken farm, Km 167 ruta a Esmeraldas, Santo Domingo</t>
  </si>
  <si>
    <t>South America, Ecuador, Santo Domingo, Chicken farm, Km 167 ruta a Esmeraldas, Santo Domingo</t>
  </si>
  <si>
    <t>pregnant, embryos 6R 2L</t>
  </si>
  <si>
    <t>MVZ:Mamm:230415</t>
  </si>
  <si>
    <t>pregnant embryos 4R 3L</t>
  </si>
  <si>
    <t>MVZ:Mamm:230418</t>
  </si>
  <si>
    <t>320-320</t>
  </si>
  <si>
    <t>Agricultural supply store, Nueva Israel, Santo Domingo</t>
  </si>
  <si>
    <t>South America, Ecuador, Santo Domingo, Agricultural supply store, Nueva Israel, Santo Domingo</t>
  </si>
  <si>
    <t>MVZ:Mamm:230419</t>
  </si>
  <si>
    <t>MVZ:Mamm:230420</t>
  </si>
  <si>
    <t>MVZ:Mamm:230416</t>
  </si>
  <si>
    <t>MVZ:Mamm:230422</t>
  </si>
  <si>
    <t>361-361</t>
  </si>
  <si>
    <t>Small farm, Ruta 38 between Santo Domingo and Chone, Santo Domingo</t>
  </si>
  <si>
    <t>South America, Ecuador, Santo Domingo, Small farm, Ruta 38 between Santo Domingo and Chone, Santo Domingo</t>
  </si>
  <si>
    <t>MVZ:Mamm:230423</t>
  </si>
  <si>
    <t>testes scrotal, 8x4mm</t>
  </si>
  <si>
    <t>MVZ:Mamm:230424</t>
  </si>
  <si>
    <t>333-333</t>
  </si>
  <si>
    <t>Hacienda Arroyo Negro, Ruta 38 between Santo Domingo and Chone, Santo Domingo</t>
  </si>
  <si>
    <t>South America, Ecuador, Santo Domingo, Hacienda Arroyo Negro, Ruta 38 between Santo Domingo and Chone, Santo Domingo, S 00¬∞ 14.6479'  W 79¬∞ 19.915'  1094 ft</t>
  </si>
  <si>
    <t>MVZ:Mamm:230429</t>
  </si>
  <si>
    <t>477-477</t>
  </si>
  <si>
    <t>Hacienda Brahms, ruta a Esmeraldas, Santo Domingo</t>
  </si>
  <si>
    <t>South America, Ecuador, Santo Domingo, Hacienda Brahms, ruta a Esmeraldas, Santo Domingo</t>
  </si>
  <si>
    <t>MVZ:Mamm:230430</t>
  </si>
  <si>
    <t>MVZ:Mamm:230421</t>
  </si>
  <si>
    <t>335-335</t>
  </si>
  <si>
    <t>Comercial Lopez, Nueva Israel, Santo Domingo</t>
  </si>
  <si>
    <t>South America, Ecuador, Santo Domingo, Comercial Lopez, Nueva Israel, Santo Domingo</t>
  </si>
  <si>
    <t>testes scrotal, 6x3mm</t>
  </si>
  <si>
    <t>MVZ:Mamm:230434</t>
  </si>
  <si>
    <t>487-487</t>
  </si>
  <si>
    <t>restaurant, Ruta a Quevedo, Santo Domingo</t>
  </si>
  <si>
    <t>South America, Ecuador, Santo Domingo, restaurant, Ruta a Quevedo, Santo Domingo</t>
  </si>
  <si>
    <t>MVZ:Mamm:230431</t>
  </si>
  <si>
    <t>479-479</t>
  </si>
  <si>
    <t>Agricultural supply store, Ruta a Quevedo, Santo Domingo</t>
  </si>
  <si>
    <t>South America, Ecuador, Santo Domingo, Agricultural supply store, Ruta a Quevedo, Santo Domingo</t>
  </si>
  <si>
    <t>pregnant, no embryo data</t>
  </si>
  <si>
    <t>MVZ:Mamm:230432</t>
  </si>
  <si>
    <t>481-481</t>
  </si>
  <si>
    <t>testes scrotal, 7x4mm</t>
  </si>
  <si>
    <t>MVZ:Mamm:230433</t>
  </si>
  <si>
    <t>134 mm</t>
  </si>
  <si>
    <t>MVZ:Mamm:230412</t>
  </si>
  <si>
    <t>Hacienda Arboleda, Indian Reservation, Santo Domingo</t>
  </si>
  <si>
    <t>South America, Ecuador, Pichincha, Hacienda Arboleda, Indian Reservation, Santo Domingo</t>
  </si>
  <si>
    <t>MVZ:Mamm:230413</t>
  </si>
  <si>
    <t>testes abdominal, 5x2mm</t>
  </si>
  <si>
    <t>MVZ:Mamm:230364</t>
  </si>
  <si>
    <t>MVZ:Mamm:230417</t>
  </si>
  <si>
    <t>429-429</t>
  </si>
  <si>
    <t>Cornmill, Km7.5 ruta 38 a Chone, Santo Domingo</t>
  </si>
  <si>
    <t>South America, Ecuador, Santo Domingo, Cornmill, Km7.5 ruta 38 a Chone, Santo Domingo</t>
  </si>
  <si>
    <t>MVZ:Mamm:230409</t>
  </si>
  <si>
    <t>2557-2557</t>
  </si>
  <si>
    <t>Hardware store, Yaruqu√≠, Tumbaco</t>
  </si>
  <si>
    <t>South America, Ecuador, Pichincha, Hardware store, Yaruqu√≠, Tumbaco</t>
  </si>
  <si>
    <t>testes abdominal, 4x6 mm</t>
  </si>
  <si>
    <t>MVZ:Mamm:230410</t>
  </si>
  <si>
    <t>MVZ:Mamm:230411</t>
  </si>
  <si>
    <t>pregnant 5R 4L</t>
  </si>
  <si>
    <t>MVZ:Mamm:230389</t>
  </si>
  <si>
    <t>testes abdominal (7x3)</t>
  </si>
  <si>
    <t>MVZ:Mamm:230390</t>
  </si>
  <si>
    <t>3090-3090</t>
  </si>
  <si>
    <t>Cattle farm, Vallesito de Rumipamba, Quito</t>
  </si>
  <si>
    <t>South America, Ecuador, Pichincha, Cattle farm, Vallesito de Rumipamba, Quito</t>
  </si>
  <si>
    <t>15.75 g</t>
  </si>
  <si>
    <t>MVZ:Mamm:230392</t>
  </si>
  <si>
    <t>MVZ:Mamm:230393</t>
  </si>
  <si>
    <t>testes scrotal, 7x3 mm</t>
  </si>
  <si>
    <t>MVZ:Mamm:230394</t>
  </si>
  <si>
    <t>MVZ:Mamm:230359</t>
  </si>
  <si>
    <t>100-100</t>
  </si>
  <si>
    <t>Cornmill, ruta Portoviejo - Esmeraldas, Portoviejo</t>
  </si>
  <si>
    <t>South America, Ecuador, Manabi, Cornmill, ruta Portoviejo - Esmeraldas, Portoviejo</t>
  </si>
  <si>
    <t>testes abdominal, 6x2 mm</t>
  </si>
  <si>
    <t>MVZ:Mamm:230360</t>
  </si>
  <si>
    <t>MVZ:Mamm:230361</t>
  </si>
  <si>
    <t>MVZ:Mamm:230362</t>
  </si>
  <si>
    <t>testes abdominal, 3x2 mm</t>
  </si>
  <si>
    <t>7.75 g</t>
  </si>
  <si>
    <t>MVZ:Mamm:230548</t>
  </si>
  <si>
    <t>986-986</t>
  </si>
  <si>
    <t>Fort Missoula Road</t>
  </si>
  <si>
    <t>Field Research Station, bird cage</t>
  </si>
  <si>
    <t>North America, United States, Montana, Missoula County, Fort Missoula Road</t>
  </si>
  <si>
    <t>46.8577166667/-113.9860833333</t>
  </si>
  <si>
    <t>testes scrotal, 7.8 x 6.0 mm</t>
  </si>
  <si>
    <t>MVZ:Mamm:230549</t>
  </si>
  <si>
    <t>7954 Butler Creek Rd., French Town</t>
  </si>
  <si>
    <t>North America, United States, Montana, Ravalli County, 7954 Butler Creek Rd., French Town</t>
  </si>
  <si>
    <t>47.5788833333/-114.1457333333</t>
  </si>
  <si>
    <t>pregnant, embryos 6R, 4L, size 4.5 mm</t>
  </si>
  <si>
    <t>MVZ:Mamm:230590</t>
  </si>
  <si>
    <t>Alachua County</t>
  </si>
  <si>
    <t>Alachua Farm &amp; Lumber</t>
  </si>
  <si>
    <t>North America, United States, Florida, Alachua County, Alachua</t>
  </si>
  <si>
    <t>29.78685/-82.495877</t>
  </si>
  <si>
    <t>11.38 g</t>
  </si>
  <si>
    <t>MVZ:Mamm:230594</t>
  </si>
  <si>
    <t>La Crosse</t>
  </si>
  <si>
    <t>North America, United States, Florida, Alachua County, La Crosse, Farms</t>
  </si>
  <si>
    <t>29.7828/-82.3755</t>
  </si>
  <si>
    <t>testes scrotal (t=8)</t>
  </si>
  <si>
    <t>MVZ:Mamm:230607</t>
  </si>
  <si>
    <t>Georgia</t>
  </si>
  <si>
    <t>Clarke County</t>
  </si>
  <si>
    <t>218-218</t>
  </si>
  <si>
    <t>291 Winford Smith Rd, Athens</t>
  </si>
  <si>
    <t>North America, United States, Georgia, Clarke County, 291 Winford Smith Rd, Athens</t>
  </si>
  <si>
    <t>34.057924/-83.473681</t>
  </si>
  <si>
    <t>pregnant, 1L 5R, length = 10mm</t>
  </si>
  <si>
    <t>21.38 g</t>
  </si>
  <si>
    <t>MVZ:Mamm:230600</t>
  </si>
  <si>
    <t>Seminole Feed, W Hwy 40</t>
  </si>
  <si>
    <t>North America, United States, Florida, Marion County, Ocala</t>
  </si>
  <si>
    <t>29.185812/-82.214585</t>
  </si>
  <si>
    <t>pregnant, embryos 2L 4R, L=16mm</t>
  </si>
  <si>
    <t>MVZ:Mamm:230601</t>
  </si>
  <si>
    <t>testes scrotal, L=6mm</t>
  </si>
  <si>
    <t>MVZ:Mamm:230602</t>
  </si>
  <si>
    <t>lactating, parous</t>
  </si>
  <si>
    <t>MVZ:Mamm:230604</t>
  </si>
  <si>
    <t>Barrow County</t>
  </si>
  <si>
    <t>291-291</t>
  </si>
  <si>
    <t>Statham</t>
  </si>
  <si>
    <t>North America, United States, Georgia, Barrow County, Statham</t>
  </si>
  <si>
    <t>33.99018/-83.592026</t>
  </si>
  <si>
    <t>pregnant, embryos 4L 3R L=5mm</t>
  </si>
  <si>
    <t>MVZ:Mamm:230591</t>
  </si>
  <si>
    <t>Shaw &amp; Shaw Farm</t>
  </si>
  <si>
    <t>29.762089/-82.490252</t>
  </si>
  <si>
    <t>MVZ:Mamm:230617</t>
  </si>
  <si>
    <t>New Hampshire</t>
  </si>
  <si>
    <t>Grafton County</t>
  </si>
  <si>
    <t>63-63</t>
  </si>
  <si>
    <t>Orford</t>
  </si>
  <si>
    <t>North America, United States, New Hampshire, Grafton County, Orford</t>
  </si>
  <si>
    <t>43.939242/-72.111825</t>
  </si>
  <si>
    <t>MVZ:Mamm:230609</t>
  </si>
  <si>
    <t>Jackson County</t>
  </si>
  <si>
    <t>250-250</t>
  </si>
  <si>
    <t>Jefferson</t>
  </si>
  <si>
    <t>North America, United States, Georgia, Jackson County, Jefferson</t>
  </si>
  <si>
    <t>34.100111/-83.596875</t>
  </si>
  <si>
    <t>testes abdominal, L=6mm</t>
  </si>
  <si>
    <t>MVZ:Mamm:230592</t>
  </si>
  <si>
    <t>Gainesville</t>
  </si>
  <si>
    <t>North America, United States, Florida, Alachua County, Gainesville</t>
  </si>
  <si>
    <t>29.715073/-82.353545</t>
  </si>
  <si>
    <t>11.13 g</t>
  </si>
  <si>
    <t>MVZ:Mamm:230593</t>
  </si>
  <si>
    <t>University of Florida Dairy Unit</t>
  </si>
  <si>
    <t>29.778929/-82.416971</t>
  </si>
  <si>
    <t>testes scrotal, L=8mm</t>
  </si>
  <si>
    <t>MVZ:Mamm:230595</t>
  </si>
  <si>
    <t>Micanopy</t>
  </si>
  <si>
    <t>North America, United States, Florida, Alachua County, Micanopy</t>
  </si>
  <si>
    <t>29.45224/-82.3403</t>
  </si>
  <si>
    <t>MVZ:Mamm:230596</t>
  </si>
  <si>
    <t>62-62</t>
  </si>
  <si>
    <t>Newberry</t>
  </si>
  <si>
    <t>North America, United States, Florida, Alachua County, Newberry</t>
  </si>
  <si>
    <t>29.65652/-82.5872</t>
  </si>
  <si>
    <t>pregnant, embryos 2L 1R L=19mm</t>
  </si>
  <si>
    <t>MVZ:Mamm:230624</t>
  </si>
  <si>
    <t>Pennsylvania</t>
  </si>
  <si>
    <t>Berks County</t>
  </si>
  <si>
    <t>Intersection of Valley and Wolf Creek Rds., Upper Bern Township</t>
  </si>
  <si>
    <t>North America, United States, Pennsylvania, Berks County, Intersection of Valley and Wolf Creek Rds., Upper Bern Township</t>
  </si>
  <si>
    <t>40.500421/-76.103425</t>
  </si>
  <si>
    <t>pregnant, embryos 3L 5R L=15mm</t>
  </si>
  <si>
    <t>MVZ:Mamm:230623</t>
  </si>
  <si>
    <t>Near Molasses Barn Rd., Penn Township</t>
  </si>
  <si>
    <t>North America, United States, Pennsylvania, Berks County, Near Molasses Barn Rd., Penn Township</t>
  </si>
  <si>
    <t>40.461968/-76.08789</t>
  </si>
  <si>
    <t>MVZ:Mamm:230625</t>
  </si>
  <si>
    <t>Near Schoolhouse Rd., Upper Bern Township</t>
  </si>
  <si>
    <t>North America, United States, Pennsylvania, Berks County, Near Schoolhouse Rd., Upper Bern Township</t>
  </si>
  <si>
    <t>40.526708/-76.097258</t>
  </si>
  <si>
    <t>MVZ:Mamm:230626</t>
  </si>
  <si>
    <t>40.528098/-76.101673</t>
  </si>
  <si>
    <t>17.13 g</t>
  </si>
  <si>
    <t>MVZ:Mamm:230627</t>
  </si>
  <si>
    <t>Bucks County</t>
  </si>
  <si>
    <t>115-115</t>
  </si>
  <si>
    <t>Coopersburg</t>
  </si>
  <si>
    <t>North America, United States, Pennsylvania, Bucks County, Coopersburg</t>
  </si>
  <si>
    <t>40.50319/-75.3174</t>
  </si>
  <si>
    <t>MVZ:Mamm:230628</t>
  </si>
  <si>
    <t>169-169</t>
  </si>
  <si>
    <t>Quakertown</t>
  </si>
  <si>
    <t>North America, United States, Pennsylvania, Bucks County</t>
  </si>
  <si>
    <t>40.45099/-75.40128</t>
  </si>
  <si>
    <t>MVZ:Mamm:230605</t>
  </si>
  <si>
    <t>224-224</t>
  </si>
  <si>
    <t>2151 Morton Rd, Athens</t>
  </si>
  <si>
    <t>North America, United States, Georgia, Clarke County, 2151 Morton Rd, Athens</t>
  </si>
  <si>
    <t>33.87025/-83.28893</t>
  </si>
  <si>
    <t>MVZ:Mamm:230606</t>
  </si>
  <si>
    <t>testes scrotal, L=9mm</t>
  </si>
  <si>
    <t>MVZ:Mamm:230618</t>
  </si>
  <si>
    <t>139-139</t>
  </si>
  <si>
    <t>Bath</t>
  </si>
  <si>
    <t>North America, United States, New Hampshire, Grafton County, Bath</t>
  </si>
  <si>
    <t>44.17625/-71.94682</t>
  </si>
  <si>
    <t>testes abdominal .2mm</t>
  </si>
  <si>
    <t>8.25 g</t>
  </si>
  <si>
    <t>MVZ:Mamm:230616</t>
  </si>
  <si>
    <t>110-110</t>
  </si>
  <si>
    <t>North Haverhill</t>
  </si>
  <si>
    <t>North America, United States, New Hampshire, Grafton County, North Haverhill</t>
  </si>
  <si>
    <t>44.11202/-72.04543</t>
  </si>
  <si>
    <t>19.13 g</t>
  </si>
  <si>
    <t>MVZ:Mamm:230620</t>
  </si>
  <si>
    <t>141-141</t>
  </si>
  <si>
    <t>Piermont</t>
  </si>
  <si>
    <t>North America, United States, New Hampshire, Grafton County, Piermont</t>
  </si>
  <si>
    <t>43.97281/-72.09393</t>
  </si>
  <si>
    <t>MVZ:Mamm:230619</t>
  </si>
  <si>
    <t>177-177</t>
  </si>
  <si>
    <t>Hanoverian Stables</t>
  </si>
  <si>
    <t>43.99797/-72.10448</t>
  </si>
  <si>
    <t>13.38 g</t>
  </si>
  <si>
    <t>MVZ:Mamm:230622</t>
  </si>
  <si>
    <t>175-175</t>
  </si>
  <si>
    <t>43.97192/-72.08463</t>
  </si>
  <si>
    <t>testes scrotal, L=7mm</t>
  </si>
  <si>
    <t>MVZ:Mamm:230621</t>
  </si>
  <si>
    <t>MVZ:Mamm:230608</t>
  </si>
  <si>
    <t>34.11877/-83.57092</t>
  </si>
  <si>
    <t>MVZ:Mamm:230629</t>
  </si>
  <si>
    <t>Lehigh County</t>
  </si>
  <si>
    <t>322-322</t>
  </si>
  <si>
    <t>North America, United States, Pennsylvania, Lehigh County, Coopersburg</t>
  </si>
  <si>
    <t>40.53107/-75.34738</t>
  </si>
  <si>
    <t>testes scrotal, L=10mm</t>
  </si>
  <si>
    <t>MVZ:Mamm:230630</t>
  </si>
  <si>
    <t>182-182</t>
  </si>
  <si>
    <t>Fogelsville</t>
  </si>
  <si>
    <t>North America, United States, Pennsylvania, Lehigh County, Fogelsville</t>
  </si>
  <si>
    <t>40.59571/-75.65891</t>
  </si>
  <si>
    <t>pregnant 3R 4L L=3mm</t>
  </si>
  <si>
    <t>MVZ:Mamm:230611</t>
  </si>
  <si>
    <t>Madison County</t>
  </si>
  <si>
    <t>251-251</t>
  </si>
  <si>
    <t>Hull</t>
  </si>
  <si>
    <t>North America, United States, Georgia, Madison County, Hull</t>
  </si>
  <si>
    <t>34.0989/-83.3454</t>
  </si>
  <si>
    <t>3L, 3R 12mm</t>
  </si>
  <si>
    <t>16.13 g</t>
  </si>
  <si>
    <t>MVZ:Mamm:230612</t>
  </si>
  <si>
    <t>testes scrotal, length 7mm</t>
  </si>
  <si>
    <t>151.5 mm</t>
  </si>
  <si>
    <t>MVZ:Mamm:230597</t>
  </si>
  <si>
    <t>Citra</t>
  </si>
  <si>
    <t>North America, United States, Florida, Marion County, Citra</t>
  </si>
  <si>
    <t>29.39018/-82.1299</t>
  </si>
  <si>
    <t>MVZ:Mamm:230598</t>
  </si>
  <si>
    <t>Ocala</t>
  </si>
  <si>
    <t>29.10066/-82.14192</t>
  </si>
  <si>
    <t>MVZ:Mamm:230599</t>
  </si>
  <si>
    <t>testes abdominal, 7mm</t>
  </si>
  <si>
    <t>MVZ:Mamm:230603</t>
  </si>
  <si>
    <t>29-29</t>
  </si>
  <si>
    <t>Reddick</t>
  </si>
  <si>
    <t>North America, United States, Florida, Marion County, Reddick</t>
  </si>
  <si>
    <t>29.37283/-82.19892</t>
  </si>
  <si>
    <t>pregnant, 3R 6L 3mm</t>
  </si>
  <si>
    <t>MVZ:Mamm:230614</t>
  </si>
  <si>
    <t>Oconee County</t>
  </si>
  <si>
    <t>230-230</t>
  </si>
  <si>
    <t>1020 Pembrook Ln, Watkinsville</t>
  </si>
  <si>
    <t>North America, United States, Georgia, Oconee County, 1020 Pembrook Ln, Watkinsville</t>
  </si>
  <si>
    <t>33.8437/-83.33744</t>
  </si>
  <si>
    <t>MVZ:Mamm:230615</t>
  </si>
  <si>
    <t>228-228</t>
  </si>
  <si>
    <t>1971 Flat Rock Rd, Watkinsville</t>
  </si>
  <si>
    <t>North America, United States, Georgia, Oconee County,1971 Flat Rock Rd, Watkinsville</t>
  </si>
  <si>
    <t>33.83757/-83.35049</t>
  </si>
  <si>
    <t>testes abdominal, 5mm</t>
  </si>
  <si>
    <t>MVZ:Mamm:230613</t>
  </si>
  <si>
    <t>209-209</t>
  </si>
  <si>
    <t>Bogart</t>
  </si>
  <si>
    <t>North America, United States, Georgia, Oconee County, Bogart</t>
  </si>
  <si>
    <t>33.88584/-83.48023</t>
  </si>
  <si>
    <t>pregnant, embryos 1L 2R L=9mm</t>
  </si>
  <si>
    <t>MVZ:Mamm:230610</t>
  </si>
  <si>
    <t>280-280</t>
  </si>
  <si>
    <t>606 Mt Zion Rd., Danielsville</t>
  </si>
  <si>
    <t>North America, United States, Georgia, Madison County, 606 Mt Zion Rd., Danielsville</t>
  </si>
  <si>
    <t>34.20165/-83.33442</t>
  </si>
  <si>
    <t>MVZ:Mamm:230640</t>
  </si>
  <si>
    <t>Virginia</t>
  </si>
  <si>
    <t>Hanover County</t>
  </si>
  <si>
    <t>Mechanicsville</t>
  </si>
  <si>
    <t>North America, United States, Virginia, Hanover County, Mechanicsville</t>
  </si>
  <si>
    <t>37.703198/-77.401439</t>
  </si>
  <si>
    <t>MVZ:Mamm:230636</t>
  </si>
  <si>
    <t>Chesterfield County</t>
  </si>
  <si>
    <t>39-39</t>
  </si>
  <si>
    <t>Midlothian</t>
  </si>
  <si>
    <t>North America, United States, Virginia, Chesterfield County, Midlothian</t>
  </si>
  <si>
    <t>37.55537/-77.66149</t>
  </si>
  <si>
    <t>MVZ:Mamm:230635</t>
  </si>
  <si>
    <t>109-109</t>
  </si>
  <si>
    <t>On Huguenot Trail, Midlothian</t>
  </si>
  <si>
    <t>North America, United States, Virginia, Chesterfield County, On Huguenot Trail, Midlothian</t>
  </si>
  <si>
    <t>37.52756/-77.62756</t>
  </si>
  <si>
    <t>MVZ:Mamm:230638</t>
  </si>
  <si>
    <t>Manakin-Sabot</t>
  </si>
  <si>
    <t>North America, United States, Virginia, Chesterfield County, Manakin-Sabot</t>
  </si>
  <si>
    <t>37.65535/-77.72927</t>
  </si>
  <si>
    <t>pregnant 2L, 1R L=18mm</t>
  </si>
  <si>
    <t>MVZ:Mamm:230639</t>
  </si>
  <si>
    <t>76-76</t>
  </si>
  <si>
    <t>Ashland</t>
  </si>
  <si>
    <t>North America, United States, Virginia, Hanover County, Ashland</t>
  </si>
  <si>
    <t>37.76063/-77.48351</t>
  </si>
  <si>
    <t>tests scrotal, L=8.5</t>
  </si>
  <si>
    <t>MVZ:Mamm:230643</t>
  </si>
  <si>
    <t>Henrico County</t>
  </si>
  <si>
    <t>1 block E of N Boulevard On Floyd Ave, Richmond</t>
  </si>
  <si>
    <t>North America, United States, Virginia, Henrico County, 1 block E of N Boulevard On Floyd Ave, Richmond</t>
  </si>
  <si>
    <t>37.55354/-77.47402</t>
  </si>
  <si>
    <t>testes abdominal L=4mm</t>
  </si>
  <si>
    <t>128 mm</t>
  </si>
  <si>
    <t>MVZ:Mamm:230644</t>
  </si>
  <si>
    <t>near junction Tilden St. and Grove Ave, Richmond</t>
  </si>
  <si>
    <t>North America, United States, Virginia, Henrico County, near junction Tilden St. and Grove Ave, Richmond</t>
  </si>
  <si>
    <t>37.55811/-77.48073</t>
  </si>
  <si>
    <t>testes scrotal, L=7.5</t>
  </si>
  <si>
    <t>MVZ:Mamm:230641</t>
  </si>
  <si>
    <t>75-75</t>
  </si>
  <si>
    <t>Glen Allen</t>
  </si>
  <si>
    <t>North America, United States, Virginia, Henrico County, Glen Allen</t>
  </si>
  <si>
    <t>37.74117/-77.57546</t>
  </si>
  <si>
    <t>MVZ:Mamm:230642</t>
  </si>
  <si>
    <t>51-51</t>
  </si>
  <si>
    <t>37.67885/-77.5166</t>
  </si>
  <si>
    <t>tests scrotal, L=8mm</t>
  </si>
  <si>
    <t>MVZ:Mamm:230645</t>
  </si>
  <si>
    <t>47-47</t>
  </si>
  <si>
    <t>SSE intersection Osborne Turnpike and New Market Rd.</t>
  </si>
  <si>
    <t>North America, United States, Virginia, Henrico County, SSE intersection Osborne Turnpike and New Market Rd.</t>
  </si>
  <si>
    <t>37.48763/-77.40208</t>
  </si>
  <si>
    <t>MVZ:Mamm:230646</t>
  </si>
  <si>
    <t>King William County</t>
  </si>
  <si>
    <t>On Rt 604, Aylett</t>
  </si>
  <si>
    <t>North America, United States, Virginia, King William County, On Rt 604, Aylett</t>
  </si>
  <si>
    <t>37.85448/-77.26262</t>
  </si>
  <si>
    <t>pregnant 2L, 3R L=1.5</t>
  </si>
  <si>
    <t>MVZ:Mamm:230632</t>
  </si>
  <si>
    <t>170-170</t>
  </si>
  <si>
    <t>Church Rd., S of Irvin Rd., Germansville</t>
  </si>
  <si>
    <t>North America, United States, Pennsylvania, Lehigh County, Church Rd., S of Irvin Rd., Germansville</t>
  </si>
  <si>
    <t>40.70747/-75.66738</t>
  </si>
  <si>
    <t>MVZ:Mamm:230631</t>
  </si>
  <si>
    <t>11.88 g</t>
  </si>
  <si>
    <t>MVZ:Mamm:230633</t>
  </si>
  <si>
    <t>Northampton County</t>
  </si>
  <si>
    <t>64-64</t>
  </si>
  <si>
    <t>580 Riverwoods Way, Bethlehem</t>
  </si>
  <si>
    <t>North America, United States, Pennsylvania, Northampton County, 580 Riverwoods Way, Bethlehem</t>
  </si>
  <si>
    <t>40.618763/-75.36362</t>
  </si>
  <si>
    <t>13.13 g</t>
  </si>
  <si>
    <t>MVZ:Mamm:230634</t>
  </si>
  <si>
    <t>153-153</t>
  </si>
  <si>
    <t>Hellertown</t>
  </si>
  <si>
    <t>North America, United States, Pennsylvania, Northampton County, Hellertown</t>
  </si>
  <si>
    <t>40.55189/-75.32455</t>
  </si>
  <si>
    <t>testes scrotal, length 8mm</t>
  </si>
  <si>
    <t>MVZ:Mamm:230648</t>
  </si>
  <si>
    <t>Vermont</t>
  </si>
  <si>
    <t>Orange County</t>
  </si>
  <si>
    <t>156-156</t>
  </si>
  <si>
    <t>Fairlee</t>
  </si>
  <si>
    <t>North America, United States, Vermont, Orange County, Fairlee</t>
  </si>
  <si>
    <t>43.95075/-72.11753</t>
  </si>
  <si>
    <t>testes scrotal, 6mm</t>
  </si>
  <si>
    <t>MVZ:Mamm:230649</t>
  </si>
  <si>
    <t>43.9609/-72.11585</t>
  </si>
  <si>
    <t>pregnant 4L 5R L=5mm</t>
  </si>
  <si>
    <t>MVZ:Mamm:230647</t>
  </si>
  <si>
    <t>43.927907/-72.12301</t>
  </si>
  <si>
    <t>testes scrotal, 9mm</t>
  </si>
  <si>
    <t>161.5 mm</t>
  </si>
  <si>
    <t>MVZ:Mamm:230650</t>
  </si>
  <si>
    <t>43.95596/-72.11164</t>
  </si>
  <si>
    <t>MVZ:Mamm:230651</t>
  </si>
  <si>
    <t>120-120</t>
  </si>
  <si>
    <t>Newbury</t>
  </si>
  <si>
    <t>North America, United States, Vermont, Orange County, Newbury</t>
  </si>
  <si>
    <t>44.12806/-72.04328</t>
  </si>
  <si>
    <t>testes scrotal, length=9mm</t>
  </si>
  <si>
    <t>MVZ:Mamm:230637</t>
  </si>
  <si>
    <t>89-89</t>
  </si>
  <si>
    <t>37.65501/77.73977</t>
  </si>
  <si>
    <t>17.6 g</t>
  </si>
  <si>
    <t>24.3 g</t>
  </si>
  <si>
    <t>MVZ:Mamm:232997</t>
  </si>
  <si>
    <t>Felipe Martins; Taichi Suzuki</t>
  </si>
  <si>
    <t>Bolivia</t>
  </si>
  <si>
    <t>La Paz</t>
  </si>
  <si>
    <t>3388-3388</t>
  </si>
  <si>
    <t>Cota Cota UMSA campus</t>
  </si>
  <si>
    <t>South America, Bolivia, La Paz, Cota Cota UMSA campus</t>
  </si>
  <si>
    <t>MVZ:Mamm:232998</t>
  </si>
  <si>
    <t>3866-3866</t>
  </si>
  <si>
    <t>east of Cota Cota</t>
  </si>
  <si>
    <t>includes a food store, school, and donkey hay stack at these coordinates</t>
  </si>
  <si>
    <t>South America, Bolivia, La Paz, east of Cota Cota</t>
  </si>
  <si>
    <t>testis 6x3mm</t>
  </si>
  <si>
    <t>MVZ:Mamm:232999</t>
  </si>
  <si>
    <t>parious</t>
  </si>
  <si>
    <t>MVZ:Mamm:233000</t>
  </si>
  <si>
    <t>testis 7x3mm</t>
  </si>
  <si>
    <t>MVZ:Mamm:233001</t>
  </si>
  <si>
    <t>12.9 mm</t>
  </si>
  <si>
    <t>testis 5x3mm</t>
  </si>
  <si>
    <t>77.5 mm</t>
  </si>
  <si>
    <t>MVZ:Mamm:233002</t>
  </si>
  <si>
    <t>10.4 g</t>
  </si>
  <si>
    <t>MVZ:Mamm:233012</t>
  </si>
  <si>
    <t>3060-3060</t>
  </si>
  <si>
    <t>south of Cota Cota</t>
  </si>
  <si>
    <t>South America, Bolivia, La Paz, south of Cota Cota</t>
  </si>
  <si>
    <t>9.3 g</t>
  </si>
  <si>
    <t>MVZ:Mamm:233013</t>
  </si>
  <si>
    <t>3276-3276</t>
  </si>
  <si>
    <t>Zoo south of Cota Cota</t>
  </si>
  <si>
    <t>South America, Bolivia, La Paz, Zoo south of Cota Cota</t>
  </si>
  <si>
    <t>Testis 8x4 mm</t>
  </si>
  <si>
    <t>MVZ:Mamm:233014</t>
  </si>
  <si>
    <t>91.5 mm</t>
  </si>
  <si>
    <t>MVZ:Mamm:233015</t>
  </si>
  <si>
    <t>3097-3097</t>
  </si>
  <si>
    <t>Equestrian school S Cota Cota</t>
  </si>
  <si>
    <t>South America, Bolivia, La Paz, Equestrian school S Cota Cota</t>
  </si>
  <si>
    <t>MVZ:Mamm:233016</t>
  </si>
  <si>
    <t>MVZ:Mamm:233019</t>
  </si>
  <si>
    <t>3728-3728</t>
  </si>
  <si>
    <t>Hay stack SW Cota Cota</t>
  </si>
  <si>
    <t>South America, Bolivia, La Paz, Hay stack SW Cota Cota</t>
  </si>
  <si>
    <t>testis 7x3</t>
  </si>
  <si>
    <t>MVZ:Mamm:233020</t>
  </si>
  <si>
    <t>3731-3731</t>
  </si>
  <si>
    <t>Grain storage SW Cota Cota</t>
  </si>
  <si>
    <t>South America, Bolivia, La Paz, Grain storage SW Cota Cota</t>
  </si>
  <si>
    <t>MVZ:Mamm:233021</t>
  </si>
  <si>
    <t>3652-3652</t>
  </si>
  <si>
    <t>Pig cage and hay stack SW Cota Cota</t>
  </si>
  <si>
    <t>South America, Bolivia, La Paz, Pig cage and hay stack SW Cota Cota</t>
  </si>
  <si>
    <t>testis 7.5x4 mm</t>
  </si>
  <si>
    <t>MVZ:Mamm:233022</t>
  </si>
  <si>
    <t>3607-3607</t>
  </si>
  <si>
    <t>Potato storage SW Cota Cota</t>
  </si>
  <si>
    <t>South America, Bolivia, La Paz, Potato storage SW Cota Cota</t>
  </si>
  <si>
    <t>MVZ:Mamm:233023</t>
  </si>
  <si>
    <t>3583-3583</t>
  </si>
  <si>
    <t>Cactus garden SW Cota Cota</t>
  </si>
  <si>
    <t>South America, Bolivia, La Paz, Cactus garden SW Cota Cota</t>
  </si>
  <si>
    <t>MVZ:Mamm:233017</t>
  </si>
  <si>
    <t>MVZ:Mamm:232981</t>
  </si>
  <si>
    <t>Cochabamba</t>
  </si>
  <si>
    <t>2615-2615</t>
  </si>
  <si>
    <t>Cochabamba, Museo de Historia Natural "Alcide d'Orbigny"</t>
  </si>
  <si>
    <t>South America, Bolivia, Cochabamba, Cochabamba, Museo de Historia Natural "Alcide d'Orbigny"</t>
  </si>
  <si>
    <t>testis 6x4mm</t>
  </si>
  <si>
    <t>MVZ:Mamm:232989</t>
  </si>
  <si>
    <t>2569-2569</t>
  </si>
  <si>
    <t>La Casa Grande grain company W of Cochabamba</t>
  </si>
  <si>
    <t>South America, Bolivia, Cochabamba, La Casa Grande grain company W of Cochabamba</t>
  </si>
  <si>
    <t>pregnant, 6R 1L</t>
  </si>
  <si>
    <t>MVZ:Mamm:232990</t>
  </si>
  <si>
    <t>2530-2530</t>
  </si>
  <si>
    <t>Aviary W of Cochabamba</t>
  </si>
  <si>
    <t>South America, Bolivia, Cochabamba, Aviary W of Cochabamba</t>
  </si>
  <si>
    <t>MVZ:Mamm:232991</t>
  </si>
  <si>
    <t>pregnant, R1 L4</t>
  </si>
  <si>
    <t>MVZ:Mamm:232992</t>
  </si>
  <si>
    <t>2542-2542</t>
  </si>
  <si>
    <t>Mill company W of Cochabamba</t>
  </si>
  <si>
    <t>South America, Bolivia, Cochabamba, Mill company W of Cochabamba</t>
  </si>
  <si>
    <t>testis 7x4 mm</t>
  </si>
  <si>
    <t>MVZ:Mamm:232993</t>
  </si>
  <si>
    <t>grain store W of Cochabamba</t>
  </si>
  <si>
    <t>South America, Bolivia, Cochabamba, grain store W of Cochabamba</t>
  </si>
  <si>
    <t>MVZ:Mamm:232994</t>
  </si>
  <si>
    <t>2552-2552</t>
  </si>
  <si>
    <t>feed store W of Cochabamba</t>
  </si>
  <si>
    <t>South America, Bolivia, Cochabamba,  feed store W of Cochabamba</t>
  </si>
  <si>
    <t>MVZ:Mamm:232995</t>
  </si>
  <si>
    <t>pregnant, R2 L5, Largest embryo 1mm</t>
  </si>
  <si>
    <t>MVZ:Mamm:232996</t>
  </si>
  <si>
    <t>2575-2575</t>
  </si>
  <si>
    <t>chicken farm W of Cochabamba</t>
  </si>
  <si>
    <t>South America, Bolivia, Cochabamba, chicken farm W of Cochabamba</t>
  </si>
  <si>
    <t>MVZ:Mamm:232982</t>
  </si>
  <si>
    <t>2753-2753</t>
  </si>
  <si>
    <t>Chicken farm S of Cochabamba</t>
  </si>
  <si>
    <t>South America, Bolivia, Cochabamba, Chicken farm S of Cochabamba</t>
  </si>
  <si>
    <t>MVZ:Mamm:232983</t>
  </si>
  <si>
    <t>pregnant, R6 L2</t>
  </si>
  <si>
    <t>MVZ:Mamm:232984</t>
  </si>
  <si>
    <t>2815-2815</t>
  </si>
  <si>
    <t>testis 6x5.5mm</t>
  </si>
  <si>
    <t>11.8 g</t>
  </si>
  <si>
    <t>MVZ:Mamm:232985</t>
  </si>
  <si>
    <t>2783-2783</t>
  </si>
  <si>
    <t>MVZ:Mamm:232986</t>
  </si>
  <si>
    <t>2740-2740</t>
  </si>
  <si>
    <t>testis 7x3.5 mm</t>
  </si>
  <si>
    <t>17.1 g</t>
  </si>
  <si>
    <t>MVZ:Mamm:232987</t>
  </si>
  <si>
    <t>2551-2551</t>
  </si>
  <si>
    <t>grain store S of Cochabamba</t>
  </si>
  <si>
    <t>South America, Bolivia, Cochabamba, grain store S of Cochabamba</t>
  </si>
  <si>
    <t>testis 7.5x3.5mm</t>
  </si>
  <si>
    <t>MVZ:Mamm:232988</t>
  </si>
  <si>
    <t>2571-2571</t>
  </si>
  <si>
    <t>Cattle ranch S of Cochabamba</t>
  </si>
  <si>
    <t>South America, Bolivia, Cochabamba, Cattle ranch S of Cochabamba</t>
  </si>
  <si>
    <t>MVZ:Mamm:233028</t>
  </si>
  <si>
    <t>Santa Cruz</t>
  </si>
  <si>
    <t>409-409</t>
  </si>
  <si>
    <t>Rice storage N of Santa Cruz de la Sierra</t>
  </si>
  <si>
    <t>South America, Bolivia, Santa Cruz, Rice storage N of Santa Cruz de la Sierra</t>
  </si>
  <si>
    <t>scrotal testes 5.5x3.5mm</t>
  </si>
  <si>
    <t>11.2 g</t>
  </si>
  <si>
    <t>MVZ:Mamm:233029</t>
  </si>
  <si>
    <t>parous, placental scars 3R 4L</t>
  </si>
  <si>
    <t>14.2 g</t>
  </si>
  <si>
    <t>MVZ:Mamm:233024</t>
  </si>
  <si>
    <t>198-282</t>
  </si>
  <si>
    <t>grain storage in Montero</t>
  </si>
  <si>
    <t>South America, Bolivia, Santa Cruz, grain storage in Montero</t>
  </si>
  <si>
    <t>MVZ:Mamm:233025</t>
  </si>
  <si>
    <t>281-281</t>
  </si>
  <si>
    <t>12.9 g</t>
  </si>
  <si>
    <t>MVZ:Mamm:233026</t>
  </si>
  <si>
    <t>276-276</t>
  </si>
  <si>
    <t>grain storage, Montero</t>
  </si>
  <si>
    <t>South America, Bolivia, Santa Cruz, grain storage, Montero</t>
  </si>
  <si>
    <t>11.5 mm</t>
  </si>
  <si>
    <t>MVZ:Mamm:235947</t>
  </si>
  <si>
    <t>Colorado</t>
  </si>
  <si>
    <t>2914-2914</t>
  </si>
  <si>
    <t>1 mile S Leadville</t>
  </si>
  <si>
    <t>USA, CO, Lake, 1 mile south of Leadville, Farm, 39¬∞ 13.351' 00" N, 106¬∞ 21.276' W, elev 9559 ft</t>
  </si>
  <si>
    <t>39.2225166667/-106.3546</t>
  </si>
  <si>
    <t>17.75 g</t>
  </si>
  <si>
    <t>MVZ:Mamm:233027</t>
  </si>
  <si>
    <t>306-306</t>
  </si>
  <si>
    <t>Bolivia, Santa Cruz, Montero, grain storage, 17¬∞ 19.833', 63¬∞ 14.946', 306m</t>
  </si>
  <si>
    <t>embs: 5R, 2L; CR: 1mm</t>
  </si>
  <si>
    <t>MVZ:Mamm:233003</t>
  </si>
  <si>
    <t>3855-3855</t>
  </si>
  <si>
    <t>house on shore of Lake Titicaca</t>
  </si>
  <si>
    <t>Bolivia, La Paz, Lake Titikaka shore, house, 16¬∞ 10.296', 68¬∞ 49.701', 3855m</t>
  </si>
  <si>
    <t>embs: 2R, 3L; CR: 3mm</t>
  </si>
  <si>
    <t>MVZ:Mamm:233004</t>
  </si>
  <si>
    <t>3845-3845</t>
  </si>
  <si>
    <t>House, shore of Lake Titicaca</t>
  </si>
  <si>
    <t>Bolivia, La Paz, Lake Titikaka shore, house, 16¬∞ 19.957', 68¬∞ 49.499', 3845m</t>
  </si>
  <si>
    <t>12.8 mm</t>
  </si>
  <si>
    <t>17.7 mm</t>
  </si>
  <si>
    <t>testis 6.5x3mm</t>
  </si>
  <si>
    <t>MVZ:Mamm:233005</t>
  </si>
  <si>
    <t>3838-3838</t>
  </si>
  <si>
    <t>Grain storage, shore of Lake Titicaca</t>
  </si>
  <si>
    <t>Bolivia, La Paz, Lake Titikaka shore, Grain storage, 16¬∞ 11.414', 68¬∞ 36.039', 3838m</t>
  </si>
  <si>
    <t>testis 6.8x4mm</t>
  </si>
  <si>
    <t>MVZ:Mamm:233006</t>
  </si>
  <si>
    <t>3906-3906</t>
  </si>
  <si>
    <t>School, shore of Lake Titicaca</t>
  </si>
  <si>
    <t>Bolivia, La Paz, Lake Titikaka shore, school, 16¬∞ 13.201', 68¬∞ 34.980', 3906m</t>
  </si>
  <si>
    <t>scars: 4R,3L</t>
  </si>
  <si>
    <t>MVZ:Mamm:233007</t>
  </si>
  <si>
    <t>3835-3835</t>
  </si>
  <si>
    <t>Greenhouse, shore of Lake Titicaca</t>
  </si>
  <si>
    <t>Bolivia, La Paz, Lake Titikaka shore, green house, 16¬∞ 12.127', 68¬∞ 35.328', 3835m</t>
  </si>
  <si>
    <t>10.8 g</t>
  </si>
  <si>
    <t>MVZ:Mamm:233008</t>
  </si>
  <si>
    <t>3816-3816</t>
  </si>
  <si>
    <t>Bolivia, La Paz, Lake Titikaka shore, house with chicken, 16¬∞ 15.185', 68¬∞ 34.034', 3816m</t>
  </si>
  <si>
    <t>testes abdominal (9x5mm)</t>
  </si>
  <si>
    <t>MVZ:Mamm:233009</t>
  </si>
  <si>
    <t>3839-3839</t>
  </si>
  <si>
    <t>Bolivia, La Paz, Lake Titikaka shore, house, 16¬∞ 16.541', 68¬∞ 33.063', 3839m</t>
  </si>
  <si>
    <t>testis 5.5x3mm</t>
  </si>
  <si>
    <t>10.9 g</t>
  </si>
  <si>
    <t>MVZ:Mamm:233010</t>
  </si>
  <si>
    <t>Bolivia, La Paz, Lake Titikaka shore, house, 16¬∞ 11.015', 68¬∞ 46.104', 3835m</t>
  </si>
  <si>
    <t>testis 6.5x4.5mm</t>
  </si>
  <si>
    <t>MVZ:Mamm:233011</t>
  </si>
  <si>
    <t>3846-3846</t>
  </si>
  <si>
    <t>Hostal Intikala, shore of Lake Titicaca</t>
  </si>
  <si>
    <t>Bolivia, La Paz, Lake Titikaka shore, Hostel Intikaka, 16¬∞ 12.780', 68¬∞ 41.414', 3846m</t>
  </si>
  <si>
    <t>MVZ:Mamm:233018</t>
  </si>
  <si>
    <t>3141-3141</t>
  </si>
  <si>
    <t>at a house S of Cota Cota</t>
  </si>
  <si>
    <t>Bolivia, La Paz, South of Cota Cota, house, 16¬∞ 36.594', 68¬∞ 03.806', 3141m</t>
  </si>
  <si>
    <t>MVZ:Mamm:235948</t>
  </si>
  <si>
    <t>3065-3065</t>
  </si>
  <si>
    <t>422 Chestnut Street, Leadville</t>
  </si>
  <si>
    <t>residence</t>
  </si>
  <si>
    <t>USA, CO, Lake, 422 Chestnut St., Leadville, 80461, residence, 39¬∞ 14.582' 00" N, 106¬∞ 17.808' W, elev 10056 ft</t>
  </si>
  <si>
    <t>39.2430333333/-106.2968</t>
  </si>
  <si>
    <t>MVZ:Mamm:235949</t>
  </si>
  <si>
    <t>USA, CO, Lake County, 422 Chestnut St., Leadville, 80461, residence, 39¬∞ 14.582' 00" N, 106¬∞ 17.808' W, elev 10056 ft.</t>
  </si>
  <si>
    <t>MVZ:Mamm:235950</t>
  </si>
  <si>
    <t>3062-3062</t>
  </si>
  <si>
    <t>329 Hwy 24, Leadville</t>
  </si>
  <si>
    <t>USA, CO, Lake County, 329 Hwy 24, Leadville, Pet shop, 39¬∞ 14.259' 00" N, 106¬∞ 17.680' W, elev 10046 ft.</t>
  </si>
  <si>
    <t>39.23765/-106.2946666667</t>
  </si>
  <si>
    <t>testes abdominal (t = 5x3)</t>
  </si>
  <si>
    <t>126 mm</t>
  </si>
  <si>
    <t>MVZ:Mamm:235951</t>
  </si>
  <si>
    <t>USA, CO, Lake County, 329 Hwy 24, Leadville, Pet shop, 39¬∞ 14.259' N, 106¬∞ 17.680' W, elev 10046 ft.</t>
  </si>
  <si>
    <t>testes abdominal; testis 5x3mm</t>
  </si>
  <si>
    <t>MVZ:Mamm:237801</t>
  </si>
  <si>
    <t>51285 Range Road 233, Strathcona County, Alberta, Canada, 53¬∞ 24.522', 113¬∞ 19.141', elev. 2477 ft.</t>
  </si>
  <si>
    <t>92.5 mm</t>
  </si>
  <si>
    <t>MVZ:Mamm:237802</t>
  </si>
  <si>
    <t>51505 Range Road 215, Strathcona County, Alberta, Canada, 53¬∞ 26.386', 113¬∞ 04.173', elev. 2450 ft.</t>
  </si>
  <si>
    <t>MVZ:Mamm:237803</t>
  </si>
  <si>
    <t>22355 Township Road 512, Strathcona County, Alberta, Canada, 53¬∞ 23.738', 113¬∞ 11.374', elev. 2521 ft.</t>
  </si>
  <si>
    <t>MVZ:Mamm:237804</t>
  </si>
  <si>
    <t>1008 Towship Road 522, Parkland County, Alberta, Canada, 53¬∞ 29.014', 114¬∞ 06.245', elev. 2359 ft.</t>
  </si>
  <si>
    <t>Phifer-Rixey et al 2018</t>
  </si>
  <si>
    <t>COLLECTOR_ID</t>
  </si>
  <si>
    <t>MPR117</t>
  </si>
  <si>
    <t>MPR118</t>
  </si>
  <si>
    <t>MPR109</t>
  </si>
  <si>
    <t>MPR110</t>
  </si>
  <si>
    <t>MPR111</t>
  </si>
  <si>
    <t>MPR114</t>
  </si>
  <si>
    <t>MPR116</t>
  </si>
  <si>
    <t>MPR115</t>
  </si>
  <si>
    <t>MPR121</t>
  </si>
  <si>
    <t>MPR108</t>
  </si>
  <si>
    <t>MPR112</t>
  </si>
  <si>
    <t>MPR119</t>
  </si>
  <si>
    <t>MPR120</t>
  </si>
  <si>
    <t>MPR113</t>
  </si>
  <si>
    <t>MPR129</t>
  </si>
  <si>
    <t>MPR132</t>
  </si>
  <si>
    <t>MPR127</t>
  </si>
  <si>
    <t>MPR128</t>
  </si>
  <si>
    <t>MPR131</t>
  </si>
  <si>
    <t>MPR124</t>
  </si>
  <si>
    <t>MPR133</t>
  </si>
  <si>
    <t>MPR122</t>
  </si>
  <si>
    <t>MPR123</t>
  </si>
  <si>
    <t>MPR125</t>
  </si>
  <si>
    <t>MPR126</t>
  </si>
  <si>
    <t>MPR130</t>
  </si>
  <si>
    <t>MPR162</t>
  </si>
  <si>
    <t>MPR167</t>
  </si>
  <si>
    <t>MPR158</t>
  </si>
  <si>
    <t>MPR169</t>
  </si>
  <si>
    <t>MPR165</t>
  </si>
  <si>
    <t>MPR163</t>
  </si>
  <si>
    <t>MPR161</t>
  </si>
  <si>
    <t>MPR164</t>
  </si>
  <si>
    <t>MPR160</t>
  </si>
  <si>
    <t>MPR159</t>
  </si>
  <si>
    <t>MPR166</t>
  </si>
  <si>
    <t>MPR168</t>
  </si>
  <si>
    <t>MPR148</t>
  </si>
  <si>
    <t>MPR154</t>
  </si>
  <si>
    <t>MPR153</t>
  </si>
  <si>
    <t>MPR147</t>
  </si>
  <si>
    <t>MPR156</t>
  </si>
  <si>
    <t>MPR157</t>
  </si>
  <si>
    <t>MPR152</t>
  </si>
  <si>
    <t>MPR151</t>
  </si>
  <si>
    <t>MPR149</t>
  </si>
  <si>
    <t>MPR150</t>
  </si>
  <si>
    <t>MPR146</t>
  </si>
  <si>
    <t>MPR155</t>
  </si>
  <si>
    <t>MPR143</t>
  </si>
  <si>
    <t>MPR135</t>
  </si>
  <si>
    <t>MPR141</t>
  </si>
  <si>
    <t>MPR142</t>
  </si>
  <si>
    <t>MPR145</t>
  </si>
  <si>
    <t>MPR138</t>
  </si>
  <si>
    <t>MPR136</t>
  </si>
  <si>
    <t>MPR140</t>
  </si>
  <si>
    <t>MPR137</t>
  </si>
  <si>
    <t>MPR134</t>
  </si>
  <si>
    <t>MPR144</t>
  </si>
  <si>
    <t>MPR139</t>
  </si>
  <si>
    <t>Ferris et al 2021</t>
  </si>
  <si>
    <t>DL007</t>
  </si>
  <si>
    <t>DL008</t>
  </si>
  <si>
    <t>MPR170</t>
  </si>
  <si>
    <t>MPR171</t>
  </si>
  <si>
    <t>MPR172</t>
  </si>
  <si>
    <t>MPR173</t>
  </si>
  <si>
    <t>TAS187</t>
  </si>
  <si>
    <t>TAS189</t>
  </si>
  <si>
    <t>TAS191</t>
  </si>
  <si>
    <t>TAS192</t>
  </si>
  <si>
    <t>TAS010</t>
  </si>
  <si>
    <t>TAS011</t>
  </si>
  <si>
    <t>TAS012</t>
  </si>
  <si>
    <t>TAS013</t>
  </si>
  <si>
    <t>TAS014</t>
  </si>
  <si>
    <t>TAS015</t>
  </si>
  <si>
    <t>TAS016</t>
  </si>
  <si>
    <t>TAS017</t>
  </si>
  <si>
    <t>TAS021</t>
  </si>
  <si>
    <t>TAS022</t>
  </si>
  <si>
    <t>TAS027</t>
  </si>
  <si>
    <t>TAS028</t>
  </si>
  <si>
    <t>TAS029</t>
  </si>
  <si>
    <t>TAS030</t>
  </si>
  <si>
    <t>TAS031</t>
  </si>
  <si>
    <t>TAS032</t>
  </si>
  <si>
    <t>TAS038</t>
  </si>
  <si>
    <t>TAS039</t>
  </si>
  <si>
    <t>TAS040</t>
  </si>
  <si>
    <t>TAS047</t>
  </si>
  <si>
    <t>TAS048</t>
  </si>
  <si>
    <t>TAS049</t>
  </si>
  <si>
    <t>TAS050</t>
  </si>
  <si>
    <t>TAS051</t>
  </si>
  <si>
    <t>TAS052</t>
  </si>
  <si>
    <t>TAS055</t>
  </si>
  <si>
    <t>TAS061</t>
  </si>
  <si>
    <t>TAS062</t>
  </si>
  <si>
    <t>TAS063</t>
  </si>
  <si>
    <t>TAS066</t>
  </si>
  <si>
    <t>TAS082</t>
  </si>
  <si>
    <t>TAS088</t>
  </si>
  <si>
    <t>TAS097</t>
  </si>
  <si>
    <t>TAS103</t>
  </si>
  <si>
    <t>TAS105</t>
  </si>
  <si>
    <t>TAS106</t>
  </si>
  <si>
    <t>TAS113</t>
  </si>
  <si>
    <t>TAS119</t>
  </si>
  <si>
    <t>TAS126</t>
  </si>
  <si>
    <t>TAS131</t>
  </si>
  <si>
    <t>TAS099</t>
  </si>
  <si>
    <t>TAS100</t>
  </si>
  <si>
    <t>Suzuki et al 2020 (which also includes all of Phifer Rixey et al (2018) and most of Ferris et al (2021))</t>
  </si>
  <si>
    <t>FMM111</t>
  </si>
  <si>
    <t>FMM112</t>
  </si>
  <si>
    <t>FMM113</t>
  </si>
  <si>
    <t>FMM116</t>
  </si>
  <si>
    <t>FMM119</t>
  </si>
  <si>
    <t>FMM121</t>
  </si>
  <si>
    <t>FMM122</t>
  </si>
  <si>
    <t>FMM124</t>
  </si>
  <si>
    <t>FMM125</t>
  </si>
  <si>
    <t>FMM126</t>
  </si>
  <si>
    <t>FMM127</t>
  </si>
  <si>
    <t>FMM128</t>
  </si>
  <si>
    <t>FMM129</t>
  </si>
  <si>
    <t>FMM130</t>
  </si>
  <si>
    <t>FMM132</t>
  </si>
  <si>
    <t>FMM133</t>
  </si>
  <si>
    <t>FMM135</t>
  </si>
  <si>
    <t>FMM137</t>
  </si>
  <si>
    <t>FMM138</t>
  </si>
  <si>
    <t>FMM139</t>
  </si>
  <si>
    <t>FMM141</t>
  </si>
  <si>
    <t>FMM142</t>
  </si>
  <si>
    <t>FMM143</t>
  </si>
  <si>
    <t>FMM144</t>
  </si>
  <si>
    <t>FMM146</t>
  </si>
  <si>
    <t>FMM147</t>
  </si>
  <si>
    <t>FMM148</t>
  </si>
  <si>
    <t>FMM149</t>
  </si>
  <si>
    <t>FMM150</t>
  </si>
  <si>
    <t>FMM152</t>
  </si>
  <si>
    <t>FMM154</t>
  </si>
  <si>
    <t>FMM155</t>
  </si>
  <si>
    <t>FMM156</t>
  </si>
  <si>
    <t>FMM157</t>
  </si>
  <si>
    <t>FMM159</t>
  </si>
  <si>
    <t>FMM160</t>
  </si>
  <si>
    <t>FMM162</t>
  </si>
  <si>
    <t>FMM163</t>
  </si>
  <si>
    <t>FMM165</t>
  </si>
  <si>
    <t>FMM166</t>
  </si>
  <si>
    <t>FMM167</t>
  </si>
  <si>
    <t>FMM168</t>
  </si>
  <si>
    <t>FMM169</t>
  </si>
  <si>
    <t>FMM173</t>
  </si>
  <si>
    <t>FMM176</t>
  </si>
  <si>
    <t>FMM179</t>
  </si>
  <si>
    <t>FMM266</t>
  </si>
  <si>
    <t>FMM267</t>
  </si>
  <si>
    <t>FMM268</t>
  </si>
  <si>
    <t>FMM269</t>
  </si>
  <si>
    <t>FMM270</t>
  </si>
  <si>
    <t>FMM271</t>
  </si>
  <si>
    <t>FMM274</t>
  </si>
  <si>
    <t>FMM277</t>
  </si>
  <si>
    <t>FMM278</t>
  </si>
  <si>
    <t>FMM279</t>
  </si>
  <si>
    <t>FMM280</t>
  </si>
  <si>
    <t>FMM282</t>
  </si>
  <si>
    <t>FMM284</t>
  </si>
  <si>
    <t>FMM285</t>
  </si>
  <si>
    <t>FMM286</t>
  </si>
  <si>
    <t>FMM287</t>
  </si>
  <si>
    <t>FMM288</t>
  </si>
  <si>
    <t>FMM291</t>
  </si>
  <si>
    <t>FMM292</t>
  </si>
  <si>
    <t>FMM294</t>
  </si>
  <si>
    <t>Suzuki et al 2018</t>
  </si>
  <si>
    <t>Suzuki et al 2016</t>
  </si>
  <si>
    <t>TAS098</t>
  </si>
  <si>
    <t>TAS076</t>
  </si>
  <si>
    <t>TAS086</t>
  </si>
  <si>
    <t>TAS116</t>
  </si>
  <si>
    <t>TAS117</t>
  </si>
  <si>
    <t>TAS154</t>
  </si>
  <si>
    <t>TAS137</t>
  </si>
  <si>
    <t>TAS093</t>
  </si>
  <si>
    <t>TAS094</t>
  </si>
  <si>
    <t>TAS074</t>
  </si>
  <si>
    <t>TAS073</t>
  </si>
  <si>
    <t>TAS091</t>
  </si>
  <si>
    <t>TAS070</t>
  </si>
  <si>
    <t>TAS072</t>
  </si>
  <si>
    <t>TAS071</t>
  </si>
  <si>
    <t>TAS102</t>
  </si>
  <si>
    <t>TAS143</t>
  </si>
  <si>
    <t>TAS144</t>
  </si>
  <si>
    <t>TAS145</t>
  </si>
  <si>
    <t>TAS132</t>
  </si>
  <si>
    <t>TAS135</t>
  </si>
  <si>
    <t>TAS136</t>
  </si>
  <si>
    <t>TAS139</t>
  </si>
  <si>
    <t>TAS140</t>
  </si>
  <si>
    <t>TAS149</t>
  </si>
  <si>
    <t>TAS134</t>
  </si>
  <si>
    <t>TAS202</t>
  </si>
  <si>
    <t>TAS193</t>
  </si>
  <si>
    <t>TAS200</t>
  </si>
  <si>
    <t>TAS190</t>
  </si>
  <si>
    <t>TAS201</t>
  </si>
  <si>
    <t>DL009</t>
  </si>
  <si>
    <t>TAS008</t>
  </si>
  <si>
    <t>TAS203</t>
  </si>
  <si>
    <t>TAS204</t>
  </si>
  <si>
    <t>TAS188</t>
  </si>
  <si>
    <t>TAS009</t>
  </si>
  <si>
    <t>MPR174</t>
  </si>
  <si>
    <t>DL004</t>
  </si>
  <si>
    <t>DL005</t>
  </si>
  <si>
    <t>MPR107</t>
  </si>
  <si>
    <t>TAS194</t>
  </si>
  <si>
    <t>TAS195</t>
  </si>
  <si>
    <t>TAS196</t>
  </si>
  <si>
    <t>TAS197</t>
  </si>
  <si>
    <t>TAS199</t>
  </si>
  <si>
    <t>TAS198</t>
  </si>
  <si>
    <t>TAS004</t>
  </si>
  <si>
    <t>TAS005</t>
  </si>
  <si>
    <t>TAS006</t>
  </si>
  <si>
    <t>FMM117</t>
  </si>
  <si>
    <t>FMM115</t>
  </si>
  <si>
    <t>Cell_color_reference</t>
  </si>
  <si>
    <t>Literature_reference</t>
  </si>
  <si>
    <t>EAR_LENGTH_MM</t>
  </si>
  <si>
    <t>HIND_FOOT_LENGTH_MM</t>
  </si>
  <si>
    <t>REPRODUCTIVE_STATUS</t>
  </si>
  <si>
    <t>BODY_WEIGHT_G</t>
  </si>
  <si>
    <t>FMM118</t>
  </si>
  <si>
    <t>FMM283</t>
  </si>
  <si>
    <t>FMM136</t>
  </si>
  <si>
    <t>FMM171</t>
  </si>
  <si>
    <t>FMM158</t>
  </si>
  <si>
    <t>FMM058</t>
  </si>
  <si>
    <t>FMM052</t>
  </si>
  <si>
    <t>FMM099</t>
  </si>
  <si>
    <t>TAS033</t>
  </si>
  <si>
    <t>FMM134</t>
  </si>
  <si>
    <t>FMM170</t>
  </si>
  <si>
    <t>TAS594</t>
  </si>
  <si>
    <t>TAS596</t>
  </si>
  <si>
    <t>FMM290</t>
  </si>
  <si>
    <t>FMM281</t>
  </si>
  <si>
    <t>FMM293</t>
  </si>
  <si>
    <t>FMM276</t>
  </si>
  <si>
    <t>FMM101</t>
  </si>
  <si>
    <t>FMM098</t>
  </si>
  <si>
    <t>FMM071</t>
  </si>
  <si>
    <t>FMM072</t>
  </si>
  <si>
    <t>MVZ:Mamm:230385</t>
  </si>
  <si>
    <t>TAS018</t>
  </si>
  <si>
    <t>TAS023</t>
  </si>
  <si>
    <t>TAS592</t>
  </si>
  <si>
    <t>FMM114</t>
  </si>
  <si>
    <t>FMM120</t>
  </si>
  <si>
    <t>TAS591</t>
  </si>
  <si>
    <t>FMM046</t>
  </si>
  <si>
    <t>FMM105</t>
  </si>
  <si>
    <t>FMM096</t>
  </si>
  <si>
    <t>FMM065</t>
  </si>
  <si>
    <t>FMM054</t>
  </si>
  <si>
    <t>FMM051</t>
  </si>
  <si>
    <t>FMM057</t>
  </si>
  <si>
    <t>FMM164</t>
  </si>
  <si>
    <t>FMM175</t>
  </si>
  <si>
    <t>FMM153</t>
  </si>
  <si>
    <t>FMM161</t>
  </si>
  <si>
    <t>TAS595</t>
  </si>
  <si>
    <t>TAS046</t>
  </si>
  <si>
    <t>TAS025</t>
  </si>
  <si>
    <t>TAS024</t>
  </si>
  <si>
    <t>TAS019</t>
  </si>
  <si>
    <t>TAS026</t>
  </si>
  <si>
    <t>FMM089</t>
  </si>
  <si>
    <t>FMM104</t>
  </si>
  <si>
    <t>FMM103</t>
  </si>
  <si>
    <t>FMM102</t>
  </si>
  <si>
    <t>FMM107</t>
  </si>
  <si>
    <t>FMM100</t>
  </si>
  <si>
    <t>BODY_LENGTH_MM</t>
  </si>
  <si>
    <t>TAIL_BROKEN_65_MM</t>
  </si>
  <si>
    <t>TAIL_BROKEN_53_MM</t>
  </si>
  <si>
    <t>NOTES</t>
  </si>
  <si>
    <t>TAIL_LENGTH_MM</t>
  </si>
  <si>
    <t>TOTAL_LENGTH_MM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</si>
</sst>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5" fontId="0" fillId="0" borderId="0" xfId="0" applyNumberFormat="1"/>
    <xf numFmtId="14" fontId="0" fillId="0" borderId="0" xfId="0" applyNumberFormat="1"/>
    <xf numFmtId="16" fontId="0" fillId="0" borderId="0" xfId="0" applyNumberFormat="1"/>
    <xf numFmtId="0" fontId="0" fillId="33" borderId="0" xfId="0" applyFill="1"/>
    <xf numFmtId="14" fontId="0" fillId="33" borderId="0" xfId="0" applyNumberFormat="1" applyFill="1"/>
    <xf numFmtId="16" fontId="0" fillId="33" borderId="0" xfId="0" applyNumberFormat="1" applyFill="1"/>
    <xf numFmtId="0" fontId="0" fillId="34" borderId="0" xfId="0" applyFill="1"/>
    <xf numFmtId="15" fontId="0" fillId="34" borderId="0" xfId="0" applyNumberFormat="1" applyFill="1"/>
    <xf numFmtId="14" fontId="0" fillId="34" borderId="0" xfId="0" applyNumberFormat="1" applyFill="1"/>
    <xf numFmtId="0" fontId="0" fillId="35" borderId="0" xfId="0" applyFill="1"/>
    <xf numFmtId="14" fontId="0" fillId="35" borderId="0" xfId="0" applyNumberFormat="1" applyFill="1"/>
    <xf numFmtId="16" fontId="0" fillId="35" borderId="0" xfId="0" applyNumberFormat="1" applyFill="1"/>
    <xf numFmtId="0" fontId="0" fillId="36" borderId="0" xfId="0" applyFill="1"/>
    <xf numFmtId="14" fontId="0" fillId="36" borderId="0" xfId="0" applyNumberFormat="1" applyFill="1"/>
    <xf numFmtId="15" fontId="0" fillId="36" borderId="0" xfId="0" applyNumberFormat="1" applyFill="1"/>
    <xf numFmtId="16" fontId="0" fillId="36" borderId="0" xfId="0" applyNumberFormat="1" applyFill="1"/>
    <xf numFmtId="0" fontId="0" fillId="37" borderId="0" xfId="0" applyFill="1"/>
    <xf numFmtId="14" fontId="0" fillId="37" borderId="0" xfId="0" applyNumberFormat="1" applyFill="1"/>
    <xf numFmtId="0" fontId="0" fillId="38" borderId="0" xfId="0" applyFill="1"/>
    <xf numFmtId="0" fontId="0" fillId="0" borderId="0" xfId="0" applyFill="1"/>
    <xf numFmtId="0" fontId="0" fillId="0" borderId="0" xfId="0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8AD8"/>
      <color rgb="FFFF8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/>
  </sheetViews>
  <sheetFormatPr baseColWidth="10" defaultRowHeight="16" x14ac:dyDescent="0.2"/>
  <sheetData>
    <row r="1" spans="1:2" x14ac:dyDescent="0.2">
      <c r="A1" t="s">
        <v>2353</v>
      </c>
      <c r="B1" t="s">
        <v>2354</v>
      </c>
    </row>
    <row r="2" spans="1:2" x14ac:dyDescent="0.2">
      <c r="A2" s="4"/>
      <c r="B2" t="s">
        <v>2115</v>
      </c>
    </row>
    <row r="3" spans="1:2" x14ac:dyDescent="0.2">
      <c r="A3" s="7"/>
      <c r="B3" t="s">
        <v>2179</v>
      </c>
    </row>
    <row r="4" spans="1:2" x14ac:dyDescent="0.2">
      <c r="A4" s="10"/>
      <c r="B4" t="s">
        <v>2232</v>
      </c>
    </row>
    <row r="5" spans="1:2" x14ac:dyDescent="0.2">
      <c r="A5" s="13"/>
      <c r="B5" t="s">
        <v>2299</v>
      </c>
    </row>
    <row r="6" spans="1:2" x14ac:dyDescent="0.2">
      <c r="A6" s="17"/>
      <c r="B6" t="s">
        <v>2300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30"/>
  <sheetViews>
    <sheetView tabSelected="1" workbookViewId="0"/>
  </sheetViews>
  <sheetFormatPr baseColWidth="10" defaultRowHeight="16" x14ac:dyDescent="0.2"/>
  <cols>
    <col min="3" max="3" width="18.1640625" bestFit="1" customWidth="1"/>
    <col min="42" max="42" width="10.83203125" style="20"/>
    <col min="57" max="57" width="10.83203125" style="20"/>
  </cols>
  <sheetData>
    <row r="1" spans="1:72" x14ac:dyDescent="0.2">
      <c r="A1" t="s">
        <v>0</v>
      </c>
      <c r="B1" t="s">
        <v>2116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s="20" t="s">
        <v>2355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2356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s="20" t="s">
        <v>2357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2414</v>
      </c>
      <c r="BN1" t="s">
        <v>60</v>
      </c>
      <c r="BO1" t="s">
        <v>2415</v>
      </c>
      <c r="BP1" t="s">
        <v>61</v>
      </c>
      <c r="BQ1" t="s">
        <v>62</v>
      </c>
      <c r="BR1" t="s">
        <v>2358</v>
      </c>
      <c r="BS1" t="s">
        <v>2410</v>
      </c>
      <c r="BT1" t="s">
        <v>2413</v>
      </c>
    </row>
    <row r="2" spans="1:72" s="10" customFormat="1" x14ac:dyDescent="0.2">
      <c r="A2" t="s">
        <v>63</v>
      </c>
      <c r="B2"/>
      <c r="C2" t="s">
        <v>2096</v>
      </c>
      <c r="D2" t="s">
        <v>64</v>
      </c>
      <c r="E2" t="s">
        <v>65</v>
      </c>
      <c r="F2" t="s">
        <v>64</v>
      </c>
      <c r="G2" t="s">
        <v>211</v>
      </c>
      <c r="H2" t="s">
        <v>67</v>
      </c>
      <c r="I2" t="s">
        <v>68</v>
      </c>
      <c r="J2" t="s">
        <v>2031</v>
      </c>
      <c r="K2" t="s">
        <v>1054</v>
      </c>
      <c r="L2">
        <v>3062</v>
      </c>
      <c r="M2">
        <v>3062</v>
      </c>
      <c r="N2">
        <v>10046</v>
      </c>
      <c r="O2">
        <v>10046</v>
      </c>
      <c r="P2" t="s">
        <v>2097</v>
      </c>
      <c r="Q2"/>
      <c r="R2" t="s">
        <v>2098</v>
      </c>
      <c r="S2" t="s">
        <v>2091</v>
      </c>
      <c r="T2" t="s">
        <v>2099</v>
      </c>
      <c r="U2" s="1">
        <v>41187</v>
      </c>
      <c r="V2">
        <v>5</v>
      </c>
      <c r="W2">
        <v>10</v>
      </c>
      <c r="X2">
        <v>2012</v>
      </c>
      <c r="Y2" t="s">
        <v>2100</v>
      </c>
      <c r="Z2" t="s">
        <v>72</v>
      </c>
      <c r="AA2">
        <v>39.237650000000002</v>
      </c>
      <c r="AB2">
        <v>-106.2946666667</v>
      </c>
      <c r="AC2">
        <v>100</v>
      </c>
      <c r="AD2" t="s">
        <v>96</v>
      </c>
      <c r="AE2" t="s">
        <v>74</v>
      </c>
      <c r="AF2"/>
      <c r="AG2"/>
      <c r="AH2"/>
      <c r="AI2" t="s">
        <v>226</v>
      </c>
      <c r="AJ2"/>
      <c r="AK2"/>
      <c r="AL2"/>
      <c r="AM2"/>
      <c r="AN2"/>
      <c r="AO2" t="s">
        <v>692</v>
      </c>
      <c r="AP2" s="20" t="str">
        <f t="shared" ref="AP2:AP65" si="0">LEFT(AO2,FIND("^^",SUBSTITUTE(AO2," ","^^",LEN(AO2)-LEN(SUBSTITUTE(AO2," ",""))))-1)</f>
        <v>10.5</v>
      </c>
      <c r="AQ2"/>
      <c r="AR2"/>
      <c r="AS2"/>
      <c r="AT2"/>
      <c r="AU2" t="s">
        <v>141</v>
      </c>
      <c r="AV2" s="20" t="str">
        <f t="shared" ref="AV2:AV65" si="1">LEFT(AU2,FIND("^^",SUBSTITUTE(AU2," ","^^",LEN(AU2)-LEN(SUBSTITUTE(AU2," ",""))))-1)</f>
        <v>18.5</v>
      </c>
      <c r="AW2"/>
      <c r="AX2"/>
      <c r="AY2"/>
      <c r="AZ2"/>
      <c r="BA2"/>
      <c r="BB2"/>
      <c r="BC2"/>
      <c r="BD2" t="s">
        <v>2101</v>
      </c>
      <c r="BE2" s="20"/>
      <c r="BF2"/>
      <c r="BG2"/>
      <c r="BH2" t="s">
        <v>83</v>
      </c>
      <c r="BI2"/>
      <c r="BJ2"/>
      <c r="BK2"/>
      <c r="BL2" t="s">
        <v>289</v>
      </c>
      <c r="BM2" s="20" t="str">
        <f t="shared" ref="BM2:BM33" si="2">LEFT(BL2,FIND("^^",SUBSTITUTE(BL2," ","^^",LEN(BL2)-LEN(SUBSTITUTE(BL2," ",""))))-1)</f>
        <v>69</v>
      </c>
      <c r="BN2" t="s">
        <v>2102</v>
      </c>
      <c r="BO2" s="20" t="str">
        <f t="shared" ref="BO2:BO33" si="3">LEFT(BN2,FIND("^^",SUBSTITUTE(BN2," ","^^",LEN(BN2)-LEN(SUBSTITUTE(BN2," ",""))))-1)</f>
        <v>126</v>
      </c>
      <c r="BP2"/>
      <c r="BQ2" t="s">
        <v>763</v>
      </c>
      <c r="BR2" s="20" t="str">
        <f t="shared" ref="BR2:BR65" si="4">LEFT(BQ2,FIND("^^",SUBSTITUTE(BQ2," ","^^",LEN(BQ2)-LEN(SUBSTITUTE(BQ2," ",""))))-1)</f>
        <v>6.65</v>
      </c>
      <c r="BS2" s="21">
        <f t="shared" ref="BS2:BS33" si="5">(BO2-BM2)</f>
        <v>57</v>
      </c>
      <c r="BT2"/>
    </row>
    <row r="3" spans="1:72" s="10" customFormat="1" x14ac:dyDescent="0.2">
      <c r="A3" s="13" t="s">
        <v>63</v>
      </c>
      <c r="B3" s="13"/>
      <c r="C3" s="13" t="s">
        <v>1486</v>
      </c>
      <c r="D3" s="13" t="s">
        <v>64</v>
      </c>
      <c r="E3" s="13" t="s">
        <v>65</v>
      </c>
      <c r="F3" s="13" t="s">
        <v>64</v>
      </c>
      <c r="G3" s="13" t="s">
        <v>211</v>
      </c>
      <c r="H3" s="13" t="s">
        <v>212</v>
      </c>
      <c r="I3" s="13" t="s">
        <v>701</v>
      </c>
      <c r="J3" s="13" t="s">
        <v>1466</v>
      </c>
      <c r="K3" s="13"/>
      <c r="L3" s="13">
        <v>320</v>
      </c>
      <c r="M3" s="13">
        <v>320</v>
      </c>
      <c r="N3" s="13">
        <v>1050</v>
      </c>
      <c r="O3" s="13">
        <v>1050</v>
      </c>
      <c r="P3" s="13" t="s">
        <v>1487</v>
      </c>
      <c r="Q3" s="13"/>
      <c r="R3" s="13" t="s">
        <v>1488</v>
      </c>
      <c r="S3" s="13"/>
      <c r="T3" s="13" t="s">
        <v>1489</v>
      </c>
      <c r="U3" s="14">
        <v>41253</v>
      </c>
      <c r="V3" s="13">
        <v>10</v>
      </c>
      <c r="W3" s="13">
        <v>12</v>
      </c>
      <c r="X3" s="13">
        <v>2012</v>
      </c>
      <c r="Y3" s="13">
        <f>-0.2439166667/-79.3369333333</f>
        <v>3.0744403199363538E-3</v>
      </c>
      <c r="Z3" s="13" t="s">
        <v>72</v>
      </c>
      <c r="AA3" s="13">
        <v>-0.24391666670000001</v>
      </c>
      <c r="AB3" s="13">
        <v>-79.336933333299996</v>
      </c>
      <c r="AC3" s="13"/>
      <c r="AD3" s="13" t="s">
        <v>96</v>
      </c>
      <c r="AE3" s="13" t="s">
        <v>74</v>
      </c>
      <c r="AF3" s="13"/>
      <c r="AG3" s="13"/>
      <c r="AH3" s="13"/>
      <c r="AI3" s="13" t="s">
        <v>226</v>
      </c>
      <c r="AJ3" s="13"/>
      <c r="AK3" s="13"/>
      <c r="AL3" s="13"/>
      <c r="AM3" s="13"/>
      <c r="AN3" s="13"/>
      <c r="AO3" s="13" t="s">
        <v>236</v>
      </c>
      <c r="AP3" s="20" t="str">
        <f t="shared" si="0"/>
        <v>11</v>
      </c>
      <c r="AQ3" s="13"/>
      <c r="AR3" s="13"/>
      <c r="AS3" s="13"/>
      <c r="AT3" s="13"/>
      <c r="AU3" s="13" t="s">
        <v>88</v>
      </c>
      <c r="AV3" s="20" t="str">
        <f t="shared" si="1"/>
        <v>15</v>
      </c>
      <c r="AW3" s="13"/>
      <c r="AX3" s="13"/>
      <c r="AY3" s="13"/>
      <c r="AZ3" s="13"/>
      <c r="BA3" s="13"/>
      <c r="BB3" s="13"/>
      <c r="BC3" s="13"/>
      <c r="BD3" s="13" t="s">
        <v>258</v>
      </c>
      <c r="BE3" s="20"/>
      <c r="BF3" s="13"/>
      <c r="BG3" s="13"/>
      <c r="BH3" s="13" t="s">
        <v>78</v>
      </c>
      <c r="BI3" s="13"/>
      <c r="BJ3" s="13"/>
      <c r="BK3" s="13"/>
      <c r="BL3" s="13" t="s">
        <v>332</v>
      </c>
      <c r="BM3" s="20" t="str">
        <f t="shared" si="2"/>
        <v>61</v>
      </c>
      <c r="BN3" s="13" t="s">
        <v>1306</v>
      </c>
      <c r="BO3" s="20" t="str">
        <f t="shared" si="3"/>
        <v>119</v>
      </c>
      <c r="BP3" s="13"/>
      <c r="BQ3" s="13" t="s">
        <v>1440</v>
      </c>
      <c r="BR3" s="20" t="str">
        <f t="shared" si="4"/>
        <v>4</v>
      </c>
      <c r="BS3" s="21">
        <f t="shared" si="5"/>
        <v>58</v>
      </c>
    </row>
    <row r="4" spans="1:72" s="10" customFormat="1" x14ac:dyDescent="0.2">
      <c r="A4" t="s">
        <v>63</v>
      </c>
      <c r="B4"/>
      <c r="C4" t="s">
        <v>2103</v>
      </c>
      <c r="D4" t="s">
        <v>64</v>
      </c>
      <c r="E4" t="s">
        <v>65</v>
      </c>
      <c r="F4" t="s">
        <v>64</v>
      </c>
      <c r="G4" t="s">
        <v>211</v>
      </c>
      <c r="H4" t="s">
        <v>67</v>
      </c>
      <c r="I4" t="s">
        <v>68</v>
      </c>
      <c r="J4" t="s">
        <v>2031</v>
      </c>
      <c r="K4" t="s">
        <v>1054</v>
      </c>
      <c r="L4">
        <v>3062</v>
      </c>
      <c r="M4">
        <v>3062</v>
      </c>
      <c r="N4">
        <v>10046</v>
      </c>
      <c r="O4">
        <v>10046</v>
      </c>
      <c r="P4" t="s">
        <v>2097</v>
      </c>
      <c r="Q4"/>
      <c r="R4" t="s">
        <v>2098</v>
      </c>
      <c r="S4" t="s">
        <v>2091</v>
      </c>
      <c r="T4" t="s">
        <v>2104</v>
      </c>
      <c r="U4" s="1">
        <v>41187</v>
      </c>
      <c r="V4">
        <v>5</v>
      </c>
      <c r="W4">
        <v>10</v>
      </c>
      <c r="X4">
        <v>2012</v>
      </c>
      <c r="Y4" t="s">
        <v>2100</v>
      </c>
      <c r="Z4" t="s">
        <v>72</v>
      </c>
      <c r="AA4">
        <v>39.237650000000002</v>
      </c>
      <c r="AB4">
        <v>-106.2946666667</v>
      </c>
      <c r="AC4">
        <v>100</v>
      </c>
      <c r="AD4" t="s">
        <v>96</v>
      </c>
      <c r="AE4" t="s">
        <v>74</v>
      </c>
      <c r="AF4"/>
      <c r="AG4"/>
      <c r="AH4"/>
      <c r="AI4" t="s">
        <v>226</v>
      </c>
      <c r="AJ4"/>
      <c r="AK4"/>
      <c r="AL4"/>
      <c r="AM4"/>
      <c r="AN4"/>
      <c r="AO4" t="s">
        <v>2029</v>
      </c>
      <c r="AP4" s="20" t="str">
        <f t="shared" si="0"/>
        <v>11.5</v>
      </c>
      <c r="AQ4"/>
      <c r="AR4"/>
      <c r="AS4"/>
      <c r="AT4"/>
      <c r="AU4" t="s">
        <v>630</v>
      </c>
      <c r="AV4" s="20" t="str">
        <f t="shared" si="1"/>
        <v>19.5</v>
      </c>
      <c r="AW4"/>
      <c r="AX4"/>
      <c r="AY4"/>
      <c r="AZ4"/>
      <c r="BA4"/>
      <c r="BB4"/>
      <c r="BC4"/>
      <c r="BD4" t="s">
        <v>2105</v>
      </c>
      <c r="BE4" s="20"/>
      <c r="BF4"/>
      <c r="BG4"/>
      <c r="BH4" t="s">
        <v>83</v>
      </c>
      <c r="BI4"/>
      <c r="BJ4"/>
      <c r="BK4"/>
      <c r="BL4" t="s">
        <v>98</v>
      </c>
      <c r="BM4" s="20" t="str">
        <f t="shared" si="2"/>
        <v>76</v>
      </c>
      <c r="BN4" t="s">
        <v>1526</v>
      </c>
      <c r="BO4" s="20" t="str">
        <f t="shared" si="3"/>
        <v>134</v>
      </c>
      <c r="BP4"/>
      <c r="BQ4" t="s">
        <v>1565</v>
      </c>
      <c r="BR4" s="20" t="str">
        <f t="shared" si="4"/>
        <v>7.75</v>
      </c>
      <c r="BS4" s="21">
        <f t="shared" si="5"/>
        <v>58</v>
      </c>
      <c r="BT4"/>
    </row>
    <row r="5" spans="1:72" s="10" customFormat="1" x14ac:dyDescent="0.2">
      <c r="A5" t="s">
        <v>63</v>
      </c>
      <c r="B5" t="s">
        <v>2305</v>
      </c>
      <c r="C5" t="s">
        <v>830</v>
      </c>
      <c r="D5" t="s">
        <v>64</v>
      </c>
      <c r="E5" t="s">
        <v>65</v>
      </c>
      <c r="F5" t="s">
        <v>64</v>
      </c>
      <c r="G5" t="s">
        <v>615</v>
      </c>
      <c r="H5" t="s">
        <v>67</v>
      </c>
      <c r="I5" t="s">
        <v>788</v>
      </c>
      <c r="J5" t="s">
        <v>789</v>
      </c>
      <c r="K5" t="s">
        <v>822</v>
      </c>
      <c r="L5">
        <v>719</v>
      </c>
      <c r="M5">
        <v>719</v>
      </c>
      <c r="N5">
        <v>2359</v>
      </c>
      <c r="O5">
        <v>2359</v>
      </c>
      <c r="P5" t="s">
        <v>823</v>
      </c>
      <c r="Q5"/>
      <c r="R5" t="s">
        <v>824</v>
      </c>
      <c r="S5" t="s">
        <v>825</v>
      </c>
      <c r="T5" t="s">
        <v>826</v>
      </c>
      <c r="U5" s="2">
        <v>41121</v>
      </c>
      <c r="V5">
        <v>31</v>
      </c>
      <c r="W5">
        <v>7</v>
      </c>
      <c r="X5">
        <v>2012</v>
      </c>
      <c r="Y5" t="s">
        <v>827</v>
      </c>
      <c r="Z5" t="s">
        <v>72</v>
      </c>
      <c r="AA5">
        <v>53.4835666667</v>
      </c>
      <c r="AB5">
        <v>-114.1040833333</v>
      </c>
      <c r="AC5"/>
      <c r="AD5" t="s">
        <v>73</v>
      </c>
      <c r="AE5" t="s">
        <v>74</v>
      </c>
      <c r="AF5"/>
      <c r="AG5"/>
      <c r="AH5"/>
      <c r="AI5" t="s">
        <v>226</v>
      </c>
      <c r="AJ5"/>
      <c r="AK5"/>
      <c r="AL5"/>
      <c r="AM5"/>
      <c r="AN5"/>
      <c r="AO5" t="s">
        <v>77</v>
      </c>
      <c r="AP5" s="20" t="str">
        <f t="shared" si="0"/>
        <v>12</v>
      </c>
      <c r="AQ5"/>
      <c r="AR5"/>
      <c r="AS5"/>
      <c r="AT5"/>
      <c r="AU5" t="s">
        <v>653</v>
      </c>
      <c r="AV5" s="20" t="str">
        <f t="shared" si="1"/>
        <v>17.5</v>
      </c>
      <c r="AW5"/>
      <c r="AX5"/>
      <c r="AY5"/>
      <c r="AZ5"/>
      <c r="BA5"/>
      <c r="BB5"/>
      <c r="BC5"/>
      <c r="BD5"/>
      <c r="BE5" s="20"/>
      <c r="BF5"/>
      <c r="BG5"/>
      <c r="BH5" t="s">
        <v>78</v>
      </c>
      <c r="BI5"/>
      <c r="BJ5"/>
      <c r="BK5"/>
      <c r="BL5" t="s">
        <v>755</v>
      </c>
      <c r="BM5" s="20" t="str">
        <f t="shared" si="2"/>
        <v>66</v>
      </c>
      <c r="BN5" t="s">
        <v>831</v>
      </c>
      <c r="BO5" s="20" t="str">
        <f t="shared" si="3"/>
        <v>125</v>
      </c>
      <c r="BP5"/>
      <c r="BQ5" t="s">
        <v>832</v>
      </c>
      <c r="BR5" s="20" t="str">
        <f t="shared" si="4"/>
        <v>7.2</v>
      </c>
      <c r="BS5" s="21">
        <f t="shared" si="5"/>
        <v>59</v>
      </c>
      <c r="BT5"/>
    </row>
    <row r="6" spans="1:72" s="10" customFormat="1" x14ac:dyDescent="0.2">
      <c r="A6" t="s">
        <v>63</v>
      </c>
      <c r="B6"/>
      <c r="C6" t="s">
        <v>1419</v>
      </c>
      <c r="D6" t="s">
        <v>64</v>
      </c>
      <c r="E6" t="s">
        <v>65</v>
      </c>
      <c r="F6" t="s">
        <v>64</v>
      </c>
      <c r="G6" t="s">
        <v>211</v>
      </c>
      <c r="H6" t="s">
        <v>212</v>
      </c>
      <c r="I6" t="s">
        <v>701</v>
      </c>
      <c r="J6" t="s">
        <v>702</v>
      </c>
      <c r="K6"/>
      <c r="L6">
        <v>1377</v>
      </c>
      <c r="M6">
        <v>1377</v>
      </c>
      <c r="N6">
        <v>4519</v>
      </c>
      <c r="O6">
        <v>4519</v>
      </c>
      <c r="P6" t="s">
        <v>1404</v>
      </c>
      <c r="Q6"/>
      <c r="R6" t="s">
        <v>1405</v>
      </c>
      <c r="S6"/>
      <c r="T6" t="s">
        <v>1420</v>
      </c>
      <c r="U6" s="2">
        <v>41247</v>
      </c>
      <c r="V6">
        <v>4</v>
      </c>
      <c r="W6">
        <v>12</v>
      </c>
      <c r="X6">
        <v>2012</v>
      </c>
      <c r="Y6" t="s">
        <v>1407</v>
      </c>
      <c r="Z6" t="s">
        <v>72</v>
      </c>
      <c r="AA6">
        <v>7.4099999999999999E-2</v>
      </c>
      <c r="AB6">
        <v>-78.668116666700001</v>
      </c>
      <c r="AC6"/>
      <c r="AD6" t="s">
        <v>96</v>
      </c>
      <c r="AE6" t="s">
        <v>74</v>
      </c>
      <c r="AF6"/>
      <c r="AG6"/>
      <c r="AH6"/>
      <c r="AI6" t="s">
        <v>226</v>
      </c>
      <c r="AJ6"/>
      <c r="AK6"/>
      <c r="AL6"/>
      <c r="AM6"/>
      <c r="AN6"/>
      <c r="AO6" t="s">
        <v>77</v>
      </c>
      <c r="AP6" s="20" t="str">
        <f t="shared" si="0"/>
        <v>12</v>
      </c>
      <c r="AQ6"/>
      <c r="AR6"/>
      <c r="AS6"/>
      <c r="AT6"/>
      <c r="AU6" t="s">
        <v>121</v>
      </c>
      <c r="AV6" s="20" t="str">
        <f t="shared" si="1"/>
        <v>18</v>
      </c>
      <c r="AW6"/>
      <c r="AX6"/>
      <c r="AY6"/>
      <c r="AZ6"/>
      <c r="BA6"/>
      <c r="BB6"/>
      <c r="BC6"/>
      <c r="BD6"/>
      <c r="BE6" s="20"/>
      <c r="BF6"/>
      <c r="BG6"/>
      <c r="BH6" t="s">
        <v>83</v>
      </c>
      <c r="BI6"/>
      <c r="BJ6"/>
      <c r="BK6"/>
      <c r="BL6" t="s">
        <v>712</v>
      </c>
      <c r="BM6" s="20" t="str">
        <f t="shared" si="2"/>
        <v>71</v>
      </c>
      <c r="BN6" t="s">
        <v>1421</v>
      </c>
      <c r="BO6" s="20" t="str">
        <f t="shared" si="3"/>
        <v>130</v>
      </c>
      <c r="BP6"/>
      <c r="BQ6" t="s">
        <v>801</v>
      </c>
      <c r="BR6" s="20" t="str">
        <f t="shared" si="4"/>
        <v>9.5</v>
      </c>
      <c r="BS6" s="21">
        <f t="shared" si="5"/>
        <v>59</v>
      </c>
      <c r="BT6"/>
    </row>
    <row r="7" spans="1:72" s="10" customFormat="1" x14ac:dyDescent="0.2">
      <c r="A7" t="s">
        <v>63</v>
      </c>
      <c r="B7"/>
      <c r="C7" t="s">
        <v>507</v>
      </c>
      <c r="D7" t="s">
        <v>64</v>
      </c>
      <c r="E7" t="s">
        <v>65</v>
      </c>
      <c r="F7" t="s">
        <v>64</v>
      </c>
      <c r="G7" t="s">
        <v>211</v>
      </c>
      <c r="H7" t="s">
        <v>212</v>
      </c>
      <c r="I7" t="s">
        <v>383</v>
      </c>
      <c r="J7" t="s">
        <v>492</v>
      </c>
      <c r="K7"/>
      <c r="L7">
        <v>79</v>
      </c>
      <c r="M7">
        <v>79</v>
      </c>
      <c r="N7">
        <v>258</v>
      </c>
      <c r="O7">
        <v>258</v>
      </c>
      <c r="P7" t="s">
        <v>504</v>
      </c>
      <c r="Q7"/>
      <c r="R7" t="s">
        <v>505</v>
      </c>
      <c r="S7" t="s">
        <v>495</v>
      </c>
      <c r="T7" t="s">
        <v>506</v>
      </c>
      <c r="U7" s="2">
        <v>41534</v>
      </c>
      <c r="V7">
        <v>17</v>
      </c>
      <c r="W7">
        <v>9</v>
      </c>
      <c r="X7">
        <v>2013</v>
      </c>
      <c r="Y7">
        <f>-8.772/-63.8356666667</f>
        <v>0.137415342520045</v>
      </c>
      <c r="Z7" t="s">
        <v>72</v>
      </c>
      <c r="AA7">
        <v>-8.7720000000000002</v>
      </c>
      <c r="AB7">
        <v>-63.8356666667</v>
      </c>
      <c r="AC7"/>
      <c r="AD7" t="s">
        <v>73</v>
      </c>
      <c r="AE7" t="s">
        <v>74</v>
      </c>
      <c r="AF7"/>
      <c r="AG7"/>
      <c r="AH7"/>
      <c r="AI7" t="s">
        <v>226</v>
      </c>
      <c r="AJ7"/>
      <c r="AK7"/>
      <c r="AL7"/>
      <c r="AM7"/>
      <c r="AN7"/>
      <c r="AO7" t="s">
        <v>76</v>
      </c>
      <c r="AP7" s="20" t="str">
        <f t="shared" si="0"/>
        <v>13</v>
      </c>
      <c r="AQ7"/>
      <c r="AR7"/>
      <c r="AS7"/>
      <c r="AT7"/>
      <c r="AU7" t="s">
        <v>82</v>
      </c>
      <c r="AV7" s="20" t="str">
        <f t="shared" si="1"/>
        <v>17</v>
      </c>
      <c r="AW7"/>
      <c r="AX7"/>
      <c r="AY7"/>
      <c r="AZ7"/>
      <c r="BA7"/>
      <c r="BB7"/>
      <c r="BC7"/>
      <c r="BD7" t="s">
        <v>258</v>
      </c>
      <c r="BE7" s="20"/>
      <c r="BF7"/>
      <c r="BG7"/>
      <c r="BH7" t="s">
        <v>78</v>
      </c>
      <c r="BI7"/>
      <c r="BJ7"/>
      <c r="BK7"/>
      <c r="BL7" t="s">
        <v>332</v>
      </c>
      <c r="BM7" s="20" t="str">
        <f t="shared" si="2"/>
        <v>61</v>
      </c>
      <c r="BN7" t="s">
        <v>485</v>
      </c>
      <c r="BO7" s="20" t="str">
        <f t="shared" si="3"/>
        <v>121</v>
      </c>
      <c r="BP7"/>
      <c r="BQ7" t="s">
        <v>508</v>
      </c>
      <c r="BR7" s="20" t="str">
        <f t="shared" si="4"/>
        <v>4.5</v>
      </c>
      <c r="BS7" s="21">
        <f t="shared" si="5"/>
        <v>60</v>
      </c>
      <c r="BT7"/>
    </row>
    <row r="8" spans="1:72" s="10" customFormat="1" x14ac:dyDescent="0.2">
      <c r="A8" t="s">
        <v>63</v>
      </c>
      <c r="B8"/>
      <c r="C8" t="s">
        <v>761</v>
      </c>
      <c r="D8" t="s">
        <v>64</v>
      </c>
      <c r="E8" t="s">
        <v>65</v>
      </c>
      <c r="F8" t="s">
        <v>64</v>
      </c>
      <c r="G8" t="s">
        <v>211</v>
      </c>
      <c r="H8" t="s">
        <v>212</v>
      </c>
      <c r="I8" t="s">
        <v>701</v>
      </c>
      <c r="J8" t="s">
        <v>734</v>
      </c>
      <c r="K8"/>
      <c r="L8">
        <v>2973</v>
      </c>
      <c r="M8">
        <v>2973</v>
      </c>
      <c r="N8">
        <v>9755</v>
      </c>
      <c r="O8">
        <v>9755</v>
      </c>
      <c r="P8" t="s">
        <v>745</v>
      </c>
      <c r="Q8"/>
      <c r="R8" t="s">
        <v>750</v>
      </c>
      <c r="S8"/>
      <c r="T8" t="s">
        <v>747</v>
      </c>
      <c r="U8" s="2">
        <v>41228</v>
      </c>
      <c r="V8">
        <v>15</v>
      </c>
      <c r="W8">
        <v>11</v>
      </c>
      <c r="X8">
        <v>2012</v>
      </c>
      <c r="Y8">
        <f>-0.87355/-78.6070833333</f>
        <v>1.111286620693051E-2</v>
      </c>
      <c r="Z8" t="s">
        <v>72</v>
      </c>
      <c r="AA8">
        <v>-0.87355000000000005</v>
      </c>
      <c r="AB8">
        <v>-78.607083333299997</v>
      </c>
      <c r="AC8"/>
      <c r="AD8" t="s">
        <v>96</v>
      </c>
      <c r="AE8" t="s">
        <v>74</v>
      </c>
      <c r="AF8"/>
      <c r="AG8"/>
      <c r="AH8"/>
      <c r="AI8" t="s">
        <v>226</v>
      </c>
      <c r="AJ8"/>
      <c r="AK8"/>
      <c r="AL8"/>
      <c r="AM8"/>
      <c r="AN8"/>
      <c r="AO8" t="s">
        <v>236</v>
      </c>
      <c r="AP8" s="20" t="str">
        <f t="shared" si="0"/>
        <v>11</v>
      </c>
      <c r="AQ8"/>
      <c r="AR8"/>
      <c r="AS8"/>
      <c r="AT8"/>
      <c r="AU8" t="s">
        <v>82</v>
      </c>
      <c r="AV8" s="20" t="str">
        <f t="shared" si="1"/>
        <v>17</v>
      </c>
      <c r="AW8"/>
      <c r="AX8"/>
      <c r="AY8"/>
      <c r="AZ8"/>
      <c r="BA8"/>
      <c r="BB8"/>
      <c r="BC8"/>
      <c r="BD8" t="s">
        <v>258</v>
      </c>
      <c r="BE8" s="20"/>
      <c r="BF8"/>
      <c r="BG8"/>
      <c r="BH8" t="s">
        <v>78</v>
      </c>
      <c r="BI8"/>
      <c r="BJ8"/>
      <c r="BK8"/>
      <c r="BL8" t="s">
        <v>762</v>
      </c>
      <c r="BM8" s="20" t="str">
        <f t="shared" si="2"/>
        <v>51</v>
      </c>
      <c r="BN8" t="s">
        <v>666</v>
      </c>
      <c r="BO8" s="20" t="str">
        <f t="shared" si="3"/>
        <v>111</v>
      </c>
      <c r="BP8"/>
      <c r="BQ8" t="s">
        <v>763</v>
      </c>
      <c r="BR8" s="20" t="str">
        <f t="shared" si="4"/>
        <v>6.65</v>
      </c>
      <c r="BS8" s="21">
        <f t="shared" si="5"/>
        <v>60</v>
      </c>
      <c r="BT8" s="13"/>
    </row>
    <row r="9" spans="1:72" s="10" customFormat="1" x14ac:dyDescent="0.2">
      <c r="A9" t="s">
        <v>63</v>
      </c>
      <c r="B9" t="s">
        <v>2313</v>
      </c>
      <c r="C9" t="s">
        <v>810</v>
      </c>
      <c r="D9" t="s">
        <v>64</v>
      </c>
      <c r="E9" t="s">
        <v>65</v>
      </c>
      <c r="F9" t="s">
        <v>64</v>
      </c>
      <c r="G9" t="s">
        <v>615</v>
      </c>
      <c r="H9" t="s">
        <v>67</v>
      </c>
      <c r="I9" t="s">
        <v>788</v>
      </c>
      <c r="J9" t="s">
        <v>789</v>
      </c>
      <c r="K9" t="s">
        <v>803</v>
      </c>
      <c r="L9">
        <v>699</v>
      </c>
      <c r="M9">
        <v>699</v>
      </c>
      <c r="N9">
        <v>2294</v>
      </c>
      <c r="O9">
        <v>2294</v>
      </c>
      <c r="P9" t="s">
        <v>811</v>
      </c>
      <c r="Q9"/>
      <c r="R9" t="s">
        <v>812</v>
      </c>
      <c r="S9" t="s">
        <v>813</v>
      </c>
      <c r="T9" t="s">
        <v>814</v>
      </c>
      <c r="U9" s="2">
        <v>41109</v>
      </c>
      <c r="V9">
        <v>19</v>
      </c>
      <c r="W9">
        <v>7</v>
      </c>
      <c r="X9">
        <v>2012</v>
      </c>
      <c r="Y9" t="s">
        <v>815</v>
      </c>
      <c r="Z9" t="s">
        <v>72</v>
      </c>
      <c r="AA9">
        <v>53.379816666700002</v>
      </c>
      <c r="AB9">
        <v>-113.5273666667</v>
      </c>
      <c r="AC9"/>
      <c r="AD9" t="s">
        <v>73</v>
      </c>
      <c r="AE9" t="s">
        <v>74</v>
      </c>
      <c r="AF9"/>
      <c r="AG9"/>
      <c r="AH9"/>
      <c r="AI9" t="s">
        <v>75</v>
      </c>
      <c r="AJ9"/>
      <c r="AK9"/>
      <c r="AL9"/>
      <c r="AM9"/>
      <c r="AN9"/>
      <c r="AO9" t="s">
        <v>76</v>
      </c>
      <c r="AP9" s="20" t="str">
        <f t="shared" si="0"/>
        <v>13</v>
      </c>
      <c r="AQ9"/>
      <c r="AR9"/>
      <c r="AS9"/>
      <c r="AT9"/>
      <c r="AU9" t="s">
        <v>141</v>
      </c>
      <c r="AV9" s="20" t="str">
        <f t="shared" si="1"/>
        <v>18.5</v>
      </c>
      <c r="AW9"/>
      <c r="AX9"/>
      <c r="AY9"/>
      <c r="AZ9"/>
      <c r="BA9"/>
      <c r="BB9"/>
      <c r="BC9"/>
      <c r="BD9"/>
      <c r="BE9" s="20"/>
      <c r="BF9"/>
      <c r="BG9"/>
      <c r="BH9" t="s">
        <v>78</v>
      </c>
      <c r="BI9"/>
      <c r="BJ9"/>
      <c r="BK9"/>
      <c r="BL9" t="s">
        <v>621</v>
      </c>
      <c r="BM9" s="20" t="str">
        <f t="shared" si="2"/>
        <v>95</v>
      </c>
      <c r="BN9" t="s">
        <v>699</v>
      </c>
      <c r="BO9" s="20" t="str">
        <f t="shared" si="3"/>
        <v>155</v>
      </c>
      <c r="BP9"/>
      <c r="BQ9" t="s">
        <v>133</v>
      </c>
      <c r="BR9" s="20" t="str">
        <f t="shared" si="4"/>
        <v>14</v>
      </c>
      <c r="BS9" s="21">
        <f t="shared" si="5"/>
        <v>60</v>
      </c>
      <c r="BT9"/>
    </row>
    <row r="10" spans="1:72" s="10" customFormat="1" x14ac:dyDescent="0.2">
      <c r="A10" t="s">
        <v>63</v>
      </c>
      <c r="B10"/>
      <c r="C10" t="s">
        <v>483</v>
      </c>
      <c r="D10" t="s">
        <v>64</v>
      </c>
      <c r="E10" t="s">
        <v>65</v>
      </c>
      <c r="F10" t="s">
        <v>64</v>
      </c>
      <c r="G10" t="s">
        <v>211</v>
      </c>
      <c r="H10" t="s">
        <v>212</v>
      </c>
      <c r="I10" t="s">
        <v>383</v>
      </c>
      <c r="J10" t="s">
        <v>443</v>
      </c>
      <c r="K10"/>
      <c r="L10">
        <v>74</v>
      </c>
      <c r="M10">
        <v>74</v>
      </c>
      <c r="N10">
        <v>242</v>
      </c>
      <c r="O10">
        <v>242</v>
      </c>
      <c r="P10" t="s">
        <v>478</v>
      </c>
      <c r="Q10"/>
      <c r="R10" t="s">
        <v>445</v>
      </c>
      <c r="S10" t="s">
        <v>479</v>
      </c>
      <c r="T10" t="s">
        <v>480</v>
      </c>
      <c r="U10" s="2">
        <v>41430</v>
      </c>
      <c r="V10">
        <v>5</v>
      </c>
      <c r="W10">
        <v>6</v>
      </c>
      <c r="X10">
        <v>2013</v>
      </c>
      <c r="Y10">
        <f>-29.8241666667/-57.1931666667</f>
        <v>0.52146381123646968</v>
      </c>
      <c r="Z10" t="s">
        <v>72</v>
      </c>
      <c r="AA10">
        <v>-29.824166666699998</v>
      </c>
      <c r="AB10">
        <v>-57.193166666700002</v>
      </c>
      <c r="AC10"/>
      <c r="AD10" t="s">
        <v>73</v>
      </c>
      <c r="AE10" t="s">
        <v>74</v>
      </c>
      <c r="AF10"/>
      <c r="AG10"/>
      <c r="AH10"/>
      <c r="AI10" t="s">
        <v>226</v>
      </c>
      <c r="AJ10"/>
      <c r="AK10"/>
      <c r="AL10"/>
      <c r="AM10"/>
      <c r="AN10"/>
      <c r="AO10" t="s">
        <v>227</v>
      </c>
      <c r="AP10" s="20" t="str">
        <f t="shared" si="0"/>
        <v>10</v>
      </c>
      <c r="AQ10"/>
      <c r="AR10"/>
      <c r="AS10"/>
      <c r="AT10"/>
      <c r="AU10" t="s">
        <v>88</v>
      </c>
      <c r="AV10" s="20" t="str">
        <f t="shared" si="1"/>
        <v>15</v>
      </c>
      <c r="AW10"/>
      <c r="AX10"/>
      <c r="AY10"/>
      <c r="AZ10"/>
      <c r="BA10"/>
      <c r="BB10"/>
      <c r="BC10"/>
      <c r="BD10" t="s">
        <v>484</v>
      </c>
      <c r="BE10" s="20"/>
      <c r="BF10"/>
      <c r="BG10"/>
      <c r="BH10" t="s">
        <v>83</v>
      </c>
      <c r="BI10"/>
      <c r="BJ10"/>
      <c r="BK10"/>
      <c r="BL10" t="s">
        <v>336</v>
      </c>
      <c r="BM10" s="20" t="str">
        <f t="shared" si="2"/>
        <v>60</v>
      </c>
      <c r="BN10" t="s">
        <v>485</v>
      </c>
      <c r="BO10" s="20" t="str">
        <f t="shared" si="3"/>
        <v>121</v>
      </c>
      <c r="BP10"/>
      <c r="BQ10" t="s">
        <v>334</v>
      </c>
      <c r="BR10" s="20" t="str">
        <f t="shared" si="4"/>
        <v>5.5</v>
      </c>
      <c r="BS10" s="21">
        <f t="shared" si="5"/>
        <v>61</v>
      </c>
      <c r="BT10"/>
    </row>
    <row r="11" spans="1:72" x14ac:dyDescent="0.2">
      <c r="A11" t="s">
        <v>63</v>
      </c>
      <c r="C11" t="s">
        <v>225</v>
      </c>
      <c r="D11" t="s">
        <v>64</v>
      </c>
      <c r="E11" t="s">
        <v>65</v>
      </c>
      <c r="F11" t="s">
        <v>64</v>
      </c>
      <c r="G11" t="s">
        <v>211</v>
      </c>
      <c r="H11" t="s">
        <v>212</v>
      </c>
      <c r="I11" t="s">
        <v>213</v>
      </c>
      <c r="J11" t="s">
        <v>214</v>
      </c>
      <c r="L11">
        <v>201</v>
      </c>
      <c r="M11">
        <v>201</v>
      </c>
      <c r="N11">
        <v>659</v>
      </c>
      <c r="O11">
        <v>659</v>
      </c>
      <c r="P11" t="s">
        <v>221</v>
      </c>
      <c r="R11" t="s">
        <v>216</v>
      </c>
      <c r="S11" t="s">
        <v>217</v>
      </c>
      <c r="T11" t="s">
        <v>222</v>
      </c>
      <c r="U11" s="2">
        <v>41311</v>
      </c>
      <c r="V11">
        <v>6</v>
      </c>
      <c r="W11">
        <v>2</v>
      </c>
      <c r="X11">
        <v>2013</v>
      </c>
      <c r="Y11">
        <f>-37.2908333333/-59.2006166667</f>
        <v>0.62990616370176888</v>
      </c>
      <c r="Z11" t="s">
        <v>72</v>
      </c>
      <c r="AA11">
        <v>-37.2908333333</v>
      </c>
      <c r="AB11">
        <v>-59.2006166667</v>
      </c>
      <c r="AD11" t="s">
        <v>73</v>
      </c>
      <c r="AE11" t="s">
        <v>74</v>
      </c>
      <c r="AI11" t="s">
        <v>226</v>
      </c>
      <c r="AO11" t="s">
        <v>227</v>
      </c>
      <c r="AP11" s="20" t="str">
        <f t="shared" si="0"/>
        <v>10</v>
      </c>
      <c r="AU11" t="s">
        <v>121</v>
      </c>
      <c r="AV11" s="20" t="str">
        <f t="shared" si="1"/>
        <v>18</v>
      </c>
      <c r="BD11" t="s">
        <v>228</v>
      </c>
      <c r="BH11" t="s">
        <v>83</v>
      </c>
      <c r="BL11" t="s">
        <v>229</v>
      </c>
      <c r="BM11" s="20" t="str">
        <f t="shared" si="2"/>
        <v>63</v>
      </c>
      <c r="BN11" t="s">
        <v>230</v>
      </c>
      <c r="BO11" s="20" t="str">
        <f t="shared" si="3"/>
        <v>124</v>
      </c>
      <c r="BQ11" t="s">
        <v>231</v>
      </c>
      <c r="BR11" s="20" t="str">
        <f t="shared" si="4"/>
        <v>6.5</v>
      </c>
      <c r="BS11" s="21">
        <f t="shared" si="5"/>
        <v>61</v>
      </c>
    </row>
    <row r="12" spans="1:72" s="10" customFormat="1" x14ac:dyDescent="0.2">
      <c r="A12" t="s">
        <v>63</v>
      </c>
      <c r="B12" t="s">
        <v>2361</v>
      </c>
      <c r="C12" t="s">
        <v>335</v>
      </c>
      <c r="D12" t="s">
        <v>64</v>
      </c>
      <c r="E12" t="s">
        <v>65</v>
      </c>
      <c r="F12" t="s">
        <v>64</v>
      </c>
      <c r="G12" t="s">
        <v>211</v>
      </c>
      <c r="H12" t="s">
        <v>212</v>
      </c>
      <c r="I12" t="s">
        <v>213</v>
      </c>
      <c r="J12" t="s">
        <v>293</v>
      </c>
      <c r="K12"/>
      <c r="L12">
        <v>4</v>
      </c>
      <c r="M12">
        <v>4</v>
      </c>
      <c r="N12">
        <v>13</v>
      </c>
      <c r="O12">
        <v>13</v>
      </c>
      <c r="P12" s="3">
        <v>44290</v>
      </c>
      <c r="Q12"/>
      <c r="R12" t="s">
        <v>294</v>
      </c>
      <c r="S12" t="s">
        <v>329</v>
      </c>
      <c r="T12" t="s">
        <v>330</v>
      </c>
      <c r="U12" s="2">
        <v>41339</v>
      </c>
      <c r="V12">
        <v>6</v>
      </c>
      <c r="W12">
        <v>3</v>
      </c>
      <c r="X12">
        <v>2013</v>
      </c>
      <c r="Y12">
        <f>-43.3261666667/-65.4713333333</f>
        <v>0.66175781767168418</v>
      </c>
      <c r="Z12" t="s">
        <v>72</v>
      </c>
      <c r="AA12">
        <v>-43.326166666699997</v>
      </c>
      <c r="AB12">
        <v>-65.471333333299995</v>
      </c>
      <c r="AC12"/>
      <c r="AD12" t="s">
        <v>73</v>
      </c>
      <c r="AE12" t="s">
        <v>74</v>
      </c>
      <c r="AF12"/>
      <c r="AG12"/>
      <c r="AH12"/>
      <c r="AI12"/>
      <c r="AJ12"/>
      <c r="AK12"/>
      <c r="AL12"/>
      <c r="AM12"/>
      <c r="AN12"/>
      <c r="AO12" t="s">
        <v>236</v>
      </c>
      <c r="AP12" s="20" t="str">
        <f t="shared" si="0"/>
        <v>11</v>
      </c>
      <c r="AQ12"/>
      <c r="AR12"/>
      <c r="AS12"/>
      <c r="AT12"/>
      <c r="AU12" t="s">
        <v>82</v>
      </c>
      <c r="AV12" s="20" t="str">
        <f t="shared" si="1"/>
        <v>17</v>
      </c>
      <c r="AW12"/>
      <c r="AX12"/>
      <c r="AY12"/>
      <c r="AZ12"/>
      <c r="BA12"/>
      <c r="BB12"/>
      <c r="BC12"/>
      <c r="BD12" t="s">
        <v>258</v>
      </c>
      <c r="BE12" s="20"/>
      <c r="BF12"/>
      <c r="BG12"/>
      <c r="BH12" t="s">
        <v>78</v>
      </c>
      <c r="BI12"/>
      <c r="BJ12"/>
      <c r="BK12"/>
      <c r="BL12" t="s">
        <v>336</v>
      </c>
      <c r="BM12" s="20" t="str">
        <f t="shared" si="2"/>
        <v>60</v>
      </c>
      <c r="BN12" t="s">
        <v>337</v>
      </c>
      <c r="BO12" s="20" t="str">
        <f t="shared" si="3"/>
        <v>122</v>
      </c>
      <c r="BP12"/>
      <c r="BQ12" t="s">
        <v>338</v>
      </c>
      <c r="BR12" s="20" t="str">
        <f t="shared" si="4"/>
        <v>5</v>
      </c>
      <c r="BS12" s="21">
        <f t="shared" si="5"/>
        <v>62</v>
      </c>
    </row>
    <row r="13" spans="1:72" x14ac:dyDescent="0.2">
      <c r="A13" t="s">
        <v>63</v>
      </c>
      <c r="C13" t="s">
        <v>503</v>
      </c>
      <c r="D13" t="s">
        <v>64</v>
      </c>
      <c r="E13" t="s">
        <v>65</v>
      </c>
      <c r="F13" t="s">
        <v>64</v>
      </c>
      <c r="G13" t="s">
        <v>211</v>
      </c>
      <c r="H13" t="s">
        <v>212</v>
      </c>
      <c r="I13" t="s">
        <v>383</v>
      </c>
      <c r="J13" t="s">
        <v>492</v>
      </c>
      <c r="L13">
        <v>79</v>
      </c>
      <c r="M13">
        <v>79</v>
      </c>
      <c r="N13">
        <v>258</v>
      </c>
      <c r="O13">
        <v>258</v>
      </c>
      <c r="P13" t="s">
        <v>504</v>
      </c>
      <c r="R13" t="s">
        <v>505</v>
      </c>
      <c r="S13" t="s">
        <v>495</v>
      </c>
      <c r="T13" t="s">
        <v>506</v>
      </c>
      <c r="U13" s="2">
        <v>41534</v>
      </c>
      <c r="V13">
        <v>17</v>
      </c>
      <c r="W13">
        <v>9</v>
      </c>
      <c r="X13">
        <v>2013</v>
      </c>
      <c r="Y13">
        <f>-8.772/-63.8356666667</f>
        <v>0.137415342520045</v>
      </c>
      <c r="Z13" t="s">
        <v>72</v>
      </c>
      <c r="AA13">
        <v>-8.7720000000000002</v>
      </c>
      <c r="AB13">
        <v>-63.8356666667</v>
      </c>
      <c r="AD13" t="s">
        <v>73</v>
      </c>
      <c r="AE13" t="s">
        <v>74</v>
      </c>
      <c r="AI13" t="s">
        <v>226</v>
      </c>
      <c r="AO13" t="s">
        <v>77</v>
      </c>
      <c r="AP13" s="20" t="str">
        <f t="shared" si="0"/>
        <v>12</v>
      </c>
      <c r="AU13" t="s">
        <v>344</v>
      </c>
      <c r="AV13" s="20" t="str">
        <f t="shared" si="1"/>
        <v>16</v>
      </c>
      <c r="BD13" t="s">
        <v>258</v>
      </c>
      <c r="BH13" t="s">
        <v>78</v>
      </c>
      <c r="BL13" t="s">
        <v>253</v>
      </c>
      <c r="BM13" s="20" t="str">
        <f t="shared" si="2"/>
        <v>70</v>
      </c>
      <c r="BN13" t="s">
        <v>333</v>
      </c>
      <c r="BO13" s="20" t="str">
        <f t="shared" si="3"/>
        <v>132</v>
      </c>
      <c r="BQ13" t="s">
        <v>239</v>
      </c>
      <c r="BR13" s="20" t="str">
        <f t="shared" si="4"/>
        <v>5.75</v>
      </c>
      <c r="BS13" s="21">
        <f t="shared" si="5"/>
        <v>62</v>
      </c>
    </row>
    <row r="14" spans="1:72" s="10" customFormat="1" x14ac:dyDescent="0.2">
      <c r="A14" s="10" t="s">
        <v>63</v>
      </c>
      <c r="B14" s="10" t="s">
        <v>2294</v>
      </c>
      <c r="C14" s="10" t="s">
        <v>391</v>
      </c>
      <c r="D14" s="10" t="s">
        <v>64</v>
      </c>
      <c r="E14" s="10" t="s">
        <v>65</v>
      </c>
      <c r="F14" s="10" t="s">
        <v>64</v>
      </c>
      <c r="G14" s="10" t="s">
        <v>211</v>
      </c>
      <c r="H14" s="10" t="s">
        <v>212</v>
      </c>
      <c r="I14" s="10" t="s">
        <v>383</v>
      </c>
      <c r="J14" s="10" t="s">
        <v>384</v>
      </c>
      <c r="L14" s="10">
        <v>1076</v>
      </c>
      <c r="M14" s="10">
        <v>1076</v>
      </c>
      <c r="N14" s="10">
        <v>3530</v>
      </c>
      <c r="O14" s="10">
        <v>3530</v>
      </c>
      <c r="P14" s="10" t="s">
        <v>392</v>
      </c>
      <c r="R14" s="10" t="s">
        <v>386</v>
      </c>
      <c r="S14" s="10" t="s">
        <v>393</v>
      </c>
      <c r="T14" s="10" t="s">
        <v>394</v>
      </c>
      <c r="U14" s="11">
        <v>41540</v>
      </c>
      <c r="V14" s="10">
        <v>23</v>
      </c>
      <c r="W14" s="10">
        <v>9</v>
      </c>
      <c r="X14" s="10">
        <v>2013</v>
      </c>
      <c r="Y14" s="10">
        <f>-15.9411666667/-47.9375</f>
        <v>0.33254063450743154</v>
      </c>
      <c r="Z14" s="10" t="s">
        <v>72</v>
      </c>
      <c r="AA14" s="10">
        <v>-15.941166666699999</v>
      </c>
      <c r="AB14" s="10">
        <v>-47.9375</v>
      </c>
      <c r="AD14" s="10" t="s">
        <v>73</v>
      </c>
      <c r="AE14" s="10" t="s">
        <v>74</v>
      </c>
      <c r="AI14" s="10" t="s">
        <v>226</v>
      </c>
      <c r="AO14" s="10" t="s">
        <v>77</v>
      </c>
      <c r="AP14" s="20" t="str">
        <f t="shared" si="0"/>
        <v>12</v>
      </c>
      <c r="AU14" s="10" t="s">
        <v>82</v>
      </c>
      <c r="AV14" s="20" t="str">
        <f t="shared" si="1"/>
        <v>17</v>
      </c>
      <c r="BD14" s="10" t="s">
        <v>395</v>
      </c>
      <c r="BE14" s="20"/>
      <c r="BH14" s="10" t="s">
        <v>83</v>
      </c>
      <c r="BL14" s="10" t="s">
        <v>396</v>
      </c>
      <c r="BM14" s="20" t="str">
        <f t="shared" si="2"/>
        <v>62</v>
      </c>
      <c r="BN14" s="10" t="s">
        <v>230</v>
      </c>
      <c r="BO14" s="20" t="str">
        <f t="shared" si="3"/>
        <v>124</v>
      </c>
      <c r="BQ14" s="10" t="s">
        <v>397</v>
      </c>
      <c r="BR14" s="20" t="str">
        <f t="shared" si="4"/>
        <v>6.25</v>
      </c>
      <c r="BS14" s="21">
        <f t="shared" si="5"/>
        <v>62</v>
      </c>
    </row>
    <row r="15" spans="1:72" s="10" customFormat="1" x14ac:dyDescent="0.2">
      <c r="A15" s="4" t="s">
        <v>63</v>
      </c>
      <c r="B15" s="4" t="s">
        <v>2178</v>
      </c>
      <c r="C15" s="4" t="s">
        <v>1686</v>
      </c>
      <c r="D15" s="4" t="s">
        <v>64</v>
      </c>
      <c r="E15" s="4" t="s">
        <v>65</v>
      </c>
      <c r="F15" s="4" t="s">
        <v>64</v>
      </c>
      <c r="G15" s="4" t="s">
        <v>134</v>
      </c>
      <c r="H15" s="4" t="s">
        <v>67</v>
      </c>
      <c r="I15" s="4" t="s">
        <v>68</v>
      </c>
      <c r="J15" s="4" t="s">
        <v>1618</v>
      </c>
      <c r="K15" s="4" t="s">
        <v>1619</v>
      </c>
      <c r="L15" s="4">
        <v>139</v>
      </c>
      <c r="M15" s="4">
        <v>139</v>
      </c>
      <c r="N15" s="4">
        <v>139</v>
      </c>
      <c r="O15" s="4">
        <v>139</v>
      </c>
      <c r="P15" s="4" t="s">
        <v>1687</v>
      </c>
      <c r="Q15" s="4"/>
      <c r="R15" s="4" t="s">
        <v>1688</v>
      </c>
      <c r="S15" s="4"/>
      <c r="T15" s="4" t="s">
        <v>1689</v>
      </c>
      <c r="U15" s="5">
        <v>41110</v>
      </c>
      <c r="V15" s="4">
        <v>20</v>
      </c>
      <c r="W15" s="4">
        <v>7</v>
      </c>
      <c r="X15" s="4">
        <v>2012</v>
      </c>
      <c r="Y15" s="4" t="s">
        <v>1690</v>
      </c>
      <c r="Z15" s="4" t="s">
        <v>72</v>
      </c>
      <c r="AA15" s="4">
        <v>44.176250000000003</v>
      </c>
      <c r="AB15" s="4">
        <v>-71.946820000000002</v>
      </c>
      <c r="AC15" s="4"/>
      <c r="AD15" s="4" t="s">
        <v>73</v>
      </c>
      <c r="AE15" s="4" t="s">
        <v>74</v>
      </c>
      <c r="AF15" s="4"/>
      <c r="AG15" s="4"/>
      <c r="AH15" s="4"/>
      <c r="AI15" s="4"/>
      <c r="AJ15" s="4"/>
      <c r="AK15" s="4"/>
      <c r="AL15" s="4"/>
      <c r="AM15" s="4"/>
      <c r="AN15" s="4"/>
      <c r="AO15" s="4" t="s">
        <v>196</v>
      </c>
      <c r="AP15" s="20" t="str">
        <f t="shared" si="0"/>
        <v>12.5</v>
      </c>
      <c r="AQ15" s="4"/>
      <c r="AR15" s="4"/>
      <c r="AS15" s="4"/>
      <c r="AT15" s="4"/>
      <c r="AU15" s="4" t="s">
        <v>82</v>
      </c>
      <c r="AV15" s="20" t="str">
        <f t="shared" si="1"/>
        <v>17</v>
      </c>
      <c r="AW15" s="4"/>
      <c r="AX15" s="4"/>
      <c r="AY15" s="4"/>
      <c r="AZ15" s="4"/>
      <c r="BA15" s="4"/>
      <c r="BB15" s="4"/>
      <c r="BC15" s="4"/>
      <c r="BD15" s="4" t="s">
        <v>1691</v>
      </c>
      <c r="BE15" s="20"/>
      <c r="BF15" s="4"/>
      <c r="BG15" s="4"/>
      <c r="BH15" s="4" t="s">
        <v>83</v>
      </c>
      <c r="BI15" s="4"/>
      <c r="BJ15" s="4"/>
      <c r="BK15" s="4"/>
      <c r="BL15" s="4" t="s">
        <v>433</v>
      </c>
      <c r="BM15" s="20" t="str">
        <f t="shared" si="2"/>
        <v>65</v>
      </c>
      <c r="BN15" s="4" t="s">
        <v>687</v>
      </c>
      <c r="BO15" s="20" t="str">
        <f t="shared" si="3"/>
        <v>127</v>
      </c>
      <c r="BP15" s="4"/>
      <c r="BQ15" s="4" t="s">
        <v>1692</v>
      </c>
      <c r="BR15" s="20" t="str">
        <f t="shared" si="4"/>
        <v>8.25</v>
      </c>
      <c r="BS15" s="21">
        <f t="shared" si="5"/>
        <v>62</v>
      </c>
      <c r="BT15"/>
    </row>
    <row r="16" spans="1:72" s="10" customFormat="1" x14ac:dyDescent="0.2">
      <c r="A16" s="4" t="s">
        <v>63</v>
      </c>
      <c r="B16" s="4" t="s">
        <v>2133</v>
      </c>
      <c r="C16" s="4" t="s">
        <v>1679</v>
      </c>
      <c r="D16" s="4" t="s">
        <v>64</v>
      </c>
      <c r="E16" s="4" t="s">
        <v>65</v>
      </c>
      <c r="F16" s="4" t="s">
        <v>64</v>
      </c>
      <c r="G16" s="4" t="s">
        <v>134</v>
      </c>
      <c r="H16" s="4" t="s">
        <v>67</v>
      </c>
      <c r="I16" s="4" t="s">
        <v>68</v>
      </c>
      <c r="J16" s="4" t="s">
        <v>1590</v>
      </c>
      <c r="K16" s="4" t="s">
        <v>1591</v>
      </c>
      <c r="L16" s="4">
        <v>224</v>
      </c>
      <c r="M16" s="4">
        <v>224</v>
      </c>
      <c r="N16" s="4">
        <v>224</v>
      </c>
      <c r="O16" s="4">
        <v>224</v>
      </c>
      <c r="P16" s="4" t="s">
        <v>1680</v>
      </c>
      <c r="Q16" s="4"/>
      <c r="R16" s="4" t="s">
        <v>1681</v>
      </c>
      <c r="S16" s="4"/>
      <c r="T16" s="4" t="s">
        <v>1682</v>
      </c>
      <c r="U16" s="5">
        <v>41062</v>
      </c>
      <c r="V16" s="4">
        <v>2</v>
      </c>
      <c r="W16" s="4">
        <v>6</v>
      </c>
      <c r="X16" s="4">
        <v>2012</v>
      </c>
      <c r="Y16" s="4" t="s">
        <v>1683</v>
      </c>
      <c r="Z16" s="4" t="s">
        <v>72</v>
      </c>
      <c r="AA16" s="4">
        <v>33.870249999999999</v>
      </c>
      <c r="AB16" s="4">
        <v>-83.288929999999993</v>
      </c>
      <c r="AC16" s="4"/>
      <c r="AD16" s="4" t="s">
        <v>73</v>
      </c>
      <c r="AE16" s="4" t="s">
        <v>74</v>
      </c>
      <c r="AF16" s="4"/>
      <c r="AG16" s="4"/>
      <c r="AH16" s="4"/>
      <c r="AI16" s="4"/>
      <c r="AJ16" s="4"/>
      <c r="AK16" s="4"/>
      <c r="AL16" s="4"/>
      <c r="AM16" s="4"/>
      <c r="AN16" s="4"/>
      <c r="AO16" s="4" t="s">
        <v>76</v>
      </c>
      <c r="AP16" s="20" t="str">
        <f t="shared" si="0"/>
        <v>13</v>
      </c>
      <c r="AQ16" s="4"/>
      <c r="AR16" s="4"/>
      <c r="AS16" s="4"/>
      <c r="AT16" s="4"/>
      <c r="AU16" s="4" t="s">
        <v>653</v>
      </c>
      <c r="AV16" s="20" t="str">
        <f t="shared" si="1"/>
        <v>17.5</v>
      </c>
      <c r="AW16" s="4"/>
      <c r="AX16" s="4"/>
      <c r="AY16" s="4"/>
      <c r="AZ16" s="4"/>
      <c r="BA16" s="4"/>
      <c r="BB16" s="4"/>
      <c r="BC16" s="4"/>
      <c r="BD16" s="4" t="s">
        <v>258</v>
      </c>
      <c r="BE16" s="20"/>
      <c r="BF16" s="4"/>
      <c r="BG16" s="4"/>
      <c r="BH16" s="4" t="s">
        <v>78</v>
      </c>
      <c r="BI16" s="4"/>
      <c r="BJ16" s="4"/>
      <c r="BK16" s="4"/>
      <c r="BL16" s="4" t="s">
        <v>403</v>
      </c>
      <c r="BM16" s="20" t="str">
        <f t="shared" si="2"/>
        <v>67</v>
      </c>
      <c r="BN16" s="4" t="s">
        <v>333</v>
      </c>
      <c r="BO16" s="20" t="str">
        <f t="shared" si="3"/>
        <v>132</v>
      </c>
      <c r="BP16" s="4"/>
      <c r="BQ16" s="4" t="s">
        <v>1380</v>
      </c>
      <c r="BR16" s="20" t="str">
        <f t="shared" si="4"/>
        <v>9.25</v>
      </c>
      <c r="BS16" s="21">
        <f t="shared" si="5"/>
        <v>65</v>
      </c>
      <c r="BT16" s="19"/>
    </row>
    <row r="17" spans="1:72" s="10" customFormat="1" x14ac:dyDescent="0.2">
      <c r="A17" s="7" t="s">
        <v>63</v>
      </c>
      <c r="B17" s="7" t="s">
        <v>2200</v>
      </c>
      <c r="C17" s="7" t="s">
        <v>1201</v>
      </c>
      <c r="D17" s="7" t="s">
        <v>64</v>
      </c>
      <c r="E17" s="7" t="s">
        <v>65</v>
      </c>
      <c r="F17" s="7" t="s">
        <v>64</v>
      </c>
      <c r="G17" s="7" t="s">
        <v>615</v>
      </c>
      <c r="H17" s="7" t="s">
        <v>67</v>
      </c>
      <c r="I17" s="7" t="s">
        <v>68</v>
      </c>
      <c r="J17" s="7" t="s">
        <v>1136</v>
      </c>
      <c r="K17" s="7" t="s">
        <v>1137</v>
      </c>
      <c r="L17" s="7">
        <v>1369</v>
      </c>
      <c r="M17" s="7">
        <v>1369</v>
      </c>
      <c r="N17" s="7">
        <v>4492</v>
      </c>
      <c r="O17" s="7">
        <v>4492</v>
      </c>
      <c r="P17" s="7" t="s">
        <v>1202</v>
      </c>
      <c r="Q17" s="7"/>
      <c r="R17" s="7" t="s">
        <v>1203</v>
      </c>
      <c r="S17" s="7" t="s">
        <v>1204</v>
      </c>
      <c r="T17" s="7" t="s">
        <v>1205</v>
      </c>
      <c r="U17" s="9">
        <v>41075</v>
      </c>
      <c r="V17" s="7">
        <v>15</v>
      </c>
      <c r="W17" s="7">
        <v>6</v>
      </c>
      <c r="X17" s="7">
        <v>2012</v>
      </c>
      <c r="Y17" s="7" t="s">
        <v>1206</v>
      </c>
      <c r="Z17" s="7" t="s">
        <v>72</v>
      </c>
      <c r="AA17" s="7">
        <v>40.158149999999999</v>
      </c>
      <c r="AB17" s="7">
        <v>-111.7032666667</v>
      </c>
      <c r="AC17" s="7"/>
      <c r="AD17" s="7" t="s">
        <v>73</v>
      </c>
      <c r="AE17" s="7" t="s">
        <v>74</v>
      </c>
      <c r="AF17" s="7"/>
      <c r="AG17" s="7"/>
      <c r="AH17" s="7"/>
      <c r="AI17" s="7" t="s">
        <v>75</v>
      </c>
      <c r="AJ17" s="7"/>
      <c r="AK17" s="7"/>
      <c r="AL17" s="7"/>
      <c r="AM17" s="7"/>
      <c r="AN17" s="7"/>
      <c r="AO17" s="7" t="s">
        <v>76</v>
      </c>
      <c r="AP17" s="20" t="str">
        <f t="shared" si="0"/>
        <v>13</v>
      </c>
      <c r="AQ17" s="7"/>
      <c r="AR17" s="7"/>
      <c r="AS17" s="7"/>
      <c r="AT17" s="7"/>
      <c r="AU17" s="7" t="s">
        <v>121</v>
      </c>
      <c r="AV17" s="20" t="str">
        <f t="shared" si="1"/>
        <v>18</v>
      </c>
      <c r="AW17" s="7"/>
      <c r="AX17" s="7"/>
      <c r="AY17" s="7"/>
      <c r="AZ17" s="7"/>
      <c r="BA17" s="7"/>
      <c r="BB17" s="7"/>
      <c r="BC17" s="7"/>
      <c r="BD17" s="7" t="s">
        <v>258</v>
      </c>
      <c r="BE17" s="20"/>
      <c r="BF17" s="7"/>
      <c r="BG17" s="7"/>
      <c r="BH17" s="7" t="s">
        <v>78</v>
      </c>
      <c r="BI17" s="7"/>
      <c r="BJ17" s="7"/>
      <c r="BK17" s="7"/>
      <c r="BL17" s="7" t="s">
        <v>363</v>
      </c>
      <c r="BM17" s="20" t="str">
        <f t="shared" si="2"/>
        <v>72</v>
      </c>
      <c r="BN17" s="7" t="s">
        <v>1207</v>
      </c>
      <c r="BO17" s="20" t="str">
        <f t="shared" si="3"/>
        <v>137</v>
      </c>
      <c r="BP17" s="7"/>
      <c r="BQ17" s="7" t="s">
        <v>1208</v>
      </c>
      <c r="BR17" s="20" t="str">
        <f t="shared" si="4"/>
        <v>7.6</v>
      </c>
      <c r="BS17" s="21">
        <f t="shared" si="5"/>
        <v>65</v>
      </c>
      <c r="BT17"/>
    </row>
    <row r="18" spans="1:72" s="10" customFormat="1" x14ac:dyDescent="0.2">
      <c r="A18" s="4" t="s">
        <v>63</v>
      </c>
      <c r="B18" s="4" t="s">
        <v>2135</v>
      </c>
      <c r="C18" s="4" t="s">
        <v>1766</v>
      </c>
      <c r="D18" s="4" t="s">
        <v>64</v>
      </c>
      <c r="E18" s="4" t="s">
        <v>65</v>
      </c>
      <c r="F18" s="4" t="s">
        <v>64</v>
      </c>
      <c r="G18" s="4" t="s">
        <v>134</v>
      </c>
      <c r="H18" s="4" t="s">
        <v>67</v>
      </c>
      <c r="I18" s="4" t="s">
        <v>68</v>
      </c>
      <c r="J18" s="4" t="s">
        <v>1590</v>
      </c>
      <c r="K18" s="4" t="s">
        <v>1755</v>
      </c>
      <c r="L18" s="4">
        <v>209</v>
      </c>
      <c r="M18" s="4">
        <v>209</v>
      </c>
      <c r="N18" s="4">
        <v>209</v>
      </c>
      <c r="O18" s="4">
        <v>209</v>
      </c>
      <c r="P18" s="4" t="s">
        <v>1767</v>
      </c>
      <c r="Q18" s="4"/>
      <c r="R18" s="4" t="s">
        <v>1768</v>
      </c>
      <c r="S18" s="4"/>
      <c r="T18" s="4" t="s">
        <v>1769</v>
      </c>
      <c r="U18" s="5">
        <v>41067</v>
      </c>
      <c r="V18" s="4">
        <v>7</v>
      </c>
      <c r="W18" s="4">
        <v>6</v>
      </c>
      <c r="X18" s="4">
        <v>2012</v>
      </c>
      <c r="Y18" s="4" t="s">
        <v>1770</v>
      </c>
      <c r="Z18" s="4" t="s">
        <v>72</v>
      </c>
      <c r="AA18" s="4">
        <v>33.885840000000002</v>
      </c>
      <c r="AB18" s="4">
        <v>-83.480230000000006</v>
      </c>
      <c r="AC18" s="4"/>
      <c r="AD18" s="4" t="s">
        <v>73</v>
      </c>
      <c r="AE18" s="4" t="s">
        <v>74</v>
      </c>
      <c r="AF18" s="4"/>
      <c r="AG18" s="4"/>
      <c r="AH18" s="4"/>
      <c r="AI18" s="4"/>
      <c r="AJ18" s="4"/>
      <c r="AK18" s="4"/>
      <c r="AL18" s="4"/>
      <c r="AM18" s="4"/>
      <c r="AN18" s="4"/>
      <c r="AO18" s="4" t="s">
        <v>87</v>
      </c>
      <c r="AP18" s="20" t="str">
        <f t="shared" si="0"/>
        <v>14</v>
      </c>
      <c r="AQ18" s="4"/>
      <c r="AR18" s="4"/>
      <c r="AS18" s="4"/>
      <c r="AT18" s="4"/>
      <c r="AU18" s="4" t="s">
        <v>121</v>
      </c>
      <c r="AV18" s="20" t="str">
        <f t="shared" si="1"/>
        <v>18</v>
      </c>
      <c r="AW18" s="4"/>
      <c r="AX18" s="4"/>
      <c r="AY18" s="4"/>
      <c r="AZ18" s="4"/>
      <c r="BA18" s="4"/>
      <c r="BB18" s="4"/>
      <c r="BC18" s="4"/>
      <c r="BD18" s="4" t="s">
        <v>1771</v>
      </c>
      <c r="BE18" s="20" t="s">
        <v>241</v>
      </c>
      <c r="BF18" s="4"/>
      <c r="BG18" s="4"/>
      <c r="BH18" s="4" t="s">
        <v>78</v>
      </c>
      <c r="BI18" s="4"/>
      <c r="BJ18" s="4"/>
      <c r="BK18" s="4"/>
      <c r="BL18" s="4" t="s">
        <v>363</v>
      </c>
      <c r="BM18" s="20" t="str">
        <f t="shared" si="2"/>
        <v>72</v>
      </c>
      <c r="BN18" s="4" t="s">
        <v>1207</v>
      </c>
      <c r="BO18" s="20" t="str">
        <f t="shared" si="3"/>
        <v>137</v>
      </c>
      <c r="BP18" s="4"/>
      <c r="BQ18" s="4" t="s">
        <v>381</v>
      </c>
      <c r="BR18" s="20" t="str">
        <f t="shared" si="4"/>
        <v>9</v>
      </c>
      <c r="BS18" s="21">
        <f t="shared" si="5"/>
        <v>65</v>
      </c>
      <c r="BT18"/>
    </row>
    <row r="19" spans="1:72" x14ac:dyDescent="0.2">
      <c r="A19" t="s">
        <v>63</v>
      </c>
      <c r="B19" t="s">
        <v>2359</v>
      </c>
      <c r="C19" t="s">
        <v>232</v>
      </c>
      <c r="D19" t="s">
        <v>64</v>
      </c>
      <c r="E19" t="s">
        <v>65</v>
      </c>
      <c r="F19" t="s">
        <v>64</v>
      </c>
      <c r="G19" t="s">
        <v>211</v>
      </c>
      <c r="H19" t="s">
        <v>212</v>
      </c>
      <c r="I19" t="s">
        <v>213</v>
      </c>
      <c r="J19" t="s">
        <v>214</v>
      </c>
      <c r="L19">
        <v>210</v>
      </c>
      <c r="M19">
        <v>210</v>
      </c>
      <c r="N19">
        <v>689</v>
      </c>
      <c r="O19">
        <v>689</v>
      </c>
      <c r="P19" t="s">
        <v>233</v>
      </c>
      <c r="R19" t="s">
        <v>234</v>
      </c>
      <c r="S19" t="s">
        <v>217</v>
      </c>
      <c r="T19" t="s">
        <v>235</v>
      </c>
      <c r="U19" s="2">
        <v>41309</v>
      </c>
      <c r="V19">
        <v>4</v>
      </c>
      <c r="W19">
        <v>2</v>
      </c>
      <c r="X19">
        <v>2013</v>
      </c>
      <c r="Y19">
        <f>-37.3161833333/-59.1023166667</f>
        <v>0.63138275177502556</v>
      </c>
      <c r="Z19" t="s">
        <v>72</v>
      </c>
      <c r="AA19">
        <v>-37.316183333300003</v>
      </c>
      <c r="AB19">
        <v>-59.102316666699998</v>
      </c>
      <c r="AD19" t="s">
        <v>73</v>
      </c>
      <c r="AE19" t="s">
        <v>74</v>
      </c>
      <c r="AI19" t="s">
        <v>226</v>
      </c>
      <c r="AO19" t="s">
        <v>236</v>
      </c>
      <c r="AP19" s="20" t="str">
        <f t="shared" si="0"/>
        <v>11</v>
      </c>
      <c r="AU19" t="s">
        <v>82</v>
      </c>
      <c r="AV19" s="20" t="str">
        <f t="shared" si="1"/>
        <v>17</v>
      </c>
      <c r="BD19" t="s">
        <v>237</v>
      </c>
      <c r="BH19" t="s">
        <v>83</v>
      </c>
      <c r="BL19" t="s">
        <v>238</v>
      </c>
      <c r="BM19" s="20" t="str">
        <f t="shared" si="2"/>
        <v>59</v>
      </c>
      <c r="BN19" t="s">
        <v>230</v>
      </c>
      <c r="BO19" s="20" t="str">
        <f t="shared" si="3"/>
        <v>124</v>
      </c>
      <c r="BQ19" t="s">
        <v>239</v>
      </c>
      <c r="BR19" s="20" t="str">
        <f t="shared" si="4"/>
        <v>5.75</v>
      </c>
      <c r="BS19" s="21">
        <f t="shared" si="5"/>
        <v>65</v>
      </c>
      <c r="BT19" s="10"/>
    </row>
    <row r="20" spans="1:72" s="10" customFormat="1" x14ac:dyDescent="0.2">
      <c r="A20" s="4" t="s">
        <v>63</v>
      </c>
      <c r="B20" s="4" t="s">
        <v>2145</v>
      </c>
      <c r="C20" s="4" t="s">
        <v>1805</v>
      </c>
      <c r="D20" s="4" t="s">
        <v>64</v>
      </c>
      <c r="E20" s="4" t="s">
        <v>65</v>
      </c>
      <c r="F20" s="4" t="s">
        <v>64</v>
      </c>
      <c r="G20" s="4" t="s">
        <v>134</v>
      </c>
      <c r="H20" s="4" t="s">
        <v>67</v>
      </c>
      <c r="I20" s="4" t="s">
        <v>68</v>
      </c>
      <c r="J20" s="4" t="s">
        <v>1778</v>
      </c>
      <c r="K20" s="4" t="s">
        <v>1806</v>
      </c>
      <c r="L20" s="4">
        <v>77</v>
      </c>
      <c r="M20" s="4">
        <v>77</v>
      </c>
      <c r="N20" s="4">
        <v>77</v>
      </c>
      <c r="O20" s="4">
        <v>77</v>
      </c>
      <c r="P20" s="4" t="s">
        <v>459</v>
      </c>
      <c r="Q20" s="4"/>
      <c r="R20" s="4" t="s">
        <v>1807</v>
      </c>
      <c r="S20" s="4"/>
      <c r="T20" s="4" t="s">
        <v>1808</v>
      </c>
      <c r="U20" s="5">
        <v>41129</v>
      </c>
      <c r="V20" s="4">
        <v>8</v>
      </c>
      <c r="W20" s="4">
        <v>8</v>
      </c>
      <c r="X20" s="4">
        <v>2012</v>
      </c>
      <c r="Y20" s="4" t="s">
        <v>1809</v>
      </c>
      <c r="Z20" s="4" t="s">
        <v>72</v>
      </c>
      <c r="AA20" s="4">
        <v>37.553539999999998</v>
      </c>
      <c r="AB20" s="4">
        <v>-77.474019999999996</v>
      </c>
      <c r="AC20" s="4"/>
      <c r="AD20" s="4" t="s">
        <v>73</v>
      </c>
      <c r="AE20" s="4" t="s">
        <v>74</v>
      </c>
      <c r="AF20" s="4"/>
      <c r="AG20" s="4"/>
      <c r="AH20" s="4"/>
      <c r="AI20" s="4"/>
      <c r="AJ20" s="4"/>
      <c r="AK20" s="4"/>
      <c r="AL20" s="4"/>
      <c r="AM20" s="4"/>
      <c r="AN20" s="4"/>
      <c r="AO20" s="4" t="s">
        <v>76</v>
      </c>
      <c r="AP20" s="20" t="str">
        <f t="shared" si="0"/>
        <v>13</v>
      </c>
      <c r="AQ20" s="4"/>
      <c r="AR20" s="4"/>
      <c r="AS20" s="4"/>
      <c r="AT20" s="4"/>
      <c r="AU20" s="4" t="s">
        <v>653</v>
      </c>
      <c r="AV20" s="20" t="str">
        <f t="shared" si="1"/>
        <v>17.5</v>
      </c>
      <c r="AW20" s="4"/>
      <c r="AX20" s="4"/>
      <c r="AY20" s="4"/>
      <c r="AZ20" s="4"/>
      <c r="BA20" s="4"/>
      <c r="BB20" s="4"/>
      <c r="BC20" s="4"/>
      <c r="BD20" s="4" t="s">
        <v>1810</v>
      </c>
      <c r="BE20" s="20"/>
      <c r="BF20" s="4"/>
      <c r="BG20" s="4"/>
      <c r="BH20" s="4" t="s">
        <v>83</v>
      </c>
      <c r="BI20" s="4"/>
      <c r="BJ20" s="4"/>
      <c r="BK20" s="4"/>
      <c r="BL20" s="4" t="s">
        <v>396</v>
      </c>
      <c r="BM20" s="20" t="str">
        <f t="shared" si="2"/>
        <v>62</v>
      </c>
      <c r="BN20" s="4" t="s">
        <v>1811</v>
      </c>
      <c r="BO20" s="20" t="str">
        <f t="shared" si="3"/>
        <v>128</v>
      </c>
      <c r="BP20" s="4"/>
      <c r="BQ20" s="4" t="s">
        <v>1565</v>
      </c>
      <c r="BR20" s="20" t="str">
        <f t="shared" si="4"/>
        <v>7.75</v>
      </c>
      <c r="BS20" s="21">
        <f t="shared" si="5"/>
        <v>66</v>
      </c>
      <c r="BT20"/>
    </row>
    <row r="21" spans="1:72" x14ac:dyDescent="0.2">
      <c r="A21" s="4" t="s">
        <v>63</v>
      </c>
      <c r="B21" s="4" t="s">
        <v>2147</v>
      </c>
      <c r="C21" s="4" t="s">
        <v>1812</v>
      </c>
      <c r="D21" s="4" t="s">
        <v>64</v>
      </c>
      <c r="E21" s="4" t="s">
        <v>65</v>
      </c>
      <c r="F21" s="4" t="s">
        <v>64</v>
      </c>
      <c r="G21" s="4" t="s">
        <v>134</v>
      </c>
      <c r="H21" s="4" t="s">
        <v>67</v>
      </c>
      <c r="I21" s="4" t="s">
        <v>68</v>
      </c>
      <c r="J21" s="4" t="s">
        <v>1778</v>
      </c>
      <c r="K21" s="4" t="s">
        <v>1806</v>
      </c>
      <c r="L21" s="4">
        <v>73</v>
      </c>
      <c r="M21" s="4">
        <v>73</v>
      </c>
      <c r="N21" s="4">
        <v>73</v>
      </c>
      <c r="O21" s="4">
        <v>73</v>
      </c>
      <c r="P21" s="4" t="s">
        <v>1367</v>
      </c>
      <c r="Q21" s="4"/>
      <c r="R21" s="4" t="s">
        <v>1813</v>
      </c>
      <c r="S21" s="4"/>
      <c r="T21" s="4" t="s">
        <v>1814</v>
      </c>
      <c r="U21" s="5">
        <v>41135</v>
      </c>
      <c r="V21" s="4">
        <v>14</v>
      </c>
      <c r="W21" s="4">
        <v>8</v>
      </c>
      <c r="X21" s="4">
        <v>2012</v>
      </c>
      <c r="Y21" s="4" t="s">
        <v>1815</v>
      </c>
      <c r="Z21" s="4" t="s">
        <v>72</v>
      </c>
      <c r="AA21" s="4">
        <v>37.558109999999999</v>
      </c>
      <c r="AB21" s="4">
        <v>-77.480729999999994</v>
      </c>
      <c r="AC21" s="4"/>
      <c r="AD21" s="4" t="s">
        <v>73</v>
      </c>
      <c r="AE21" s="4" t="s">
        <v>74</v>
      </c>
      <c r="AF21" s="4"/>
      <c r="AG21" s="4"/>
      <c r="AH21" s="4"/>
      <c r="AI21" s="4"/>
      <c r="AJ21" s="4"/>
      <c r="AK21" s="4"/>
      <c r="AL21" s="4"/>
      <c r="AM21" s="4"/>
      <c r="AN21" s="4"/>
      <c r="AO21" s="4" t="s">
        <v>207</v>
      </c>
      <c r="AP21" s="20" t="str">
        <f t="shared" si="0"/>
        <v>13.5</v>
      </c>
      <c r="AQ21" s="4"/>
      <c r="AR21" s="4"/>
      <c r="AS21" s="4"/>
      <c r="AT21" s="4"/>
      <c r="AU21" s="4" t="s">
        <v>130</v>
      </c>
      <c r="AV21" s="20" t="str">
        <f t="shared" si="1"/>
        <v>19</v>
      </c>
      <c r="AW21" s="4"/>
      <c r="AX21" s="4"/>
      <c r="AY21" s="4"/>
      <c r="AZ21" s="4"/>
      <c r="BA21" s="4"/>
      <c r="BB21" s="4"/>
      <c r="BC21" s="4"/>
      <c r="BD21" s="4" t="s">
        <v>1816</v>
      </c>
      <c r="BF21" s="4"/>
      <c r="BG21" s="4"/>
      <c r="BH21" s="4" t="s">
        <v>83</v>
      </c>
      <c r="BI21" s="4"/>
      <c r="BJ21" s="4"/>
      <c r="BK21" s="4"/>
      <c r="BL21" s="4" t="s">
        <v>79</v>
      </c>
      <c r="BM21" s="20" t="str">
        <f t="shared" si="2"/>
        <v>85</v>
      </c>
      <c r="BN21" s="4" t="s">
        <v>441</v>
      </c>
      <c r="BO21" s="20" t="str">
        <f t="shared" si="3"/>
        <v>151</v>
      </c>
      <c r="BP21" s="4"/>
      <c r="BQ21" s="4" t="s">
        <v>308</v>
      </c>
      <c r="BR21" s="20" t="str">
        <f t="shared" si="4"/>
        <v>10.75</v>
      </c>
      <c r="BS21" s="21">
        <f t="shared" si="5"/>
        <v>66</v>
      </c>
    </row>
    <row r="22" spans="1:72" s="10" customFormat="1" x14ac:dyDescent="0.2">
      <c r="A22" s="13" t="s">
        <v>63</v>
      </c>
      <c r="B22" s="13"/>
      <c r="C22" s="13" t="s">
        <v>1359</v>
      </c>
      <c r="D22" s="13" t="s">
        <v>64</v>
      </c>
      <c r="E22" s="13" t="s">
        <v>65</v>
      </c>
      <c r="F22" s="13" t="s">
        <v>64</v>
      </c>
      <c r="G22" s="13" t="s">
        <v>211</v>
      </c>
      <c r="H22" s="13" t="s">
        <v>212</v>
      </c>
      <c r="I22" s="13" t="s">
        <v>701</v>
      </c>
      <c r="J22" s="13" t="s">
        <v>1342</v>
      </c>
      <c r="K22" s="13"/>
      <c r="L22" s="13">
        <v>33</v>
      </c>
      <c r="M22" s="13">
        <v>33</v>
      </c>
      <c r="N22" s="13">
        <v>107</v>
      </c>
      <c r="O22" s="13">
        <v>107</v>
      </c>
      <c r="P22" s="13" t="s">
        <v>1360</v>
      </c>
      <c r="Q22" s="13"/>
      <c r="R22" s="13" t="s">
        <v>1344</v>
      </c>
      <c r="S22" s="13"/>
      <c r="T22" s="13" t="s">
        <v>1345</v>
      </c>
      <c r="U22" s="14">
        <v>41242</v>
      </c>
      <c r="V22" s="13">
        <v>29</v>
      </c>
      <c r="W22" s="13">
        <v>11</v>
      </c>
      <c r="X22" s="13">
        <v>2012</v>
      </c>
      <c r="Y22" s="13">
        <f>-0.85665/-80.1646</f>
        <v>1.0686138270508429E-2</v>
      </c>
      <c r="Z22" s="13" t="s">
        <v>72</v>
      </c>
      <c r="AA22" s="13">
        <v>-0.85665000000000002</v>
      </c>
      <c r="AB22" s="13">
        <v>-80.164599999999993</v>
      </c>
      <c r="AC22" s="13"/>
      <c r="AD22" s="13" t="s">
        <v>96</v>
      </c>
      <c r="AE22" s="13" t="s">
        <v>74</v>
      </c>
      <c r="AF22" s="13"/>
      <c r="AG22" s="13"/>
      <c r="AH22" s="13"/>
      <c r="AI22" s="13" t="s">
        <v>226</v>
      </c>
      <c r="AJ22" s="13"/>
      <c r="AK22" s="13"/>
      <c r="AL22" s="13"/>
      <c r="AM22" s="13"/>
      <c r="AN22" s="13"/>
      <c r="AO22" s="13" t="s">
        <v>77</v>
      </c>
      <c r="AP22" s="20" t="str">
        <f t="shared" si="0"/>
        <v>12</v>
      </c>
      <c r="AQ22" s="13"/>
      <c r="AR22" s="13"/>
      <c r="AS22" s="13"/>
      <c r="AT22" s="13"/>
      <c r="AU22" s="13" t="s">
        <v>344</v>
      </c>
      <c r="AV22" s="20" t="str">
        <f t="shared" si="1"/>
        <v>16</v>
      </c>
      <c r="AW22" s="13"/>
      <c r="AX22" s="13"/>
      <c r="AY22" s="13"/>
      <c r="AZ22" s="13"/>
      <c r="BA22" s="13"/>
      <c r="BB22" s="13"/>
      <c r="BC22" s="13"/>
      <c r="BD22" s="13" t="s">
        <v>258</v>
      </c>
      <c r="BE22" s="20"/>
      <c r="BF22" s="13"/>
      <c r="BG22" s="13"/>
      <c r="BH22" s="13" t="s">
        <v>78</v>
      </c>
      <c r="BI22" s="13"/>
      <c r="BJ22" s="13"/>
      <c r="BK22" s="13"/>
      <c r="BL22" s="13" t="s">
        <v>253</v>
      </c>
      <c r="BM22" s="20" t="str">
        <f t="shared" si="2"/>
        <v>70</v>
      </c>
      <c r="BN22" s="13" t="s">
        <v>1361</v>
      </c>
      <c r="BO22" s="20" t="str">
        <f t="shared" si="3"/>
        <v>138</v>
      </c>
      <c r="BP22" s="13"/>
      <c r="BQ22" s="13" t="s">
        <v>275</v>
      </c>
      <c r="BR22" s="20" t="str">
        <f t="shared" si="4"/>
        <v>11</v>
      </c>
      <c r="BS22" s="21">
        <f t="shared" si="5"/>
        <v>68</v>
      </c>
      <c r="BT22"/>
    </row>
    <row r="23" spans="1:72" s="10" customFormat="1" x14ac:dyDescent="0.2">
      <c r="A23" s="4" t="s">
        <v>63</v>
      </c>
      <c r="B23" s="4" t="s">
        <v>2128</v>
      </c>
      <c r="C23" s="4" t="s">
        <v>1631</v>
      </c>
      <c r="D23" s="4" t="s">
        <v>64</v>
      </c>
      <c r="E23" s="4" t="s">
        <v>65</v>
      </c>
      <c r="F23" s="4" t="s">
        <v>64</v>
      </c>
      <c r="G23" s="4" t="s">
        <v>134</v>
      </c>
      <c r="H23" s="4" t="s">
        <v>67</v>
      </c>
      <c r="I23" s="4" t="s">
        <v>68</v>
      </c>
      <c r="J23" s="4" t="s">
        <v>183</v>
      </c>
      <c r="K23" s="4" t="s">
        <v>1579</v>
      </c>
      <c r="L23" s="4">
        <v>37</v>
      </c>
      <c r="M23" s="4">
        <v>37</v>
      </c>
      <c r="N23" s="4">
        <v>37</v>
      </c>
      <c r="O23" s="4">
        <v>37</v>
      </c>
      <c r="P23" s="4" t="s">
        <v>185</v>
      </c>
      <c r="Q23" s="4"/>
      <c r="R23" s="4" t="s">
        <v>1632</v>
      </c>
      <c r="S23" s="4"/>
      <c r="T23" s="4" t="s">
        <v>1633</v>
      </c>
      <c r="U23" s="5">
        <v>41056</v>
      </c>
      <c r="V23" s="4">
        <v>27</v>
      </c>
      <c r="W23" s="4">
        <v>5</v>
      </c>
      <c r="X23" s="4">
        <v>2012</v>
      </c>
      <c r="Y23" s="4" t="s">
        <v>1634</v>
      </c>
      <c r="Z23" s="4" t="s">
        <v>72</v>
      </c>
      <c r="AA23" s="4">
        <v>29.715073</v>
      </c>
      <c r="AB23" s="4">
        <v>-82.353544999999997</v>
      </c>
      <c r="AC23" s="4"/>
      <c r="AD23" s="4" t="s">
        <v>73</v>
      </c>
      <c r="AE23" s="4" t="s">
        <v>74</v>
      </c>
      <c r="AF23" s="4"/>
      <c r="AG23" s="4"/>
      <c r="AH23" s="4"/>
      <c r="AI23" s="4"/>
      <c r="AJ23" s="4"/>
      <c r="AK23" s="4"/>
      <c r="AL23" s="4"/>
      <c r="AM23" s="4"/>
      <c r="AN23" s="4"/>
      <c r="AO23" s="4" t="s">
        <v>76</v>
      </c>
      <c r="AP23" s="20" t="str">
        <f t="shared" si="0"/>
        <v>13</v>
      </c>
      <c r="AQ23" s="4"/>
      <c r="AR23" s="4"/>
      <c r="AS23" s="4"/>
      <c r="AT23" s="4"/>
      <c r="AU23" s="4" t="s">
        <v>130</v>
      </c>
      <c r="AV23" s="20" t="str">
        <f t="shared" si="1"/>
        <v>19</v>
      </c>
      <c r="AW23" s="4"/>
      <c r="AX23" s="4"/>
      <c r="AY23" s="4"/>
      <c r="AZ23" s="4"/>
      <c r="BA23" s="4"/>
      <c r="BB23" s="4"/>
      <c r="BC23" s="4"/>
      <c r="BD23" s="4" t="s">
        <v>258</v>
      </c>
      <c r="BE23" s="20"/>
      <c r="BF23" s="4"/>
      <c r="BG23" s="4"/>
      <c r="BH23" s="4" t="s">
        <v>78</v>
      </c>
      <c r="BI23" s="4"/>
      <c r="BJ23" s="4"/>
      <c r="BK23" s="4"/>
      <c r="BL23" s="4" t="s">
        <v>208</v>
      </c>
      <c r="BM23" s="20" t="str">
        <f t="shared" si="2"/>
        <v>80</v>
      </c>
      <c r="BN23" s="4" t="s">
        <v>380</v>
      </c>
      <c r="BO23" s="20" t="str">
        <f t="shared" si="3"/>
        <v>148</v>
      </c>
      <c r="BP23" s="4"/>
      <c r="BQ23" s="4" t="s">
        <v>1635</v>
      </c>
      <c r="BR23" s="20" t="str">
        <f t="shared" si="4"/>
        <v>11.13</v>
      </c>
      <c r="BS23" s="21">
        <f t="shared" si="5"/>
        <v>68</v>
      </c>
      <c r="BT23" s="19"/>
    </row>
    <row r="24" spans="1:72" x14ac:dyDescent="0.2">
      <c r="A24" s="13" t="s">
        <v>63</v>
      </c>
      <c r="B24" s="13"/>
      <c r="C24" s="13" t="s">
        <v>1437</v>
      </c>
      <c r="D24" s="13" t="s">
        <v>64</v>
      </c>
      <c r="E24" s="13" t="s">
        <v>65</v>
      </c>
      <c r="F24" s="13" t="s">
        <v>64</v>
      </c>
      <c r="G24" s="13" t="s">
        <v>211</v>
      </c>
      <c r="H24" s="13" t="s">
        <v>212</v>
      </c>
      <c r="I24" s="13" t="s">
        <v>701</v>
      </c>
      <c r="J24" s="13" t="s">
        <v>702</v>
      </c>
      <c r="K24" s="13"/>
      <c r="L24" s="13">
        <v>1832</v>
      </c>
      <c r="M24" s="13">
        <v>1832</v>
      </c>
      <c r="N24" s="13">
        <v>6009</v>
      </c>
      <c r="O24" s="13">
        <v>6009</v>
      </c>
      <c r="P24" s="13" t="s">
        <v>1428</v>
      </c>
      <c r="Q24" s="13"/>
      <c r="R24" s="13" t="s">
        <v>1429</v>
      </c>
      <c r="S24" s="13"/>
      <c r="T24" s="13" t="s">
        <v>1430</v>
      </c>
      <c r="U24" s="14">
        <v>41249</v>
      </c>
      <c r="V24" s="13">
        <v>6</v>
      </c>
      <c r="W24" s="13">
        <v>12</v>
      </c>
      <c r="X24" s="13">
        <v>2012</v>
      </c>
      <c r="Y24" s="13" t="s">
        <v>1431</v>
      </c>
      <c r="Z24" s="13" t="s">
        <v>72</v>
      </c>
      <c r="AA24" s="13">
        <v>3.6933333300000003E-2</v>
      </c>
      <c r="AB24" s="13">
        <v>-78.6967666667</v>
      </c>
      <c r="AC24" s="13"/>
      <c r="AD24" s="13" t="s">
        <v>96</v>
      </c>
      <c r="AE24" s="13" t="s">
        <v>74</v>
      </c>
      <c r="AF24" s="13"/>
      <c r="AG24" s="13"/>
      <c r="AH24" s="13"/>
      <c r="AI24" s="13" t="s">
        <v>226</v>
      </c>
      <c r="AJ24" s="13"/>
      <c r="AK24" s="13"/>
      <c r="AL24" s="13"/>
      <c r="AM24" s="13"/>
      <c r="AN24" s="13"/>
      <c r="AO24" s="13" t="s">
        <v>227</v>
      </c>
      <c r="AP24" s="20" t="str">
        <f t="shared" si="0"/>
        <v>10</v>
      </c>
      <c r="AQ24" s="13"/>
      <c r="AR24" s="13"/>
      <c r="AS24" s="13"/>
      <c r="AT24" s="13"/>
      <c r="AU24" s="13" t="s">
        <v>344</v>
      </c>
      <c r="AV24" s="20" t="str">
        <f t="shared" si="1"/>
        <v>16</v>
      </c>
      <c r="AW24" s="13"/>
      <c r="AX24" s="13"/>
      <c r="AY24" s="13"/>
      <c r="AZ24" s="13"/>
      <c r="BA24" s="13"/>
      <c r="BB24" s="13"/>
      <c r="BC24" s="13"/>
      <c r="BD24" s="13" t="s">
        <v>1438</v>
      </c>
      <c r="BF24" s="13"/>
      <c r="BG24" s="13"/>
      <c r="BH24" s="13" t="s">
        <v>83</v>
      </c>
      <c r="BI24" s="13"/>
      <c r="BJ24" s="13"/>
      <c r="BK24" s="13"/>
      <c r="BL24" s="13" t="s">
        <v>1439</v>
      </c>
      <c r="BM24" s="20" t="str">
        <f t="shared" si="2"/>
        <v>57</v>
      </c>
      <c r="BN24" s="13" t="s">
        <v>831</v>
      </c>
      <c r="BO24" s="20" t="str">
        <f t="shared" si="3"/>
        <v>125</v>
      </c>
      <c r="BP24" s="13"/>
      <c r="BQ24" s="13" t="s">
        <v>1440</v>
      </c>
      <c r="BR24" s="20" t="str">
        <f t="shared" si="4"/>
        <v>4</v>
      </c>
      <c r="BS24" s="21">
        <f t="shared" si="5"/>
        <v>68</v>
      </c>
    </row>
    <row r="25" spans="1:72" s="10" customFormat="1" x14ac:dyDescent="0.2">
      <c r="A25" s="13" t="s">
        <v>63</v>
      </c>
      <c r="B25" s="13"/>
      <c r="C25" s="13" t="s">
        <v>1336</v>
      </c>
      <c r="D25" s="13" t="s">
        <v>64</v>
      </c>
      <c r="E25" s="13" t="s">
        <v>65</v>
      </c>
      <c r="F25" s="13" t="s">
        <v>64</v>
      </c>
      <c r="G25" s="13" t="s">
        <v>211</v>
      </c>
      <c r="H25" s="13" t="s">
        <v>212</v>
      </c>
      <c r="I25" s="13" t="s">
        <v>701</v>
      </c>
      <c r="J25" s="13" t="s">
        <v>734</v>
      </c>
      <c r="K25" s="13"/>
      <c r="L25" s="13">
        <v>2927</v>
      </c>
      <c r="M25" s="13">
        <v>2927</v>
      </c>
      <c r="N25" s="13">
        <v>9602</v>
      </c>
      <c r="O25" s="13">
        <v>9602</v>
      </c>
      <c r="P25" s="13" t="s">
        <v>1337</v>
      </c>
      <c r="Q25" s="13"/>
      <c r="R25" s="13" t="s">
        <v>1338</v>
      </c>
      <c r="S25" s="13"/>
      <c r="T25" s="13" t="s">
        <v>1339</v>
      </c>
      <c r="U25" s="14">
        <v>41230</v>
      </c>
      <c r="V25" s="13">
        <v>17</v>
      </c>
      <c r="W25" s="13">
        <v>11</v>
      </c>
      <c r="X25" s="13">
        <v>2012</v>
      </c>
      <c r="Y25" s="13">
        <f>-0.8366333333/-78.6632</f>
        <v>1.0635638180241842E-2</v>
      </c>
      <c r="Z25" s="13" t="s">
        <v>72</v>
      </c>
      <c r="AA25" s="13">
        <v>-0.8366333333</v>
      </c>
      <c r="AB25" s="13">
        <v>-78.663200000000003</v>
      </c>
      <c r="AC25" s="13"/>
      <c r="AD25" s="13" t="s">
        <v>96</v>
      </c>
      <c r="AE25" s="13" t="s">
        <v>74</v>
      </c>
      <c r="AF25" s="13"/>
      <c r="AG25" s="13"/>
      <c r="AH25" s="13"/>
      <c r="AI25" s="13" t="s">
        <v>226</v>
      </c>
      <c r="AJ25" s="13"/>
      <c r="AK25" s="13"/>
      <c r="AL25" s="13"/>
      <c r="AM25" s="13"/>
      <c r="AN25" s="13"/>
      <c r="AO25" s="13" t="s">
        <v>77</v>
      </c>
      <c r="AP25" s="20" t="str">
        <f t="shared" si="0"/>
        <v>12</v>
      </c>
      <c r="AQ25" s="13"/>
      <c r="AR25" s="13"/>
      <c r="AS25" s="13"/>
      <c r="AT25" s="13"/>
      <c r="AU25" s="13" t="s">
        <v>344</v>
      </c>
      <c r="AV25" s="20" t="str">
        <f t="shared" si="1"/>
        <v>16</v>
      </c>
      <c r="AW25" s="13"/>
      <c r="AX25" s="13"/>
      <c r="AY25" s="13"/>
      <c r="AZ25" s="13"/>
      <c r="BA25" s="13"/>
      <c r="BB25" s="13"/>
      <c r="BC25" s="13"/>
      <c r="BD25" s="13" t="s">
        <v>1340</v>
      </c>
      <c r="BE25" s="20"/>
      <c r="BF25" s="13"/>
      <c r="BG25" s="13"/>
      <c r="BH25" s="13" t="s">
        <v>83</v>
      </c>
      <c r="BI25" s="13"/>
      <c r="BJ25" s="13"/>
      <c r="BK25" s="13"/>
      <c r="BL25" s="13" t="s">
        <v>403</v>
      </c>
      <c r="BM25" s="20" t="str">
        <f t="shared" si="2"/>
        <v>67</v>
      </c>
      <c r="BN25" s="13" t="s">
        <v>674</v>
      </c>
      <c r="BO25" s="20" t="str">
        <f t="shared" si="3"/>
        <v>135</v>
      </c>
      <c r="BP25" s="13"/>
      <c r="BQ25" s="13" t="s">
        <v>231</v>
      </c>
      <c r="BR25" s="20" t="str">
        <f t="shared" si="4"/>
        <v>6.5</v>
      </c>
      <c r="BS25" s="21">
        <f t="shared" si="5"/>
        <v>68</v>
      </c>
      <c r="BT25"/>
    </row>
    <row r="26" spans="1:72" s="10" customFormat="1" x14ac:dyDescent="0.2">
      <c r="A26" s="4" t="s">
        <v>63</v>
      </c>
      <c r="B26" s="4" t="s">
        <v>2118</v>
      </c>
      <c r="C26" s="4" t="s">
        <v>1746</v>
      </c>
      <c r="D26" s="4" t="s">
        <v>64</v>
      </c>
      <c r="E26" s="4" t="s">
        <v>65</v>
      </c>
      <c r="F26" s="4" t="s">
        <v>64</v>
      </c>
      <c r="G26" s="4" t="s">
        <v>134</v>
      </c>
      <c r="H26" s="4" t="s">
        <v>67</v>
      </c>
      <c r="I26" s="4" t="s">
        <v>68</v>
      </c>
      <c r="J26" s="4" t="s">
        <v>183</v>
      </c>
      <c r="K26" s="4" t="s">
        <v>184</v>
      </c>
      <c r="L26" s="4">
        <v>16</v>
      </c>
      <c r="M26" s="4">
        <v>16</v>
      </c>
      <c r="N26" s="4">
        <v>16</v>
      </c>
      <c r="O26" s="4">
        <v>16</v>
      </c>
      <c r="P26" s="4" t="s">
        <v>310</v>
      </c>
      <c r="Q26" s="4"/>
      <c r="R26" s="4" t="s">
        <v>1744</v>
      </c>
      <c r="S26" s="4"/>
      <c r="T26" s="4" t="s">
        <v>1600</v>
      </c>
      <c r="U26" s="5">
        <v>41054</v>
      </c>
      <c r="V26" s="4">
        <v>25</v>
      </c>
      <c r="W26" s="4">
        <v>5</v>
      </c>
      <c r="X26" s="4">
        <v>2012</v>
      </c>
      <c r="Y26" s="4" t="s">
        <v>1745</v>
      </c>
      <c r="Z26" s="4" t="s">
        <v>72</v>
      </c>
      <c r="AA26" s="4">
        <v>29.100660000000001</v>
      </c>
      <c r="AB26" s="4">
        <v>-82.141919999999999</v>
      </c>
      <c r="AC26" s="4"/>
      <c r="AD26" s="4" t="s">
        <v>73</v>
      </c>
      <c r="AE26" s="4" t="s">
        <v>74</v>
      </c>
      <c r="AF26" s="4"/>
      <c r="AG26" s="4"/>
      <c r="AH26" s="4"/>
      <c r="AI26" s="4" t="s">
        <v>226</v>
      </c>
      <c r="AJ26" s="4"/>
      <c r="AK26" s="4"/>
      <c r="AL26" s="4"/>
      <c r="AM26" s="4"/>
      <c r="AN26" s="4"/>
      <c r="AO26" s="4" t="s">
        <v>77</v>
      </c>
      <c r="AP26" s="20" t="str">
        <f t="shared" si="0"/>
        <v>12</v>
      </c>
      <c r="AQ26" s="4"/>
      <c r="AR26" s="4"/>
      <c r="AS26" s="4"/>
      <c r="AT26" s="4"/>
      <c r="AU26" s="4" t="s">
        <v>121</v>
      </c>
      <c r="AV26" s="20" t="str">
        <f t="shared" si="1"/>
        <v>18</v>
      </c>
      <c r="AW26" s="4"/>
      <c r="AX26" s="4"/>
      <c r="AY26" s="4"/>
      <c r="AZ26" s="4"/>
      <c r="BA26" s="4"/>
      <c r="BB26" s="4"/>
      <c r="BC26" s="4"/>
      <c r="BD26" s="4" t="s">
        <v>1747</v>
      </c>
      <c r="BE26" s="20"/>
      <c r="BF26" s="4"/>
      <c r="BG26" s="4"/>
      <c r="BH26" s="4" t="s">
        <v>83</v>
      </c>
      <c r="BI26" s="4"/>
      <c r="BJ26" s="4"/>
      <c r="BK26" s="4"/>
      <c r="BL26" s="4" t="s">
        <v>253</v>
      </c>
      <c r="BM26" s="20" t="str">
        <f t="shared" si="2"/>
        <v>70</v>
      </c>
      <c r="BN26" s="4" t="s">
        <v>1361</v>
      </c>
      <c r="BO26" s="20" t="str">
        <f t="shared" si="3"/>
        <v>138</v>
      </c>
      <c r="BP26" s="4"/>
      <c r="BQ26" s="4" t="s">
        <v>801</v>
      </c>
      <c r="BR26" s="20" t="str">
        <f t="shared" si="4"/>
        <v>9.5</v>
      </c>
      <c r="BS26" s="21">
        <f t="shared" si="5"/>
        <v>68</v>
      </c>
      <c r="BT26"/>
    </row>
    <row r="27" spans="1:72" x14ac:dyDescent="0.2">
      <c r="A27" t="s">
        <v>63</v>
      </c>
      <c r="B27" s="20" t="s">
        <v>2360</v>
      </c>
      <c r="C27" t="s">
        <v>413</v>
      </c>
      <c r="D27" t="s">
        <v>64</v>
      </c>
      <c r="E27" t="s">
        <v>65</v>
      </c>
      <c r="F27" t="s">
        <v>64</v>
      </c>
      <c r="G27" t="s">
        <v>211</v>
      </c>
      <c r="H27" t="s">
        <v>212</v>
      </c>
      <c r="I27" t="s">
        <v>383</v>
      </c>
      <c r="J27" t="s">
        <v>384</v>
      </c>
      <c r="L27">
        <v>1252</v>
      </c>
      <c r="M27">
        <v>1252</v>
      </c>
      <c r="N27">
        <v>4106</v>
      </c>
      <c r="O27">
        <v>4106</v>
      </c>
      <c r="P27" t="s">
        <v>414</v>
      </c>
      <c r="R27" t="s">
        <v>386</v>
      </c>
      <c r="S27" t="s">
        <v>266</v>
      </c>
      <c r="T27" t="s">
        <v>415</v>
      </c>
      <c r="U27" s="2">
        <v>41539</v>
      </c>
      <c r="V27">
        <v>22</v>
      </c>
      <c r="W27">
        <v>9</v>
      </c>
      <c r="X27">
        <v>2013</v>
      </c>
      <c r="Y27">
        <f>-15.636/-47.9175</f>
        <v>0.3263108467678823</v>
      </c>
      <c r="Z27" t="s">
        <v>72</v>
      </c>
      <c r="AA27">
        <v>-15.635999999999999</v>
      </c>
      <c r="AB27">
        <v>-47.917499999999997</v>
      </c>
      <c r="AD27" t="s">
        <v>73</v>
      </c>
      <c r="AE27" t="s">
        <v>74</v>
      </c>
      <c r="AI27" t="s">
        <v>226</v>
      </c>
      <c r="AO27" t="s">
        <v>77</v>
      </c>
      <c r="AP27" s="20" t="str">
        <f t="shared" si="0"/>
        <v>12</v>
      </c>
      <c r="AU27" t="s">
        <v>82</v>
      </c>
      <c r="AV27" s="20" t="str">
        <f t="shared" si="1"/>
        <v>17</v>
      </c>
      <c r="BD27" t="s">
        <v>416</v>
      </c>
      <c r="BH27" t="s">
        <v>78</v>
      </c>
      <c r="BL27" t="s">
        <v>363</v>
      </c>
      <c r="BM27" s="20" t="str">
        <f t="shared" si="2"/>
        <v>72</v>
      </c>
      <c r="BN27" t="s">
        <v>417</v>
      </c>
      <c r="BO27" s="20" t="str">
        <f t="shared" si="3"/>
        <v>141</v>
      </c>
      <c r="BQ27" t="s">
        <v>397</v>
      </c>
      <c r="BR27" s="20" t="str">
        <f t="shared" si="4"/>
        <v>6.25</v>
      </c>
      <c r="BS27" s="21">
        <f t="shared" si="5"/>
        <v>69</v>
      </c>
      <c r="BT27" s="10"/>
    </row>
    <row r="28" spans="1:72" s="10" customFormat="1" x14ac:dyDescent="0.2">
      <c r="A28" t="s">
        <v>63</v>
      </c>
      <c r="B28"/>
      <c r="C28" t="s">
        <v>402</v>
      </c>
      <c r="D28" t="s">
        <v>64</v>
      </c>
      <c r="E28" t="s">
        <v>65</v>
      </c>
      <c r="F28" t="s">
        <v>64</v>
      </c>
      <c r="G28" t="s">
        <v>211</v>
      </c>
      <c r="H28" t="s">
        <v>212</v>
      </c>
      <c r="I28" t="s">
        <v>383</v>
      </c>
      <c r="J28" t="s">
        <v>384</v>
      </c>
      <c r="K28"/>
      <c r="L28">
        <v>1086</v>
      </c>
      <c r="M28">
        <v>1086</v>
      </c>
      <c r="N28">
        <v>3562</v>
      </c>
      <c r="O28">
        <v>3562</v>
      </c>
      <c r="P28" t="s">
        <v>399</v>
      </c>
      <c r="Q28"/>
      <c r="R28" t="s">
        <v>386</v>
      </c>
      <c r="S28" t="s">
        <v>400</v>
      </c>
      <c r="T28" t="s">
        <v>401</v>
      </c>
      <c r="U28" s="2">
        <v>41540</v>
      </c>
      <c r="V28">
        <v>23</v>
      </c>
      <c r="W28">
        <v>9</v>
      </c>
      <c r="X28">
        <v>2013</v>
      </c>
      <c r="Y28">
        <f>-15.9403333333/-47.9255</f>
        <v>0.33260651079905268</v>
      </c>
      <c r="Z28" t="s">
        <v>72</v>
      </c>
      <c r="AA28">
        <v>-15.9403333333</v>
      </c>
      <c r="AB28">
        <v>-47.9255</v>
      </c>
      <c r="AC28"/>
      <c r="AD28" t="s">
        <v>73</v>
      </c>
      <c r="AE28" t="s">
        <v>74</v>
      </c>
      <c r="AF28"/>
      <c r="AG28"/>
      <c r="AH28"/>
      <c r="AI28" t="s">
        <v>226</v>
      </c>
      <c r="AJ28"/>
      <c r="AK28"/>
      <c r="AL28"/>
      <c r="AM28"/>
      <c r="AN28"/>
      <c r="AO28" t="s">
        <v>77</v>
      </c>
      <c r="AP28" s="20" t="str">
        <f t="shared" si="0"/>
        <v>12</v>
      </c>
      <c r="AQ28"/>
      <c r="AR28"/>
      <c r="AS28"/>
      <c r="AT28"/>
      <c r="AU28" t="s">
        <v>82</v>
      </c>
      <c r="AV28" s="20" t="str">
        <f t="shared" si="1"/>
        <v>17</v>
      </c>
      <c r="AW28"/>
      <c r="AX28"/>
      <c r="AY28"/>
      <c r="AZ28"/>
      <c r="BA28"/>
      <c r="BB28"/>
      <c r="BC28"/>
      <c r="BD28" t="s">
        <v>258</v>
      </c>
      <c r="BE28" s="20"/>
      <c r="BF28"/>
      <c r="BG28"/>
      <c r="BH28" t="s">
        <v>78</v>
      </c>
      <c r="BI28"/>
      <c r="BJ28"/>
      <c r="BK28"/>
      <c r="BL28" t="s">
        <v>403</v>
      </c>
      <c r="BM28" s="20" t="str">
        <f t="shared" si="2"/>
        <v>67</v>
      </c>
      <c r="BN28" t="s">
        <v>404</v>
      </c>
      <c r="BO28" s="20" t="str">
        <f t="shared" si="3"/>
        <v>136</v>
      </c>
      <c r="BP28"/>
      <c r="BQ28" t="s">
        <v>405</v>
      </c>
      <c r="BR28" s="20" t="str">
        <f t="shared" si="4"/>
        <v>7.25</v>
      </c>
      <c r="BS28" s="21">
        <f t="shared" si="5"/>
        <v>69</v>
      </c>
      <c r="BT28"/>
    </row>
    <row r="29" spans="1:72" s="10" customFormat="1" x14ac:dyDescent="0.2">
      <c r="A29" s="4" t="s">
        <v>63</v>
      </c>
      <c r="B29" s="4" t="s">
        <v>2146</v>
      </c>
      <c r="C29" s="4" t="s">
        <v>1783</v>
      </c>
      <c r="D29" s="4" t="s">
        <v>64</v>
      </c>
      <c r="E29" s="4" t="s">
        <v>65</v>
      </c>
      <c r="F29" s="4" t="s">
        <v>64</v>
      </c>
      <c r="G29" s="4" t="s">
        <v>134</v>
      </c>
      <c r="H29" s="4" t="s">
        <v>67</v>
      </c>
      <c r="I29" s="4" t="s">
        <v>68</v>
      </c>
      <c r="J29" s="4" t="s">
        <v>1778</v>
      </c>
      <c r="K29" s="4" t="s">
        <v>1784</v>
      </c>
      <c r="L29" s="4">
        <v>39</v>
      </c>
      <c r="M29" s="4">
        <v>39</v>
      </c>
      <c r="N29" s="4">
        <v>39</v>
      </c>
      <c r="O29" s="4">
        <v>39</v>
      </c>
      <c r="P29" s="4" t="s">
        <v>1785</v>
      </c>
      <c r="Q29" s="4"/>
      <c r="R29" s="4" t="s">
        <v>1786</v>
      </c>
      <c r="S29" s="4"/>
      <c r="T29" s="4" t="s">
        <v>1787</v>
      </c>
      <c r="U29" s="5">
        <v>41135</v>
      </c>
      <c r="V29" s="4">
        <v>14</v>
      </c>
      <c r="W29" s="4">
        <v>8</v>
      </c>
      <c r="X29" s="4">
        <v>2012</v>
      </c>
      <c r="Y29" s="4" t="s">
        <v>1788</v>
      </c>
      <c r="Z29" s="4" t="s">
        <v>72</v>
      </c>
      <c r="AA29" s="4">
        <v>37.555370000000003</v>
      </c>
      <c r="AB29" s="4">
        <v>-77.661490000000001</v>
      </c>
      <c r="AC29" s="4"/>
      <c r="AD29" s="4" t="s">
        <v>73</v>
      </c>
      <c r="AE29" s="4" t="s">
        <v>74</v>
      </c>
      <c r="AF29" s="4"/>
      <c r="AG29" s="4"/>
      <c r="AH29" s="4"/>
      <c r="AI29" s="4"/>
      <c r="AJ29" s="4"/>
      <c r="AK29" s="4"/>
      <c r="AL29" s="4"/>
      <c r="AM29" s="4"/>
      <c r="AN29" s="4"/>
      <c r="AO29" s="4" t="s">
        <v>207</v>
      </c>
      <c r="AP29" s="20" t="str">
        <f t="shared" si="0"/>
        <v>13.5</v>
      </c>
      <c r="AQ29" s="4"/>
      <c r="AR29" s="4"/>
      <c r="AS29" s="4"/>
      <c r="AT29" s="4"/>
      <c r="AU29" s="4" t="s">
        <v>130</v>
      </c>
      <c r="AV29" s="20" t="str">
        <f t="shared" si="1"/>
        <v>19</v>
      </c>
      <c r="AW29" s="4"/>
      <c r="AX29" s="4"/>
      <c r="AY29" s="4"/>
      <c r="AZ29" s="4"/>
      <c r="BA29" s="4"/>
      <c r="BB29" s="4"/>
      <c r="BC29" s="4"/>
      <c r="BD29" s="4" t="s">
        <v>152</v>
      </c>
      <c r="BE29" s="20"/>
      <c r="BF29" s="4"/>
      <c r="BG29" s="4"/>
      <c r="BH29" s="4" t="s">
        <v>78</v>
      </c>
      <c r="BI29" s="4"/>
      <c r="BJ29" s="4"/>
      <c r="BK29" s="4"/>
      <c r="BL29" s="4" t="s">
        <v>197</v>
      </c>
      <c r="BM29" s="20" t="str">
        <f t="shared" si="2"/>
        <v>74</v>
      </c>
      <c r="BN29" s="4" t="s">
        <v>1379</v>
      </c>
      <c r="BO29" s="20" t="str">
        <f t="shared" si="3"/>
        <v>143</v>
      </c>
      <c r="BP29" s="4"/>
      <c r="BQ29" s="4" t="s">
        <v>275</v>
      </c>
      <c r="BR29" s="20" t="str">
        <f t="shared" si="4"/>
        <v>11</v>
      </c>
      <c r="BS29" s="21">
        <f t="shared" si="5"/>
        <v>69</v>
      </c>
      <c r="BT29"/>
    </row>
    <row r="30" spans="1:72" x14ac:dyDescent="0.2">
      <c r="A30" s="4" t="s">
        <v>63</v>
      </c>
      <c r="B30" s="4" t="s">
        <v>2140</v>
      </c>
      <c r="C30" s="4" t="s">
        <v>1624</v>
      </c>
      <c r="D30" s="4" t="s">
        <v>64</v>
      </c>
      <c r="E30" s="4" t="s">
        <v>65</v>
      </c>
      <c r="F30" s="4" t="s">
        <v>64</v>
      </c>
      <c r="G30" s="4" t="s">
        <v>134</v>
      </c>
      <c r="H30" s="4" t="s">
        <v>67</v>
      </c>
      <c r="I30" s="4" t="s">
        <v>68</v>
      </c>
      <c r="J30" s="4" t="s">
        <v>1590</v>
      </c>
      <c r="K30" s="4" t="s">
        <v>1625</v>
      </c>
      <c r="L30" s="4">
        <v>250</v>
      </c>
      <c r="M30" s="4">
        <v>250</v>
      </c>
      <c r="N30" s="4">
        <v>250</v>
      </c>
      <c r="O30" s="4">
        <v>250</v>
      </c>
      <c r="P30" s="4" t="s">
        <v>1626</v>
      </c>
      <c r="Q30" s="4"/>
      <c r="R30" s="4" t="s">
        <v>1627</v>
      </c>
      <c r="S30" s="4"/>
      <c r="T30" s="4" t="s">
        <v>1628</v>
      </c>
      <c r="U30" s="5">
        <v>41061</v>
      </c>
      <c r="V30" s="4">
        <v>1</v>
      </c>
      <c r="W30" s="4">
        <v>6</v>
      </c>
      <c r="X30" s="4">
        <v>2012</v>
      </c>
      <c r="Y30" s="4" t="s">
        <v>1629</v>
      </c>
      <c r="Z30" s="4" t="s">
        <v>72</v>
      </c>
      <c r="AA30" s="4">
        <v>34.098889999999997</v>
      </c>
      <c r="AB30" s="4">
        <v>-83.345370000000003</v>
      </c>
      <c r="AC30" s="4"/>
      <c r="AD30" s="4" t="s">
        <v>73</v>
      </c>
      <c r="AE30" s="4" t="s">
        <v>74</v>
      </c>
      <c r="AF30" s="4"/>
      <c r="AG30" s="4"/>
      <c r="AH30" s="4"/>
      <c r="AI30" s="4"/>
      <c r="AJ30" s="4"/>
      <c r="AK30" s="4"/>
      <c r="AL30" s="4"/>
      <c r="AM30" s="4"/>
      <c r="AN30" s="4"/>
      <c r="AO30" s="4" t="s">
        <v>76</v>
      </c>
      <c r="AP30" s="20" t="str">
        <f t="shared" si="0"/>
        <v>13</v>
      </c>
      <c r="AQ30" s="4"/>
      <c r="AR30" s="4"/>
      <c r="AS30" s="4"/>
      <c r="AT30" s="4"/>
      <c r="AU30" s="4" t="s">
        <v>653</v>
      </c>
      <c r="AV30" s="20" t="str">
        <f t="shared" si="1"/>
        <v>17.5</v>
      </c>
      <c r="AW30" s="4"/>
      <c r="AX30" s="4"/>
      <c r="AY30" s="4"/>
      <c r="AZ30" s="4"/>
      <c r="BA30" s="4"/>
      <c r="BB30" s="4"/>
      <c r="BC30" s="4"/>
      <c r="BD30" s="4" t="s">
        <v>1630</v>
      </c>
      <c r="BF30" s="4"/>
      <c r="BG30" s="4"/>
      <c r="BH30" s="4" t="s">
        <v>83</v>
      </c>
      <c r="BI30" s="4"/>
      <c r="BJ30" s="4"/>
      <c r="BK30" s="4"/>
      <c r="BL30" s="4" t="s">
        <v>645</v>
      </c>
      <c r="BM30" s="20" t="str">
        <f t="shared" si="2"/>
        <v>68</v>
      </c>
      <c r="BN30" s="4" t="s">
        <v>1207</v>
      </c>
      <c r="BO30" s="20" t="str">
        <f t="shared" si="3"/>
        <v>137</v>
      </c>
      <c r="BP30" s="4"/>
      <c r="BQ30" s="4" t="s">
        <v>275</v>
      </c>
      <c r="BR30" s="20" t="str">
        <f t="shared" si="4"/>
        <v>11</v>
      </c>
      <c r="BS30" s="21">
        <f t="shared" si="5"/>
        <v>69</v>
      </c>
    </row>
    <row r="31" spans="1:72" s="10" customFormat="1" x14ac:dyDescent="0.2">
      <c r="A31" s="10" t="s">
        <v>63</v>
      </c>
      <c r="B31" s="10" t="s">
        <v>2291</v>
      </c>
      <c r="C31" s="10" t="s">
        <v>418</v>
      </c>
      <c r="D31" s="10" t="s">
        <v>64</v>
      </c>
      <c r="E31" s="10" t="s">
        <v>65</v>
      </c>
      <c r="F31" s="10" t="s">
        <v>64</v>
      </c>
      <c r="G31" s="10" t="s">
        <v>211</v>
      </c>
      <c r="H31" s="10" t="s">
        <v>212</v>
      </c>
      <c r="I31" s="10" t="s">
        <v>383</v>
      </c>
      <c r="J31" s="10" t="s">
        <v>384</v>
      </c>
      <c r="L31" s="10">
        <v>1252</v>
      </c>
      <c r="M31" s="10">
        <v>1252</v>
      </c>
      <c r="N31" s="10">
        <v>4106</v>
      </c>
      <c r="O31" s="10">
        <v>4106</v>
      </c>
      <c r="P31" s="10" t="s">
        <v>414</v>
      </c>
      <c r="R31" s="10" t="s">
        <v>386</v>
      </c>
      <c r="S31" s="10" t="s">
        <v>266</v>
      </c>
      <c r="T31" s="10" t="s">
        <v>415</v>
      </c>
      <c r="U31" s="11">
        <v>41539</v>
      </c>
      <c r="V31" s="10">
        <v>22</v>
      </c>
      <c r="W31" s="10">
        <v>9</v>
      </c>
      <c r="X31" s="10">
        <v>2013</v>
      </c>
      <c r="Y31" s="10">
        <f>-15.636/-47.9175</f>
        <v>0.3263108467678823</v>
      </c>
      <c r="Z31" s="10" t="s">
        <v>72</v>
      </c>
      <c r="AA31" s="10">
        <v>-15.635999999999999</v>
      </c>
      <c r="AB31" s="10">
        <v>-47.917499999999997</v>
      </c>
      <c r="AD31" s="10" t="s">
        <v>73</v>
      </c>
      <c r="AE31" s="10" t="s">
        <v>74</v>
      </c>
      <c r="AI31" s="10" t="s">
        <v>226</v>
      </c>
      <c r="AO31" s="10" t="s">
        <v>76</v>
      </c>
      <c r="AP31" s="20" t="str">
        <f t="shared" si="0"/>
        <v>13</v>
      </c>
      <c r="AU31" s="10" t="s">
        <v>82</v>
      </c>
      <c r="AV31" s="20" t="str">
        <f t="shared" si="1"/>
        <v>17</v>
      </c>
      <c r="BD31" s="10" t="s">
        <v>416</v>
      </c>
      <c r="BE31" s="20"/>
      <c r="BH31" s="10" t="s">
        <v>78</v>
      </c>
      <c r="BL31" s="10" t="s">
        <v>98</v>
      </c>
      <c r="BM31" s="20" t="str">
        <f t="shared" si="2"/>
        <v>76</v>
      </c>
      <c r="BN31" s="10" t="s">
        <v>419</v>
      </c>
      <c r="BO31" s="20" t="str">
        <f t="shared" si="3"/>
        <v>146</v>
      </c>
      <c r="BQ31" s="10" t="s">
        <v>291</v>
      </c>
      <c r="BR31" s="20" t="str">
        <f t="shared" si="4"/>
        <v>8</v>
      </c>
      <c r="BS31" s="21">
        <f t="shared" si="5"/>
        <v>70</v>
      </c>
      <c r="BT31"/>
    </row>
    <row r="32" spans="1:72" s="10" customFormat="1" x14ac:dyDescent="0.2">
      <c r="A32" s="13" t="s">
        <v>63</v>
      </c>
      <c r="B32" s="13"/>
      <c r="C32" s="13" t="s">
        <v>715</v>
      </c>
      <c r="D32" s="13" t="s">
        <v>64</v>
      </c>
      <c r="E32" s="13" t="s">
        <v>65</v>
      </c>
      <c r="F32" s="13" t="s">
        <v>64</v>
      </c>
      <c r="G32" s="13" t="s">
        <v>211</v>
      </c>
      <c r="H32" s="13" t="s">
        <v>212</v>
      </c>
      <c r="I32" s="13" t="s">
        <v>701</v>
      </c>
      <c r="J32" s="13" t="s">
        <v>702</v>
      </c>
      <c r="K32" s="13"/>
      <c r="L32" s="13">
        <v>2614</v>
      </c>
      <c r="M32" s="13">
        <v>2614</v>
      </c>
      <c r="N32" s="13">
        <v>8576</v>
      </c>
      <c r="O32" s="13">
        <v>8576</v>
      </c>
      <c r="P32" s="13" t="s">
        <v>716</v>
      </c>
      <c r="Q32" s="13"/>
      <c r="R32" s="13" t="s">
        <v>717</v>
      </c>
      <c r="S32" s="13"/>
      <c r="T32" s="13" t="s">
        <v>718</v>
      </c>
      <c r="U32" s="14">
        <v>41220</v>
      </c>
      <c r="V32" s="13">
        <v>7</v>
      </c>
      <c r="W32" s="13">
        <v>11</v>
      </c>
      <c r="X32" s="13">
        <v>2012</v>
      </c>
      <c r="Y32" s="13">
        <f>-0.2482444444/-78.3552111111</f>
        <v>3.1681931664763649E-3</v>
      </c>
      <c r="Z32" s="13" t="s">
        <v>72</v>
      </c>
      <c r="AA32" s="13">
        <v>-0.24824444439999999</v>
      </c>
      <c r="AB32" s="13">
        <v>-78.355211111100004</v>
      </c>
      <c r="AC32" s="13"/>
      <c r="AD32" s="13" t="s">
        <v>96</v>
      </c>
      <c r="AE32" s="13" t="s">
        <v>74</v>
      </c>
      <c r="AF32" s="13"/>
      <c r="AG32" s="13"/>
      <c r="AH32" s="13"/>
      <c r="AI32" s="13" t="s">
        <v>75</v>
      </c>
      <c r="AJ32" s="13"/>
      <c r="AK32" s="13"/>
      <c r="AL32" s="13"/>
      <c r="AM32" s="13"/>
      <c r="AN32" s="13"/>
      <c r="AO32" s="13" t="s">
        <v>344</v>
      </c>
      <c r="AP32" s="20" t="str">
        <f t="shared" si="0"/>
        <v>16</v>
      </c>
      <c r="AQ32" s="13"/>
      <c r="AR32" s="13"/>
      <c r="AS32" s="13"/>
      <c r="AT32" s="13"/>
      <c r="AU32" s="13" t="s">
        <v>111</v>
      </c>
      <c r="AV32" s="20" t="str">
        <f t="shared" si="1"/>
        <v>20</v>
      </c>
      <c r="AW32" s="13"/>
      <c r="AX32" s="13"/>
      <c r="AY32" s="13"/>
      <c r="AZ32" s="13"/>
      <c r="BA32" s="13"/>
      <c r="BB32" s="13"/>
      <c r="BC32" s="13"/>
      <c r="BD32" s="13" t="s">
        <v>719</v>
      </c>
      <c r="BE32" s="20"/>
      <c r="BF32" s="13"/>
      <c r="BG32" s="13"/>
      <c r="BH32" s="13" t="s">
        <v>83</v>
      </c>
      <c r="BI32" s="13"/>
      <c r="BJ32" s="13"/>
      <c r="BK32" s="13"/>
      <c r="BL32" s="13" t="s">
        <v>208</v>
      </c>
      <c r="BM32" s="20" t="str">
        <f t="shared" si="2"/>
        <v>80</v>
      </c>
      <c r="BN32" s="13" t="s">
        <v>364</v>
      </c>
      <c r="BO32" s="20" t="str">
        <f t="shared" si="3"/>
        <v>150</v>
      </c>
      <c r="BP32" s="13"/>
      <c r="BQ32" s="13" t="s">
        <v>340</v>
      </c>
      <c r="BR32" s="20" t="str">
        <f t="shared" si="4"/>
        <v>15</v>
      </c>
      <c r="BS32" s="21">
        <f t="shared" si="5"/>
        <v>70</v>
      </c>
      <c r="BT32"/>
    </row>
    <row r="33" spans="1:72" s="10" customFormat="1" x14ac:dyDescent="0.2">
      <c r="A33" s="10" t="s">
        <v>63</v>
      </c>
      <c r="B33" s="10" t="s">
        <v>2249</v>
      </c>
      <c r="C33" s="10" t="s">
        <v>328</v>
      </c>
      <c r="D33" s="10" t="s">
        <v>64</v>
      </c>
      <c r="E33" s="10" t="s">
        <v>65</v>
      </c>
      <c r="F33" s="10" t="s">
        <v>64</v>
      </c>
      <c r="G33" s="10" t="s">
        <v>211</v>
      </c>
      <c r="H33" s="10" t="s">
        <v>212</v>
      </c>
      <c r="I33" s="10" t="s">
        <v>213</v>
      </c>
      <c r="J33" s="10" t="s">
        <v>293</v>
      </c>
      <c r="L33" s="10">
        <v>4</v>
      </c>
      <c r="M33" s="10">
        <v>4</v>
      </c>
      <c r="N33" s="10">
        <v>13</v>
      </c>
      <c r="O33" s="10">
        <v>13</v>
      </c>
      <c r="P33" s="12">
        <v>44290</v>
      </c>
      <c r="R33" s="10" t="s">
        <v>294</v>
      </c>
      <c r="S33" s="10" t="s">
        <v>329</v>
      </c>
      <c r="T33" s="10" t="s">
        <v>330</v>
      </c>
      <c r="U33" s="11">
        <v>41339</v>
      </c>
      <c r="V33" s="10">
        <v>6</v>
      </c>
      <c r="W33" s="10">
        <v>3</v>
      </c>
      <c r="X33" s="10">
        <v>2013</v>
      </c>
      <c r="Y33" s="10">
        <f>-43.3261666667/-65.4713333333</f>
        <v>0.66175781767168418</v>
      </c>
      <c r="Z33" s="10" t="s">
        <v>72</v>
      </c>
      <c r="AA33" s="10">
        <v>-43.326166666699997</v>
      </c>
      <c r="AB33" s="10">
        <v>-65.471333333299995</v>
      </c>
      <c r="AD33" s="10" t="s">
        <v>73</v>
      </c>
      <c r="AE33" s="10" t="s">
        <v>74</v>
      </c>
      <c r="AI33" s="10" t="s">
        <v>226</v>
      </c>
      <c r="AO33" s="10" t="s">
        <v>236</v>
      </c>
      <c r="AP33" s="20" t="str">
        <f t="shared" si="0"/>
        <v>11</v>
      </c>
      <c r="AU33" s="10" t="s">
        <v>82</v>
      </c>
      <c r="AV33" s="20" t="str">
        <f t="shared" si="1"/>
        <v>17</v>
      </c>
      <c r="BD33" s="10" t="s">
        <v>331</v>
      </c>
      <c r="BE33" s="20"/>
      <c r="BH33" s="10" t="s">
        <v>83</v>
      </c>
      <c r="BL33" s="10" t="s">
        <v>332</v>
      </c>
      <c r="BM33" s="20" t="str">
        <f t="shared" si="2"/>
        <v>61</v>
      </c>
      <c r="BN33" s="10" t="s">
        <v>333</v>
      </c>
      <c r="BO33" s="20" t="str">
        <f t="shared" si="3"/>
        <v>132</v>
      </c>
      <c r="BQ33" s="10" t="s">
        <v>334</v>
      </c>
      <c r="BR33" s="20" t="str">
        <f t="shared" si="4"/>
        <v>5.5</v>
      </c>
      <c r="BS33" s="21">
        <f t="shared" si="5"/>
        <v>71</v>
      </c>
    </row>
    <row r="34" spans="1:72" x14ac:dyDescent="0.2">
      <c r="A34" s="10" t="s">
        <v>63</v>
      </c>
      <c r="B34" s="10" t="s">
        <v>2292</v>
      </c>
      <c r="C34" s="10" t="s">
        <v>420</v>
      </c>
      <c r="D34" s="10" t="s">
        <v>64</v>
      </c>
      <c r="E34" s="10" t="s">
        <v>65</v>
      </c>
      <c r="F34" s="10" t="s">
        <v>64</v>
      </c>
      <c r="G34" s="10" t="s">
        <v>211</v>
      </c>
      <c r="H34" s="10" t="s">
        <v>212</v>
      </c>
      <c r="I34" s="10" t="s">
        <v>383</v>
      </c>
      <c r="J34" s="10" t="s">
        <v>384</v>
      </c>
      <c r="K34" s="10"/>
      <c r="L34" s="10">
        <v>1249</v>
      </c>
      <c r="M34" s="10">
        <v>1249</v>
      </c>
      <c r="N34" s="10">
        <v>4098</v>
      </c>
      <c r="O34" s="10">
        <v>4098</v>
      </c>
      <c r="P34" s="10" t="s">
        <v>421</v>
      </c>
      <c r="Q34" s="10"/>
      <c r="R34" s="10" t="s">
        <v>386</v>
      </c>
      <c r="S34" s="10" t="s">
        <v>305</v>
      </c>
      <c r="T34" s="10" t="s">
        <v>422</v>
      </c>
      <c r="U34" s="11">
        <v>41540</v>
      </c>
      <c r="V34" s="10">
        <v>23</v>
      </c>
      <c r="W34" s="10">
        <v>9</v>
      </c>
      <c r="X34" s="10">
        <v>2013</v>
      </c>
      <c r="Y34" s="10">
        <f>-15.6206666667/-47.924</f>
        <v>0.32594663773266003</v>
      </c>
      <c r="Z34" s="10" t="s">
        <v>72</v>
      </c>
      <c r="AA34" s="10">
        <v>-15.6206666667</v>
      </c>
      <c r="AB34" s="10">
        <v>-47.923999999999999</v>
      </c>
      <c r="AC34" s="10"/>
      <c r="AD34" s="10" t="s">
        <v>73</v>
      </c>
      <c r="AE34" s="10" t="s">
        <v>74</v>
      </c>
      <c r="AF34" s="10"/>
      <c r="AG34" s="10"/>
      <c r="AH34" s="10"/>
      <c r="AI34" s="10" t="s">
        <v>203</v>
      </c>
      <c r="AJ34" s="10"/>
      <c r="AK34" s="10"/>
      <c r="AL34" s="10"/>
      <c r="AM34" s="10"/>
      <c r="AN34" s="10"/>
      <c r="AO34" s="10" t="s">
        <v>76</v>
      </c>
      <c r="AP34" s="20" t="str">
        <f t="shared" si="0"/>
        <v>13</v>
      </c>
      <c r="AQ34" s="10"/>
      <c r="AR34" s="10"/>
      <c r="AS34" s="10"/>
      <c r="AT34" s="10"/>
      <c r="AU34" s="10" t="s">
        <v>121</v>
      </c>
      <c r="AV34" s="20" t="str">
        <f t="shared" si="1"/>
        <v>18</v>
      </c>
      <c r="AW34" s="10"/>
      <c r="AX34" s="10"/>
      <c r="AY34" s="10"/>
      <c r="AZ34" s="10"/>
      <c r="BA34" s="10"/>
      <c r="BB34" s="10"/>
      <c r="BC34" s="10"/>
      <c r="BD34" s="10" t="s">
        <v>423</v>
      </c>
      <c r="BF34" s="10"/>
      <c r="BG34" s="10"/>
      <c r="BH34" s="10" t="s">
        <v>83</v>
      </c>
      <c r="BI34" s="10"/>
      <c r="BJ34" s="10"/>
      <c r="BK34" s="10"/>
      <c r="BL34" s="10" t="s">
        <v>194</v>
      </c>
      <c r="BM34" s="20" t="str">
        <f t="shared" ref="BM34:BM65" si="6">LEFT(BL34,FIND("^^",SUBSTITUTE(BL34," ","^^",LEN(BL34)-LEN(SUBSTITUTE(BL34," ",""))))-1)</f>
        <v>79</v>
      </c>
      <c r="BN34" s="10" t="s">
        <v>364</v>
      </c>
      <c r="BO34" s="20" t="str">
        <f t="shared" ref="BO34:BO65" si="7">LEFT(BN34,FIND("^^",SUBSTITUTE(BN34," ","^^",LEN(BN34)-LEN(SUBSTITUTE(BN34," ",""))))-1)</f>
        <v>150</v>
      </c>
      <c r="BP34" s="10"/>
      <c r="BQ34" s="10" t="s">
        <v>424</v>
      </c>
      <c r="BR34" s="20" t="str">
        <f t="shared" si="4"/>
        <v>8.75</v>
      </c>
      <c r="BS34" s="21">
        <f t="shared" ref="BS34:BS62" si="8">(BO34-BM34)</f>
        <v>71</v>
      </c>
    </row>
    <row r="35" spans="1:72" s="10" customFormat="1" x14ac:dyDescent="0.2">
      <c r="A35" s="7" t="s">
        <v>63</v>
      </c>
      <c r="B35" s="7" t="s">
        <v>2196</v>
      </c>
      <c r="C35" s="7" t="s">
        <v>1259</v>
      </c>
      <c r="D35" s="7" t="s">
        <v>64</v>
      </c>
      <c r="E35" s="7" t="s">
        <v>65</v>
      </c>
      <c r="F35" s="7" t="s">
        <v>64</v>
      </c>
      <c r="G35" s="7" t="s">
        <v>615</v>
      </c>
      <c r="H35" s="7" t="s">
        <v>67</v>
      </c>
      <c r="I35" s="7" t="s">
        <v>68</v>
      </c>
      <c r="J35" s="7" t="s">
        <v>1136</v>
      </c>
      <c r="K35" s="7" t="s">
        <v>1210</v>
      </c>
      <c r="L35" s="7">
        <v>893</v>
      </c>
      <c r="M35" s="7">
        <v>893</v>
      </c>
      <c r="N35" s="7">
        <v>2931</v>
      </c>
      <c r="O35" s="7">
        <v>2931</v>
      </c>
      <c r="P35" s="7" t="s">
        <v>1260</v>
      </c>
      <c r="Q35" s="7"/>
      <c r="R35" s="7" t="s">
        <v>1261</v>
      </c>
      <c r="S35" s="7" t="s">
        <v>1262</v>
      </c>
      <c r="T35" s="7" t="s">
        <v>1263</v>
      </c>
      <c r="U35" s="9">
        <v>41071</v>
      </c>
      <c r="V35" s="7">
        <v>11</v>
      </c>
      <c r="W35" s="7">
        <v>6</v>
      </c>
      <c r="X35" s="7">
        <v>2012</v>
      </c>
      <c r="Y35" s="7" t="s">
        <v>1264</v>
      </c>
      <c r="Z35" s="7" t="s">
        <v>72</v>
      </c>
      <c r="AA35" s="7">
        <v>37.120333333300003</v>
      </c>
      <c r="AB35" s="7">
        <v>-113.5573833333</v>
      </c>
      <c r="AC35" s="7"/>
      <c r="AD35" s="7" t="s">
        <v>73</v>
      </c>
      <c r="AE35" s="7" t="s">
        <v>74</v>
      </c>
      <c r="AF35" s="7"/>
      <c r="AG35" s="7"/>
      <c r="AH35" s="7"/>
      <c r="AI35" s="7" t="s">
        <v>203</v>
      </c>
      <c r="AJ35" s="7"/>
      <c r="AK35" s="7"/>
      <c r="AL35" s="7"/>
      <c r="AM35" s="7"/>
      <c r="AN35" s="7"/>
      <c r="AO35" s="7" t="s">
        <v>207</v>
      </c>
      <c r="AP35" s="20" t="str">
        <f t="shared" si="0"/>
        <v>13.5</v>
      </c>
      <c r="AQ35" s="7"/>
      <c r="AR35" s="7"/>
      <c r="AS35" s="7"/>
      <c r="AT35" s="7"/>
      <c r="AU35" s="7" t="s">
        <v>914</v>
      </c>
      <c r="AV35" s="20" t="str">
        <f t="shared" si="1"/>
        <v>18.1</v>
      </c>
      <c r="AW35" s="7"/>
      <c r="AX35" s="7"/>
      <c r="AY35" s="7"/>
      <c r="AZ35" s="7"/>
      <c r="BA35" s="7"/>
      <c r="BB35" s="7"/>
      <c r="BC35" s="7"/>
      <c r="BD35" s="7" t="s">
        <v>1265</v>
      </c>
      <c r="BE35" s="20"/>
      <c r="BF35" s="7"/>
      <c r="BG35" s="7"/>
      <c r="BH35" s="7" t="s">
        <v>83</v>
      </c>
      <c r="BI35" s="7"/>
      <c r="BJ35" s="7"/>
      <c r="BK35" s="7"/>
      <c r="BL35" s="7" t="s">
        <v>375</v>
      </c>
      <c r="BM35" s="20" t="str">
        <f t="shared" si="6"/>
        <v>73</v>
      </c>
      <c r="BN35" s="7" t="s">
        <v>290</v>
      </c>
      <c r="BO35" s="20" t="str">
        <f t="shared" si="7"/>
        <v>144</v>
      </c>
      <c r="BP35" s="7"/>
      <c r="BQ35" s="7" t="s">
        <v>1266</v>
      </c>
      <c r="BR35" s="20" t="str">
        <f t="shared" si="4"/>
        <v>8.5</v>
      </c>
      <c r="BS35" s="21">
        <f t="shared" si="8"/>
        <v>71</v>
      </c>
      <c r="BT35"/>
    </row>
    <row r="36" spans="1:72" s="10" customFormat="1" x14ac:dyDescent="0.2">
      <c r="A36" s="7" t="s">
        <v>63</v>
      </c>
      <c r="B36" s="7" t="s">
        <v>2226</v>
      </c>
      <c r="C36" s="7" t="s">
        <v>840</v>
      </c>
      <c r="D36" s="7" t="s">
        <v>64</v>
      </c>
      <c r="E36" s="7" t="s">
        <v>65</v>
      </c>
      <c r="F36" s="7" t="s">
        <v>64</v>
      </c>
      <c r="G36" s="7" t="s">
        <v>615</v>
      </c>
      <c r="H36" s="7" t="s">
        <v>67</v>
      </c>
      <c r="I36" s="7" t="s">
        <v>788</v>
      </c>
      <c r="J36" s="7" t="s">
        <v>789</v>
      </c>
      <c r="K36" s="7" t="s">
        <v>822</v>
      </c>
      <c r="L36" s="7">
        <v>731</v>
      </c>
      <c r="M36" s="7">
        <v>731</v>
      </c>
      <c r="N36" s="7">
        <v>2397</v>
      </c>
      <c r="O36" s="7">
        <v>2397</v>
      </c>
      <c r="P36" s="7" t="s">
        <v>794</v>
      </c>
      <c r="Q36" s="7"/>
      <c r="R36" s="7" t="s">
        <v>834</v>
      </c>
      <c r="S36" s="7" t="s">
        <v>835</v>
      </c>
      <c r="T36" s="7" t="s">
        <v>836</v>
      </c>
      <c r="U36" s="9">
        <v>41121</v>
      </c>
      <c r="V36" s="7">
        <v>31</v>
      </c>
      <c r="W36" s="7">
        <v>7</v>
      </c>
      <c r="X36" s="7">
        <v>2012</v>
      </c>
      <c r="Y36" s="7" t="s">
        <v>837</v>
      </c>
      <c r="Z36" s="7" t="s">
        <v>72</v>
      </c>
      <c r="AA36" s="7">
        <v>53.512799999999999</v>
      </c>
      <c r="AB36" s="7">
        <v>-113.87275</v>
      </c>
      <c r="AC36" s="7"/>
      <c r="AD36" s="7" t="s">
        <v>73</v>
      </c>
      <c r="AE36" s="7" t="s">
        <v>74</v>
      </c>
      <c r="AF36" s="7"/>
      <c r="AG36" s="7"/>
      <c r="AH36" s="7"/>
      <c r="AI36" s="7"/>
      <c r="AJ36" s="7"/>
      <c r="AK36" s="7"/>
      <c r="AL36" s="7"/>
      <c r="AM36" s="7"/>
      <c r="AN36" s="7"/>
      <c r="AO36" s="7" t="s">
        <v>207</v>
      </c>
      <c r="AP36" s="20" t="str">
        <f t="shared" si="0"/>
        <v>13.5</v>
      </c>
      <c r="AQ36" s="7"/>
      <c r="AR36" s="7"/>
      <c r="AS36" s="7"/>
      <c r="AT36" s="7"/>
      <c r="AU36" s="7" t="s">
        <v>141</v>
      </c>
      <c r="AV36" s="20" t="str">
        <f t="shared" si="1"/>
        <v>18.5</v>
      </c>
      <c r="AW36" s="7"/>
      <c r="AX36" s="7"/>
      <c r="AY36" s="7"/>
      <c r="AZ36" s="7"/>
      <c r="BA36" s="7"/>
      <c r="BB36" s="7"/>
      <c r="BC36" s="7"/>
      <c r="BD36" s="7" t="s">
        <v>841</v>
      </c>
      <c r="BE36" s="20"/>
      <c r="BF36" s="7"/>
      <c r="BG36" s="7"/>
      <c r="BH36" s="7" t="s">
        <v>83</v>
      </c>
      <c r="BI36" s="7"/>
      <c r="BJ36" s="7"/>
      <c r="BK36" s="7"/>
      <c r="BL36" s="7" t="s">
        <v>839</v>
      </c>
      <c r="BM36" s="20" t="str">
        <f t="shared" si="6"/>
        <v>79.5</v>
      </c>
      <c r="BN36" s="7" t="s">
        <v>842</v>
      </c>
      <c r="BO36" s="20" t="str">
        <f t="shared" si="7"/>
        <v>150.5</v>
      </c>
      <c r="BP36" s="7"/>
      <c r="BQ36" s="7" t="s">
        <v>255</v>
      </c>
      <c r="BR36" s="20" t="str">
        <f t="shared" si="4"/>
        <v>11.5</v>
      </c>
      <c r="BS36" s="21">
        <f t="shared" si="8"/>
        <v>71</v>
      </c>
      <c r="BT36"/>
    </row>
    <row r="37" spans="1:72" x14ac:dyDescent="0.2">
      <c r="A37" s="7" t="s">
        <v>63</v>
      </c>
      <c r="B37" s="7" t="s">
        <v>2201</v>
      </c>
      <c r="C37" s="7" t="s">
        <v>1166</v>
      </c>
      <c r="D37" s="7" t="s">
        <v>64</v>
      </c>
      <c r="E37" s="7" t="s">
        <v>65</v>
      </c>
      <c r="F37" s="7" t="s">
        <v>64</v>
      </c>
      <c r="G37" s="7" t="s">
        <v>615</v>
      </c>
      <c r="H37" s="7" t="s">
        <v>67</v>
      </c>
      <c r="I37" s="7" t="s">
        <v>68</v>
      </c>
      <c r="J37" s="7" t="s">
        <v>1136</v>
      </c>
      <c r="K37" s="7" t="s">
        <v>1137</v>
      </c>
      <c r="L37" s="7">
        <v>1419</v>
      </c>
      <c r="M37" s="7">
        <v>1419</v>
      </c>
      <c r="N37" s="7">
        <v>4655</v>
      </c>
      <c r="O37" s="7">
        <v>4655</v>
      </c>
      <c r="P37" s="7" t="s">
        <v>1167</v>
      </c>
      <c r="Q37" s="7"/>
      <c r="R37" s="7" t="s">
        <v>1168</v>
      </c>
      <c r="S37" s="7" t="s">
        <v>1169</v>
      </c>
      <c r="T37" s="7" t="s">
        <v>1170</v>
      </c>
      <c r="U37" s="9">
        <v>41075</v>
      </c>
      <c r="V37" s="7">
        <v>15</v>
      </c>
      <c r="W37" s="7">
        <v>6</v>
      </c>
      <c r="X37" s="7">
        <v>2012</v>
      </c>
      <c r="Y37" s="7" t="s">
        <v>1171</v>
      </c>
      <c r="Z37" s="7" t="s">
        <v>72</v>
      </c>
      <c r="AA37" s="7">
        <v>40.092550000000003</v>
      </c>
      <c r="AB37" s="7">
        <v>-111.65945000000001</v>
      </c>
      <c r="AC37" s="7"/>
      <c r="AD37" s="7" t="s">
        <v>73</v>
      </c>
      <c r="AE37" s="7" t="s">
        <v>74</v>
      </c>
      <c r="AF37" s="7"/>
      <c r="AG37" s="7"/>
      <c r="AH37" s="7"/>
      <c r="AI37" s="7" t="s">
        <v>226</v>
      </c>
      <c r="AJ37" s="7"/>
      <c r="AK37" s="7"/>
      <c r="AL37" s="7"/>
      <c r="AM37" s="7"/>
      <c r="AN37" s="7"/>
      <c r="AO37" s="7" t="s">
        <v>196</v>
      </c>
      <c r="AP37" s="20" t="str">
        <f t="shared" si="0"/>
        <v>12.5</v>
      </c>
      <c r="AQ37" s="7"/>
      <c r="AR37" s="7"/>
      <c r="AS37" s="7"/>
      <c r="AT37" s="7"/>
      <c r="AU37" s="7" t="s">
        <v>1172</v>
      </c>
      <c r="AV37" s="20" t="str">
        <f t="shared" si="1"/>
        <v>18.7</v>
      </c>
      <c r="AW37" s="7"/>
      <c r="AX37" s="7"/>
      <c r="AY37" s="7"/>
      <c r="AZ37" s="7"/>
      <c r="BA37" s="7"/>
      <c r="BB37" s="7"/>
      <c r="BC37" s="7"/>
      <c r="BD37" s="7" t="s">
        <v>1173</v>
      </c>
      <c r="BF37" s="7"/>
      <c r="BG37" s="7"/>
      <c r="BH37" s="7" t="s">
        <v>83</v>
      </c>
      <c r="BI37" s="7"/>
      <c r="BJ37" s="7"/>
      <c r="BK37" s="7"/>
      <c r="BL37" s="7" t="s">
        <v>1174</v>
      </c>
      <c r="BM37" s="20" t="str">
        <f t="shared" si="6"/>
        <v>72.5</v>
      </c>
      <c r="BN37" s="7" t="s">
        <v>290</v>
      </c>
      <c r="BO37" s="20" t="str">
        <f t="shared" si="7"/>
        <v>144</v>
      </c>
      <c r="BP37" s="7"/>
      <c r="BQ37" s="7" t="s">
        <v>1175</v>
      </c>
      <c r="BR37" s="20" t="str">
        <f t="shared" si="4"/>
        <v>9.1</v>
      </c>
      <c r="BS37" s="21">
        <f t="shared" si="8"/>
        <v>71.5</v>
      </c>
    </row>
    <row r="38" spans="1:72" x14ac:dyDescent="0.2">
      <c r="A38" t="s">
        <v>63</v>
      </c>
      <c r="C38" t="s">
        <v>1561</v>
      </c>
      <c r="D38" t="s">
        <v>64</v>
      </c>
      <c r="E38" t="s">
        <v>65</v>
      </c>
      <c r="F38" t="s">
        <v>64</v>
      </c>
      <c r="G38" t="s">
        <v>211</v>
      </c>
      <c r="H38" t="s">
        <v>212</v>
      </c>
      <c r="I38" t="s">
        <v>701</v>
      </c>
      <c r="J38" t="s">
        <v>1342</v>
      </c>
      <c r="L38">
        <v>100</v>
      </c>
      <c r="M38">
        <v>100</v>
      </c>
      <c r="N38">
        <v>327</v>
      </c>
      <c r="O38">
        <v>327</v>
      </c>
      <c r="P38" t="s">
        <v>1557</v>
      </c>
      <c r="R38" t="s">
        <v>1558</v>
      </c>
      <c r="T38" t="s">
        <v>1559</v>
      </c>
      <c r="U38" s="2">
        <v>41241</v>
      </c>
      <c r="V38">
        <v>28</v>
      </c>
      <c r="W38">
        <v>11</v>
      </c>
      <c r="X38">
        <v>2012</v>
      </c>
      <c r="Y38">
        <f>-1.0793833333/-80.5399166667</f>
        <v>1.3401843184998992E-2</v>
      </c>
      <c r="Z38" t="s">
        <v>72</v>
      </c>
      <c r="AA38">
        <v>-1.0793833333</v>
      </c>
      <c r="AB38">
        <v>-80.539916666699995</v>
      </c>
      <c r="AD38" t="s">
        <v>96</v>
      </c>
      <c r="AE38" t="s">
        <v>74</v>
      </c>
      <c r="AI38" t="s">
        <v>226</v>
      </c>
      <c r="AO38" t="s">
        <v>121</v>
      </c>
      <c r="AP38" s="20" t="str">
        <f t="shared" si="0"/>
        <v>18</v>
      </c>
      <c r="AU38" t="s">
        <v>130</v>
      </c>
      <c r="AV38" s="20" t="str">
        <f t="shared" si="1"/>
        <v>19</v>
      </c>
      <c r="BD38" t="s">
        <v>258</v>
      </c>
      <c r="BH38" t="s">
        <v>78</v>
      </c>
      <c r="BL38" t="s">
        <v>363</v>
      </c>
      <c r="BM38" s="20" t="str">
        <f t="shared" si="6"/>
        <v>72</v>
      </c>
      <c r="BN38" t="s">
        <v>290</v>
      </c>
      <c r="BO38" s="20" t="str">
        <f t="shared" si="7"/>
        <v>144</v>
      </c>
      <c r="BQ38" t="s">
        <v>327</v>
      </c>
      <c r="BR38" s="20" t="str">
        <f t="shared" si="4"/>
        <v>10</v>
      </c>
      <c r="BS38" s="21">
        <f t="shared" si="8"/>
        <v>72</v>
      </c>
      <c r="BT38" s="13"/>
    </row>
    <row r="39" spans="1:72" x14ac:dyDescent="0.2">
      <c r="A39" t="s">
        <v>63</v>
      </c>
      <c r="C39" t="s">
        <v>1527</v>
      </c>
      <c r="D39" t="s">
        <v>64</v>
      </c>
      <c r="E39" t="s">
        <v>65</v>
      </c>
      <c r="F39" t="s">
        <v>64</v>
      </c>
      <c r="G39" t="s">
        <v>211</v>
      </c>
      <c r="H39" t="s">
        <v>212</v>
      </c>
      <c r="I39" t="s">
        <v>701</v>
      </c>
      <c r="J39" t="s">
        <v>702</v>
      </c>
      <c r="R39" t="s">
        <v>1528</v>
      </c>
      <c r="T39" t="s">
        <v>1529</v>
      </c>
      <c r="U39" s="2">
        <v>41255</v>
      </c>
      <c r="V39">
        <v>12</v>
      </c>
      <c r="W39">
        <v>12</v>
      </c>
      <c r="X39">
        <v>2012</v>
      </c>
      <c r="Y39">
        <f>-0.39095/-79.2101666667</f>
        <v>4.9356038050650331E-3</v>
      </c>
      <c r="Z39" t="s">
        <v>72</v>
      </c>
      <c r="AA39">
        <v>-0.39095000000000002</v>
      </c>
      <c r="AB39">
        <v>-79.210166666700005</v>
      </c>
      <c r="AD39" t="s">
        <v>96</v>
      </c>
      <c r="AE39" t="s">
        <v>74</v>
      </c>
      <c r="AI39" t="s">
        <v>226</v>
      </c>
      <c r="AO39" t="s">
        <v>76</v>
      </c>
      <c r="AP39" s="20" t="str">
        <f t="shared" si="0"/>
        <v>13</v>
      </c>
      <c r="AU39" t="s">
        <v>344</v>
      </c>
      <c r="AV39" s="20" t="str">
        <f t="shared" si="1"/>
        <v>16</v>
      </c>
      <c r="BD39" t="s">
        <v>258</v>
      </c>
      <c r="BH39" t="s">
        <v>78</v>
      </c>
      <c r="BL39" t="s">
        <v>712</v>
      </c>
      <c r="BM39" s="20" t="str">
        <f t="shared" si="6"/>
        <v>71</v>
      </c>
      <c r="BN39" t="s">
        <v>1379</v>
      </c>
      <c r="BO39" s="20" t="str">
        <f t="shared" si="7"/>
        <v>143</v>
      </c>
      <c r="BQ39" t="s">
        <v>516</v>
      </c>
      <c r="BR39" s="20" t="str">
        <f t="shared" si="4"/>
        <v>7</v>
      </c>
      <c r="BS39" s="21">
        <f t="shared" si="8"/>
        <v>72</v>
      </c>
    </row>
    <row r="40" spans="1:72" s="10" customFormat="1" x14ac:dyDescent="0.2">
      <c r="A40" t="s">
        <v>63</v>
      </c>
      <c r="B40"/>
      <c r="C40" t="s">
        <v>713</v>
      </c>
      <c r="D40" t="s">
        <v>64</v>
      </c>
      <c r="E40" t="s">
        <v>65</v>
      </c>
      <c r="F40" t="s">
        <v>64</v>
      </c>
      <c r="G40" t="s">
        <v>211</v>
      </c>
      <c r="H40" t="s">
        <v>212</v>
      </c>
      <c r="I40" t="s">
        <v>701</v>
      </c>
      <c r="J40" t="s">
        <v>702</v>
      </c>
      <c r="K40"/>
      <c r="L40">
        <v>2589</v>
      </c>
      <c r="M40">
        <v>2589</v>
      </c>
      <c r="N40">
        <v>8494</v>
      </c>
      <c r="O40">
        <v>8494</v>
      </c>
      <c r="P40" t="s">
        <v>703</v>
      </c>
      <c r="Q40"/>
      <c r="R40" t="s">
        <v>704</v>
      </c>
      <c r="S40"/>
      <c r="T40" t="s">
        <v>705</v>
      </c>
      <c r="U40" s="2">
        <v>41219</v>
      </c>
      <c r="V40">
        <v>6</v>
      </c>
      <c r="W40">
        <v>11</v>
      </c>
      <c r="X40">
        <v>2012</v>
      </c>
      <c r="Y40">
        <f>-0.2479166667/-78.3570166667</f>
        <v>3.1639370313770393E-3</v>
      </c>
      <c r="Z40" t="s">
        <v>72</v>
      </c>
      <c r="AA40">
        <v>-0.24791666670000001</v>
      </c>
      <c r="AB40">
        <v>-78.357016666700005</v>
      </c>
      <c r="AC40"/>
      <c r="AD40" t="s">
        <v>96</v>
      </c>
      <c r="AE40" t="s">
        <v>74</v>
      </c>
      <c r="AF40"/>
      <c r="AG40"/>
      <c r="AH40"/>
      <c r="AI40" t="s">
        <v>75</v>
      </c>
      <c r="AJ40"/>
      <c r="AK40"/>
      <c r="AL40"/>
      <c r="AM40"/>
      <c r="AN40"/>
      <c r="AO40" t="s">
        <v>88</v>
      </c>
      <c r="AP40" s="20" t="str">
        <f t="shared" si="0"/>
        <v>15</v>
      </c>
      <c r="AQ40"/>
      <c r="AR40"/>
      <c r="AS40"/>
      <c r="AT40"/>
      <c r="AU40" t="s">
        <v>121</v>
      </c>
      <c r="AV40" s="20" t="str">
        <f t="shared" si="1"/>
        <v>18</v>
      </c>
      <c r="AW40"/>
      <c r="AX40"/>
      <c r="AY40"/>
      <c r="AZ40"/>
      <c r="BA40"/>
      <c r="BB40"/>
      <c r="BC40"/>
      <c r="BD40" t="s">
        <v>258</v>
      </c>
      <c r="BE40" s="20"/>
      <c r="BF40"/>
      <c r="BG40"/>
      <c r="BH40" t="s">
        <v>78</v>
      </c>
      <c r="BI40"/>
      <c r="BJ40"/>
      <c r="BK40"/>
      <c r="BL40" t="s">
        <v>645</v>
      </c>
      <c r="BM40" s="20" t="str">
        <f t="shared" si="6"/>
        <v>68</v>
      </c>
      <c r="BN40" t="s">
        <v>714</v>
      </c>
      <c r="BO40" s="20" t="str">
        <f t="shared" si="7"/>
        <v>140</v>
      </c>
      <c r="BP40"/>
      <c r="BQ40" t="s">
        <v>424</v>
      </c>
      <c r="BR40" s="20" t="str">
        <f t="shared" si="4"/>
        <v>8.75</v>
      </c>
      <c r="BS40" s="21">
        <f t="shared" si="8"/>
        <v>72</v>
      </c>
      <c r="BT40" s="13"/>
    </row>
    <row r="41" spans="1:72" s="13" customFormat="1" x14ac:dyDescent="0.2">
      <c r="A41" s="13" t="s">
        <v>63</v>
      </c>
      <c r="C41" s="13" t="s">
        <v>1908</v>
      </c>
      <c r="D41" s="13" t="s">
        <v>64</v>
      </c>
      <c r="E41" s="13" t="s">
        <v>65</v>
      </c>
      <c r="F41" s="13" t="s">
        <v>64</v>
      </c>
      <c r="G41" s="13" t="s">
        <v>1886</v>
      </c>
      <c r="H41" s="13" t="s">
        <v>212</v>
      </c>
      <c r="I41" s="13" t="s">
        <v>1887</v>
      </c>
      <c r="J41" s="13" t="s">
        <v>1888</v>
      </c>
      <c r="L41" s="13">
        <v>3060</v>
      </c>
      <c r="M41" s="13">
        <v>3060</v>
      </c>
      <c r="N41" s="13">
        <v>3060</v>
      </c>
      <c r="O41" s="13">
        <v>3060</v>
      </c>
      <c r="P41" s="13" t="s">
        <v>1909</v>
      </c>
      <c r="R41" s="13" t="s">
        <v>1910</v>
      </c>
      <c r="T41" s="13" t="s">
        <v>1911</v>
      </c>
      <c r="U41" s="14">
        <v>41864</v>
      </c>
      <c r="V41" s="13">
        <v>13</v>
      </c>
      <c r="W41" s="13">
        <v>8</v>
      </c>
      <c r="X41" s="13">
        <v>2014</v>
      </c>
      <c r="Y41" s="13">
        <f>-16.6022333333/-68.0650833333</f>
        <v>0.24391703528815872</v>
      </c>
      <c r="Z41" s="13" t="s">
        <v>72</v>
      </c>
      <c r="AA41" s="13">
        <v>-16.602233333299999</v>
      </c>
      <c r="AB41" s="13">
        <v>-68.065083333299995</v>
      </c>
      <c r="AC41" s="13">
        <v>100</v>
      </c>
      <c r="AD41" s="13" t="s">
        <v>73</v>
      </c>
      <c r="AE41" s="13" t="s">
        <v>74</v>
      </c>
      <c r="AI41" s="13" t="s">
        <v>203</v>
      </c>
      <c r="AO41" s="13" t="s">
        <v>207</v>
      </c>
      <c r="AP41" s="20" t="str">
        <f t="shared" si="0"/>
        <v>13.5</v>
      </c>
      <c r="AU41" s="13" t="s">
        <v>630</v>
      </c>
      <c r="AV41" s="20" t="str">
        <f t="shared" si="1"/>
        <v>19.5</v>
      </c>
      <c r="BE41" s="20"/>
      <c r="BH41" s="13" t="s">
        <v>78</v>
      </c>
      <c r="BL41" s="13" t="s">
        <v>208</v>
      </c>
      <c r="BM41" s="20" t="str">
        <f t="shared" si="6"/>
        <v>80</v>
      </c>
      <c r="BN41" s="13" t="s">
        <v>326</v>
      </c>
      <c r="BO41" s="20" t="str">
        <f t="shared" si="7"/>
        <v>152</v>
      </c>
      <c r="BQ41" s="13" t="s">
        <v>1912</v>
      </c>
      <c r="BR41" s="20" t="str">
        <f t="shared" si="4"/>
        <v>9.3</v>
      </c>
      <c r="BS41" s="21">
        <f t="shared" si="8"/>
        <v>72</v>
      </c>
      <c r="BT41"/>
    </row>
    <row r="42" spans="1:72" s="13" customFormat="1" x14ac:dyDescent="0.2">
      <c r="A42" s="13" t="s">
        <v>63</v>
      </c>
      <c r="C42" s="13" t="s">
        <v>1381</v>
      </c>
      <c r="D42" s="13" t="s">
        <v>64</v>
      </c>
      <c r="E42" s="13" t="s">
        <v>65</v>
      </c>
      <c r="F42" s="13" t="s">
        <v>64</v>
      </c>
      <c r="G42" s="13" t="s">
        <v>211</v>
      </c>
      <c r="H42" s="13" t="s">
        <v>212</v>
      </c>
      <c r="I42" s="13" t="s">
        <v>701</v>
      </c>
      <c r="J42" s="13" t="s">
        <v>1342</v>
      </c>
      <c r="L42" s="13">
        <v>16</v>
      </c>
      <c r="M42" s="13">
        <v>16</v>
      </c>
      <c r="N42" s="13">
        <v>54</v>
      </c>
      <c r="O42" s="13">
        <v>54</v>
      </c>
      <c r="P42" s="13" t="s">
        <v>310</v>
      </c>
      <c r="R42" s="13" t="s">
        <v>1368</v>
      </c>
      <c r="T42" s="13" t="s">
        <v>1369</v>
      </c>
      <c r="U42" s="14">
        <v>41243</v>
      </c>
      <c r="V42" s="13">
        <v>30</v>
      </c>
      <c r="W42" s="13">
        <v>11</v>
      </c>
      <c r="X42" s="13">
        <v>2012</v>
      </c>
      <c r="Y42" s="13">
        <f>-0.8503166667/-80.164</f>
        <v>1.0607213545980739E-2</v>
      </c>
      <c r="Z42" s="13" t="s">
        <v>72</v>
      </c>
      <c r="AA42" s="13">
        <v>-0.85031666669999995</v>
      </c>
      <c r="AB42" s="13">
        <v>-80.164000000000001</v>
      </c>
      <c r="AD42" s="13" t="s">
        <v>96</v>
      </c>
      <c r="AE42" s="13" t="s">
        <v>74</v>
      </c>
      <c r="AI42" s="13" t="s">
        <v>226</v>
      </c>
      <c r="AO42" s="13" t="s">
        <v>87</v>
      </c>
      <c r="AP42" s="20" t="str">
        <f t="shared" si="0"/>
        <v>14</v>
      </c>
      <c r="AU42" s="13" t="s">
        <v>82</v>
      </c>
      <c r="AV42" s="20" t="str">
        <f t="shared" si="1"/>
        <v>17</v>
      </c>
      <c r="BD42" s="13" t="s">
        <v>1382</v>
      </c>
      <c r="BE42" s="20"/>
      <c r="BH42" s="13" t="s">
        <v>83</v>
      </c>
      <c r="BL42" s="13" t="s">
        <v>433</v>
      </c>
      <c r="BM42" s="20" t="str">
        <f t="shared" si="6"/>
        <v>65</v>
      </c>
      <c r="BN42" s="13" t="s">
        <v>1207</v>
      </c>
      <c r="BO42" s="20" t="str">
        <f t="shared" si="7"/>
        <v>137</v>
      </c>
      <c r="BQ42" s="13" t="s">
        <v>259</v>
      </c>
      <c r="BR42" s="20" t="str">
        <f t="shared" si="4"/>
        <v>7.5</v>
      </c>
      <c r="BS42" s="21">
        <f t="shared" si="8"/>
        <v>72</v>
      </c>
      <c r="BT42"/>
    </row>
    <row r="43" spans="1:72" x14ac:dyDescent="0.2">
      <c r="A43" s="4" t="s">
        <v>63</v>
      </c>
      <c r="B43" s="4" t="s">
        <v>2173</v>
      </c>
      <c r="C43" s="4" t="s">
        <v>1699</v>
      </c>
      <c r="D43" s="4" t="s">
        <v>64</v>
      </c>
      <c r="E43" s="4" t="s">
        <v>65</v>
      </c>
      <c r="F43" s="4" t="s">
        <v>64</v>
      </c>
      <c r="G43" s="4" t="s">
        <v>134</v>
      </c>
      <c r="H43" s="4" t="s">
        <v>67</v>
      </c>
      <c r="I43" s="4" t="s">
        <v>68</v>
      </c>
      <c r="J43" s="4" t="s">
        <v>1618</v>
      </c>
      <c r="K43" s="4" t="s">
        <v>1619</v>
      </c>
      <c r="L43" s="4">
        <v>141</v>
      </c>
      <c r="M43" s="4">
        <v>141</v>
      </c>
      <c r="N43" s="4">
        <v>141</v>
      </c>
      <c r="O43" s="4">
        <v>141</v>
      </c>
      <c r="P43" s="4" t="s">
        <v>1700</v>
      </c>
      <c r="Q43" s="4"/>
      <c r="R43" s="4" t="s">
        <v>1701</v>
      </c>
      <c r="S43" s="4"/>
      <c r="T43" s="4" t="s">
        <v>1702</v>
      </c>
      <c r="U43" s="5">
        <v>41106</v>
      </c>
      <c r="V43" s="4">
        <v>16</v>
      </c>
      <c r="W43" s="4">
        <v>7</v>
      </c>
      <c r="X43" s="4">
        <v>2012</v>
      </c>
      <c r="Y43" s="4" t="s">
        <v>1703</v>
      </c>
      <c r="Z43" s="4" t="s">
        <v>72</v>
      </c>
      <c r="AA43" s="4">
        <v>43.972810000000003</v>
      </c>
      <c r="AB43" s="4">
        <v>-72.09393</v>
      </c>
      <c r="AC43" s="4"/>
      <c r="AD43" s="4" t="s">
        <v>73</v>
      </c>
      <c r="AE43" s="4" t="s">
        <v>74</v>
      </c>
      <c r="AF43" s="4"/>
      <c r="AG43" s="4"/>
      <c r="AH43" s="4"/>
      <c r="AI43" s="4"/>
      <c r="AJ43" s="4"/>
      <c r="AK43" s="4"/>
      <c r="AL43" s="4"/>
      <c r="AM43" s="4"/>
      <c r="AN43" s="4"/>
      <c r="AO43" s="4" t="s">
        <v>76</v>
      </c>
      <c r="AP43" s="20" t="str">
        <f t="shared" si="0"/>
        <v>13</v>
      </c>
      <c r="AQ43" s="4"/>
      <c r="AR43" s="4"/>
      <c r="AS43" s="4"/>
      <c r="AT43" s="4"/>
      <c r="AU43" s="4" t="s">
        <v>121</v>
      </c>
      <c r="AV43" s="20" t="str">
        <f t="shared" si="1"/>
        <v>18</v>
      </c>
      <c r="AW43" s="4"/>
      <c r="AX43" s="4"/>
      <c r="AY43" s="4"/>
      <c r="AZ43" s="4"/>
      <c r="BA43" s="4"/>
      <c r="BB43" s="4"/>
      <c r="BC43" s="4"/>
      <c r="BD43" s="4" t="s">
        <v>152</v>
      </c>
      <c r="BF43" s="4"/>
      <c r="BG43" s="4"/>
      <c r="BH43" s="4" t="s">
        <v>78</v>
      </c>
      <c r="BI43" s="4"/>
      <c r="BJ43" s="4"/>
      <c r="BK43" s="4"/>
      <c r="BL43" s="4" t="s">
        <v>433</v>
      </c>
      <c r="BM43" s="20" t="str">
        <f t="shared" si="6"/>
        <v>65</v>
      </c>
      <c r="BN43" s="4" t="s">
        <v>1361</v>
      </c>
      <c r="BO43" s="20" t="str">
        <f t="shared" si="7"/>
        <v>138</v>
      </c>
      <c r="BP43" s="4"/>
      <c r="BQ43" s="4" t="s">
        <v>275</v>
      </c>
      <c r="BR43" s="20" t="str">
        <f t="shared" si="4"/>
        <v>11</v>
      </c>
      <c r="BS43" s="21">
        <f t="shared" si="8"/>
        <v>73</v>
      </c>
    </row>
    <row r="44" spans="1:72" s="13" customFormat="1" x14ac:dyDescent="0.2">
      <c r="A44" t="s">
        <v>63</v>
      </c>
      <c r="B44" t="s">
        <v>2301</v>
      </c>
      <c r="C44" t="s">
        <v>940</v>
      </c>
      <c r="D44" t="s">
        <v>64</v>
      </c>
      <c r="E44" t="s">
        <v>65</v>
      </c>
      <c r="F44" t="s">
        <v>64</v>
      </c>
      <c r="G44" t="s">
        <v>615</v>
      </c>
      <c r="H44" t="s">
        <v>67</v>
      </c>
      <c r="I44" t="s">
        <v>788</v>
      </c>
      <c r="J44" t="s">
        <v>789</v>
      </c>
      <c r="K44" t="s">
        <v>925</v>
      </c>
      <c r="L44">
        <v>623</v>
      </c>
      <c r="M44">
        <v>623</v>
      </c>
      <c r="N44">
        <v>2044</v>
      </c>
      <c r="O44">
        <v>2044</v>
      </c>
      <c r="P44" t="s">
        <v>935</v>
      </c>
      <c r="Q44"/>
      <c r="R44" t="s">
        <v>936</v>
      </c>
      <c r="S44" t="s">
        <v>937</v>
      </c>
      <c r="T44" t="s">
        <v>938</v>
      </c>
      <c r="U44" s="2">
        <v>41117</v>
      </c>
      <c r="V44">
        <v>27</v>
      </c>
      <c r="W44">
        <v>7</v>
      </c>
      <c r="X44">
        <v>2012</v>
      </c>
      <c r="Y44" t="s">
        <v>939</v>
      </c>
      <c r="Z44" t="s">
        <v>72</v>
      </c>
      <c r="AA44">
        <v>53.842983333299998</v>
      </c>
      <c r="AB44">
        <v>-113.2999333333</v>
      </c>
      <c r="AC44"/>
      <c r="AD44" t="s">
        <v>73</v>
      </c>
      <c r="AE44" t="s">
        <v>74</v>
      </c>
      <c r="AF44"/>
      <c r="AG44"/>
      <c r="AH44"/>
      <c r="AI44" t="s">
        <v>75</v>
      </c>
      <c r="AJ44"/>
      <c r="AK44"/>
      <c r="AL44"/>
      <c r="AM44"/>
      <c r="AN44"/>
      <c r="AO44" t="s">
        <v>76</v>
      </c>
      <c r="AP44" s="20" t="str">
        <f t="shared" si="0"/>
        <v>13</v>
      </c>
      <c r="AQ44"/>
      <c r="AR44"/>
      <c r="AS44"/>
      <c r="AT44"/>
      <c r="AU44" t="s">
        <v>135</v>
      </c>
      <c r="AV44" s="20" t="str">
        <f t="shared" si="1"/>
        <v>17.9</v>
      </c>
      <c r="AW44"/>
      <c r="AX44"/>
      <c r="AY44"/>
      <c r="AZ44"/>
      <c r="BA44"/>
      <c r="BB44"/>
      <c r="BC44"/>
      <c r="BD44" t="s">
        <v>258</v>
      </c>
      <c r="BE44" s="20"/>
      <c r="BF44"/>
      <c r="BG44"/>
      <c r="BH44" t="s">
        <v>78</v>
      </c>
      <c r="BI44"/>
      <c r="BJ44"/>
      <c r="BK44"/>
      <c r="BL44" t="s">
        <v>363</v>
      </c>
      <c r="BM44" s="20" t="str">
        <f t="shared" si="6"/>
        <v>72</v>
      </c>
      <c r="BN44" t="s">
        <v>941</v>
      </c>
      <c r="BO44" s="20" t="str">
        <f t="shared" si="7"/>
        <v>145.5</v>
      </c>
      <c r="BP44"/>
      <c r="BQ44" t="s">
        <v>942</v>
      </c>
      <c r="BR44" s="20" t="str">
        <f t="shared" si="4"/>
        <v>8.9</v>
      </c>
      <c r="BS44" s="21">
        <f t="shared" si="8"/>
        <v>73.5</v>
      </c>
      <c r="BT44"/>
    </row>
    <row r="45" spans="1:72" s="13" customFormat="1" x14ac:dyDescent="0.2">
      <c r="A45" s="4" t="s">
        <v>63</v>
      </c>
      <c r="B45" s="4" t="s">
        <v>2117</v>
      </c>
      <c r="C45" s="4" t="s">
        <v>1743</v>
      </c>
      <c r="D45" s="4" t="s">
        <v>64</v>
      </c>
      <c r="E45" s="4" t="s">
        <v>65</v>
      </c>
      <c r="F45" s="4" t="s">
        <v>64</v>
      </c>
      <c r="G45" s="4" t="s">
        <v>134</v>
      </c>
      <c r="H45" s="4" t="s">
        <v>67</v>
      </c>
      <c r="I45" s="4" t="s">
        <v>68</v>
      </c>
      <c r="J45" s="4" t="s">
        <v>183</v>
      </c>
      <c r="K45" s="4" t="s">
        <v>184</v>
      </c>
      <c r="L45" s="4">
        <v>16</v>
      </c>
      <c r="M45" s="4">
        <v>16</v>
      </c>
      <c r="N45" s="4">
        <v>16</v>
      </c>
      <c r="O45" s="4">
        <v>16</v>
      </c>
      <c r="P45" s="4" t="s">
        <v>310</v>
      </c>
      <c r="Q45" s="4"/>
      <c r="R45" s="4" t="s">
        <v>1744</v>
      </c>
      <c r="S45" s="4"/>
      <c r="T45" s="4" t="s">
        <v>1600</v>
      </c>
      <c r="U45" s="5">
        <v>41054</v>
      </c>
      <c r="V45" s="4">
        <v>25</v>
      </c>
      <c r="W45" s="4">
        <v>5</v>
      </c>
      <c r="X45" s="4">
        <v>2012</v>
      </c>
      <c r="Y45" s="4" t="s">
        <v>1745</v>
      </c>
      <c r="Z45" s="4" t="s">
        <v>72</v>
      </c>
      <c r="AA45" s="4">
        <v>29.100660000000001</v>
      </c>
      <c r="AB45" s="4">
        <v>-82.141919999999999</v>
      </c>
      <c r="AC45" s="4"/>
      <c r="AD45" s="4" t="s">
        <v>73</v>
      </c>
      <c r="AE45" s="4" t="s">
        <v>74</v>
      </c>
      <c r="AF45" s="4"/>
      <c r="AG45" s="4"/>
      <c r="AH45" s="4"/>
      <c r="AI45" s="4"/>
      <c r="AJ45" s="4"/>
      <c r="AK45" s="4"/>
      <c r="AL45" s="4"/>
      <c r="AM45" s="4"/>
      <c r="AN45" s="4"/>
      <c r="AO45" s="4" t="s">
        <v>76</v>
      </c>
      <c r="AP45" s="20" t="str">
        <f t="shared" si="0"/>
        <v>13</v>
      </c>
      <c r="AQ45" s="4"/>
      <c r="AR45" s="4"/>
      <c r="AS45" s="4"/>
      <c r="AT45" s="4"/>
      <c r="AU45" s="4" t="s">
        <v>653</v>
      </c>
      <c r="AV45" s="20" t="str">
        <f t="shared" si="1"/>
        <v>17.5</v>
      </c>
      <c r="AW45" s="4"/>
      <c r="AX45" s="4"/>
      <c r="AY45" s="4"/>
      <c r="AZ45" s="4"/>
      <c r="BA45" s="4"/>
      <c r="BB45" s="4"/>
      <c r="BC45" s="4"/>
      <c r="BD45" s="4" t="s">
        <v>1606</v>
      </c>
      <c r="BE45" s="20"/>
      <c r="BF45" s="4"/>
      <c r="BG45" s="4"/>
      <c r="BH45" s="4" t="s">
        <v>78</v>
      </c>
      <c r="BI45" s="4"/>
      <c r="BJ45" s="4"/>
      <c r="BK45" s="4"/>
      <c r="BL45" s="4" t="s">
        <v>197</v>
      </c>
      <c r="BM45" s="20" t="str">
        <f t="shared" si="6"/>
        <v>74</v>
      </c>
      <c r="BN45" s="4" t="s">
        <v>380</v>
      </c>
      <c r="BO45" s="20" t="str">
        <f t="shared" si="7"/>
        <v>148</v>
      </c>
      <c r="BP45" s="4"/>
      <c r="BQ45" s="4" t="s">
        <v>408</v>
      </c>
      <c r="BR45" s="20" t="str">
        <f t="shared" si="4"/>
        <v>12</v>
      </c>
      <c r="BS45" s="21">
        <f t="shared" si="8"/>
        <v>74</v>
      </c>
      <c r="BT45" s="10"/>
    </row>
    <row r="46" spans="1:72" s="13" customFormat="1" x14ac:dyDescent="0.2">
      <c r="A46" t="s">
        <v>63</v>
      </c>
      <c r="B46"/>
      <c r="C46" t="s">
        <v>1329</v>
      </c>
      <c r="D46" t="s">
        <v>64</v>
      </c>
      <c r="E46" t="s">
        <v>65</v>
      </c>
      <c r="F46" t="s">
        <v>64</v>
      </c>
      <c r="G46" t="s">
        <v>211</v>
      </c>
      <c r="H46" t="s">
        <v>212</v>
      </c>
      <c r="I46" t="s">
        <v>701</v>
      </c>
      <c r="J46" t="s">
        <v>734</v>
      </c>
      <c r="K46"/>
      <c r="L46">
        <v>2872</v>
      </c>
      <c r="M46">
        <v>2872</v>
      </c>
      <c r="N46">
        <v>9424</v>
      </c>
      <c r="O46">
        <v>9424</v>
      </c>
      <c r="P46" t="s">
        <v>1330</v>
      </c>
      <c r="Q46"/>
      <c r="R46" t="s">
        <v>1331</v>
      </c>
      <c r="S46"/>
      <c r="T46" t="s">
        <v>1332</v>
      </c>
      <c r="U46" s="2">
        <v>41230</v>
      </c>
      <c r="V46">
        <v>17</v>
      </c>
      <c r="W46">
        <v>11</v>
      </c>
      <c r="X46">
        <v>2012</v>
      </c>
      <c r="Y46">
        <f>-0.8626666667/-78.64425</f>
        <v>1.0969227460367414E-2</v>
      </c>
      <c r="Z46" t="s">
        <v>72</v>
      </c>
      <c r="AA46">
        <v>-0.86266666670000003</v>
      </c>
      <c r="AB46">
        <v>-78.64425</v>
      </c>
      <c r="AC46"/>
      <c r="AD46" t="s">
        <v>96</v>
      </c>
      <c r="AE46" t="s">
        <v>74</v>
      </c>
      <c r="AF46"/>
      <c r="AG46"/>
      <c r="AH46"/>
      <c r="AI46" t="s">
        <v>75</v>
      </c>
      <c r="AJ46"/>
      <c r="AK46"/>
      <c r="AL46"/>
      <c r="AM46"/>
      <c r="AN46"/>
      <c r="AO46" t="s">
        <v>236</v>
      </c>
      <c r="AP46" s="20" t="str">
        <f t="shared" si="0"/>
        <v>11</v>
      </c>
      <c r="AQ46"/>
      <c r="AR46"/>
      <c r="AS46"/>
      <c r="AT46"/>
      <c r="AU46" t="s">
        <v>344</v>
      </c>
      <c r="AV46" s="20" t="str">
        <f t="shared" si="1"/>
        <v>16</v>
      </c>
      <c r="AW46"/>
      <c r="AX46"/>
      <c r="AY46"/>
      <c r="AZ46"/>
      <c r="BA46"/>
      <c r="BB46"/>
      <c r="BC46"/>
      <c r="BD46" t="s">
        <v>258</v>
      </c>
      <c r="BE46" s="20"/>
      <c r="BF46"/>
      <c r="BG46"/>
      <c r="BH46" t="s">
        <v>78</v>
      </c>
      <c r="BI46"/>
      <c r="BJ46"/>
      <c r="BK46"/>
      <c r="BL46" t="s">
        <v>253</v>
      </c>
      <c r="BM46" s="20" t="str">
        <f t="shared" si="6"/>
        <v>70</v>
      </c>
      <c r="BN46" t="s">
        <v>290</v>
      </c>
      <c r="BO46" s="20" t="str">
        <f t="shared" si="7"/>
        <v>144</v>
      </c>
      <c r="BP46"/>
      <c r="BQ46" t="s">
        <v>801</v>
      </c>
      <c r="BR46" s="20" t="str">
        <f t="shared" si="4"/>
        <v>9.5</v>
      </c>
      <c r="BS46" s="21">
        <f t="shared" si="8"/>
        <v>74</v>
      </c>
    </row>
    <row r="47" spans="1:72" s="13" customFormat="1" x14ac:dyDescent="0.2">
      <c r="A47" t="s">
        <v>63</v>
      </c>
      <c r="B47" t="s">
        <v>2344</v>
      </c>
      <c r="C47" t="s">
        <v>993</v>
      </c>
      <c r="D47" t="s">
        <v>64</v>
      </c>
      <c r="E47" t="s">
        <v>65</v>
      </c>
      <c r="F47" t="s">
        <v>64</v>
      </c>
      <c r="G47" t="s">
        <v>615</v>
      </c>
      <c r="H47" t="s">
        <v>67</v>
      </c>
      <c r="I47" t="s">
        <v>68</v>
      </c>
      <c r="J47" t="s">
        <v>69</v>
      </c>
      <c r="K47" t="s">
        <v>70</v>
      </c>
      <c r="L47">
        <v>690</v>
      </c>
      <c r="M47">
        <v>690</v>
      </c>
      <c r="N47">
        <v>2264</v>
      </c>
      <c r="O47">
        <v>2264</v>
      </c>
      <c r="P47" t="s">
        <v>980</v>
      </c>
      <c r="Q47"/>
      <c r="R47" t="s">
        <v>981</v>
      </c>
      <c r="S47" t="s">
        <v>982</v>
      </c>
      <c r="T47" t="s">
        <v>983</v>
      </c>
      <c r="U47" s="2">
        <v>41171</v>
      </c>
      <c r="V47">
        <v>19</v>
      </c>
      <c r="W47">
        <v>9</v>
      </c>
      <c r="X47">
        <v>2012</v>
      </c>
      <c r="Y47" t="s">
        <v>984</v>
      </c>
      <c r="Z47" t="s">
        <v>72</v>
      </c>
      <c r="AA47">
        <v>32.290550000000003</v>
      </c>
      <c r="AB47">
        <v>-111.02079999999999</v>
      </c>
      <c r="AC47"/>
      <c r="AD47" t="s">
        <v>73</v>
      </c>
      <c r="AE47" t="s">
        <v>74</v>
      </c>
      <c r="AF47"/>
      <c r="AG47"/>
      <c r="AH47"/>
      <c r="AI47" t="s">
        <v>203</v>
      </c>
      <c r="AJ47"/>
      <c r="AK47"/>
      <c r="AL47"/>
      <c r="AM47"/>
      <c r="AN47"/>
      <c r="AO47" t="s">
        <v>87</v>
      </c>
      <c r="AP47" s="20" t="str">
        <f t="shared" si="0"/>
        <v>14</v>
      </c>
      <c r="AQ47"/>
      <c r="AR47"/>
      <c r="AS47"/>
      <c r="AT47"/>
      <c r="AU47" t="s">
        <v>130</v>
      </c>
      <c r="AV47" s="20" t="str">
        <f t="shared" si="1"/>
        <v>19</v>
      </c>
      <c r="AW47"/>
      <c r="AX47"/>
      <c r="AY47"/>
      <c r="AZ47"/>
      <c r="BA47"/>
      <c r="BB47"/>
      <c r="BC47"/>
      <c r="BD47" t="s">
        <v>258</v>
      </c>
      <c r="BE47" s="20"/>
      <c r="BF47"/>
      <c r="BG47"/>
      <c r="BH47" t="s">
        <v>78</v>
      </c>
      <c r="BI47"/>
      <c r="BJ47"/>
      <c r="BK47"/>
      <c r="BL47" t="s">
        <v>147</v>
      </c>
      <c r="BM47" s="20" t="str">
        <f t="shared" si="6"/>
        <v>84</v>
      </c>
      <c r="BN47" t="s">
        <v>569</v>
      </c>
      <c r="BO47" s="20" t="str">
        <f t="shared" si="7"/>
        <v>158</v>
      </c>
      <c r="BP47"/>
      <c r="BQ47" t="s">
        <v>994</v>
      </c>
      <c r="BR47" s="20" t="str">
        <f t="shared" si="4"/>
        <v>11.7</v>
      </c>
      <c r="BS47" s="21">
        <f t="shared" si="8"/>
        <v>74</v>
      </c>
      <c r="BT47" s="19"/>
    </row>
    <row r="48" spans="1:72" s="13" customFormat="1" x14ac:dyDescent="0.2">
      <c r="A48" t="s">
        <v>63</v>
      </c>
      <c r="B48" t="s">
        <v>2303</v>
      </c>
      <c r="C48" t="s">
        <v>799</v>
      </c>
      <c r="D48" t="s">
        <v>64</v>
      </c>
      <c r="E48" t="s">
        <v>65</v>
      </c>
      <c r="F48" t="s">
        <v>64</v>
      </c>
      <c r="G48" t="s">
        <v>615</v>
      </c>
      <c r="H48" t="s">
        <v>67</v>
      </c>
      <c r="I48" t="s">
        <v>788</v>
      </c>
      <c r="J48" t="s">
        <v>789</v>
      </c>
      <c r="K48"/>
      <c r="L48">
        <v>702</v>
      </c>
      <c r="M48">
        <v>702</v>
      </c>
      <c r="N48">
        <v>2303</v>
      </c>
      <c r="O48">
        <v>2303</v>
      </c>
      <c r="P48" t="s">
        <v>795</v>
      </c>
      <c r="Q48"/>
      <c r="R48" t="s">
        <v>796</v>
      </c>
      <c r="S48" t="s">
        <v>797</v>
      </c>
      <c r="T48" t="s">
        <v>800</v>
      </c>
      <c r="U48" s="2">
        <v>41114</v>
      </c>
      <c r="V48">
        <v>24</v>
      </c>
      <c r="W48">
        <v>7</v>
      </c>
      <c r="X48">
        <v>2012</v>
      </c>
      <c r="Y48" t="s">
        <v>798</v>
      </c>
      <c r="Z48" t="s">
        <v>72</v>
      </c>
      <c r="AA48">
        <v>53.501033333300001</v>
      </c>
      <c r="AB48">
        <v>-113.5347</v>
      </c>
      <c r="AC48"/>
      <c r="AD48" t="s">
        <v>73</v>
      </c>
      <c r="AE48" t="s">
        <v>74</v>
      </c>
      <c r="AF48"/>
      <c r="AG48"/>
      <c r="AH48"/>
      <c r="AI48" t="s">
        <v>75</v>
      </c>
      <c r="AJ48"/>
      <c r="AK48"/>
      <c r="AL48"/>
      <c r="AM48"/>
      <c r="AN48"/>
      <c r="AO48" t="s">
        <v>76</v>
      </c>
      <c r="AP48" s="20" t="str">
        <f t="shared" si="0"/>
        <v>13</v>
      </c>
      <c r="AQ48"/>
      <c r="AR48"/>
      <c r="AS48"/>
      <c r="AT48"/>
      <c r="AU48" t="s">
        <v>141</v>
      </c>
      <c r="AV48" s="20" t="str">
        <f t="shared" si="1"/>
        <v>18.5</v>
      </c>
      <c r="AW48"/>
      <c r="AX48"/>
      <c r="AY48"/>
      <c r="AZ48"/>
      <c r="BA48"/>
      <c r="BB48"/>
      <c r="BC48"/>
      <c r="BD48" t="s">
        <v>258</v>
      </c>
      <c r="BE48" s="20"/>
      <c r="BF48"/>
      <c r="BG48"/>
      <c r="BH48" t="s">
        <v>78</v>
      </c>
      <c r="BI48"/>
      <c r="BJ48"/>
      <c r="BK48"/>
      <c r="BL48" t="s">
        <v>98</v>
      </c>
      <c r="BM48" s="20" t="str">
        <f t="shared" si="6"/>
        <v>76</v>
      </c>
      <c r="BN48" t="s">
        <v>364</v>
      </c>
      <c r="BO48" s="20" t="str">
        <f t="shared" si="7"/>
        <v>150</v>
      </c>
      <c r="BP48"/>
      <c r="BQ48" t="s">
        <v>801</v>
      </c>
      <c r="BR48" s="20" t="str">
        <f t="shared" si="4"/>
        <v>9.5</v>
      </c>
      <c r="BS48" s="21">
        <f t="shared" si="8"/>
        <v>74</v>
      </c>
    </row>
    <row r="49" spans="1:72" x14ac:dyDescent="0.2">
      <c r="A49" t="s">
        <v>63</v>
      </c>
      <c r="C49" t="s">
        <v>486</v>
      </c>
      <c r="D49" t="s">
        <v>64</v>
      </c>
      <c r="E49" t="s">
        <v>65</v>
      </c>
      <c r="F49" t="s">
        <v>64</v>
      </c>
      <c r="G49" t="s">
        <v>211</v>
      </c>
      <c r="H49" t="s">
        <v>212</v>
      </c>
      <c r="I49" t="s">
        <v>383</v>
      </c>
      <c r="J49" t="s">
        <v>443</v>
      </c>
      <c r="L49">
        <v>74</v>
      </c>
      <c r="M49">
        <v>74</v>
      </c>
      <c r="N49">
        <v>242</v>
      </c>
      <c r="O49">
        <v>242</v>
      </c>
      <c r="P49" t="s">
        <v>478</v>
      </c>
      <c r="R49" t="s">
        <v>445</v>
      </c>
      <c r="S49" t="s">
        <v>479</v>
      </c>
      <c r="T49" t="s">
        <v>480</v>
      </c>
      <c r="U49" s="2">
        <v>41430</v>
      </c>
      <c r="V49">
        <v>5</v>
      </c>
      <c r="W49">
        <v>6</v>
      </c>
      <c r="X49">
        <v>2013</v>
      </c>
      <c r="Y49">
        <f>-29.8241666667/-57.1931666667</f>
        <v>0.52146381123646968</v>
      </c>
      <c r="Z49" t="s">
        <v>72</v>
      </c>
      <c r="AA49">
        <v>-29.824166666699998</v>
      </c>
      <c r="AB49">
        <v>-57.193166666700002</v>
      </c>
      <c r="AD49" t="s">
        <v>73</v>
      </c>
      <c r="AE49" t="s">
        <v>74</v>
      </c>
      <c r="AI49" t="s">
        <v>226</v>
      </c>
      <c r="AO49" t="s">
        <v>236</v>
      </c>
      <c r="AP49" s="20" t="str">
        <f t="shared" si="0"/>
        <v>11</v>
      </c>
      <c r="AU49" t="s">
        <v>88</v>
      </c>
      <c r="AV49" s="20" t="str">
        <f t="shared" si="1"/>
        <v>15</v>
      </c>
      <c r="BD49" t="s">
        <v>152</v>
      </c>
      <c r="BH49" t="s">
        <v>78</v>
      </c>
      <c r="BL49" t="s">
        <v>487</v>
      </c>
      <c r="BM49" s="20" t="str">
        <f t="shared" si="6"/>
        <v>58</v>
      </c>
      <c r="BN49" t="s">
        <v>333</v>
      </c>
      <c r="BO49" s="20" t="str">
        <f t="shared" si="7"/>
        <v>132</v>
      </c>
      <c r="BQ49" t="s">
        <v>231</v>
      </c>
      <c r="BR49" s="20" t="str">
        <f t="shared" si="4"/>
        <v>6.5</v>
      </c>
      <c r="BS49" s="21">
        <f t="shared" si="8"/>
        <v>74</v>
      </c>
    </row>
    <row r="50" spans="1:72" s="13" customFormat="1" x14ac:dyDescent="0.2">
      <c r="A50" s="7" t="s">
        <v>63</v>
      </c>
      <c r="B50" s="7" t="s">
        <v>2211</v>
      </c>
      <c r="C50" s="7" t="s">
        <v>1107</v>
      </c>
      <c r="D50" s="7" t="s">
        <v>64</v>
      </c>
      <c r="E50" s="7" t="s">
        <v>65</v>
      </c>
      <c r="F50" s="7" t="s">
        <v>64</v>
      </c>
      <c r="G50" s="7" t="s">
        <v>615</v>
      </c>
      <c r="H50" s="7" t="s">
        <v>67</v>
      </c>
      <c r="I50" s="7" t="s">
        <v>68</v>
      </c>
      <c r="J50" s="7" t="s">
        <v>1053</v>
      </c>
      <c r="K50" s="7" t="s">
        <v>1092</v>
      </c>
      <c r="L50" s="7">
        <v>1057</v>
      </c>
      <c r="M50" s="7">
        <v>1057</v>
      </c>
      <c r="N50" s="7">
        <v>3468</v>
      </c>
      <c r="O50" s="7">
        <v>3468</v>
      </c>
      <c r="P50" s="7" t="s">
        <v>1108</v>
      </c>
      <c r="Q50" s="7"/>
      <c r="R50" s="7" t="s">
        <v>1109</v>
      </c>
      <c r="S50" s="7" t="s">
        <v>1110</v>
      </c>
      <c r="T50" s="7" t="s">
        <v>1111</v>
      </c>
      <c r="U50" s="9">
        <v>41083</v>
      </c>
      <c r="V50" s="7">
        <v>23</v>
      </c>
      <c r="W50" s="7">
        <v>6</v>
      </c>
      <c r="X50" s="7">
        <v>2012</v>
      </c>
      <c r="Y50" s="7" t="s">
        <v>1112</v>
      </c>
      <c r="Z50" s="7" t="s">
        <v>72</v>
      </c>
      <c r="AA50" s="7">
        <v>46.339350000000003</v>
      </c>
      <c r="AB50" s="7">
        <v>-114.1146666667</v>
      </c>
      <c r="AC50" s="7"/>
      <c r="AD50" s="7" t="s">
        <v>73</v>
      </c>
      <c r="AE50" s="7" t="s">
        <v>74</v>
      </c>
      <c r="AF50" s="7"/>
      <c r="AG50" s="7"/>
      <c r="AH50" s="7"/>
      <c r="AI50" s="7" t="s">
        <v>226</v>
      </c>
      <c r="AJ50" s="7"/>
      <c r="AK50" s="7"/>
      <c r="AL50" s="7"/>
      <c r="AM50" s="7"/>
      <c r="AN50" s="7"/>
      <c r="AO50" s="7" t="s">
        <v>207</v>
      </c>
      <c r="AP50" s="20" t="str">
        <f t="shared" si="0"/>
        <v>13.5</v>
      </c>
      <c r="AQ50" s="7"/>
      <c r="AR50" s="7"/>
      <c r="AS50" s="7"/>
      <c r="AT50" s="7"/>
      <c r="AU50" s="7" t="s">
        <v>140</v>
      </c>
      <c r="AV50" s="20" t="str">
        <f t="shared" si="1"/>
        <v>19.1</v>
      </c>
      <c r="AW50" s="7"/>
      <c r="AX50" s="7"/>
      <c r="AY50" s="7"/>
      <c r="AZ50" s="7"/>
      <c r="BA50" s="7"/>
      <c r="BB50" s="7"/>
      <c r="BC50" s="7"/>
      <c r="BD50" s="7" t="s">
        <v>1113</v>
      </c>
      <c r="BE50" s="20"/>
      <c r="BF50" s="7"/>
      <c r="BG50" s="7"/>
      <c r="BH50" s="7" t="s">
        <v>78</v>
      </c>
      <c r="BI50" s="7"/>
      <c r="BJ50" s="7"/>
      <c r="BK50" s="7"/>
      <c r="BL50" s="7" t="s">
        <v>84</v>
      </c>
      <c r="BM50" s="20" t="str">
        <f t="shared" si="6"/>
        <v>78</v>
      </c>
      <c r="BN50" s="7" t="s">
        <v>326</v>
      </c>
      <c r="BO50" s="20" t="str">
        <f t="shared" si="7"/>
        <v>152</v>
      </c>
      <c r="BP50" s="7"/>
      <c r="BQ50" s="7" t="s">
        <v>1114</v>
      </c>
      <c r="BR50" s="20" t="str">
        <f t="shared" si="4"/>
        <v>9.6</v>
      </c>
      <c r="BS50" s="21">
        <f t="shared" si="8"/>
        <v>74</v>
      </c>
      <c r="BT50"/>
    </row>
    <row r="51" spans="1:72" s="13" customFormat="1" x14ac:dyDescent="0.2">
      <c r="A51" t="s">
        <v>63</v>
      </c>
      <c r="B51"/>
      <c r="C51" t="s">
        <v>1377</v>
      </c>
      <c r="D51" t="s">
        <v>64</v>
      </c>
      <c r="E51" t="s">
        <v>65</v>
      </c>
      <c r="F51" t="s">
        <v>64</v>
      </c>
      <c r="G51" t="s">
        <v>211</v>
      </c>
      <c r="H51" t="s">
        <v>212</v>
      </c>
      <c r="I51" t="s">
        <v>701</v>
      </c>
      <c r="J51" t="s">
        <v>1342</v>
      </c>
      <c r="K51"/>
      <c r="L51">
        <v>16</v>
      </c>
      <c r="M51">
        <v>16</v>
      </c>
      <c r="N51">
        <v>54</v>
      </c>
      <c r="O51">
        <v>54</v>
      </c>
      <c r="P51" t="s">
        <v>310</v>
      </c>
      <c r="Q51"/>
      <c r="R51" t="s">
        <v>1364</v>
      </c>
      <c r="S51"/>
      <c r="T51" t="s">
        <v>1375</v>
      </c>
      <c r="U51" s="2">
        <v>41243</v>
      </c>
      <c r="V51">
        <v>30</v>
      </c>
      <c r="W51">
        <v>11</v>
      </c>
      <c r="X51">
        <v>2012</v>
      </c>
      <c r="Y51">
        <f>-0.8503166667/-80.164</f>
        <v>1.0607213545980739E-2</v>
      </c>
      <c r="Z51" t="s">
        <v>72</v>
      </c>
      <c r="AA51">
        <v>-0.85031666669999995</v>
      </c>
      <c r="AB51">
        <v>-80.164000000000001</v>
      </c>
      <c r="AC51"/>
      <c r="AD51" t="s">
        <v>96</v>
      </c>
      <c r="AE51" t="s">
        <v>74</v>
      </c>
      <c r="AF51"/>
      <c r="AG51"/>
      <c r="AH51"/>
      <c r="AI51" t="s">
        <v>203</v>
      </c>
      <c r="AJ51"/>
      <c r="AK51"/>
      <c r="AL51"/>
      <c r="AM51"/>
      <c r="AN51"/>
      <c r="AO51" t="s">
        <v>236</v>
      </c>
      <c r="AP51" s="20" t="str">
        <f t="shared" si="0"/>
        <v>11</v>
      </c>
      <c r="AQ51"/>
      <c r="AR51"/>
      <c r="AS51"/>
      <c r="AT51"/>
      <c r="AU51" t="s">
        <v>82</v>
      </c>
      <c r="AV51" s="20" t="str">
        <f t="shared" si="1"/>
        <v>17</v>
      </c>
      <c r="AW51"/>
      <c r="AX51"/>
      <c r="AY51"/>
      <c r="AZ51"/>
      <c r="BA51"/>
      <c r="BB51"/>
      <c r="BC51"/>
      <c r="BD51" t="s">
        <v>1372</v>
      </c>
      <c r="BE51" s="20"/>
      <c r="BF51"/>
      <c r="BG51"/>
      <c r="BH51" t="s">
        <v>83</v>
      </c>
      <c r="BI51"/>
      <c r="BJ51"/>
      <c r="BK51"/>
      <c r="BL51" t="s">
        <v>762</v>
      </c>
      <c r="BM51" s="20" t="str">
        <f t="shared" si="6"/>
        <v>51</v>
      </c>
      <c r="BN51" t="s">
        <v>831</v>
      </c>
      <c r="BO51" s="20" t="str">
        <f t="shared" si="7"/>
        <v>125</v>
      </c>
      <c r="BP51"/>
      <c r="BQ51" t="s">
        <v>434</v>
      </c>
      <c r="BR51" s="20" t="str">
        <f t="shared" si="4"/>
        <v>10.5</v>
      </c>
      <c r="BS51" s="21">
        <f t="shared" si="8"/>
        <v>74</v>
      </c>
      <c r="BT51"/>
    </row>
    <row r="52" spans="1:72" x14ac:dyDescent="0.2">
      <c r="A52" s="4" t="s">
        <v>63</v>
      </c>
      <c r="B52" s="4" t="s">
        <v>2174</v>
      </c>
      <c r="C52" s="4" t="s">
        <v>1713</v>
      </c>
      <c r="D52" s="4" t="s">
        <v>64</v>
      </c>
      <c r="E52" s="4" t="s">
        <v>65</v>
      </c>
      <c r="F52" s="4" t="s">
        <v>64</v>
      </c>
      <c r="G52" s="4" t="s">
        <v>134</v>
      </c>
      <c r="H52" s="4" t="s">
        <v>67</v>
      </c>
      <c r="I52" s="4" t="s">
        <v>68</v>
      </c>
      <c r="J52" s="4" t="s">
        <v>1618</v>
      </c>
      <c r="K52" s="4" t="s">
        <v>1619</v>
      </c>
      <c r="L52" s="4">
        <v>141</v>
      </c>
      <c r="M52" s="4">
        <v>141</v>
      </c>
      <c r="N52" s="4">
        <v>141</v>
      </c>
      <c r="O52" s="4">
        <v>141</v>
      </c>
      <c r="P52" s="4" t="s">
        <v>1700</v>
      </c>
      <c r="Q52" s="4"/>
      <c r="R52" s="4" t="s">
        <v>1701</v>
      </c>
      <c r="S52" s="4"/>
      <c r="T52" s="4" t="s">
        <v>1702</v>
      </c>
      <c r="U52" s="5">
        <v>41111</v>
      </c>
      <c r="V52" s="4">
        <v>21</v>
      </c>
      <c r="W52" s="4">
        <v>7</v>
      </c>
      <c r="X52" s="4">
        <v>2012</v>
      </c>
      <c r="Y52" s="4" t="s">
        <v>1703</v>
      </c>
      <c r="Z52" s="4" t="s">
        <v>72</v>
      </c>
      <c r="AA52" s="4">
        <v>43.972810000000003</v>
      </c>
      <c r="AB52" s="4">
        <v>-72.09393</v>
      </c>
      <c r="AC52" s="4"/>
      <c r="AD52" s="4" t="s">
        <v>73</v>
      </c>
      <c r="AE52" s="4" t="s">
        <v>74</v>
      </c>
      <c r="AF52" s="4"/>
      <c r="AG52" s="4"/>
      <c r="AH52" s="4"/>
      <c r="AI52" s="4"/>
      <c r="AJ52" s="4"/>
      <c r="AK52" s="4"/>
      <c r="AL52" s="4"/>
      <c r="AM52" s="4"/>
      <c r="AN52" s="4"/>
      <c r="AO52" s="4" t="s">
        <v>87</v>
      </c>
      <c r="AP52" s="20" t="str">
        <f t="shared" si="0"/>
        <v>14</v>
      </c>
      <c r="AQ52" s="4"/>
      <c r="AR52" s="4"/>
      <c r="AS52" s="4"/>
      <c r="AT52" s="4"/>
      <c r="AU52" s="4" t="s">
        <v>121</v>
      </c>
      <c r="AV52" s="20" t="str">
        <f t="shared" si="1"/>
        <v>18</v>
      </c>
      <c r="AW52" s="4"/>
      <c r="AX52" s="4"/>
      <c r="AY52" s="4"/>
      <c r="AZ52" s="4"/>
      <c r="BA52" s="4"/>
      <c r="BB52" s="4"/>
      <c r="BC52" s="4"/>
      <c r="BD52" s="4" t="s">
        <v>1639</v>
      </c>
      <c r="BF52" s="4"/>
      <c r="BG52" s="4"/>
      <c r="BH52" s="4" t="s">
        <v>83</v>
      </c>
      <c r="BI52" s="4"/>
      <c r="BJ52" s="4"/>
      <c r="BK52" s="4"/>
      <c r="BL52" s="4" t="s">
        <v>351</v>
      </c>
      <c r="BM52" s="20" t="str">
        <f t="shared" si="6"/>
        <v>77</v>
      </c>
      <c r="BN52" s="4" t="s">
        <v>441</v>
      </c>
      <c r="BO52" s="20" t="str">
        <f t="shared" si="7"/>
        <v>151</v>
      </c>
      <c r="BP52" s="4"/>
      <c r="BQ52" s="4" t="s">
        <v>133</v>
      </c>
      <c r="BR52" s="20" t="str">
        <f t="shared" si="4"/>
        <v>14</v>
      </c>
      <c r="BS52" s="21">
        <f t="shared" si="8"/>
        <v>74</v>
      </c>
    </row>
    <row r="53" spans="1:72" x14ac:dyDescent="0.2">
      <c r="A53" t="s">
        <v>63</v>
      </c>
      <c r="C53" t="s">
        <v>1902</v>
      </c>
      <c r="D53" t="s">
        <v>64</v>
      </c>
      <c r="E53" t="s">
        <v>65</v>
      </c>
      <c r="F53" t="s">
        <v>64</v>
      </c>
      <c r="G53" t="s">
        <v>1886</v>
      </c>
      <c r="H53" t="s">
        <v>212</v>
      </c>
      <c r="I53" t="s">
        <v>1887</v>
      </c>
      <c r="J53" t="s">
        <v>1888</v>
      </c>
      <c r="L53">
        <v>3866</v>
      </c>
      <c r="M53">
        <v>3866</v>
      </c>
      <c r="N53">
        <v>3866</v>
      </c>
      <c r="O53">
        <v>3866</v>
      </c>
      <c r="P53" t="s">
        <v>1893</v>
      </c>
      <c r="R53" t="s">
        <v>1894</v>
      </c>
      <c r="S53" t="s">
        <v>1895</v>
      </c>
      <c r="T53" t="s">
        <v>1896</v>
      </c>
      <c r="U53" s="2">
        <v>41863</v>
      </c>
      <c r="V53">
        <v>12</v>
      </c>
      <c r="W53">
        <v>8</v>
      </c>
      <c r="X53">
        <v>2014</v>
      </c>
      <c r="Y53">
        <f>-16.5476833333/-68.0251166667</f>
        <v>0.24325843371027259</v>
      </c>
      <c r="Z53" t="s">
        <v>72</v>
      </c>
      <c r="AA53">
        <v>-16.5476833333</v>
      </c>
      <c r="AB53">
        <v>-68.025116666700001</v>
      </c>
      <c r="AC53">
        <v>100</v>
      </c>
      <c r="AD53" t="s">
        <v>73</v>
      </c>
      <c r="AE53" t="s">
        <v>74</v>
      </c>
      <c r="AI53" t="s">
        <v>226</v>
      </c>
      <c r="AO53" t="s">
        <v>1903</v>
      </c>
      <c r="AP53" s="20" t="str">
        <f t="shared" si="0"/>
        <v>12.9</v>
      </c>
      <c r="AU53" t="s">
        <v>141</v>
      </c>
      <c r="AV53" s="20" t="str">
        <f t="shared" si="1"/>
        <v>18.5</v>
      </c>
      <c r="BD53" t="s">
        <v>1904</v>
      </c>
      <c r="BH53" t="s">
        <v>83</v>
      </c>
      <c r="BL53" t="s">
        <v>1905</v>
      </c>
      <c r="BM53" s="20" t="str">
        <f t="shared" si="6"/>
        <v>77.5</v>
      </c>
      <c r="BN53" t="s">
        <v>326</v>
      </c>
      <c r="BO53" s="20" t="str">
        <f t="shared" si="7"/>
        <v>152</v>
      </c>
      <c r="BQ53" t="s">
        <v>801</v>
      </c>
      <c r="BR53" s="20" t="str">
        <f t="shared" si="4"/>
        <v>9.5</v>
      </c>
      <c r="BS53" s="21">
        <f t="shared" si="8"/>
        <v>74.5</v>
      </c>
    </row>
    <row r="54" spans="1:72" x14ac:dyDescent="0.2">
      <c r="A54" t="s">
        <v>63</v>
      </c>
      <c r="C54" t="s">
        <v>1906</v>
      </c>
      <c r="D54" t="s">
        <v>64</v>
      </c>
      <c r="E54" t="s">
        <v>65</v>
      </c>
      <c r="F54" t="s">
        <v>64</v>
      </c>
      <c r="G54" t="s">
        <v>1886</v>
      </c>
      <c r="H54" t="s">
        <v>212</v>
      </c>
      <c r="I54" t="s">
        <v>1887</v>
      </c>
      <c r="J54" t="s">
        <v>1888</v>
      </c>
      <c r="L54">
        <v>3866</v>
      </c>
      <c r="M54">
        <v>3866</v>
      </c>
      <c r="N54">
        <v>3866</v>
      </c>
      <c r="O54">
        <v>3866</v>
      </c>
      <c r="P54" t="s">
        <v>1893</v>
      </c>
      <c r="R54" t="s">
        <v>1894</v>
      </c>
      <c r="S54" t="s">
        <v>1895</v>
      </c>
      <c r="T54" t="s">
        <v>1896</v>
      </c>
      <c r="U54" s="2">
        <v>41863</v>
      </c>
      <c r="V54">
        <v>12</v>
      </c>
      <c r="W54">
        <v>8</v>
      </c>
      <c r="X54">
        <v>2014</v>
      </c>
      <c r="Y54">
        <f>-16.5476833333/-68.0251166667</f>
        <v>0.24325843371027259</v>
      </c>
      <c r="Z54" t="s">
        <v>72</v>
      </c>
      <c r="AA54">
        <v>-16.5476833333</v>
      </c>
      <c r="AB54">
        <v>-68.025116666700001</v>
      </c>
      <c r="AC54">
        <v>100</v>
      </c>
      <c r="AD54" t="s">
        <v>73</v>
      </c>
      <c r="AE54" t="s">
        <v>74</v>
      </c>
      <c r="AO54" t="s">
        <v>76</v>
      </c>
      <c r="AP54" s="20" t="str">
        <f t="shared" si="0"/>
        <v>13</v>
      </c>
      <c r="AU54" t="s">
        <v>121</v>
      </c>
      <c r="AV54" s="20" t="str">
        <f t="shared" si="1"/>
        <v>18</v>
      </c>
      <c r="BD54" t="s">
        <v>258</v>
      </c>
      <c r="BH54" t="s">
        <v>78</v>
      </c>
      <c r="BL54" t="s">
        <v>189</v>
      </c>
      <c r="BM54" s="20" t="str">
        <f t="shared" si="6"/>
        <v>82</v>
      </c>
      <c r="BN54" t="s">
        <v>187</v>
      </c>
      <c r="BO54" s="20" t="str">
        <f t="shared" si="7"/>
        <v>157</v>
      </c>
      <c r="BQ54" t="s">
        <v>1907</v>
      </c>
      <c r="BR54" s="20" t="str">
        <f t="shared" si="4"/>
        <v>10.4</v>
      </c>
      <c r="BS54" s="21">
        <f t="shared" si="8"/>
        <v>75</v>
      </c>
    </row>
    <row r="55" spans="1:72" s="13" customFormat="1" x14ac:dyDescent="0.2">
      <c r="A55" s="4" t="s">
        <v>63</v>
      </c>
      <c r="B55" s="4" t="s">
        <v>2164</v>
      </c>
      <c r="C55" s="4" t="s">
        <v>1842</v>
      </c>
      <c r="D55" s="4" t="s">
        <v>64</v>
      </c>
      <c r="E55" s="4" t="s">
        <v>65</v>
      </c>
      <c r="F55" s="4" t="s">
        <v>64</v>
      </c>
      <c r="G55" s="4" t="s">
        <v>134</v>
      </c>
      <c r="H55" s="4" t="s">
        <v>67</v>
      </c>
      <c r="I55" s="4" t="s">
        <v>68</v>
      </c>
      <c r="J55" s="4" t="s">
        <v>1651</v>
      </c>
      <c r="K55" s="4" t="s">
        <v>1717</v>
      </c>
      <c r="L55" s="4">
        <v>182</v>
      </c>
      <c r="M55" s="4">
        <v>182</v>
      </c>
      <c r="N55" s="4">
        <v>182</v>
      </c>
      <c r="O55" s="4">
        <v>182</v>
      </c>
      <c r="P55" s="4" t="s">
        <v>1723</v>
      </c>
      <c r="Q55" s="4"/>
      <c r="R55" s="4" t="s">
        <v>1724</v>
      </c>
      <c r="S55" s="4"/>
      <c r="T55" s="4" t="s">
        <v>1725</v>
      </c>
      <c r="U55" s="5">
        <v>41121</v>
      </c>
      <c r="V55" s="4">
        <v>31</v>
      </c>
      <c r="W55" s="4">
        <v>7</v>
      </c>
      <c r="X55" s="4">
        <v>2012</v>
      </c>
      <c r="Y55" s="4" t="s">
        <v>1726</v>
      </c>
      <c r="Z55" s="4" t="s">
        <v>72</v>
      </c>
      <c r="AA55" s="4">
        <v>40.595709999999997</v>
      </c>
      <c r="AB55" s="4">
        <v>-75.658910000000006</v>
      </c>
      <c r="AC55" s="4"/>
      <c r="AD55" s="4" t="s">
        <v>73</v>
      </c>
      <c r="AE55" s="4" t="s">
        <v>74</v>
      </c>
      <c r="AF55" s="4"/>
      <c r="AG55" s="4"/>
      <c r="AH55" s="4"/>
      <c r="AI55" s="4"/>
      <c r="AJ55" s="4"/>
      <c r="AK55" s="4"/>
      <c r="AL55" s="4"/>
      <c r="AM55" s="4"/>
      <c r="AN55" s="4"/>
      <c r="AO55" s="4" t="s">
        <v>76</v>
      </c>
      <c r="AP55" s="20" t="str">
        <f t="shared" si="0"/>
        <v>13</v>
      </c>
      <c r="AQ55" s="4"/>
      <c r="AR55" s="4"/>
      <c r="AS55" s="4"/>
      <c r="AT55" s="4"/>
      <c r="AU55" s="4" t="s">
        <v>130</v>
      </c>
      <c r="AV55" s="20" t="str">
        <f t="shared" si="1"/>
        <v>19</v>
      </c>
      <c r="AW55" s="4"/>
      <c r="AX55" s="4"/>
      <c r="AY55" s="4"/>
      <c r="AZ55" s="4"/>
      <c r="BA55" s="4"/>
      <c r="BB55" s="4"/>
      <c r="BC55" s="4"/>
      <c r="BD55" s="4" t="s">
        <v>152</v>
      </c>
      <c r="BE55" s="20"/>
      <c r="BF55" s="4"/>
      <c r="BG55" s="4"/>
      <c r="BH55" s="4" t="s">
        <v>78</v>
      </c>
      <c r="BI55" s="4"/>
      <c r="BJ55" s="4"/>
      <c r="BK55" s="4"/>
      <c r="BL55" s="4" t="s">
        <v>208</v>
      </c>
      <c r="BM55" s="20" t="str">
        <f t="shared" si="6"/>
        <v>80</v>
      </c>
      <c r="BN55" s="4" t="s">
        <v>699</v>
      </c>
      <c r="BO55" s="20" t="str">
        <f t="shared" si="7"/>
        <v>155</v>
      </c>
      <c r="BP55" s="4"/>
      <c r="BQ55" s="4" t="s">
        <v>1843</v>
      </c>
      <c r="BR55" s="20" t="str">
        <f t="shared" si="4"/>
        <v>11.88</v>
      </c>
      <c r="BS55" s="21">
        <f t="shared" si="8"/>
        <v>75</v>
      </c>
      <c r="BT55"/>
    </row>
    <row r="56" spans="1:72" s="13" customFormat="1" x14ac:dyDescent="0.2">
      <c r="A56" s="13" t="s">
        <v>63</v>
      </c>
      <c r="C56" s="13" t="s">
        <v>1374</v>
      </c>
      <c r="D56" s="13" t="s">
        <v>64</v>
      </c>
      <c r="E56" s="13" t="s">
        <v>65</v>
      </c>
      <c r="F56" s="13" t="s">
        <v>64</v>
      </c>
      <c r="G56" s="13" t="s">
        <v>211</v>
      </c>
      <c r="H56" s="13" t="s">
        <v>212</v>
      </c>
      <c r="I56" s="13" t="s">
        <v>701</v>
      </c>
      <c r="J56" s="13" t="s">
        <v>1342</v>
      </c>
      <c r="L56" s="13">
        <v>16</v>
      </c>
      <c r="M56" s="13">
        <v>16</v>
      </c>
      <c r="N56" s="13">
        <v>54</v>
      </c>
      <c r="O56" s="13">
        <v>54</v>
      </c>
      <c r="P56" s="13" t="s">
        <v>310</v>
      </c>
      <c r="R56" s="13" t="s">
        <v>1364</v>
      </c>
      <c r="T56" s="13" t="s">
        <v>1375</v>
      </c>
      <c r="U56" s="14">
        <v>41243</v>
      </c>
      <c r="V56" s="13">
        <v>30</v>
      </c>
      <c r="W56" s="13">
        <v>11</v>
      </c>
      <c r="X56" s="13">
        <v>2012</v>
      </c>
      <c r="Y56" s="13">
        <f>-0.8503166667/-80.164</f>
        <v>1.0607213545980739E-2</v>
      </c>
      <c r="Z56" s="13" t="s">
        <v>72</v>
      </c>
      <c r="AA56" s="13">
        <v>-0.85031666669999995</v>
      </c>
      <c r="AB56" s="13">
        <v>-80.164000000000001</v>
      </c>
      <c r="AD56" s="13" t="s">
        <v>96</v>
      </c>
      <c r="AE56" s="13" t="s">
        <v>74</v>
      </c>
      <c r="AI56" s="13" t="s">
        <v>75</v>
      </c>
      <c r="AO56" s="13" t="s">
        <v>87</v>
      </c>
      <c r="AP56" s="20" t="str">
        <f t="shared" si="0"/>
        <v>14</v>
      </c>
      <c r="AU56" s="13" t="s">
        <v>82</v>
      </c>
      <c r="AV56" s="20" t="str">
        <f t="shared" si="1"/>
        <v>17</v>
      </c>
      <c r="BD56" s="13" t="s">
        <v>1376</v>
      </c>
      <c r="BE56" s="20" t="s">
        <v>241</v>
      </c>
      <c r="BH56" s="13" t="s">
        <v>78</v>
      </c>
      <c r="BL56" s="13" t="s">
        <v>712</v>
      </c>
      <c r="BM56" s="20" t="str">
        <f t="shared" si="6"/>
        <v>71</v>
      </c>
      <c r="BN56" s="13" t="s">
        <v>419</v>
      </c>
      <c r="BO56" s="20" t="str">
        <f t="shared" si="7"/>
        <v>146</v>
      </c>
      <c r="BQ56" s="13" t="s">
        <v>512</v>
      </c>
      <c r="BR56" s="20" t="str">
        <f t="shared" si="4"/>
        <v>13.5</v>
      </c>
      <c r="BS56" s="21">
        <f t="shared" si="8"/>
        <v>75</v>
      </c>
      <c r="BT56"/>
    </row>
    <row r="57" spans="1:72" s="13" customFormat="1" x14ac:dyDescent="0.2">
      <c r="A57" s="7" t="s">
        <v>63</v>
      </c>
      <c r="B57" s="7" t="s">
        <v>2220</v>
      </c>
      <c r="C57" s="7" t="s">
        <v>943</v>
      </c>
      <c r="D57" s="7" t="s">
        <v>64</v>
      </c>
      <c r="E57" s="7" t="s">
        <v>65</v>
      </c>
      <c r="F57" s="7" t="s">
        <v>64</v>
      </c>
      <c r="G57" s="7" t="s">
        <v>615</v>
      </c>
      <c r="H57" s="7" t="s">
        <v>67</v>
      </c>
      <c r="I57" s="7" t="s">
        <v>788</v>
      </c>
      <c r="J57" s="7" t="s">
        <v>789</v>
      </c>
      <c r="K57" s="7" t="s">
        <v>908</v>
      </c>
      <c r="L57" s="7">
        <v>755</v>
      </c>
      <c r="M57" s="7">
        <v>755</v>
      </c>
      <c r="N57" s="7">
        <v>2477</v>
      </c>
      <c r="O57" s="7">
        <v>2477</v>
      </c>
      <c r="P57" s="7" t="s">
        <v>944</v>
      </c>
      <c r="Q57" s="7"/>
      <c r="R57" s="7" t="s">
        <v>945</v>
      </c>
      <c r="S57" s="7" t="s">
        <v>937</v>
      </c>
      <c r="T57" s="7" t="s">
        <v>946</v>
      </c>
      <c r="U57" s="9">
        <v>41113</v>
      </c>
      <c r="V57" s="7">
        <v>23</v>
      </c>
      <c r="W57" s="7">
        <v>7</v>
      </c>
      <c r="X57" s="7">
        <v>2012</v>
      </c>
      <c r="Y57" s="7" t="s">
        <v>947</v>
      </c>
      <c r="Z57" s="7" t="s">
        <v>72</v>
      </c>
      <c r="AA57" s="7">
        <v>53.408700000000003</v>
      </c>
      <c r="AB57" s="7">
        <v>-113.31901666669999</v>
      </c>
      <c r="AC57" s="7"/>
      <c r="AD57" s="7" t="s">
        <v>73</v>
      </c>
      <c r="AE57" s="7" t="s">
        <v>74</v>
      </c>
      <c r="AF57" s="7"/>
      <c r="AG57" s="7"/>
      <c r="AH57" s="7"/>
      <c r="AI57" s="7"/>
      <c r="AJ57" s="7"/>
      <c r="AK57" s="7"/>
      <c r="AL57" s="7"/>
      <c r="AM57" s="7"/>
      <c r="AN57" s="7"/>
      <c r="AO57" s="7" t="s">
        <v>207</v>
      </c>
      <c r="AP57" s="20" t="str">
        <f t="shared" si="0"/>
        <v>13.5</v>
      </c>
      <c r="AQ57" s="7"/>
      <c r="AR57" s="7"/>
      <c r="AS57" s="7"/>
      <c r="AT57" s="7"/>
      <c r="AU57" s="7" t="s">
        <v>121</v>
      </c>
      <c r="AV57" s="20" t="str">
        <f t="shared" si="1"/>
        <v>18</v>
      </c>
      <c r="AW57" s="7"/>
      <c r="AX57" s="7"/>
      <c r="AY57" s="7"/>
      <c r="AZ57" s="7"/>
      <c r="BA57" s="7"/>
      <c r="BB57" s="7"/>
      <c r="BC57" s="7"/>
      <c r="BD57" s="7"/>
      <c r="BE57" s="20"/>
      <c r="BF57" s="7"/>
      <c r="BG57" s="7"/>
      <c r="BH57" s="7" t="s">
        <v>78</v>
      </c>
      <c r="BI57" s="7"/>
      <c r="BJ57" s="7"/>
      <c r="BK57" s="7"/>
      <c r="BL57" s="7" t="s">
        <v>79</v>
      </c>
      <c r="BM57" s="20" t="str">
        <f t="shared" si="6"/>
        <v>85</v>
      </c>
      <c r="BN57" s="7" t="s">
        <v>181</v>
      </c>
      <c r="BO57" s="20" t="str">
        <f t="shared" si="7"/>
        <v>160</v>
      </c>
      <c r="BP57" s="7"/>
      <c r="BQ57" s="7" t="s">
        <v>948</v>
      </c>
      <c r="BR57" s="20" t="str">
        <f t="shared" si="4"/>
        <v>12.6</v>
      </c>
      <c r="BS57" s="21">
        <f t="shared" si="8"/>
        <v>75</v>
      </c>
      <c r="BT57"/>
    </row>
    <row r="58" spans="1:72" s="13" customFormat="1" x14ac:dyDescent="0.2">
      <c r="A58" s="10" t="s">
        <v>63</v>
      </c>
      <c r="B58" s="10" t="s">
        <v>2257</v>
      </c>
      <c r="C58" s="10" t="s">
        <v>282</v>
      </c>
      <c r="D58" s="10" t="s">
        <v>64</v>
      </c>
      <c r="E58" s="10" t="s">
        <v>65</v>
      </c>
      <c r="F58" s="10" t="s">
        <v>64</v>
      </c>
      <c r="G58" s="10" t="s">
        <v>211</v>
      </c>
      <c r="H58" s="10" t="s">
        <v>212</v>
      </c>
      <c r="I58" s="10" t="s">
        <v>213</v>
      </c>
      <c r="J58" s="10" t="s">
        <v>214</v>
      </c>
      <c r="K58" s="10"/>
      <c r="L58" s="10">
        <v>132</v>
      </c>
      <c r="M58" s="10">
        <v>132</v>
      </c>
      <c r="N58" s="10">
        <v>433</v>
      </c>
      <c r="O58" s="10">
        <v>433</v>
      </c>
      <c r="P58" s="10" t="s">
        <v>283</v>
      </c>
      <c r="Q58" s="10"/>
      <c r="R58" s="10" t="s">
        <v>284</v>
      </c>
      <c r="S58" s="10" t="s">
        <v>285</v>
      </c>
      <c r="T58" s="10" t="s">
        <v>286</v>
      </c>
      <c r="U58" s="11">
        <v>41368</v>
      </c>
      <c r="V58" s="10">
        <v>4</v>
      </c>
      <c r="W58" s="10">
        <v>4</v>
      </c>
      <c r="X58" s="10">
        <v>2013</v>
      </c>
      <c r="Y58" s="10" t="s">
        <v>287</v>
      </c>
      <c r="Z58" s="10" t="s">
        <v>72</v>
      </c>
      <c r="AA58" s="10">
        <v>-37.760566666700001</v>
      </c>
      <c r="AB58" s="10">
        <v>-58.298833333300003</v>
      </c>
      <c r="AC58" s="10"/>
      <c r="AD58" s="10" t="s">
        <v>73</v>
      </c>
      <c r="AE58" s="10" t="s">
        <v>74</v>
      </c>
      <c r="AF58" s="10"/>
      <c r="AG58" s="10"/>
      <c r="AH58" s="10"/>
      <c r="AI58" s="10" t="s">
        <v>203</v>
      </c>
      <c r="AJ58" s="10"/>
      <c r="AK58" s="10"/>
      <c r="AL58" s="10"/>
      <c r="AM58" s="10"/>
      <c r="AN58" s="10"/>
      <c r="AO58" s="10" t="s">
        <v>236</v>
      </c>
      <c r="AP58" s="20" t="str">
        <f t="shared" si="0"/>
        <v>11</v>
      </c>
      <c r="AQ58" s="10"/>
      <c r="AR58" s="10"/>
      <c r="AS58" s="10"/>
      <c r="AT58" s="10"/>
      <c r="AU58" s="10" t="s">
        <v>121</v>
      </c>
      <c r="AV58" s="20" t="str">
        <f t="shared" si="1"/>
        <v>18</v>
      </c>
      <c r="AW58" s="10"/>
      <c r="AX58" s="10"/>
      <c r="AY58" s="10"/>
      <c r="AZ58" s="10"/>
      <c r="BA58" s="10"/>
      <c r="BB58" s="10"/>
      <c r="BC58" s="10"/>
      <c r="BD58" s="10" t="s">
        <v>288</v>
      </c>
      <c r="BE58" s="20"/>
      <c r="BF58" s="10"/>
      <c r="BG58" s="10"/>
      <c r="BH58" s="10" t="s">
        <v>83</v>
      </c>
      <c r="BI58" s="10"/>
      <c r="BJ58" s="10"/>
      <c r="BK58" s="10"/>
      <c r="BL58" s="10" t="s">
        <v>289</v>
      </c>
      <c r="BM58" s="20" t="str">
        <f t="shared" si="6"/>
        <v>69</v>
      </c>
      <c r="BN58" s="10" t="s">
        <v>290</v>
      </c>
      <c r="BO58" s="20" t="str">
        <f t="shared" si="7"/>
        <v>144</v>
      </c>
      <c r="BP58" s="10"/>
      <c r="BQ58" s="10" t="s">
        <v>291</v>
      </c>
      <c r="BR58" s="20" t="str">
        <f t="shared" si="4"/>
        <v>8</v>
      </c>
      <c r="BS58" s="21">
        <f t="shared" si="8"/>
        <v>75</v>
      </c>
      <c r="BT58" s="10"/>
    </row>
    <row r="59" spans="1:72" s="10" customFormat="1" x14ac:dyDescent="0.2">
      <c r="A59" t="s">
        <v>63</v>
      </c>
      <c r="B59" t="s">
        <v>2386</v>
      </c>
      <c r="C59" t="s">
        <v>2008</v>
      </c>
      <c r="D59" t="s">
        <v>64</v>
      </c>
      <c r="E59" t="s">
        <v>65</v>
      </c>
      <c r="F59" t="s">
        <v>64</v>
      </c>
      <c r="G59" t="s">
        <v>1886</v>
      </c>
      <c r="H59" t="s">
        <v>212</v>
      </c>
      <c r="I59" t="s">
        <v>1887</v>
      </c>
      <c r="J59" t="s">
        <v>2009</v>
      </c>
      <c r="K59"/>
      <c r="L59">
        <v>409</v>
      </c>
      <c r="M59">
        <v>409</v>
      </c>
      <c r="N59">
        <v>409</v>
      </c>
      <c r="O59">
        <v>409</v>
      </c>
      <c r="P59" t="s">
        <v>2010</v>
      </c>
      <c r="Q59"/>
      <c r="R59" t="s">
        <v>2011</v>
      </c>
      <c r="S59"/>
      <c r="T59" t="s">
        <v>2012</v>
      </c>
      <c r="U59" s="1">
        <v>41876</v>
      </c>
      <c r="V59">
        <v>25</v>
      </c>
      <c r="W59">
        <v>8</v>
      </c>
      <c r="X59">
        <v>2014</v>
      </c>
      <c r="Y59">
        <f>-17.7348333333/-63.1696</f>
        <v>0.28074949553741035</v>
      </c>
      <c r="Z59" t="s">
        <v>72</v>
      </c>
      <c r="AA59">
        <v>-17.734833333299999</v>
      </c>
      <c r="AB59">
        <v>-63.169600000000003</v>
      </c>
      <c r="AC59">
        <v>100</v>
      </c>
      <c r="AD59" t="s">
        <v>73</v>
      </c>
      <c r="AE59" t="s">
        <v>74</v>
      </c>
      <c r="AF59"/>
      <c r="AG59"/>
      <c r="AH59"/>
      <c r="AI59"/>
      <c r="AJ59"/>
      <c r="AK59"/>
      <c r="AL59"/>
      <c r="AM59"/>
      <c r="AN59"/>
      <c r="AO59" t="s">
        <v>76</v>
      </c>
      <c r="AP59" s="20" t="str">
        <f t="shared" si="0"/>
        <v>13</v>
      </c>
      <c r="AQ59"/>
      <c r="AR59"/>
      <c r="AS59"/>
      <c r="AT59"/>
      <c r="AU59" t="s">
        <v>1291</v>
      </c>
      <c r="AV59" s="20" t="str">
        <f t="shared" si="1"/>
        <v>17.4</v>
      </c>
      <c r="AW59"/>
      <c r="AX59"/>
      <c r="AY59"/>
      <c r="AZ59"/>
      <c r="BA59"/>
      <c r="BB59"/>
      <c r="BC59"/>
      <c r="BD59" t="s">
        <v>2013</v>
      </c>
      <c r="BE59" s="20"/>
      <c r="BF59"/>
      <c r="BG59"/>
      <c r="BH59" t="s">
        <v>83</v>
      </c>
      <c r="BI59"/>
      <c r="BJ59"/>
      <c r="BK59"/>
      <c r="BL59" t="s">
        <v>197</v>
      </c>
      <c r="BM59" s="20" t="str">
        <f t="shared" si="6"/>
        <v>74</v>
      </c>
      <c r="BN59" t="s">
        <v>849</v>
      </c>
      <c r="BO59" s="20" t="str">
        <f t="shared" si="7"/>
        <v>149</v>
      </c>
      <c r="BP59"/>
      <c r="BQ59" t="s">
        <v>2014</v>
      </c>
      <c r="BR59" s="20" t="str">
        <f t="shared" si="4"/>
        <v>11.2</v>
      </c>
      <c r="BS59" s="21">
        <f t="shared" si="8"/>
        <v>75</v>
      </c>
      <c r="BT59"/>
    </row>
    <row r="60" spans="1:72" s="20" customFormat="1" x14ac:dyDescent="0.2">
      <c r="A60" s="13" t="s">
        <v>63</v>
      </c>
      <c r="B60" s="13"/>
      <c r="C60" s="13" t="s">
        <v>751</v>
      </c>
      <c r="D60" s="13" t="s">
        <v>64</v>
      </c>
      <c r="E60" s="13" t="s">
        <v>65</v>
      </c>
      <c r="F60" s="13" t="s">
        <v>64</v>
      </c>
      <c r="G60" s="13" t="s">
        <v>211</v>
      </c>
      <c r="H60" s="13" t="s">
        <v>212</v>
      </c>
      <c r="I60" s="13" t="s">
        <v>701</v>
      </c>
      <c r="J60" s="13" t="s">
        <v>702</v>
      </c>
      <c r="K60" s="13"/>
      <c r="L60" s="13">
        <v>2450</v>
      </c>
      <c r="M60" s="13">
        <v>2450</v>
      </c>
      <c r="N60" s="13">
        <v>2450</v>
      </c>
      <c r="O60" s="13">
        <v>2450</v>
      </c>
      <c r="P60" s="13" t="s">
        <v>752</v>
      </c>
      <c r="Q60" s="13"/>
      <c r="R60" s="13" t="s">
        <v>753</v>
      </c>
      <c r="S60" s="13"/>
      <c r="T60" s="13" t="s">
        <v>705</v>
      </c>
      <c r="U60" s="14">
        <v>41223</v>
      </c>
      <c r="V60" s="13">
        <v>10</v>
      </c>
      <c r="W60" s="13">
        <v>11</v>
      </c>
      <c r="X60" s="13">
        <v>2012</v>
      </c>
      <c r="Y60" s="13">
        <f>-0.1782694444/-78.3548333333</f>
        <v>2.2751556836537526E-3</v>
      </c>
      <c r="Z60" s="13" t="s">
        <v>72</v>
      </c>
      <c r="AA60" s="13">
        <v>0.1782694444</v>
      </c>
      <c r="AB60" s="13">
        <v>78.354833333299993</v>
      </c>
      <c r="AC60" s="13"/>
      <c r="AD60" s="13" t="s">
        <v>96</v>
      </c>
      <c r="AE60" s="13" t="s">
        <v>74</v>
      </c>
      <c r="AF60" s="13"/>
      <c r="AG60" s="13"/>
      <c r="AH60" s="13"/>
      <c r="AI60" s="13" t="s">
        <v>226</v>
      </c>
      <c r="AJ60" s="13"/>
      <c r="AK60" s="13"/>
      <c r="AL60" s="13"/>
      <c r="AM60" s="13"/>
      <c r="AN60" s="13"/>
      <c r="AO60" s="13" t="s">
        <v>236</v>
      </c>
      <c r="AP60" s="20" t="str">
        <f t="shared" si="0"/>
        <v>11</v>
      </c>
      <c r="AQ60" s="13"/>
      <c r="AR60" s="13"/>
      <c r="AS60" s="13"/>
      <c r="AT60" s="13"/>
      <c r="AU60" s="13" t="s">
        <v>88</v>
      </c>
      <c r="AV60" s="20" t="str">
        <f t="shared" si="1"/>
        <v>15</v>
      </c>
      <c r="AW60" s="13"/>
      <c r="AX60" s="13"/>
      <c r="AY60" s="13"/>
      <c r="AZ60" s="13"/>
      <c r="BA60" s="13"/>
      <c r="BB60" s="13"/>
      <c r="BC60" s="13"/>
      <c r="BD60" s="13" t="s">
        <v>754</v>
      </c>
      <c r="BF60" s="13"/>
      <c r="BG60" s="13"/>
      <c r="BH60" s="13" t="s">
        <v>83</v>
      </c>
      <c r="BI60" s="13"/>
      <c r="BJ60" s="13"/>
      <c r="BK60" s="13"/>
      <c r="BL60" s="13" t="s">
        <v>755</v>
      </c>
      <c r="BM60" s="20" t="str">
        <f t="shared" si="6"/>
        <v>66</v>
      </c>
      <c r="BN60" s="13" t="s">
        <v>417</v>
      </c>
      <c r="BO60" s="20" t="str">
        <f t="shared" si="7"/>
        <v>141</v>
      </c>
      <c r="BP60" s="13"/>
      <c r="BQ60" s="13" t="s">
        <v>291</v>
      </c>
      <c r="BR60" s="20" t="str">
        <f t="shared" si="4"/>
        <v>8</v>
      </c>
      <c r="BS60" s="21">
        <f t="shared" si="8"/>
        <v>75</v>
      </c>
      <c r="BT60"/>
    </row>
    <row r="61" spans="1:72" x14ac:dyDescent="0.2">
      <c r="A61" t="s">
        <v>63</v>
      </c>
      <c r="C61" t="s">
        <v>1532</v>
      </c>
      <c r="D61" t="s">
        <v>64</v>
      </c>
      <c r="E61" t="s">
        <v>65</v>
      </c>
      <c r="F61" t="s">
        <v>64</v>
      </c>
      <c r="G61" t="s">
        <v>211</v>
      </c>
      <c r="H61" t="s">
        <v>212</v>
      </c>
      <c r="I61" t="s">
        <v>701</v>
      </c>
      <c r="J61" t="s">
        <v>1342</v>
      </c>
      <c r="L61">
        <v>73</v>
      </c>
      <c r="M61">
        <v>73</v>
      </c>
      <c r="N61">
        <v>241</v>
      </c>
      <c r="O61">
        <v>241</v>
      </c>
      <c r="P61" t="s">
        <v>1367</v>
      </c>
      <c r="R61" t="s">
        <v>1368</v>
      </c>
      <c r="T61" t="s">
        <v>1369</v>
      </c>
      <c r="U61" s="2">
        <v>41242</v>
      </c>
      <c r="V61">
        <v>29</v>
      </c>
      <c r="W61">
        <v>11</v>
      </c>
      <c r="X61">
        <v>2012</v>
      </c>
      <c r="Y61">
        <f>-1.0808/-80.52325</f>
        <v>1.3422210355394249E-2</v>
      </c>
      <c r="Z61" t="s">
        <v>72</v>
      </c>
      <c r="AA61">
        <v>-1.0808</v>
      </c>
      <c r="AB61">
        <v>-80.523250000000004</v>
      </c>
      <c r="AD61" t="s">
        <v>96</v>
      </c>
      <c r="AE61" t="s">
        <v>74</v>
      </c>
      <c r="AI61" t="s">
        <v>226</v>
      </c>
      <c r="AO61" t="s">
        <v>77</v>
      </c>
      <c r="AP61" s="20" t="str">
        <f t="shared" si="0"/>
        <v>12</v>
      </c>
      <c r="AU61" t="s">
        <v>130</v>
      </c>
      <c r="AV61" s="20" t="str">
        <f t="shared" si="1"/>
        <v>19</v>
      </c>
      <c r="BD61" t="s">
        <v>1385</v>
      </c>
      <c r="BH61" t="s">
        <v>83</v>
      </c>
      <c r="BL61" t="s">
        <v>289</v>
      </c>
      <c r="BM61" s="20" t="str">
        <f t="shared" si="6"/>
        <v>69</v>
      </c>
      <c r="BN61" t="s">
        <v>290</v>
      </c>
      <c r="BO61" s="20" t="str">
        <f t="shared" si="7"/>
        <v>144</v>
      </c>
      <c r="BQ61" t="s">
        <v>801</v>
      </c>
      <c r="BR61" s="20" t="str">
        <f t="shared" si="4"/>
        <v>9.5</v>
      </c>
      <c r="BS61" s="21">
        <f t="shared" si="8"/>
        <v>75</v>
      </c>
    </row>
    <row r="62" spans="1:72" x14ac:dyDescent="0.2">
      <c r="A62" s="13" t="s">
        <v>63</v>
      </c>
      <c r="B62" s="13" t="s">
        <v>2392</v>
      </c>
      <c r="C62" s="13" t="s">
        <v>1348</v>
      </c>
      <c r="D62" s="13" t="s">
        <v>64</v>
      </c>
      <c r="E62" s="13" t="s">
        <v>65</v>
      </c>
      <c r="F62" s="13" t="s">
        <v>64</v>
      </c>
      <c r="G62" s="13" t="s">
        <v>211</v>
      </c>
      <c r="H62" s="13" t="s">
        <v>212</v>
      </c>
      <c r="I62" s="13" t="s">
        <v>701</v>
      </c>
      <c r="J62" s="13" t="s">
        <v>1342</v>
      </c>
      <c r="K62" s="13"/>
      <c r="L62" s="13">
        <v>18</v>
      </c>
      <c r="M62" s="13">
        <v>18</v>
      </c>
      <c r="N62" s="13">
        <v>60</v>
      </c>
      <c r="O62" s="13">
        <v>60</v>
      </c>
      <c r="P62" s="13" t="s">
        <v>1343</v>
      </c>
      <c r="Q62" s="13"/>
      <c r="R62" s="13" t="s">
        <v>1344</v>
      </c>
      <c r="S62" s="13"/>
      <c r="T62" s="13" t="s">
        <v>1345</v>
      </c>
      <c r="U62" s="14">
        <v>41240</v>
      </c>
      <c r="V62" s="13">
        <v>27</v>
      </c>
      <c r="W62" s="13">
        <v>11</v>
      </c>
      <c r="X62" s="13">
        <v>2012</v>
      </c>
      <c r="Y62" s="13">
        <f>-0.883/-80.1341166667</f>
        <v>1.1019027060255019E-2</v>
      </c>
      <c r="Z62" s="13" t="s">
        <v>72</v>
      </c>
      <c r="AA62" s="13">
        <v>-0.88300000000000001</v>
      </c>
      <c r="AB62" s="13">
        <v>-80.134116666699995</v>
      </c>
      <c r="AC62" s="13"/>
      <c r="AD62" s="13" t="s">
        <v>96</v>
      </c>
      <c r="AE62" s="13" t="s">
        <v>74</v>
      </c>
      <c r="AF62" s="13"/>
      <c r="AG62" s="13"/>
      <c r="AH62" s="13"/>
      <c r="AI62" s="13" t="s">
        <v>75</v>
      </c>
      <c r="AJ62" s="13"/>
      <c r="AK62" s="13"/>
      <c r="AL62" s="13"/>
      <c r="AM62" s="13"/>
      <c r="AN62" s="13"/>
      <c r="AO62" s="13" t="s">
        <v>87</v>
      </c>
      <c r="AP62" s="20" t="str">
        <f t="shared" si="0"/>
        <v>14</v>
      </c>
      <c r="AQ62" s="13"/>
      <c r="AR62" s="13"/>
      <c r="AS62" s="13"/>
      <c r="AT62" s="13"/>
      <c r="AU62" s="13" t="s">
        <v>87</v>
      </c>
      <c r="AV62" s="20" t="str">
        <f t="shared" si="1"/>
        <v>14</v>
      </c>
      <c r="AW62" s="13"/>
      <c r="AX62" s="13"/>
      <c r="AY62" s="13"/>
      <c r="AZ62" s="13"/>
      <c r="BA62" s="13"/>
      <c r="BB62" s="13"/>
      <c r="BC62" s="13"/>
      <c r="BD62" s="13" t="s">
        <v>1349</v>
      </c>
      <c r="BF62" s="13"/>
      <c r="BG62" s="13"/>
      <c r="BH62" s="13" t="s">
        <v>83</v>
      </c>
      <c r="BI62" s="13"/>
      <c r="BJ62" s="13"/>
      <c r="BK62" s="13"/>
      <c r="BL62" s="13" t="s">
        <v>194</v>
      </c>
      <c r="BM62" s="20" t="str">
        <f t="shared" si="6"/>
        <v>79</v>
      </c>
      <c r="BN62" s="13" t="s">
        <v>254</v>
      </c>
      <c r="BO62" s="20" t="str">
        <f t="shared" si="7"/>
        <v>154</v>
      </c>
      <c r="BP62" s="13"/>
      <c r="BQ62" s="13" t="s">
        <v>133</v>
      </c>
      <c r="BR62" s="20" t="str">
        <f t="shared" si="4"/>
        <v>14</v>
      </c>
      <c r="BS62" s="21">
        <f t="shared" si="8"/>
        <v>75</v>
      </c>
    </row>
    <row r="63" spans="1:72" x14ac:dyDescent="0.2">
      <c r="A63" t="s">
        <v>63</v>
      </c>
      <c r="B63" s="20" t="s">
        <v>2397</v>
      </c>
      <c r="C63" t="s">
        <v>605</v>
      </c>
      <c r="D63" t="s">
        <v>64</v>
      </c>
      <c r="E63" t="s">
        <v>65</v>
      </c>
      <c r="F63" t="s">
        <v>64</v>
      </c>
      <c r="G63" t="s">
        <v>211</v>
      </c>
      <c r="H63" t="s">
        <v>212</v>
      </c>
      <c r="I63" t="s">
        <v>383</v>
      </c>
      <c r="J63" t="s">
        <v>551</v>
      </c>
      <c r="L63">
        <v>508</v>
      </c>
      <c r="M63">
        <v>508</v>
      </c>
      <c r="N63">
        <v>1668</v>
      </c>
      <c r="O63">
        <v>1668</v>
      </c>
      <c r="P63" t="s">
        <v>601</v>
      </c>
      <c r="R63" t="s">
        <v>553</v>
      </c>
      <c r="S63" t="s">
        <v>602</v>
      </c>
      <c r="T63" t="s">
        <v>603</v>
      </c>
      <c r="U63" s="2">
        <v>41417</v>
      </c>
      <c r="V63">
        <v>23</v>
      </c>
      <c r="W63">
        <v>5</v>
      </c>
      <c r="X63">
        <v>2013</v>
      </c>
      <c r="Y63">
        <f>-23.3848333333/-51.9081666667</f>
        <v>0.45050393483270107</v>
      </c>
      <c r="Z63" t="s">
        <v>72</v>
      </c>
      <c r="AA63">
        <v>-23.384833333300001</v>
      </c>
      <c r="AB63">
        <v>-51.908166666699998</v>
      </c>
      <c r="AD63" t="s">
        <v>73</v>
      </c>
      <c r="AE63" t="s">
        <v>74</v>
      </c>
      <c r="AO63" t="s">
        <v>88</v>
      </c>
      <c r="AP63" s="20" t="str">
        <f t="shared" si="0"/>
        <v>15</v>
      </c>
      <c r="AU63" t="s">
        <v>121</v>
      </c>
      <c r="AV63" s="20" t="str">
        <f t="shared" si="1"/>
        <v>18</v>
      </c>
      <c r="BD63" t="s">
        <v>549</v>
      </c>
      <c r="BH63" t="s">
        <v>83</v>
      </c>
      <c r="BM63" s="21"/>
      <c r="BO63" s="21">
        <v>140</v>
      </c>
      <c r="BQ63" t="s">
        <v>133</v>
      </c>
      <c r="BR63" s="20" t="str">
        <f t="shared" si="4"/>
        <v>14</v>
      </c>
      <c r="BS63" s="21">
        <v>75</v>
      </c>
      <c r="BT63" t="s">
        <v>2411</v>
      </c>
    </row>
    <row r="64" spans="1:72" s="10" customFormat="1" x14ac:dyDescent="0.2">
      <c r="A64" s="4" t="s">
        <v>63</v>
      </c>
      <c r="B64" s="4" t="s">
        <v>2155</v>
      </c>
      <c r="C64" s="4" t="s">
        <v>1674</v>
      </c>
      <c r="D64" s="4" t="s">
        <v>64</v>
      </c>
      <c r="E64" s="4" t="s">
        <v>65</v>
      </c>
      <c r="F64" s="4" t="s">
        <v>64</v>
      </c>
      <c r="G64" s="4" t="s">
        <v>134</v>
      </c>
      <c r="H64" s="4" t="s">
        <v>67</v>
      </c>
      <c r="I64" s="4" t="s">
        <v>68</v>
      </c>
      <c r="J64" s="4" t="s">
        <v>1651</v>
      </c>
      <c r="K64" s="4" t="s">
        <v>1669</v>
      </c>
      <c r="L64" s="4">
        <v>169</v>
      </c>
      <c r="M64" s="4">
        <v>169</v>
      </c>
      <c r="N64" s="4">
        <v>169</v>
      </c>
      <c r="O64" s="4">
        <v>169</v>
      </c>
      <c r="P64" s="4" t="s">
        <v>1675</v>
      </c>
      <c r="Q64" s="4"/>
      <c r="R64" s="4" t="s">
        <v>1676</v>
      </c>
      <c r="S64" s="4"/>
      <c r="T64" s="4" t="s">
        <v>1677</v>
      </c>
      <c r="U64" s="5">
        <v>41121</v>
      </c>
      <c r="V64" s="4">
        <v>31</v>
      </c>
      <c r="W64" s="4">
        <v>7</v>
      </c>
      <c r="X64" s="4">
        <v>2012</v>
      </c>
      <c r="Y64" s="4" t="s">
        <v>1678</v>
      </c>
      <c r="Z64" s="4" t="s">
        <v>72</v>
      </c>
      <c r="AA64" s="4">
        <v>40.450989999999997</v>
      </c>
      <c r="AB64" s="4">
        <v>-75.40128</v>
      </c>
      <c r="AC64" s="4"/>
      <c r="AD64" s="4" t="s">
        <v>73</v>
      </c>
      <c r="AE64" s="4" t="s">
        <v>74</v>
      </c>
      <c r="AF64" s="4"/>
      <c r="AG64" s="4"/>
      <c r="AH64" s="4"/>
      <c r="AI64" s="4"/>
      <c r="AJ64" s="4"/>
      <c r="AK64" s="4"/>
      <c r="AL64" s="4"/>
      <c r="AM64" s="4"/>
      <c r="AN64" s="4"/>
      <c r="AO64" s="4" t="s">
        <v>87</v>
      </c>
      <c r="AP64" s="20" t="str">
        <f t="shared" si="0"/>
        <v>14</v>
      </c>
      <c r="AQ64" s="4"/>
      <c r="AR64" s="4"/>
      <c r="AS64" s="4"/>
      <c r="AT64" s="4"/>
      <c r="AU64" s="4" t="s">
        <v>121</v>
      </c>
      <c r="AV64" s="20" t="str">
        <f t="shared" si="1"/>
        <v>18</v>
      </c>
      <c r="AW64" s="4"/>
      <c r="AX64" s="4"/>
      <c r="AY64" s="4"/>
      <c r="AZ64" s="4"/>
      <c r="BA64" s="4"/>
      <c r="BB64" s="4"/>
      <c r="BC64" s="4"/>
      <c r="BD64" s="4" t="s">
        <v>1639</v>
      </c>
      <c r="BE64" s="20"/>
      <c r="BF64" s="4"/>
      <c r="BG64" s="4"/>
      <c r="BH64" s="4" t="s">
        <v>83</v>
      </c>
      <c r="BI64" s="4"/>
      <c r="BJ64" s="4"/>
      <c r="BK64" s="4"/>
      <c r="BL64" s="4" t="s">
        <v>160</v>
      </c>
      <c r="BM64" s="20" t="str">
        <f t="shared" ref="BM64:BM105" si="9">LEFT(BL64,FIND("^^",SUBSTITUTE(BL64," ","^^",LEN(BL64)-LEN(SUBSTITUTE(BL64," ",""))))-1)</f>
        <v>86</v>
      </c>
      <c r="BN64" s="4" t="s">
        <v>563</v>
      </c>
      <c r="BO64" s="20" t="str">
        <f t="shared" ref="BO64:BO105" si="10">LEFT(BN64,FIND("^^",SUBSTITUTE(BN64," ","^^",LEN(BN64)-LEN(SUBSTITUTE(BN64," ",""))))-1)</f>
        <v>161</v>
      </c>
      <c r="BP64" s="4"/>
      <c r="BQ64" s="4" t="s">
        <v>728</v>
      </c>
      <c r="BR64" s="20" t="str">
        <f t="shared" si="4"/>
        <v>13.25</v>
      </c>
      <c r="BS64" s="21">
        <f t="shared" ref="BS64:BS105" si="11">(BO64-BM64)</f>
        <v>75</v>
      </c>
      <c r="BT64"/>
    </row>
    <row r="65" spans="1:72" s="10" customFormat="1" x14ac:dyDescent="0.2">
      <c r="A65" s="4" t="s">
        <v>63</v>
      </c>
      <c r="B65" s="4" t="s">
        <v>2132</v>
      </c>
      <c r="C65" s="4" t="s">
        <v>1754</v>
      </c>
      <c r="D65" s="4" t="s">
        <v>64</v>
      </c>
      <c r="E65" s="4" t="s">
        <v>65</v>
      </c>
      <c r="F65" s="4" t="s">
        <v>64</v>
      </c>
      <c r="G65" s="4" t="s">
        <v>134</v>
      </c>
      <c r="H65" s="4" t="s">
        <v>67</v>
      </c>
      <c r="I65" s="4" t="s">
        <v>68</v>
      </c>
      <c r="J65" s="4" t="s">
        <v>1590</v>
      </c>
      <c r="K65" s="4" t="s">
        <v>1755</v>
      </c>
      <c r="L65" s="4">
        <v>230</v>
      </c>
      <c r="M65" s="4">
        <v>230</v>
      </c>
      <c r="N65" s="4">
        <v>230</v>
      </c>
      <c r="O65" s="4">
        <v>230</v>
      </c>
      <c r="P65" s="4" t="s">
        <v>1756</v>
      </c>
      <c r="Q65" s="4"/>
      <c r="R65" s="4" t="s">
        <v>1757</v>
      </c>
      <c r="S65" s="4"/>
      <c r="T65" s="4" t="s">
        <v>1758</v>
      </c>
      <c r="U65" s="5">
        <v>41102</v>
      </c>
      <c r="V65" s="4">
        <v>12</v>
      </c>
      <c r="W65" s="4">
        <v>7</v>
      </c>
      <c r="X65" s="4">
        <v>2012</v>
      </c>
      <c r="Y65" s="4" t="s">
        <v>1759</v>
      </c>
      <c r="Z65" s="4" t="s">
        <v>72</v>
      </c>
      <c r="AA65" s="4">
        <v>33.843699999999998</v>
      </c>
      <c r="AB65" s="4">
        <v>-83.337440000000001</v>
      </c>
      <c r="AC65" s="4"/>
      <c r="AD65" s="4" t="s">
        <v>73</v>
      </c>
      <c r="AE65" s="4" t="s">
        <v>74</v>
      </c>
      <c r="AF65" s="4"/>
      <c r="AG65" s="4"/>
      <c r="AH65" s="4"/>
      <c r="AI65" s="4"/>
      <c r="AJ65" s="4"/>
      <c r="AK65" s="4"/>
      <c r="AL65" s="4"/>
      <c r="AM65" s="4"/>
      <c r="AN65" s="4"/>
      <c r="AO65" s="4" t="s">
        <v>87</v>
      </c>
      <c r="AP65" s="20" t="str">
        <f t="shared" si="0"/>
        <v>14</v>
      </c>
      <c r="AQ65" s="4"/>
      <c r="AR65" s="4"/>
      <c r="AS65" s="4"/>
      <c r="AT65" s="4"/>
      <c r="AU65" s="4" t="s">
        <v>653</v>
      </c>
      <c r="AV65" s="20" t="str">
        <f t="shared" si="1"/>
        <v>17.5</v>
      </c>
      <c r="AW65" s="4"/>
      <c r="AX65" s="4"/>
      <c r="AY65" s="4"/>
      <c r="AZ65" s="4"/>
      <c r="BA65" s="4"/>
      <c r="BB65" s="4"/>
      <c r="BC65" s="4"/>
      <c r="BD65" s="4" t="s">
        <v>152</v>
      </c>
      <c r="BE65" s="20"/>
      <c r="BF65" s="4"/>
      <c r="BG65" s="4"/>
      <c r="BH65" s="4" t="s">
        <v>78</v>
      </c>
      <c r="BI65" s="4"/>
      <c r="BJ65" s="4"/>
      <c r="BK65" s="4"/>
      <c r="BL65" s="4" t="s">
        <v>136</v>
      </c>
      <c r="BM65" s="20" t="str">
        <f t="shared" si="9"/>
        <v>75</v>
      </c>
      <c r="BN65" s="4" t="s">
        <v>842</v>
      </c>
      <c r="BO65" s="20" t="str">
        <f t="shared" si="10"/>
        <v>150.5</v>
      </c>
      <c r="BP65" s="4"/>
      <c r="BQ65" s="4" t="s">
        <v>275</v>
      </c>
      <c r="BR65" s="20" t="str">
        <f t="shared" si="4"/>
        <v>11</v>
      </c>
      <c r="BS65" s="21">
        <f t="shared" si="11"/>
        <v>75.5</v>
      </c>
      <c r="BT65"/>
    </row>
    <row r="66" spans="1:72" s="10" customFormat="1" x14ac:dyDescent="0.2">
      <c r="A66" s="4" t="s">
        <v>63</v>
      </c>
      <c r="B66" s="4" t="s">
        <v>2139</v>
      </c>
      <c r="C66" s="4" t="s">
        <v>1736</v>
      </c>
      <c r="D66" s="4" t="s">
        <v>64</v>
      </c>
      <c r="E66" s="4" t="s">
        <v>65</v>
      </c>
      <c r="F66" s="4" t="s">
        <v>64</v>
      </c>
      <c r="G66" s="4" t="s">
        <v>134</v>
      </c>
      <c r="H66" s="4" t="s">
        <v>67</v>
      </c>
      <c r="I66" s="4" t="s">
        <v>68</v>
      </c>
      <c r="J66" s="4" t="s">
        <v>1590</v>
      </c>
      <c r="K66" s="4" t="s">
        <v>1729</v>
      </c>
      <c r="L66" s="4">
        <v>251</v>
      </c>
      <c r="M66" s="4">
        <v>251</v>
      </c>
      <c r="N66" s="4">
        <v>251</v>
      </c>
      <c r="O66" s="4">
        <v>251</v>
      </c>
      <c r="P66" s="4" t="s">
        <v>1730</v>
      </c>
      <c r="Q66" s="4"/>
      <c r="R66" s="4" t="s">
        <v>1731</v>
      </c>
      <c r="S66" s="4"/>
      <c r="T66" s="4" t="s">
        <v>1732</v>
      </c>
      <c r="U66" s="5">
        <v>41060</v>
      </c>
      <c r="V66" s="4">
        <v>31</v>
      </c>
      <c r="W66" s="4">
        <v>5</v>
      </c>
      <c r="X66" s="4">
        <v>2012</v>
      </c>
      <c r="Y66" s="4" t="s">
        <v>1733</v>
      </c>
      <c r="Z66" s="4" t="s">
        <v>72</v>
      </c>
      <c r="AA66" s="4">
        <v>34.0989</v>
      </c>
      <c r="AB66" s="4">
        <v>-83.345399999999998</v>
      </c>
      <c r="AC66" s="4"/>
      <c r="AD66" s="4" t="s">
        <v>73</v>
      </c>
      <c r="AE66" s="4" t="s">
        <v>74</v>
      </c>
      <c r="AF66" s="4"/>
      <c r="AG66" s="4"/>
      <c r="AH66" s="4"/>
      <c r="AI66" s="4"/>
      <c r="AJ66" s="4"/>
      <c r="AK66" s="4"/>
      <c r="AL66" s="4"/>
      <c r="AM66" s="4"/>
      <c r="AN66" s="4"/>
      <c r="AO66" s="4" t="s">
        <v>76</v>
      </c>
      <c r="AP66" s="20" t="str">
        <f t="shared" ref="AP66:AP129" si="12">LEFT(AO66,FIND("^^",SUBSTITUTE(AO66," ","^^",LEN(AO66)-LEN(SUBSTITUTE(AO66," ",""))))-1)</f>
        <v>13</v>
      </c>
      <c r="AQ66" s="4"/>
      <c r="AR66" s="4"/>
      <c r="AS66" s="4"/>
      <c r="AT66" s="4"/>
      <c r="AU66" s="4" t="s">
        <v>653</v>
      </c>
      <c r="AV66" s="20" t="str">
        <f t="shared" ref="AV66:AV129" si="13">LEFT(AU66,FIND("^^",SUBSTITUTE(AU66," ","^^",LEN(AU66)-LEN(SUBSTITUTE(AU66," ",""))))-1)</f>
        <v>17.5</v>
      </c>
      <c r="AW66" s="4"/>
      <c r="AX66" s="4"/>
      <c r="AY66" s="4"/>
      <c r="AZ66" s="4"/>
      <c r="BA66" s="4"/>
      <c r="BB66" s="4"/>
      <c r="BC66" s="4"/>
      <c r="BD66" s="4" t="s">
        <v>1737</v>
      </c>
      <c r="BE66" s="20"/>
      <c r="BF66" s="4"/>
      <c r="BG66" s="4"/>
      <c r="BH66" s="4" t="s">
        <v>83</v>
      </c>
      <c r="BI66" s="4"/>
      <c r="BJ66" s="4"/>
      <c r="BK66" s="4"/>
      <c r="BL66" s="4" t="s">
        <v>98</v>
      </c>
      <c r="BM66" s="20" t="str">
        <f t="shared" si="9"/>
        <v>76</v>
      </c>
      <c r="BN66" s="4" t="s">
        <v>1738</v>
      </c>
      <c r="BO66" s="20" t="str">
        <f t="shared" si="10"/>
        <v>151.5</v>
      </c>
      <c r="BP66" s="4"/>
      <c r="BQ66" s="4" t="s">
        <v>275</v>
      </c>
      <c r="BR66" s="20" t="str">
        <f t="shared" ref="BR66:BR129" si="14">LEFT(BQ66,FIND("^^",SUBSTITUTE(BQ66," ","^^",LEN(BQ66)-LEN(SUBSTITUTE(BQ66," ",""))))-1)</f>
        <v>11</v>
      </c>
      <c r="BS66" s="21">
        <f t="shared" si="11"/>
        <v>75.5</v>
      </c>
      <c r="BT66"/>
    </row>
    <row r="67" spans="1:72" s="19" customFormat="1" x14ac:dyDescent="0.2">
      <c r="A67" t="s">
        <v>63</v>
      </c>
      <c r="B67"/>
      <c r="C67" t="s">
        <v>1552</v>
      </c>
      <c r="D67" t="s">
        <v>64</v>
      </c>
      <c r="E67" t="s">
        <v>65</v>
      </c>
      <c r="F67" t="s">
        <v>64</v>
      </c>
      <c r="G67" t="s">
        <v>211</v>
      </c>
      <c r="H67" t="s">
        <v>212</v>
      </c>
      <c r="I67" t="s">
        <v>701</v>
      </c>
      <c r="J67" t="s">
        <v>702</v>
      </c>
      <c r="K67"/>
      <c r="L67">
        <v>3090</v>
      </c>
      <c r="M67">
        <v>3090</v>
      </c>
      <c r="N67">
        <v>10138</v>
      </c>
      <c r="O67">
        <v>10138</v>
      </c>
      <c r="P67" t="s">
        <v>1548</v>
      </c>
      <c r="Q67"/>
      <c r="R67" t="s">
        <v>1549</v>
      </c>
      <c r="S67"/>
      <c r="T67" t="s">
        <v>1550</v>
      </c>
      <c r="U67" s="2">
        <v>41237</v>
      </c>
      <c r="V67">
        <v>24</v>
      </c>
      <c r="W67">
        <v>11</v>
      </c>
      <c r="X67">
        <v>2012</v>
      </c>
      <c r="Y67">
        <f>-0.4464833333/-78.4224833333</f>
        <v>5.6933077648462184E-3</v>
      </c>
      <c r="Z67" t="s">
        <v>72</v>
      </c>
      <c r="AA67">
        <v>-0.44648333330000001</v>
      </c>
      <c r="AB67">
        <v>-78.422483333299994</v>
      </c>
      <c r="AC67"/>
      <c r="AD67" t="s">
        <v>96</v>
      </c>
      <c r="AE67" t="s">
        <v>74</v>
      </c>
      <c r="AF67"/>
      <c r="AG67"/>
      <c r="AH67"/>
      <c r="AI67" t="s">
        <v>226</v>
      </c>
      <c r="AJ67"/>
      <c r="AK67"/>
      <c r="AL67"/>
      <c r="AM67"/>
      <c r="AN67"/>
      <c r="AO67" t="s">
        <v>77</v>
      </c>
      <c r="AP67" s="20" t="str">
        <f t="shared" si="12"/>
        <v>12</v>
      </c>
      <c r="AQ67"/>
      <c r="AR67"/>
      <c r="AS67"/>
      <c r="AT67"/>
      <c r="AU67" t="s">
        <v>130</v>
      </c>
      <c r="AV67" s="20" t="str">
        <f t="shared" si="13"/>
        <v>19</v>
      </c>
      <c r="AW67"/>
      <c r="AX67"/>
      <c r="AY67"/>
      <c r="AZ67"/>
      <c r="BA67"/>
      <c r="BB67"/>
      <c r="BC67"/>
      <c r="BD67" t="s">
        <v>258</v>
      </c>
      <c r="BE67" s="20"/>
      <c r="BF67"/>
      <c r="BG67"/>
      <c r="BH67" t="s">
        <v>78</v>
      </c>
      <c r="BI67"/>
      <c r="BJ67"/>
      <c r="BK67"/>
      <c r="BL67" t="s">
        <v>363</v>
      </c>
      <c r="BM67" s="20" t="str">
        <f t="shared" si="9"/>
        <v>72</v>
      </c>
      <c r="BN67" t="s">
        <v>380</v>
      </c>
      <c r="BO67" s="20" t="str">
        <f t="shared" si="10"/>
        <v>148</v>
      </c>
      <c r="BP67"/>
      <c r="BQ67" t="s">
        <v>291</v>
      </c>
      <c r="BR67" s="20" t="str">
        <f t="shared" si="14"/>
        <v>8</v>
      </c>
      <c r="BS67" s="21">
        <f t="shared" si="11"/>
        <v>76</v>
      </c>
      <c r="BT67"/>
    </row>
    <row r="68" spans="1:72" s="19" customFormat="1" x14ac:dyDescent="0.2">
      <c r="A68" t="s">
        <v>63</v>
      </c>
      <c r="B68" t="s">
        <v>2384</v>
      </c>
      <c r="C68" t="s">
        <v>260</v>
      </c>
      <c r="D68" t="s">
        <v>64</v>
      </c>
      <c r="E68" t="s">
        <v>65</v>
      </c>
      <c r="F68" t="s">
        <v>64</v>
      </c>
      <c r="G68" t="s">
        <v>211</v>
      </c>
      <c r="H68" t="s">
        <v>212</v>
      </c>
      <c r="I68" t="s">
        <v>213</v>
      </c>
      <c r="J68" t="s">
        <v>214</v>
      </c>
      <c r="K68"/>
      <c r="L68">
        <v>210</v>
      </c>
      <c r="M68">
        <v>210</v>
      </c>
      <c r="N68">
        <v>689</v>
      </c>
      <c r="O68">
        <v>689</v>
      </c>
      <c r="P68" t="s">
        <v>233</v>
      </c>
      <c r="Q68"/>
      <c r="R68" t="s">
        <v>234</v>
      </c>
      <c r="S68" t="s">
        <v>250</v>
      </c>
      <c r="T68" t="s">
        <v>251</v>
      </c>
      <c r="U68" s="2">
        <v>41308</v>
      </c>
      <c r="V68">
        <v>3</v>
      </c>
      <c r="W68">
        <v>2</v>
      </c>
      <c r="X68">
        <v>2013</v>
      </c>
      <c r="Y68">
        <f>-37.3275166667/-59.0834</f>
        <v>0.63177672013966701</v>
      </c>
      <c r="Z68" t="s">
        <v>72</v>
      </c>
      <c r="AA68">
        <v>-37.327516666699999</v>
      </c>
      <c r="AB68">
        <v>-59.083399999999997</v>
      </c>
      <c r="AC68"/>
      <c r="AD68" t="s">
        <v>73</v>
      </c>
      <c r="AE68" t="s">
        <v>74</v>
      </c>
      <c r="AF68"/>
      <c r="AG68"/>
      <c r="AH68"/>
      <c r="AI68"/>
      <c r="AJ68"/>
      <c r="AK68"/>
      <c r="AL68"/>
      <c r="AM68"/>
      <c r="AN68"/>
      <c r="AO68" t="s">
        <v>87</v>
      </c>
      <c r="AP68" s="20" t="str">
        <f t="shared" si="12"/>
        <v>14</v>
      </c>
      <c r="AQ68"/>
      <c r="AR68"/>
      <c r="AS68"/>
      <c r="AT68"/>
      <c r="AU68" t="s">
        <v>130</v>
      </c>
      <c r="AV68" s="20" t="str">
        <f t="shared" si="13"/>
        <v>19</v>
      </c>
      <c r="AW68"/>
      <c r="AX68"/>
      <c r="AY68"/>
      <c r="AZ68"/>
      <c r="BA68"/>
      <c r="BB68"/>
      <c r="BC68"/>
      <c r="BD68" t="s">
        <v>261</v>
      </c>
      <c r="BE68" s="20"/>
      <c r="BF68"/>
      <c r="BG68"/>
      <c r="BH68" t="s">
        <v>83</v>
      </c>
      <c r="BI68"/>
      <c r="BJ68"/>
      <c r="BK68"/>
      <c r="BL68" t="s">
        <v>103</v>
      </c>
      <c r="BM68" s="20" t="str">
        <f t="shared" si="9"/>
        <v>91</v>
      </c>
      <c r="BN68" t="s">
        <v>80</v>
      </c>
      <c r="BO68" s="20" t="str">
        <f t="shared" si="10"/>
        <v>167</v>
      </c>
      <c r="BP68"/>
      <c r="BQ68" t="s">
        <v>262</v>
      </c>
      <c r="BR68" s="20" t="str">
        <f t="shared" si="14"/>
        <v>12.5</v>
      </c>
      <c r="BS68" s="21">
        <f t="shared" si="11"/>
        <v>76</v>
      </c>
      <c r="BT68"/>
    </row>
    <row r="69" spans="1:72" s="19" customFormat="1" x14ac:dyDescent="0.2">
      <c r="A69" s="10" t="s">
        <v>63</v>
      </c>
      <c r="B69" s="10" t="s">
        <v>2298</v>
      </c>
      <c r="C69" s="10" t="s">
        <v>439</v>
      </c>
      <c r="D69" s="10" t="s">
        <v>64</v>
      </c>
      <c r="E69" s="10" t="s">
        <v>65</v>
      </c>
      <c r="F69" s="10" t="s">
        <v>64</v>
      </c>
      <c r="G69" s="10" t="s">
        <v>211</v>
      </c>
      <c r="H69" s="10" t="s">
        <v>212</v>
      </c>
      <c r="I69" s="10" t="s">
        <v>383</v>
      </c>
      <c r="J69" s="10" t="s">
        <v>384</v>
      </c>
      <c r="K69" s="10"/>
      <c r="L69" s="10">
        <v>1263</v>
      </c>
      <c r="M69" s="10">
        <v>1263</v>
      </c>
      <c r="N69" s="10">
        <v>4145</v>
      </c>
      <c r="O69" s="10">
        <v>4145</v>
      </c>
      <c r="P69" s="10" t="s">
        <v>436</v>
      </c>
      <c r="Q69" s="10"/>
      <c r="R69" s="10" t="s">
        <v>386</v>
      </c>
      <c r="S69" s="10" t="s">
        <v>250</v>
      </c>
      <c r="T69" s="10" t="s">
        <v>437</v>
      </c>
      <c r="U69" s="11">
        <v>41541</v>
      </c>
      <c r="V69" s="10">
        <v>24</v>
      </c>
      <c r="W69" s="10">
        <v>9</v>
      </c>
      <c r="X69" s="10">
        <v>2013</v>
      </c>
      <c r="Y69" s="10">
        <f>-15.575/-48.0173333333</f>
        <v>0.32436203593169433</v>
      </c>
      <c r="Z69" s="10" t="s">
        <v>72</v>
      </c>
      <c r="AA69" s="10">
        <v>-15.574999999999999</v>
      </c>
      <c r="AB69" s="10">
        <v>-48.017333333300002</v>
      </c>
      <c r="AC69" s="10"/>
      <c r="AD69" s="10" t="s">
        <v>73</v>
      </c>
      <c r="AE69" s="10" t="s">
        <v>74</v>
      </c>
      <c r="AF69" s="10"/>
      <c r="AG69" s="10"/>
      <c r="AH69" s="10"/>
      <c r="AI69" s="10"/>
      <c r="AJ69" s="10"/>
      <c r="AK69" s="10"/>
      <c r="AL69" s="10"/>
      <c r="AM69" s="10"/>
      <c r="AN69" s="10"/>
      <c r="AO69" s="10" t="s">
        <v>76</v>
      </c>
      <c r="AP69" s="20" t="str">
        <f t="shared" si="12"/>
        <v>13</v>
      </c>
      <c r="AQ69" s="10"/>
      <c r="AR69" s="10"/>
      <c r="AS69" s="10"/>
      <c r="AT69" s="10"/>
      <c r="AU69" s="10" t="s">
        <v>121</v>
      </c>
      <c r="AV69" s="20" t="str">
        <f t="shared" si="13"/>
        <v>18</v>
      </c>
      <c r="AW69" s="10"/>
      <c r="AX69" s="10"/>
      <c r="AY69" s="10"/>
      <c r="AZ69" s="10"/>
      <c r="BA69" s="10"/>
      <c r="BB69" s="10"/>
      <c r="BC69" s="10"/>
      <c r="BD69" s="10" t="s">
        <v>440</v>
      </c>
      <c r="BE69" s="20"/>
      <c r="BF69" s="10"/>
      <c r="BG69" s="10"/>
      <c r="BH69" s="10" t="s">
        <v>83</v>
      </c>
      <c r="BI69" s="10"/>
      <c r="BJ69" s="10"/>
      <c r="BK69" s="10"/>
      <c r="BL69" s="10" t="s">
        <v>136</v>
      </c>
      <c r="BM69" s="20" t="str">
        <f t="shared" si="9"/>
        <v>75</v>
      </c>
      <c r="BN69" s="10" t="s">
        <v>441</v>
      </c>
      <c r="BO69" s="20" t="str">
        <f t="shared" si="10"/>
        <v>151</v>
      </c>
      <c r="BP69" s="10"/>
      <c r="BQ69" s="10" t="s">
        <v>275</v>
      </c>
      <c r="BR69" s="20" t="str">
        <f t="shared" si="14"/>
        <v>11</v>
      </c>
      <c r="BS69" s="21">
        <f t="shared" si="11"/>
        <v>76</v>
      </c>
      <c r="BT69"/>
    </row>
    <row r="70" spans="1:72" s="19" customFormat="1" x14ac:dyDescent="0.2">
      <c r="A70" t="s">
        <v>63</v>
      </c>
      <c r="B70" t="s">
        <v>2402</v>
      </c>
      <c r="C70" t="s">
        <v>1290</v>
      </c>
      <c r="D70" t="s">
        <v>64</v>
      </c>
      <c r="E70" t="s">
        <v>65</v>
      </c>
      <c r="F70" t="s">
        <v>64</v>
      </c>
      <c r="G70" t="s">
        <v>615</v>
      </c>
      <c r="H70" t="s">
        <v>67</v>
      </c>
      <c r="I70" t="s">
        <v>68</v>
      </c>
      <c r="J70" t="s">
        <v>1136</v>
      </c>
      <c r="K70" t="s">
        <v>1210</v>
      </c>
      <c r="L70">
        <v>806</v>
      </c>
      <c r="M70">
        <v>806</v>
      </c>
      <c r="N70">
        <v>2645</v>
      </c>
      <c r="O70">
        <v>2645</v>
      </c>
      <c r="P70" t="s">
        <v>1280</v>
      </c>
      <c r="Q70"/>
      <c r="R70" t="s">
        <v>1281</v>
      </c>
      <c r="S70" t="s">
        <v>1282</v>
      </c>
      <c r="T70" t="s">
        <v>1283</v>
      </c>
      <c r="U70" s="2">
        <v>41071</v>
      </c>
      <c r="V70">
        <v>11</v>
      </c>
      <c r="W70">
        <v>6</v>
      </c>
      <c r="X70">
        <v>2012</v>
      </c>
      <c r="Y70" t="s">
        <v>1284</v>
      </c>
      <c r="Z70" t="s">
        <v>72</v>
      </c>
      <c r="AA70">
        <v>37.063749999999999</v>
      </c>
      <c r="AB70">
        <v>-113.5223333333</v>
      </c>
      <c r="AC70"/>
      <c r="AD70" t="s">
        <v>73</v>
      </c>
      <c r="AE70" t="s">
        <v>74</v>
      </c>
      <c r="AF70"/>
      <c r="AG70"/>
      <c r="AH70"/>
      <c r="AI70" t="s">
        <v>75</v>
      </c>
      <c r="AJ70"/>
      <c r="AK70"/>
      <c r="AL70"/>
      <c r="AM70"/>
      <c r="AN70"/>
      <c r="AO70" t="s">
        <v>1097</v>
      </c>
      <c r="AP70" s="20" t="str">
        <f t="shared" si="12"/>
        <v>14.1</v>
      </c>
      <c r="AQ70"/>
      <c r="AR70"/>
      <c r="AS70"/>
      <c r="AT70"/>
      <c r="AU70" t="s">
        <v>1291</v>
      </c>
      <c r="AV70" s="20" t="str">
        <f t="shared" si="13"/>
        <v>17.4</v>
      </c>
      <c r="AW70"/>
      <c r="AX70"/>
      <c r="AY70"/>
      <c r="AZ70"/>
      <c r="BA70"/>
      <c r="BB70"/>
      <c r="BC70"/>
      <c r="BD70" t="s">
        <v>1182</v>
      </c>
      <c r="BE70" s="20"/>
      <c r="BF70"/>
      <c r="BG70"/>
      <c r="BH70" t="s">
        <v>83</v>
      </c>
      <c r="BI70"/>
      <c r="BJ70"/>
      <c r="BK70"/>
      <c r="BL70" t="s">
        <v>1292</v>
      </c>
      <c r="BM70" s="20" t="str">
        <f t="shared" si="9"/>
        <v>74.5</v>
      </c>
      <c r="BN70" t="s">
        <v>441</v>
      </c>
      <c r="BO70" s="20" t="str">
        <f t="shared" si="10"/>
        <v>151</v>
      </c>
      <c r="BP70"/>
      <c r="BQ70" t="s">
        <v>275</v>
      </c>
      <c r="BR70" s="20" t="str">
        <f t="shared" si="14"/>
        <v>11</v>
      </c>
      <c r="BS70" s="21">
        <f t="shared" si="11"/>
        <v>76.5</v>
      </c>
      <c r="BT70"/>
    </row>
    <row r="71" spans="1:72" s="19" customFormat="1" x14ac:dyDescent="0.2">
      <c r="A71" s="4" t="s">
        <v>63</v>
      </c>
      <c r="B71" s="4" t="s">
        <v>2126</v>
      </c>
      <c r="C71" s="4" t="s">
        <v>1614</v>
      </c>
      <c r="D71" s="4" t="s">
        <v>64</v>
      </c>
      <c r="E71" s="4" t="s">
        <v>65</v>
      </c>
      <c r="F71" s="4" t="s">
        <v>64</v>
      </c>
      <c r="G71" s="4" t="s">
        <v>134</v>
      </c>
      <c r="H71" s="4" t="s">
        <v>67</v>
      </c>
      <c r="I71" s="4" t="s">
        <v>68</v>
      </c>
      <c r="J71" s="4" t="s">
        <v>183</v>
      </c>
      <c r="K71" s="4" t="s">
        <v>1579</v>
      </c>
      <c r="L71" s="4">
        <v>40</v>
      </c>
      <c r="M71" s="4">
        <v>40</v>
      </c>
      <c r="N71" s="4">
        <v>40</v>
      </c>
      <c r="O71" s="4">
        <v>40</v>
      </c>
      <c r="P71" s="4" t="s">
        <v>533</v>
      </c>
      <c r="Q71" s="4"/>
      <c r="R71" s="4" t="s">
        <v>1615</v>
      </c>
      <c r="S71" s="4"/>
      <c r="T71" s="4" t="s">
        <v>1581</v>
      </c>
      <c r="U71" s="5">
        <v>41047</v>
      </c>
      <c r="V71" s="4">
        <v>18</v>
      </c>
      <c r="W71" s="4">
        <v>5</v>
      </c>
      <c r="X71" s="4">
        <v>2012</v>
      </c>
      <c r="Y71" s="4" t="s">
        <v>1616</v>
      </c>
      <c r="Z71" s="4" t="s">
        <v>72</v>
      </c>
      <c r="AA71" s="4">
        <v>29.67445</v>
      </c>
      <c r="AB71" s="4">
        <v>-82.330933329999993</v>
      </c>
      <c r="AC71" s="4"/>
      <c r="AD71" s="4" t="s">
        <v>73</v>
      </c>
      <c r="AE71" s="4" t="s">
        <v>74</v>
      </c>
      <c r="AF71" s="4"/>
      <c r="AG71" s="4"/>
      <c r="AH71" s="4"/>
      <c r="AI71" s="4"/>
      <c r="AJ71" s="4"/>
      <c r="AK71" s="4"/>
      <c r="AL71" s="4"/>
      <c r="AM71" s="4"/>
      <c r="AN71" s="4"/>
      <c r="AO71" s="4" t="s">
        <v>87</v>
      </c>
      <c r="AP71" s="20" t="str">
        <f t="shared" si="12"/>
        <v>14</v>
      </c>
      <c r="AQ71" s="4"/>
      <c r="AR71" s="4"/>
      <c r="AS71" s="4"/>
      <c r="AT71" s="4"/>
      <c r="AU71" s="4" t="s">
        <v>130</v>
      </c>
      <c r="AV71" s="20" t="str">
        <f t="shared" si="13"/>
        <v>19</v>
      </c>
      <c r="AW71" s="4"/>
      <c r="AX71" s="4"/>
      <c r="AY71" s="4"/>
      <c r="AZ71" s="4"/>
      <c r="BA71" s="4"/>
      <c r="BB71" s="4"/>
      <c r="BC71" s="4"/>
      <c r="BD71" s="4" t="s">
        <v>258</v>
      </c>
      <c r="BE71" s="20"/>
      <c r="BF71" s="4"/>
      <c r="BG71" s="4"/>
      <c r="BH71" s="4" t="s">
        <v>78</v>
      </c>
      <c r="BI71" s="4"/>
      <c r="BJ71" s="4"/>
      <c r="BK71" s="4"/>
      <c r="BL71" s="4" t="s">
        <v>136</v>
      </c>
      <c r="BM71" s="20" t="str">
        <f t="shared" si="9"/>
        <v>75</v>
      </c>
      <c r="BN71" s="4" t="s">
        <v>326</v>
      </c>
      <c r="BO71" s="20" t="str">
        <f t="shared" si="10"/>
        <v>152</v>
      </c>
      <c r="BP71" s="4"/>
      <c r="BQ71" s="4" t="s">
        <v>199</v>
      </c>
      <c r="BR71" s="20" t="str">
        <f t="shared" si="14"/>
        <v>13</v>
      </c>
      <c r="BS71" s="21">
        <f t="shared" si="11"/>
        <v>77</v>
      </c>
      <c r="BT71" s="10"/>
    </row>
    <row r="72" spans="1:72" s="13" customFormat="1" x14ac:dyDescent="0.2">
      <c r="A72" s="4" t="s">
        <v>63</v>
      </c>
      <c r="B72" s="4" t="s">
        <v>2152</v>
      </c>
      <c r="C72" s="4" t="s">
        <v>1817</v>
      </c>
      <c r="D72" s="4" t="s">
        <v>64</v>
      </c>
      <c r="E72" s="4" t="s">
        <v>65</v>
      </c>
      <c r="F72" s="4" t="s">
        <v>64</v>
      </c>
      <c r="G72" s="4" t="s">
        <v>134</v>
      </c>
      <c r="H72" s="4" t="s">
        <v>67</v>
      </c>
      <c r="I72" s="4" t="s">
        <v>68</v>
      </c>
      <c r="J72" s="4" t="s">
        <v>1778</v>
      </c>
      <c r="K72" s="4" t="s">
        <v>1806</v>
      </c>
      <c r="L72" s="4">
        <v>75</v>
      </c>
      <c r="M72" s="4">
        <v>75</v>
      </c>
      <c r="N72" s="4">
        <v>75</v>
      </c>
      <c r="O72" s="4">
        <v>75</v>
      </c>
      <c r="P72" s="4" t="s">
        <v>1818</v>
      </c>
      <c r="Q72" s="4"/>
      <c r="R72" s="4" t="s">
        <v>1819</v>
      </c>
      <c r="S72" s="4"/>
      <c r="T72" s="4" t="s">
        <v>1820</v>
      </c>
      <c r="U72" s="5">
        <v>41130</v>
      </c>
      <c r="V72" s="4">
        <v>9</v>
      </c>
      <c r="W72" s="4">
        <v>8</v>
      </c>
      <c r="X72" s="4">
        <v>2012</v>
      </c>
      <c r="Y72" s="4" t="s">
        <v>1821</v>
      </c>
      <c r="Z72" s="4" t="s">
        <v>72</v>
      </c>
      <c r="AA72" s="4">
        <v>37.741169999999997</v>
      </c>
      <c r="AB72" s="4">
        <v>-77.575460000000007</v>
      </c>
      <c r="AC72" s="4"/>
      <c r="AD72" s="4" t="s">
        <v>73</v>
      </c>
      <c r="AE72" s="4" t="s">
        <v>74</v>
      </c>
      <c r="AF72" s="4"/>
      <c r="AG72" s="4"/>
      <c r="AH72" s="4"/>
      <c r="AI72" s="4"/>
      <c r="AJ72" s="4"/>
      <c r="AK72" s="4"/>
      <c r="AL72" s="4"/>
      <c r="AM72" s="4"/>
      <c r="AN72" s="4"/>
      <c r="AO72" s="4" t="s">
        <v>87</v>
      </c>
      <c r="AP72" s="20" t="str">
        <f t="shared" si="12"/>
        <v>14</v>
      </c>
      <c r="AQ72" s="4"/>
      <c r="AR72" s="4"/>
      <c r="AS72" s="4"/>
      <c r="AT72" s="4"/>
      <c r="AU72" s="4" t="s">
        <v>121</v>
      </c>
      <c r="AV72" s="20" t="str">
        <f t="shared" si="13"/>
        <v>18</v>
      </c>
      <c r="AW72" s="4"/>
      <c r="AX72" s="4"/>
      <c r="AY72" s="4"/>
      <c r="AZ72" s="4"/>
      <c r="BA72" s="4"/>
      <c r="BB72" s="4"/>
      <c r="BC72" s="4"/>
      <c r="BD72" s="4" t="s">
        <v>152</v>
      </c>
      <c r="BE72" s="20"/>
      <c r="BF72" s="4"/>
      <c r="BG72" s="4"/>
      <c r="BH72" s="4" t="s">
        <v>78</v>
      </c>
      <c r="BI72" s="4"/>
      <c r="BJ72" s="4"/>
      <c r="BK72" s="4"/>
      <c r="BL72" s="4" t="s">
        <v>84</v>
      </c>
      <c r="BM72" s="20" t="str">
        <f t="shared" si="9"/>
        <v>78</v>
      </c>
      <c r="BN72" s="4" t="s">
        <v>699</v>
      </c>
      <c r="BO72" s="20" t="str">
        <f t="shared" si="10"/>
        <v>155</v>
      </c>
      <c r="BP72" s="4"/>
      <c r="BQ72" s="4" t="s">
        <v>315</v>
      </c>
      <c r="BR72" s="20" t="str">
        <f t="shared" si="14"/>
        <v>14.75</v>
      </c>
      <c r="BS72" s="21">
        <f t="shared" si="11"/>
        <v>77</v>
      </c>
      <c r="BT72"/>
    </row>
    <row r="73" spans="1:72" x14ac:dyDescent="0.2">
      <c r="A73" t="s">
        <v>63</v>
      </c>
      <c r="C73" t="s">
        <v>325</v>
      </c>
      <c r="D73" t="s">
        <v>64</v>
      </c>
      <c r="E73" t="s">
        <v>65</v>
      </c>
      <c r="F73" t="s">
        <v>64</v>
      </c>
      <c r="G73" t="s">
        <v>211</v>
      </c>
      <c r="H73" t="s">
        <v>212</v>
      </c>
      <c r="I73" t="s">
        <v>213</v>
      </c>
      <c r="J73" t="s">
        <v>293</v>
      </c>
      <c r="L73">
        <v>3</v>
      </c>
      <c r="M73">
        <v>3</v>
      </c>
      <c r="N73">
        <v>10</v>
      </c>
      <c r="O73">
        <v>10</v>
      </c>
      <c r="P73" s="3">
        <v>44258</v>
      </c>
      <c r="R73" t="s">
        <v>294</v>
      </c>
      <c r="S73" t="s">
        <v>299</v>
      </c>
      <c r="T73" t="s">
        <v>323</v>
      </c>
      <c r="U73" s="2">
        <v>41341</v>
      </c>
      <c r="V73">
        <v>8</v>
      </c>
      <c r="W73">
        <v>3</v>
      </c>
      <c r="X73">
        <v>2013</v>
      </c>
      <c r="Y73">
        <f>-43.3251666667/-65.4763333333</f>
        <v>0.66169201085464036</v>
      </c>
      <c r="Z73" t="s">
        <v>72</v>
      </c>
      <c r="AA73">
        <v>-43.325166666699999</v>
      </c>
      <c r="AB73">
        <v>-65.476333333300005</v>
      </c>
      <c r="AD73" t="s">
        <v>73</v>
      </c>
      <c r="AE73" t="s">
        <v>74</v>
      </c>
      <c r="AO73" t="s">
        <v>77</v>
      </c>
      <c r="AP73" s="20" t="str">
        <f t="shared" si="12"/>
        <v>12</v>
      </c>
      <c r="AU73" t="s">
        <v>82</v>
      </c>
      <c r="AV73" s="20" t="str">
        <f t="shared" si="13"/>
        <v>17</v>
      </c>
      <c r="BD73" t="s">
        <v>241</v>
      </c>
      <c r="BE73" s="20" t="s">
        <v>241</v>
      </c>
      <c r="BH73" t="s">
        <v>78</v>
      </c>
      <c r="BL73" t="s">
        <v>136</v>
      </c>
      <c r="BM73" s="20" t="str">
        <f t="shared" si="9"/>
        <v>75</v>
      </c>
      <c r="BN73" t="s">
        <v>326</v>
      </c>
      <c r="BO73" s="20" t="str">
        <f t="shared" si="10"/>
        <v>152</v>
      </c>
      <c r="BQ73" t="s">
        <v>327</v>
      </c>
      <c r="BR73" s="20" t="str">
        <f t="shared" si="14"/>
        <v>10</v>
      </c>
      <c r="BS73" s="21">
        <f t="shared" si="11"/>
        <v>77</v>
      </c>
    </row>
    <row r="74" spans="1:72" x14ac:dyDescent="0.2">
      <c r="A74" s="13" t="s">
        <v>63</v>
      </c>
      <c r="B74" s="13"/>
      <c r="C74" s="13" t="s">
        <v>739</v>
      </c>
      <c r="D74" s="13" t="s">
        <v>64</v>
      </c>
      <c r="E74" s="13" t="s">
        <v>65</v>
      </c>
      <c r="F74" s="13" t="s">
        <v>64</v>
      </c>
      <c r="G74" s="13" t="s">
        <v>211</v>
      </c>
      <c r="H74" s="13" t="s">
        <v>212</v>
      </c>
      <c r="I74" s="13" t="s">
        <v>701</v>
      </c>
      <c r="J74" s="13" t="s">
        <v>702</v>
      </c>
      <c r="K74" s="13"/>
      <c r="L74" s="13">
        <v>2421</v>
      </c>
      <c r="M74" s="13">
        <v>2421</v>
      </c>
      <c r="N74" s="13">
        <v>7943</v>
      </c>
      <c r="O74" s="13">
        <v>7943</v>
      </c>
      <c r="P74" s="13" t="s">
        <v>740</v>
      </c>
      <c r="Q74" s="13"/>
      <c r="R74" s="13" t="s">
        <v>741</v>
      </c>
      <c r="S74" s="13"/>
      <c r="T74" s="13" t="s">
        <v>742</v>
      </c>
      <c r="U74" s="14">
        <v>41223</v>
      </c>
      <c r="V74" s="13">
        <v>10</v>
      </c>
      <c r="W74" s="13">
        <v>11</v>
      </c>
      <c r="X74" s="13">
        <v>2012</v>
      </c>
      <c r="Y74" s="13">
        <f>-0.1959/-78.3677166667</f>
        <v>2.4997538314554695E-3</v>
      </c>
      <c r="Z74" s="13" t="s">
        <v>72</v>
      </c>
      <c r="AA74" s="13">
        <v>-0.19589999999999999</v>
      </c>
      <c r="AB74" s="13">
        <v>-78.367716666700005</v>
      </c>
      <c r="AC74" s="13"/>
      <c r="AD74" s="13" t="s">
        <v>96</v>
      </c>
      <c r="AE74" s="13" t="s">
        <v>74</v>
      </c>
      <c r="AF74" s="13"/>
      <c r="AG74" s="13"/>
      <c r="AH74" s="13"/>
      <c r="AI74" s="13" t="s">
        <v>75</v>
      </c>
      <c r="AJ74" s="13"/>
      <c r="AK74" s="13"/>
      <c r="AL74" s="13"/>
      <c r="AM74" s="13"/>
      <c r="AN74" s="13"/>
      <c r="AO74" s="13" t="s">
        <v>121</v>
      </c>
      <c r="AP74" s="20" t="str">
        <f t="shared" si="12"/>
        <v>18</v>
      </c>
      <c r="AQ74" s="13"/>
      <c r="AR74" s="13"/>
      <c r="AS74" s="13"/>
      <c r="AT74" s="13"/>
      <c r="AU74" s="13" t="s">
        <v>82</v>
      </c>
      <c r="AV74" s="20" t="str">
        <f t="shared" si="13"/>
        <v>17</v>
      </c>
      <c r="AW74" s="13"/>
      <c r="AX74" s="13"/>
      <c r="AY74" s="13"/>
      <c r="AZ74" s="13"/>
      <c r="BA74" s="13"/>
      <c r="BB74" s="13"/>
      <c r="BC74" s="13"/>
      <c r="BD74" s="13" t="s">
        <v>743</v>
      </c>
      <c r="BE74" s="20" t="s">
        <v>241</v>
      </c>
      <c r="BF74" s="13"/>
      <c r="BG74" s="13"/>
      <c r="BH74" s="13" t="s">
        <v>78</v>
      </c>
      <c r="BI74" s="13"/>
      <c r="BJ74" s="13"/>
      <c r="BK74" s="13"/>
      <c r="BL74" s="13" t="s">
        <v>136</v>
      </c>
      <c r="BM74" s="20" t="str">
        <f t="shared" si="9"/>
        <v>75</v>
      </c>
      <c r="BN74" s="13" t="s">
        <v>326</v>
      </c>
      <c r="BO74" s="20" t="str">
        <f t="shared" si="10"/>
        <v>152</v>
      </c>
      <c r="BP74" s="13"/>
      <c r="BQ74" s="13" t="s">
        <v>434</v>
      </c>
      <c r="BR74" s="20" t="str">
        <f t="shared" si="14"/>
        <v>10.5</v>
      </c>
      <c r="BS74" s="21">
        <f t="shared" si="11"/>
        <v>77</v>
      </c>
    </row>
    <row r="75" spans="1:72" x14ac:dyDescent="0.2">
      <c r="A75" t="s">
        <v>63</v>
      </c>
      <c r="C75" t="s">
        <v>760</v>
      </c>
      <c r="D75" t="s">
        <v>64</v>
      </c>
      <c r="E75" t="s">
        <v>65</v>
      </c>
      <c r="F75" t="s">
        <v>64</v>
      </c>
      <c r="G75" t="s">
        <v>211</v>
      </c>
      <c r="H75" t="s">
        <v>212</v>
      </c>
      <c r="I75" t="s">
        <v>701</v>
      </c>
      <c r="J75" t="s">
        <v>734</v>
      </c>
      <c r="L75">
        <v>2973</v>
      </c>
      <c r="M75">
        <v>2973</v>
      </c>
      <c r="N75">
        <v>9755</v>
      </c>
      <c r="O75">
        <v>9755</v>
      </c>
      <c r="P75" t="s">
        <v>745</v>
      </c>
      <c r="R75" t="s">
        <v>750</v>
      </c>
      <c r="T75" t="s">
        <v>747</v>
      </c>
      <c r="U75" s="2">
        <v>41228</v>
      </c>
      <c r="V75">
        <v>15</v>
      </c>
      <c r="W75">
        <v>11</v>
      </c>
      <c r="X75">
        <v>2012</v>
      </c>
      <c r="Y75">
        <f>-0.87355/-78.6070833333</f>
        <v>1.111286620693051E-2</v>
      </c>
      <c r="Z75" t="s">
        <v>72</v>
      </c>
      <c r="AA75">
        <v>-0.87355000000000005</v>
      </c>
      <c r="AB75">
        <v>-78.607083333299997</v>
      </c>
      <c r="AD75" t="s">
        <v>96</v>
      </c>
      <c r="AE75" t="s">
        <v>74</v>
      </c>
      <c r="AI75" t="s">
        <v>226</v>
      </c>
      <c r="AO75" t="s">
        <v>87</v>
      </c>
      <c r="AP75" s="20" t="str">
        <f t="shared" si="12"/>
        <v>14</v>
      </c>
      <c r="AU75" t="s">
        <v>130</v>
      </c>
      <c r="AV75" s="20" t="str">
        <f t="shared" si="13"/>
        <v>19</v>
      </c>
      <c r="BD75" t="s">
        <v>318</v>
      </c>
      <c r="BH75" t="s">
        <v>83</v>
      </c>
      <c r="BL75" t="s">
        <v>375</v>
      </c>
      <c r="BM75" s="20" t="str">
        <f t="shared" si="9"/>
        <v>73</v>
      </c>
      <c r="BN75" t="s">
        <v>364</v>
      </c>
      <c r="BO75" s="20" t="str">
        <f t="shared" si="10"/>
        <v>150</v>
      </c>
      <c r="BQ75" t="s">
        <v>516</v>
      </c>
      <c r="BR75" s="20" t="str">
        <f t="shared" si="14"/>
        <v>7</v>
      </c>
      <c r="BS75" s="21">
        <f t="shared" si="11"/>
        <v>77</v>
      </c>
    </row>
    <row r="76" spans="1:72" s="13" customFormat="1" x14ac:dyDescent="0.2">
      <c r="A76" t="s">
        <v>63</v>
      </c>
      <c r="B76"/>
      <c r="C76" t="s">
        <v>1563</v>
      </c>
      <c r="D76" t="s">
        <v>64</v>
      </c>
      <c r="E76" t="s">
        <v>65</v>
      </c>
      <c r="F76" t="s">
        <v>64</v>
      </c>
      <c r="G76" t="s">
        <v>211</v>
      </c>
      <c r="H76" t="s">
        <v>212</v>
      </c>
      <c r="I76" t="s">
        <v>701</v>
      </c>
      <c r="J76" t="s">
        <v>1342</v>
      </c>
      <c r="K76"/>
      <c r="L76">
        <v>100</v>
      </c>
      <c r="M76">
        <v>100</v>
      </c>
      <c r="N76">
        <v>327</v>
      </c>
      <c r="O76">
        <v>327</v>
      </c>
      <c r="P76" t="s">
        <v>1557</v>
      </c>
      <c r="Q76"/>
      <c r="R76" t="s">
        <v>1558</v>
      </c>
      <c r="S76"/>
      <c r="T76" t="s">
        <v>1559</v>
      </c>
      <c r="U76" s="2">
        <v>41241</v>
      </c>
      <c r="V76">
        <v>28</v>
      </c>
      <c r="W76">
        <v>11</v>
      </c>
      <c r="X76">
        <v>2012</v>
      </c>
      <c r="Y76">
        <f>-1.0793833333/-80.5399166667</f>
        <v>1.3401843184998992E-2</v>
      </c>
      <c r="Z76" t="s">
        <v>72</v>
      </c>
      <c r="AA76">
        <v>-1.0793833333</v>
      </c>
      <c r="AB76">
        <v>-80.539916666699995</v>
      </c>
      <c r="AC76"/>
      <c r="AD76" t="s">
        <v>96</v>
      </c>
      <c r="AE76" t="s">
        <v>74</v>
      </c>
      <c r="AF76"/>
      <c r="AG76"/>
      <c r="AH76"/>
      <c r="AI76" t="s">
        <v>226</v>
      </c>
      <c r="AJ76"/>
      <c r="AK76"/>
      <c r="AL76"/>
      <c r="AM76"/>
      <c r="AN76"/>
      <c r="AO76" t="s">
        <v>77</v>
      </c>
      <c r="AP76" s="20" t="str">
        <f t="shared" si="12"/>
        <v>12</v>
      </c>
      <c r="AQ76"/>
      <c r="AR76"/>
      <c r="AS76"/>
      <c r="AT76"/>
      <c r="AU76" t="s">
        <v>121</v>
      </c>
      <c r="AV76" s="20" t="str">
        <f t="shared" si="13"/>
        <v>18</v>
      </c>
      <c r="AW76"/>
      <c r="AX76"/>
      <c r="AY76"/>
      <c r="AZ76"/>
      <c r="BA76"/>
      <c r="BB76"/>
      <c r="BC76"/>
      <c r="BD76" t="s">
        <v>1564</v>
      </c>
      <c r="BE76" s="20"/>
      <c r="BF76"/>
      <c r="BG76"/>
      <c r="BH76" t="s">
        <v>83</v>
      </c>
      <c r="BI76"/>
      <c r="BJ76"/>
      <c r="BK76"/>
      <c r="BL76" t="s">
        <v>755</v>
      </c>
      <c r="BM76" s="20" t="str">
        <f t="shared" si="9"/>
        <v>66</v>
      </c>
      <c r="BN76" t="s">
        <v>1379</v>
      </c>
      <c r="BO76" s="20" t="str">
        <f t="shared" si="10"/>
        <v>143</v>
      </c>
      <c r="BP76"/>
      <c r="BQ76" t="s">
        <v>1565</v>
      </c>
      <c r="BR76" s="20" t="str">
        <f t="shared" si="14"/>
        <v>7.75</v>
      </c>
      <c r="BS76" s="21">
        <f t="shared" si="11"/>
        <v>77</v>
      </c>
      <c r="BT76"/>
    </row>
    <row r="77" spans="1:72" x14ac:dyDescent="0.2">
      <c r="A77" s="4" t="s">
        <v>63</v>
      </c>
      <c r="B77" s="4" t="s">
        <v>2131</v>
      </c>
      <c r="C77" s="4" t="s">
        <v>1760</v>
      </c>
      <c r="D77" s="4" t="s">
        <v>64</v>
      </c>
      <c r="E77" s="4" t="s">
        <v>65</v>
      </c>
      <c r="F77" s="4" t="s">
        <v>64</v>
      </c>
      <c r="G77" s="4" t="s">
        <v>134</v>
      </c>
      <c r="H77" s="4" t="s">
        <v>67</v>
      </c>
      <c r="I77" s="4" t="s">
        <v>68</v>
      </c>
      <c r="J77" s="4" t="s">
        <v>1590</v>
      </c>
      <c r="K77" s="4" t="s">
        <v>1755</v>
      </c>
      <c r="L77" s="4">
        <v>228</v>
      </c>
      <c r="M77" s="4">
        <v>228</v>
      </c>
      <c r="N77" s="4">
        <v>228</v>
      </c>
      <c r="O77" s="4">
        <v>228</v>
      </c>
      <c r="P77" s="4" t="s">
        <v>1761</v>
      </c>
      <c r="Q77" s="4"/>
      <c r="R77" s="4" t="s">
        <v>1762</v>
      </c>
      <c r="S77" s="4"/>
      <c r="T77" s="4" t="s">
        <v>1763</v>
      </c>
      <c r="U77" s="5">
        <v>41064</v>
      </c>
      <c r="V77" s="4">
        <v>4</v>
      </c>
      <c r="W77" s="4">
        <v>6</v>
      </c>
      <c r="X77" s="4">
        <v>2012</v>
      </c>
      <c r="Y77" s="4" t="s">
        <v>1764</v>
      </c>
      <c r="Z77" s="4" t="s">
        <v>72</v>
      </c>
      <c r="AA77" s="4">
        <v>33.837569999999999</v>
      </c>
      <c r="AB77" s="4">
        <v>-83.350489999999994</v>
      </c>
      <c r="AC77" s="4"/>
      <c r="AD77" s="4" t="s">
        <v>73</v>
      </c>
      <c r="AE77" s="4" t="s">
        <v>74</v>
      </c>
      <c r="AF77" s="4"/>
      <c r="AG77" s="4"/>
      <c r="AH77" s="4"/>
      <c r="AI77" s="4"/>
      <c r="AJ77" s="4"/>
      <c r="AK77" s="4"/>
      <c r="AL77" s="4"/>
      <c r="AM77" s="4"/>
      <c r="AN77" s="4"/>
      <c r="AO77" s="4" t="s">
        <v>76</v>
      </c>
      <c r="AP77" s="20" t="str">
        <f t="shared" si="12"/>
        <v>13</v>
      </c>
      <c r="AQ77" s="4"/>
      <c r="AR77" s="4"/>
      <c r="AS77" s="4"/>
      <c r="AT77" s="4"/>
      <c r="AU77" s="4" t="s">
        <v>121</v>
      </c>
      <c r="AV77" s="20" t="str">
        <f t="shared" si="13"/>
        <v>18</v>
      </c>
      <c r="AW77" s="4"/>
      <c r="AX77" s="4"/>
      <c r="AY77" s="4"/>
      <c r="AZ77" s="4"/>
      <c r="BA77" s="4"/>
      <c r="BB77" s="4"/>
      <c r="BC77" s="4"/>
      <c r="BD77" s="4" t="s">
        <v>1765</v>
      </c>
      <c r="BF77" s="4"/>
      <c r="BG77" s="4"/>
      <c r="BH77" s="4" t="s">
        <v>83</v>
      </c>
      <c r="BI77" s="4"/>
      <c r="BJ77" s="4"/>
      <c r="BK77" s="4"/>
      <c r="BL77" s="4" t="s">
        <v>433</v>
      </c>
      <c r="BM77" s="20" t="str">
        <f t="shared" si="9"/>
        <v>65</v>
      </c>
      <c r="BN77" s="4" t="s">
        <v>1478</v>
      </c>
      <c r="BO77" s="20" t="str">
        <f t="shared" si="10"/>
        <v>142</v>
      </c>
      <c r="BP77" s="4"/>
      <c r="BQ77" s="4" t="s">
        <v>90</v>
      </c>
      <c r="BR77" s="20" t="str">
        <f t="shared" si="14"/>
        <v>12.75</v>
      </c>
      <c r="BS77" s="21">
        <f t="shared" si="11"/>
        <v>77</v>
      </c>
    </row>
    <row r="78" spans="1:72" s="13" customFormat="1" x14ac:dyDescent="0.2">
      <c r="A78" s="13" t="s">
        <v>63</v>
      </c>
      <c r="C78" s="13" t="s">
        <v>1370</v>
      </c>
      <c r="D78" s="13" t="s">
        <v>64</v>
      </c>
      <c r="E78" s="13" t="s">
        <v>65</v>
      </c>
      <c r="F78" s="13" t="s">
        <v>64</v>
      </c>
      <c r="G78" s="13" t="s">
        <v>211</v>
      </c>
      <c r="H78" s="13" t="s">
        <v>212</v>
      </c>
      <c r="I78" s="13" t="s">
        <v>701</v>
      </c>
      <c r="J78" s="13" t="s">
        <v>1342</v>
      </c>
      <c r="L78" s="13">
        <v>43</v>
      </c>
      <c r="M78" s="13">
        <v>43</v>
      </c>
      <c r="N78" s="13">
        <v>142</v>
      </c>
      <c r="O78" s="13">
        <v>142</v>
      </c>
      <c r="P78" s="13" t="s">
        <v>1371</v>
      </c>
      <c r="R78" s="13" t="s">
        <v>1368</v>
      </c>
      <c r="T78" s="13" t="s">
        <v>1369</v>
      </c>
      <c r="U78" s="14">
        <v>41242</v>
      </c>
      <c r="V78" s="13">
        <v>29</v>
      </c>
      <c r="W78" s="13">
        <v>11</v>
      </c>
      <c r="X78" s="13">
        <v>2012</v>
      </c>
      <c r="Y78" s="13">
        <f>-1.0554/-80.4900666667</f>
        <v>1.3112176989122004E-2</v>
      </c>
      <c r="Z78" s="13" t="s">
        <v>72</v>
      </c>
      <c r="AA78" s="13">
        <v>-1.0553999999999999</v>
      </c>
      <c r="AB78" s="13">
        <v>-80.490066666700002</v>
      </c>
      <c r="AD78" s="13" t="s">
        <v>96</v>
      </c>
      <c r="AE78" s="13" t="s">
        <v>74</v>
      </c>
      <c r="AI78" s="13" t="s">
        <v>226</v>
      </c>
      <c r="AO78" s="13" t="s">
        <v>77</v>
      </c>
      <c r="AP78" s="20" t="str">
        <f t="shared" si="12"/>
        <v>12</v>
      </c>
      <c r="AU78" s="13" t="s">
        <v>82</v>
      </c>
      <c r="AV78" s="20" t="str">
        <f t="shared" si="13"/>
        <v>17</v>
      </c>
      <c r="BD78" s="13" t="s">
        <v>1372</v>
      </c>
      <c r="BE78" s="20"/>
      <c r="BH78" s="13" t="s">
        <v>83</v>
      </c>
      <c r="BL78" s="13" t="s">
        <v>194</v>
      </c>
      <c r="BM78" s="20" t="str">
        <f t="shared" si="9"/>
        <v>79</v>
      </c>
      <c r="BN78" s="13" t="s">
        <v>695</v>
      </c>
      <c r="BO78" s="20" t="str">
        <f t="shared" si="10"/>
        <v>156</v>
      </c>
      <c r="BQ78" s="13" t="s">
        <v>1373</v>
      </c>
      <c r="BR78" s="20" t="str">
        <f t="shared" si="14"/>
        <v>9.75</v>
      </c>
      <c r="BS78" s="21">
        <f t="shared" si="11"/>
        <v>77</v>
      </c>
      <c r="BT78"/>
    </row>
    <row r="79" spans="1:72" x14ac:dyDescent="0.2">
      <c r="A79" t="s">
        <v>63</v>
      </c>
      <c r="C79" t="s">
        <v>1473</v>
      </c>
      <c r="D79" t="s">
        <v>64</v>
      </c>
      <c r="E79" t="s">
        <v>65</v>
      </c>
      <c r="F79" t="s">
        <v>64</v>
      </c>
      <c r="G79" t="s">
        <v>211</v>
      </c>
      <c r="H79" t="s">
        <v>212</v>
      </c>
      <c r="I79" t="s">
        <v>701</v>
      </c>
      <c r="J79" t="s">
        <v>1466</v>
      </c>
      <c r="L79">
        <v>465</v>
      </c>
      <c r="M79">
        <v>465</v>
      </c>
      <c r="N79">
        <v>1527</v>
      </c>
      <c r="O79">
        <v>1527</v>
      </c>
      <c r="P79" t="s">
        <v>1467</v>
      </c>
      <c r="R79" t="s">
        <v>1468</v>
      </c>
      <c r="T79" t="s">
        <v>1469</v>
      </c>
      <c r="U79" s="2">
        <v>41253</v>
      </c>
      <c r="V79">
        <v>10</v>
      </c>
      <c r="W79">
        <v>12</v>
      </c>
      <c r="X79">
        <v>2012</v>
      </c>
      <c r="Y79">
        <f>-0.20675/-79.18085</f>
        <v>2.6111111461925448E-3</v>
      </c>
      <c r="Z79" t="s">
        <v>72</v>
      </c>
      <c r="AA79">
        <v>-0.20674999999999999</v>
      </c>
      <c r="AB79">
        <v>-79.180850000000007</v>
      </c>
      <c r="AD79" t="s">
        <v>96</v>
      </c>
      <c r="AE79" t="s">
        <v>74</v>
      </c>
      <c r="AI79" t="s">
        <v>226</v>
      </c>
      <c r="AO79" t="s">
        <v>236</v>
      </c>
      <c r="AP79" s="20" t="str">
        <f t="shared" si="12"/>
        <v>11</v>
      </c>
      <c r="AU79" t="s">
        <v>82</v>
      </c>
      <c r="AV79" s="20" t="str">
        <f t="shared" si="13"/>
        <v>17</v>
      </c>
      <c r="BD79" t="s">
        <v>1372</v>
      </c>
      <c r="BH79" t="s">
        <v>83</v>
      </c>
      <c r="BL79" t="s">
        <v>197</v>
      </c>
      <c r="BM79" s="20" t="str">
        <f t="shared" si="9"/>
        <v>74</v>
      </c>
      <c r="BN79" t="s">
        <v>441</v>
      </c>
      <c r="BO79" s="20" t="str">
        <f t="shared" si="10"/>
        <v>151</v>
      </c>
      <c r="BQ79" t="s">
        <v>1380</v>
      </c>
      <c r="BR79" s="20" t="str">
        <f t="shared" si="14"/>
        <v>9.25</v>
      </c>
      <c r="BS79" s="21">
        <f t="shared" si="11"/>
        <v>77</v>
      </c>
    </row>
    <row r="80" spans="1:72" x14ac:dyDescent="0.2">
      <c r="A80" s="13" t="s">
        <v>63</v>
      </c>
      <c r="B80" s="13"/>
      <c r="C80" s="13" t="s">
        <v>1474</v>
      </c>
      <c r="D80" s="13" t="s">
        <v>64</v>
      </c>
      <c r="E80" s="13" t="s">
        <v>65</v>
      </c>
      <c r="F80" s="13" t="s">
        <v>64</v>
      </c>
      <c r="G80" s="13" t="s">
        <v>211</v>
      </c>
      <c r="H80" s="13" t="s">
        <v>212</v>
      </c>
      <c r="I80" s="13" t="s">
        <v>701</v>
      </c>
      <c r="J80" s="13" t="s">
        <v>1466</v>
      </c>
      <c r="K80" s="13"/>
      <c r="L80" s="13">
        <v>388</v>
      </c>
      <c r="M80" s="13">
        <v>388</v>
      </c>
      <c r="N80" s="13">
        <v>1274</v>
      </c>
      <c r="O80" s="13">
        <v>1274</v>
      </c>
      <c r="P80" s="13" t="s">
        <v>1475</v>
      </c>
      <c r="Q80" s="13"/>
      <c r="R80" s="13" t="s">
        <v>1476</v>
      </c>
      <c r="S80" s="13"/>
      <c r="T80" s="13" t="s">
        <v>1477</v>
      </c>
      <c r="U80" s="14">
        <v>41253</v>
      </c>
      <c r="V80" s="13">
        <v>10</v>
      </c>
      <c r="W80" s="13">
        <v>12</v>
      </c>
      <c r="X80" s="13">
        <v>2012</v>
      </c>
      <c r="Y80" s="13">
        <f>-0.1172833333/-79.2591166667</f>
        <v>1.4797456523922572E-3</v>
      </c>
      <c r="Z80" s="13" t="s">
        <v>72</v>
      </c>
      <c r="AA80" s="13">
        <v>-0.1172833333</v>
      </c>
      <c r="AB80" s="13">
        <v>-79.259116666699995</v>
      </c>
      <c r="AC80" s="13"/>
      <c r="AD80" s="13" t="s">
        <v>96</v>
      </c>
      <c r="AE80" s="13" t="s">
        <v>74</v>
      </c>
      <c r="AF80" s="13"/>
      <c r="AG80" s="13"/>
      <c r="AH80" s="13"/>
      <c r="AI80" s="13" t="s">
        <v>226</v>
      </c>
      <c r="AJ80" s="13"/>
      <c r="AK80" s="13"/>
      <c r="AL80" s="13"/>
      <c r="AM80" s="13"/>
      <c r="AN80" s="13"/>
      <c r="AO80" s="13" t="s">
        <v>77</v>
      </c>
      <c r="AP80" s="20" t="str">
        <f t="shared" si="12"/>
        <v>12</v>
      </c>
      <c r="AQ80" s="13"/>
      <c r="AR80" s="13"/>
      <c r="AS80" s="13"/>
      <c r="AT80" s="13"/>
      <c r="AU80" s="13" t="s">
        <v>344</v>
      </c>
      <c r="AV80" s="20" t="str">
        <f t="shared" si="13"/>
        <v>16</v>
      </c>
      <c r="AW80" s="13"/>
      <c r="AX80" s="13"/>
      <c r="AY80" s="13"/>
      <c r="AZ80" s="13"/>
      <c r="BA80" s="13"/>
      <c r="BB80" s="13"/>
      <c r="BC80" s="13"/>
      <c r="BD80" s="13" t="s">
        <v>1372</v>
      </c>
      <c r="BF80" s="13"/>
      <c r="BG80" s="13"/>
      <c r="BH80" s="13" t="s">
        <v>83</v>
      </c>
      <c r="BI80" s="13"/>
      <c r="BJ80" s="13"/>
      <c r="BK80" s="13"/>
      <c r="BL80" s="13" t="s">
        <v>433</v>
      </c>
      <c r="BM80" s="20" t="str">
        <f t="shared" si="9"/>
        <v>65</v>
      </c>
      <c r="BN80" s="13" t="s">
        <v>1478</v>
      </c>
      <c r="BO80" s="20" t="str">
        <f t="shared" si="10"/>
        <v>142</v>
      </c>
      <c r="BP80" s="13"/>
      <c r="BQ80" s="13" t="s">
        <v>1373</v>
      </c>
      <c r="BR80" s="20" t="str">
        <f t="shared" si="14"/>
        <v>9.75</v>
      </c>
      <c r="BS80" s="21">
        <f t="shared" si="11"/>
        <v>77</v>
      </c>
    </row>
    <row r="81" spans="1:72" s="13" customFormat="1" x14ac:dyDescent="0.2">
      <c r="A81" s="13" t="s">
        <v>63</v>
      </c>
      <c r="B81" s="13" t="s">
        <v>2391</v>
      </c>
      <c r="C81" s="13" t="s">
        <v>1355</v>
      </c>
      <c r="D81" s="13" t="s">
        <v>64</v>
      </c>
      <c r="E81" s="13" t="s">
        <v>65</v>
      </c>
      <c r="F81" s="13" t="s">
        <v>64</v>
      </c>
      <c r="G81" s="13" t="s">
        <v>211</v>
      </c>
      <c r="H81" s="13" t="s">
        <v>212</v>
      </c>
      <c r="I81" s="13" t="s">
        <v>701</v>
      </c>
      <c r="J81" s="13" t="s">
        <v>1342</v>
      </c>
      <c r="L81" s="13">
        <v>10</v>
      </c>
      <c r="M81" s="13">
        <v>10</v>
      </c>
      <c r="N81" s="13">
        <v>33</v>
      </c>
      <c r="O81" s="13">
        <v>33</v>
      </c>
      <c r="P81" s="16">
        <v>44479</v>
      </c>
      <c r="R81" s="13" t="s">
        <v>1356</v>
      </c>
      <c r="T81" s="13" t="s">
        <v>1357</v>
      </c>
      <c r="U81" s="14">
        <v>41241</v>
      </c>
      <c r="V81" s="13">
        <v>28</v>
      </c>
      <c r="W81" s="13">
        <v>11</v>
      </c>
      <c r="X81" s="13">
        <v>2012</v>
      </c>
      <c r="Y81" s="13">
        <f>-0.8461/-80.16485</f>
        <v>1.0554501131106713E-2</v>
      </c>
      <c r="Z81" s="13" t="s">
        <v>72</v>
      </c>
      <c r="AA81" s="13">
        <v>-0.84609999999999996</v>
      </c>
      <c r="AB81" s="13">
        <v>-80.164850000000001</v>
      </c>
      <c r="AD81" s="13" t="s">
        <v>96</v>
      </c>
      <c r="AE81" s="13" t="s">
        <v>74</v>
      </c>
      <c r="AI81" s="13" t="s">
        <v>75</v>
      </c>
      <c r="AO81" s="13" t="s">
        <v>236</v>
      </c>
      <c r="AP81" s="20" t="str">
        <f t="shared" si="12"/>
        <v>11</v>
      </c>
      <c r="AU81" s="13" t="s">
        <v>82</v>
      </c>
      <c r="AV81" s="20" t="str">
        <f t="shared" si="13"/>
        <v>17</v>
      </c>
      <c r="BD81" s="13" t="s">
        <v>1358</v>
      </c>
      <c r="BE81" s="20"/>
      <c r="BH81" s="13" t="s">
        <v>83</v>
      </c>
      <c r="BL81" s="13" t="s">
        <v>84</v>
      </c>
      <c r="BM81" s="20" t="str">
        <f t="shared" si="9"/>
        <v>78</v>
      </c>
      <c r="BN81" s="13" t="s">
        <v>699</v>
      </c>
      <c r="BO81" s="20" t="str">
        <f t="shared" si="10"/>
        <v>155</v>
      </c>
      <c r="BQ81" s="13" t="s">
        <v>199</v>
      </c>
      <c r="BR81" s="20" t="str">
        <f t="shared" si="14"/>
        <v>13</v>
      </c>
      <c r="BS81" s="21">
        <f t="shared" si="11"/>
        <v>77</v>
      </c>
      <c r="BT81"/>
    </row>
    <row r="82" spans="1:72" x14ac:dyDescent="0.2">
      <c r="A82" s="4" t="s">
        <v>63</v>
      </c>
      <c r="B82" s="4" t="s">
        <v>2127</v>
      </c>
      <c r="C82" s="4" t="s">
        <v>1636</v>
      </c>
      <c r="D82" s="4" t="s">
        <v>64</v>
      </c>
      <c r="E82" s="4" t="s">
        <v>65</v>
      </c>
      <c r="F82" s="4" t="s">
        <v>64</v>
      </c>
      <c r="G82" s="4" t="s">
        <v>134</v>
      </c>
      <c r="H82" s="4" t="s">
        <v>67</v>
      </c>
      <c r="I82" s="4" t="s">
        <v>68</v>
      </c>
      <c r="J82" s="4" t="s">
        <v>183</v>
      </c>
      <c r="K82" s="4" t="s">
        <v>1579</v>
      </c>
      <c r="L82" s="4">
        <v>37</v>
      </c>
      <c r="M82" s="4">
        <v>37</v>
      </c>
      <c r="N82" s="4">
        <v>37</v>
      </c>
      <c r="O82" s="4">
        <v>37</v>
      </c>
      <c r="P82" s="4" t="s">
        <v>185</v>
      </c>
      <c r="Q82" s="4"/>
      <c r="R82" s="4" t="s">
        <v>1637</v>
      </c>
      <c r="S82" s="4"/>
      <c r="T82" s="4" t="s">
        <v>1633</v>
      </c>
      <c r="U82" s="5">
        <v>41051</v>
      </c>
      <c r="V82" s="4">
        <v>22</v>
      </c>
      <c r="W82" s="4">
        <v>5</v>
      </c>
      <c r="X82" s="4">
        <v>2012</v>
      </c>
      <c r="Y82" s="4" t="s">
        <v>1638</v>
      </c>
      <c r="Z82" s="4" t="s">
        <v>72</v>
      </c>
      <c r="AA82" s="4">
        <v>29.778929000000002</v>
      </c>
      <c r="AB82" s="4">
        <v>-82.416971000000004</v>
      </c>
      <c r="AC82" s="4"/>
      <c r="AD82" s="4" t="s">
        <v>73</v>
      </c>
      <c r="AE82" s="4" t="s">
        <v>74</v>
      </c>
      <c r="AF82" s="4"/>
      <c r="AG82" s="4"/>
      <c r="AH82" s="4"/>
      <c r="AI82" s="4"/>
      <c r="AJ82" s="4"/>
      <c r="AK82" s="4"/>
      <c r="AL82" s="4"/>
      <c r="AM82" s="4"/>
      <c r="AN82" s="4"/>
      <c r="AO82" s="4" t="s">
        <v>87</v>
      </c>
      <c r="AP82" s="20" t="str">
        <f t="shared" si="12"/>
        <v>14</v>
      </c>
      <c r="AQ82" s="4"/>
      <c r="AR82" s="4"/>
      <c r="AS82" s="4"/>
      <c r="AT82" s="4"/>
      <c r="AU82" s="4" t="s">
        <v>130</v>
      </c>
      <c r="AV82" s="20" t="str">
        <f t="shared" si="13"/>
        <v>19</v>
      </c>
      <c r="AW82" s="4"/>
      <c r="AX82" s="4"/>
      <c r="AY82" s="4"/>
      <c r="AZ82" s="4"/>
      <c r="BA82" s="4"/>
      <c r="BB82" s="4"/>
      <c r="BC82" s="4"/>
      <c r="BD82" s="4" t="s">
        <v>1639</v>
      </c>
      <c r="BF82" s="4"/>
      <c r="BG82" s="4"/>
      <c r="BH82" s="4" t="s">
        <v>83</v>
      </c>
      <c r="BI82" s="4"/>
      <c r="BJ82" s="4"/>
      <c r="BK82" s="4"/>
      <c r="BL82" s="4" t="s">
        <v>84</v>
      </c>
      <c r="BM82" s="20" t="str">
        <f t="shared" si="9"/>
        <v>78</v>
      </c>
      <c r="BN82" s="4" t="s">
        <v>699</v>
      </c>
      <c r="BO82" s="20" t="str">
        <f t="shared" si="10"/>
        <v>155</v>
      </c>
      <c r="BP82" s="4"/>
      <c r="BQ82" s="4" t="s">
        <v>90</v>
      </c>
      <c r="BR82" s="20" t="str">
        <f t="shared" si="14"/>
        <v>12.75</v>
      </c>
      <c r="BS82" s="21">
        <f t="shared" si="11"/>
        <v>77</v>
      </c>
    </row>
    <row r="83" spans="1:72" x14ac:dyDescent="0.2">
      <c r="A83" s="17" t="s">
        <v>63</v>
      </c>
      <c r="B83" s="17" t="s">
        <v>2331</v>
      </c>
      <c r="C83" s="17" t="s">
        <v>1035</v>
      </c>
      <c r="D83" s="17" t="s">
        <v>64</v>
      </c>
      <c r="E83" s="17" t="s">
        <v>65</v>
      </c>
      <c r="F83" s="17" t="s">
        <v>64</v>
      </c>
      <c r="G83" s="17" t="s">
        <v>615</v>
      </c>
      <c r="H83" s="17" t="s">
        <v>67</v>
      </c>
      <c r="I83" s="17" t="s">
        <v>68</v>
      </c>
      <c r="J83" s="17" t="s">
        <v>69</v>
      </c>
      <c r="K83" s="17" t="s">
        <v>70</v>
      </c>
      <c r="L83" s="17">
        <v>719</v>
      </c>
      <c r="M83" s="17">
        <v>719</v>
      </c>
      <c r="N83" s="17">
        <v>2359</v>
      </c>
      <c r="O83" s="17">
        <v>2359</v>
      </c>
      <c r="P83" s="17" t="s">
        <v>823</v>
      </c>
      <c r="Q83" s="17"/>
      <c r="R83" s="17" t="s">
        <v>1024</v>
      </c>
      <c r="S83" s="17" t="s">
        <v>1025</v>
      </c>
      <c r="T83" s="17" t="s">
        <v>1026</v>
      </c>
      <c r="U83" s="18">
        <v>41171</v>
      </c>
      <c r="V83" s="17">
        <v>19</v>
      </c>
      <c r="W83" s="17">
        <v>9</v>
      </c>
      <c r="X83" s="17">
        <v>2012</v>
      </c>
      <c r="Y83" s="17" t="s">
        <v>1027</v>
      </c>
      <c r="Z83" s="17" t="s">
        <v>72</v>
      </c>
      <c r="AA83" s="17">
        <v>32.166966666699999</v>
      </c>
      <c r="AB83" s="17">
        <v>-111.0858833333</v>
      </c>
      <c r="AC83" s="17"/>
      <c r="AD83" s="17" t="s">
        <v>73</v>
      </c>
      <c r="AE83" s="17" t="s">
        <v>74</v>
      </c>
      <c r="AF83" s="17"/>
      <c r="AG83" s="17"/>
      <c r="AH83" s="17"/>
      <c r="AI83" s="17" t="s">
        <v>75</v>
      </c>
      <c r="AJ83" s="17"/>
      <c r="AK83" s="17"/>
      <c r="AL83" s="17"/>
      <c r="AM83" s="17"/>
      <c r="AN83" s="17"/>
      <c r="AO83" s="17" t="s">
        <v>643</v>
      </c>
      <c r="AP83" s="20" t="str">
        <f t="shared" si="12"/>
        <v>14.3</v>
      </c>
      <c r="AQ83" s="17"/>
      <c r="AR83" s="17"/>
      <c r="AS83" s="17"/>
      <c r="AT83" s="17"/>
      <c r="AU83" s="17" t="s">
        <v>1036</v>
      </c>
      <c r="AV83" s="20" t="str">
        <f t="shared" si="13"/>
        <v>17.6</v>
      </c>
      <c r="AW83" s="17"/>
      <c r="AX83" s="17"/>
      <c r="AY83" s="17"/>
      <c r="AZ83" s="17"/>
      <c r="BA83" s="17"/>
      <c r="BB83" s="17"/>
      <c r="BC83" s="17"/>
      <c r="BD83" s="17" t="s">
        <v>1037</v>
      </c>
      <c r="BF83" s="17"/>
      <c r="BG83" s="17"/>
      <c r="BH83" s="17" t="s">
        <v>83</v>
      </c>
      <c r="BI83" s="17"/>
      <c r="BJ83" s="17"/>
      <c r="BK83" s="17"/>
      <c r="BL83" s="17" t="s">
        <v>123</v>
      </c>
      <c r="BM83" s="20" t="str">
        <f t="shared" si="9"/>
        <v>88</v>
      </c>
      <c r="BN83" s="17" t="s">
        <v>1038</v>
      </c>
      <c r="BO83" s="20" t="str">
        <f t="shared" si="10"/>
        <v>165.5</v>
      </c>
      <c r="BP83" s="17"/>
      <c r="BQ83" s="17" t="s">
        <v>818</v>
      </c>
      <c r="BR83" s="20" t="str">
        <f t="shared" si="14"/>
        <v>13.6</v>
      </c>
      <c r="BS83" s="21">
        <f t="shared" si="11"/>
        <v>77.5</v>
      </c>
    </row>
    <row r="84" spans="1:72" s="13" customFormat="1" x14ac:dyDescent="0.2">
      <c r="A84" s="13" t="s">
        <v>63</v>
      </c>
      <c r="C84" s="13" t="s">
        <v>1930</v>
      </c>
      <c r="D84" s="13" t="s">
        <v>64</v>
      </c>
      <c r="E84" s="13" t="s">
        <v>65</v>
      </c>
      <c r="F84" s="13" t="s">
        <v>64</v>
      </c>
      <c r="G84" s="13" t="s">
        <v>1886</v>
      </c>
      <c r="H84" s="13" t="s">
        <v>212</v>
      </c>
      <c r="I84" s="13" t="s">
        <v>1887</v>
      </c>
      <c r="J84" s="13" t="s">
        <v>1888</v>
      </c>
      <c r="L84" s="13">
        <v>3731</v>
      </c>
      <c r="M84" s="13">
        <v>3731</v>
      </c>
      <c r="N84" s="13">
        <v>3731</v>
      </c>
      <c r="O84" s="13">
        <v>3731</v>
      </c>
      <c r="P84" s="13" t="s">
        <v>1931</v>
      </c>
      <c r="R84" s="13" t="s">
        <v>1932</v>
      </c>
      <c r="T84" s="13" t="s">
        <v>1933</v>
      </c>
      <c r="U84" s="14">
        <v>41866</v>
      </c>
      <c r="V84" s="13">
        <v>15</v>
      </c>
      <c r="W84" s="13">
        <v>8</v>
      </c>
      <c r="X84" s="13">
        <v>2014</v>
      </c>
      <c r="Y84" s="13">
        <f>-16.5880166667/-68.1521</f>
        <v>0.24339699975055792</v>
      </c>
      <c r="Z84" s="13" t="s">
        <v>72</v>
      </c>
      <c r="AA84" s="13">
        <v>-16.5880166667</v>
      </c>
      <c r="AB84" s="13">
        <v>-68.152100000000004</v>
      </c>
      <c r="AC84" s="13">
        <v>100</v>
      </c>
      <c r="AD84" s="13" t="s">
        <v>73</v>
      </c>
      <c r="AE84" s="13" t="s">
        <v>74</v>
      </c>
      <c r="AI84" s="13" t="s">
        <v>203</v>
      </c>
      <c r="AO84" s="13" t="s">
        <v>643</v>
      </c>
      <c r="AP84" s="20" t="str">
        <f t="shared" si="12"/>
        <v>14.3</v>
      </c>
      <c r="AU84" s="13" t="s">
        <v>630</v>
      </c>
      <c r="AV84" s="20" t="str">
        <f t="shared" si="13"/>
        <v>19.5</v>
      </c>
      <c r="BD84" s="13" t="s">
        <v>258</v>
      </c>
      <c r="BE84" s="20"/>
      <c r="BH84" s="13" t="s">
        <v>78</v>
      </c>
      <c r="BL84" s="13" t="s">
        <v>147</v>
      </c>
      <c r="BM84" s="20" t="str">
        <f t="shared" si="9"/>
        <v>84</v>
      </c>
      <c r="BN84" s="13" t="s">
        <v>407</v>
      </c>
      <c r="BO84" s="20" t="str">
        <f t="shared" si="10"/>
        <v>162</v>
      </c>
      <c r="BQ84" s="13" t="s">
        <v>188</v>
      </c>
      <c r="BR84" s="20" t="str">
        <f t="shared" si="14"/>
        <v>12.3</v>
      </c>
      <c r="BS84" s="21">
        <f t="shared" si="11"/>
        <v>78</v>
      </c>
      <c r="BT84" s="10"/>
    </row>
    <row r="85" spans="1:72" x14ac:dyDescent="0.2">
      <c r="A85" s="4" t="s">
        <v>63</v>
      </c>
      <c r="B85" s="4" t="s">
        <v>2136</v>
      </c>
      <c r="C85" s="4" t="s">
        <v>1607</v>
      </c>
      <c r="D85" s="4" t="s">
        <v>64</v>
      </c>
      <c r="E85" s="4" t="s">
        <v>65</v>
      </c>
      <c r="F85" s="4" t="s">
        <v>64</v>
      </c>
      <c r="G85" s="4" t="s">
        <v>134</v>
      </c>
      <c r="H85" s="4" t="s">
        <v>67</v>
      </c>
      <c r="I85" s="4" t="s">
        <v>68</v>
      </c>
      <c r="J85" s="4" t="s">
        <v>1590</v>
      </c>
      <c r="K85" s="4" t="s">
        <v>1608</v>
      </c>
      <c r="L85" s="4">
        <v>291</v>
      </c>
      <c r="M85" s="4">
        <v>291</v>
      </c>
      <c r="N85" s="4">
        <v>291</v>
      </c>
      <c r="O85" s="4">
        <v>291</v>
      </c>
      <c r="P85" s="4" t="s">
        <v>1609</v>
      </c>
      <c r="Q85" s="4"/>
      <c r="R85" s="4" t="s">
        <v>1610</v>
      </c>
      <c r="S85" s="4"/>
      <c r="T85" s="4" t="s">
        <v>1611</v>
      </c>
      <c r="U85" s="5">
        <v>41061</v>
      </c>
      <c r="V85" s="4">
        <v>1</v>
      </c>
      <c r="W85" s="4">
        <v>6</v>
      </c>
      <c r="X85" s="4">
        <v>2012</v>
      </c>
      <c r="Y85" s="4" t="s">
        <v>1612</v>
      </c>
      <c r="Z85" s="4" t="s">
        <v>72</v>
      </c>
      <c r="AA85" s="4">
        <v>34.100059999999999</v>
      </c>
      <c r="AB85" s="4">
        <v>-83.596950000000007</v>
      </c>
      <c r="AC85" s="4">
        <v>100</v>
      </c>
      <c r="AD85" s="4" t="s">
        <v>73</v>
      </c>
      <c r="AE85" s="4" t="s">
        <v>74</v>
      </c>
      <c r="AF85" s="4"/>
      <c r="AG85" s="4"/>
      <c r="AH85" s="4"/>
      <c r="AI85" s="4"/>
      <c r="AJ85" s="4"/>
      <c r="AK85" s="4"/>
      <c r="AL85" s="4"/>
      <c r="AM85" s="4"/>
      <c r="AN85" s="4"/>
      <c r="AO85" s="4" t="s">
        <v>207</v>
      </c>
      <c r="AP85" s="20" t="str">
        <f t="shared" si="12"/>
        <v>13.5</v>
      </c>
      <c r="AQ85" s="4"/>
      <c r="AR85" s="4"/>
      <c r="AS85" s="4"/>
      <c r="AT85" s="4"/>
      <c r="AU85" s="4" t="s">
        <v>82</v>
      </c>
      <c r="AV85" s="20" t="str">
        <f t="shared" si="13"/>
        <v>17</v>
      </c>
      <c r="AW85" s="4"/>
      <c r="AX85" s="4"/>
      <c r="AY85" s="4"/>
      <c r="AZ85" s="4"/>
      <c r="BA85" s="4"/>
      <c r="BB85" s="4"/>
      <c r="BC85" s="4"/>
      <c r="BD85" s="4" t="s">
        <v>1613</v>
      </c>
      <c r="BE85" s="20" t="s">
        <v>241</v>
      </c>
      <c r="BF85" s="4"/>
      <c r="BG85" s="4"/>
      <c r="BH85" s="4" t="s">
        <v>78</v>
      </c>
      <c r="BI85" s="4"/>
      <c r="BJ85" s="4"/>
      <c r="BK85" s="4"/>
      <c r="BL85" s="4" t="s">
        <v>84</v>
      </c>
      <c r="BM85" s="20" t="str">
        <f t="shared" si="9"/>
        <v>78</v>
      </c>
      <c r="BN85" s="4" t="s">
        <v>695</v>
      </c>
      <c r="BO85" s="20" t="str">
        <f t="shared" si="10"/>
        <v>156</v>
      </c>
      <c r="BP85" s="4"/>
      <c r="BQ85" s="4" t="s">
        <v>390</v>
      </c>
      <c r="BR85" s="20" t="str">
        <f t="shared" si="14"/>
        <v>14.5</v>
      </c>
      <c r="BS85" s="21">
        <f t="shared" si="11"/>
        <v>78</v>
      </c>
    </row>
    <row r="86" spans="1:72" x14ac:dyDescent="0.2">
      <c r="A86" t="s">
        <v>63</v>
      </c>
      <c r="C86" t="s">
        <v>1335</v>
      </c>
      <c r="D86" t="s">
        <v>64</v>
      </c>
      <c r="E86" t="s">
        <v>65</v>
      </c>
      <c r="F86" t="s">
        <v>64</v>
      </c>
      <c r="G86" t="s">
        <v>211</v>
      </c>
      <c r="H86" t="s">
        <v>212</v>
      </c>
      <c r="I86" t="s">
        <v>701</v>
      </c>
      <c r="J86" t="s">
        <v>734</v>
      </c>
      <c r="L86">
        <v>2872</v>
      </c>
      <c r="M86">
        <v>2872</v>
      </c>
      <c r="N86">
        <v>9424</v>
      </c>
      <c r="O86">
        <v>9424</v>
      </c>
      <c r="P86" t="s">
        <v>1330</v>
      </c>
      <c r="R86" t="s">
        <v>1331</v>
      </c>
      <c r="T86" t="s">
        <v>1332</v>
      </c>
      <c r="U86" s="2">
        <v>41230</v>
      </c>
      <c r="V86">
        <v>17</v>
      </c>
      <c r="W86">
        <v>11</v>
      </c>
      <c r="X86">
        <v>2012</v>
      </c>
      <c r="Y86">
        <f>-0.8626666667/-78.64425</f>
        <v>1.0969227460367414E-2</v>
      </c>
      <c r="Z86" t="s">
        <v>72</v>
      </c>
      <c r="AA86">
        <v>-0.86266666670000003</v>
      </c>
      <c r="AB86">
        <v>-78.64425</v>
      </c>
      <c r="AD86" t="s">
        <v>96</v>
      </c>
      <c r="AE86" t="s">
        <v>74</v>
      </c>
      <c r="AI86" t="s">
        <v>226</v>
      </c>
      <c r="AO86" t="s">
        <v>207</v>
      </c>
      <c r="AP86" s="20" t="str">
        <f t="shared" si="12"/>
        <v>13.5</v>
      </c>
      <c r="AU86" t="s">
        <v>87</v>
      </c>
      <c r="AV86" s="20" t="str">
        <f t="shared" si="13"/>
        <v>14</v>
      </c>
      <c r="BD86" t="s">
        <v>768</v>
      </c>
      <c r="BH86" t="s">
        <v>83</v>
      </c>
      <c r="BL86" t="s">
        <v>136</v>
      </c>
      <c r="BM86" s="20" t="str">
        <f t="shared" si="9"/>
        <v>75</v>
      </c>
      <c r="BN86" t="s">
        <v>205</v>
      </c>
      <c r="BO86" s="20" t="str">
        <f t="shared" si="10"/>
        <v>153</v>
      </c>
      <c r="BQ86" t="s">
        <v>801</v>
      </c>
      <c r="BR86" s="20" t="str">
        <f t="shared" si="14"/>
        <v>9.5</v>
      </c>
      <c r="BS86" s="21">
        <f t="shared" si="11"/>
        <v>78</v>
      </c>
    </row>
    <row r="87" spans="1:72" x14ac:dyDescent="0.2">
      <c r="A87" s="13" t="s">
        <v>63</v>
      </c>
      <c r="B87" s="13"/>
      <c r="C87" s="13" t="s">
        <v>1378</v>
      </c>
      <c r="D87" s="13" t="s">
        <v>64</v>
      </c>
      <c r="E87" s="13" t="s">
        <v>65</v>
      </c>
      <c r="F87" s="13" t="s">
        <v>64</v>
      </c>
      <c r="G87" s="13" t="s">
        <v>211</v>
      </c>
      <c r="H87" s="13" t="s">
        <v>212</v>
      </c>
      <c r="I87" s="13" t="s">
        <v>701</v>
      </c>
      <c r="J87" s="13" t="s">
        <v>1342</v>
      </c>
      <c r="K87" s="13"/>
      <c r="L87" s="13">
        <v>16</v>
      </c>
      <c r="M87" s="13">
        <v>16</v>
      </c>
      <c r="N87" s="13">
        <v>52</v>
      </c>
      <c r="O87" s="13">
        <v>52</v>
      </c>
      <c r="P87" s="13" t="s">
        <v>310</v>
      </c>
      <c r="Q87" s="13"/>
      <c r="R87" s="13" t="s">
        <v>1364</v>
      </c>
      <c r="S87" s="13"/>
      <c r="T87" s="13" t="s">
        <v>1375</v>
      </c>
      <c r="U87" s="14">
        <v>41243</v>
      </c>
      <c r="V87" s="13">
        <v>30</v>
      </c>
      <c r="W87" s="13">
        <v>11</v>
      </c>
      <c r="X87" s="13">
        <v>2012</v>
      </c>
      <c r="Y87" s="13">
        <f>-0.8483333333/-80.1634166667</f>
        <v>1.0582549603981624E-2</v>
      </c>
      <c r="Z87" s="13" t="s">
        <v>72</v>
      </c>
      <c r="AA87" s="13">
        <v>-0.84833333330000005</v>
      </c>
      <c r="AB87" s="13">
        <v>-80.163416666700002</v>
      </c>
      <c r="AC87" s="13"/>
      <c r="AD87" s="13" t="s">
        <v>96</v>
      </c>
      <c r="AE87" s="13" t="s">
        <v>74</v>
      </c>
      <c r="AF87" s="13"/>
      <c r="AG87" s="13"/>
      <c r="AH87" s="13"/>
      <c r="AI87" s="13" t="s">
        <v>203</v>
      </c>
      <c r="AJ87" s="13"/>
      <c r="AK87" s="13"/>
      <c r="AL87" s="13"/>
      <c r="AM87" s="13"/>
      <c r="AN87" s="13"/>
      <c r="AO87" s="13" t="s">
        <v>77</v>
      </c>
      <c r="AP87" s="20" t="str">
        <f t="shared" si="12"/>
        <v>12</v>
      </c>
      <c r="AQ87" s="13"/>
      <c r="AR87" s="13"/>
      <c r="AS87" s="13"/>
      <c r="AT87" s="13"/>
      <c r="AU87" s="13" t="s">
        <v>82</v>
      </c>
      <c r="AV87" s="20" t="str">
        <f t="shared" si="13"/>
        <v>17</v>
      </c>
      <c r="AW87" s="13"/>
      <c r="AX87" s="13"/>
      <c r="AY87" s="13"/>
      <c r="AZ87" s="13"/>
      <c r="BA87" s="13"/>
      <c r="BB87" s="13"/>
      <c r="BC87" s="13"/>
      <c r="BD87" s="13" t="s">
        <v>1372</v>
      </c>
      <c r="BF87" s="13"/>
      <c r="BG87" s="13"/>
      <c r="BH87" s="13" t="s">
        <v>83</v>
      </c>
      <c r="BI87" s="13"/>
      <c r="BJ87" s="13"/>
      <c r="BK87" s="13"/>
      <c r="BL87" s="13" t="s">
        <v>433</v>
      </c>
      <c r="BM87" s="20" t="str">
        <f t="shared" si="9"/>
        <v>65</v>
      </c>
      <c r="BN87" s="13" t="s">
        <v>1379</v>
      </c>
      <c r="BO87" s="20" t="str">
        <f t="shared" si="10"/>
        <v>143</v>
      </c>
      <c r="BP87" s="13"/>
      <c r="BQ87" s="13" t="s">
        <v>1380</v>
      </c>
      <c r="BR87" s="20" t="str">
        <f t="shared" si="14"/>
        <v>9.25</v>
      </c>
      <c r="BS87" s="21">
        <f t="shared" si="11"/>
        <v>78</v>
      </c>
    </row>
    <row r="88" spans="1:72" s="13" customFormat="1" x14ac:dyDescent="0.2">
      <c r="A88" s="10" t="s">
        <v>63</v>
      </c>
      <c r="B88" s="10" t="s">
        <v>2286</v>
      </c>
      <c r="C88" s="10" t="s">
        <v>513</v>
      </c>
      <c r="D88" s="10" t="s">
        <v>64</v>
      </c>
      <c r="E88" s="10" t="s">
        <v>65</v>
      </c>
      <c r="F88" s="10" t="s">
        <v>64</v>
      </c>
      <c r="G88" s="10" t="s">
        <v>211</v>
      </c>
      <c r="H88" s="10" t="s">
        <v>212</v>
      </c>
      <c r="I88" s="10" t="s">
        <v>383</v>
      </c>
      <c r="J88" s="10" t="s">
        <v>492</v>
      </c>
      <c r="K88" s="10"/>
      <c r="L88" s="10">
        <v>88</v>
      </c>
      <c r="M88" s="10">
        <v>88</v>
      </c>
      <c r="N88" s="10">
        <v>288</v>
      </c>
      <c r="O88" s="10">
        <v>288</v>
      </c>
      <c r="P88" s="10" t="s">
        <v>510</v>
      </c>
      <c r="Q88" s="10"/>
      <c r="R88" s="10" t="s">
        <v>494</v>
      </c>
      <c r="S88" s="10" t="s">
        <v>495</v>
      </c>
      <c r="T88" s="10" t="s">
        <v>511</v>
      </c>
      <c r="U88" s="11">
        <v>41535</v>
      </c>
      <c r="V88" s="10">
        <v>18</v>
      </c>
      <c r="W88" s="10">
        <v>9</v>
      </c>
      <c r="X88" s="10">
        <v>2013</v>
      </c>
      <c r="Y88" s="10">
        <f>-8.7763333333/63.8511666667</f>
        <v>-0.13744985082437156</v>
      </c>
      <c r="Z88" s="10" t="s">
        <v>72</v>
      </c>
      <c r="AA88" s="10">
        <v>-8.78430556</v>
      </c>
      <c r="AB88" s="10">
        <v>-63.803333330000001</v>
      </c>
      <c r="AC88" s="10"/>
      <c r="AD88" s="10" t="s">
        <v>73</v>
      </c>
      <c r="AE88" s="10" t="s">
        <v>74</v>
      </c>
      <c r="AF88" s="10"/>
      <c r="AG88" s="10"/>
      <c r="AH88" s="10"/>
      <c r="AI88" s="10"/>
      <c r="AJ88" s="10"/>
      <c r="AK88" s="10"/>
      <c r="AL88" s="10"/>
      <c r="AM88" s="10"/>
      <c r="AN88" s="10"/>
      <c r="AO88" s="10" t="s">
        <v>236</v>
      </c>
      <c r="AP88" s="20" t="str">
        <f t="shared" si="12"/>
        <v>11</v>
      </c>
      <c r="AQ88" s="10"/>
      <c r="AR88" s="10"/>
      <c r="AS88" s="10"/>
      <c r="AT88" s="10"/>
      <c r="AU88" s="10" t="s">
        <v>82</v>
      </c>
      <c r="AV88" s="20" t="str">
        <f t="shared" si="13"/>
        <v>17</v>
      </c>
      <c r="AW88" s="10"/>
      <c r="AX88" s="10"/>
      <c r="AY88" s="10"/>
      <c r="AZ88" s="10"/>
      <c r="BA88" s="10"/>
      <c r="BB88" s="10"/>
      <c r="BC88" s="10"/>
      <c r="BD88" s="10" t="s">
        <v>514</v>
      </c>
      <c r="BE88" s="20"/>
      <c r="BF88" s="10"/>
      <c r="BG88" s="10"/>
      <c r="BH88" s="10" t="s">
        <v>83</v>
      </c>
      <c r="BI88" s="10"/>
      <c r="BJ88" s="10"/>
      <c r="BK88" s="10"/>
      <c r="BL88" s="10" t="s">
        <v>403</v>
      </c>
      <c r="BM88" s="20" t="str">
        <f t="shared" si="9"/>
        <v>67</v>
      </c>
      <c r="BN88" s="10" t="s">
        <v>515</v>
      </c>
      <c r="BO88" s="20" t="str">
        <f t="shared" si="10"/>
        <v>145</v>
      </c>
      <c r="BP88" s="10"/>
      <c r="BQ88" s="10" t="s">
        <v>516</v>
      </c>
      <c r="BR88" s="20" t="str">
        <f t="shared" si="14"/>
        <v>7</v>
      </c>
      <c r="BS88" s="21">
        <f t="shared" si="11"/>
        <v>78</v>
      </c>
      <c r="BT88"/>
    </row>
    <row r="89" spans="1:72" x14ac:dyDescent="0.2">
      <c r="A89" s="10" t="s">
        <v>63</v>
      </c>
      <c r="B89" s="10" t="s">
        <v>2243</v>
      </c>
      <c r="C89" s="10" t="s">
        <v>362</v>
      </c>
      <c r="D89" s="10" t="s">
        <v>64</v>
      </c>
      <c r="E89" s="10" t="s">
        <v>65</v>
      </c>
      <c r="F89" s="10" t="s">
        <v>64</v>
      </c>
      <c r="G89" s="10" t="s">
        <v>211</v>
      </c>
      <c r="H89" s="10" t="s">
        <v>212</v>
      </c>
      <c r="I89" s="10" t="s">
        <v>213</v>
      </c>
      <c r="J89" s="10" t="s">
        <v>354</v>
      </c>
      <c r="K89" s="10"/>
      <c r="L89" s="10">
        <v>95</v>
      </c>
      <c r="M89" s="10">
        <v>95</v>
      </c>
      <c r="N89" s="10">
        <v>313</v>
      </c>
      <c r="O89" s="10">
        <v>313</v>
      </c>
      <c r="P89" s="10" t="s">
        <v>355</v>
      </c>
      <c r="Q89" s="10"/>
      <c r="R89" s="10" t="s">
        <v>356</v>
      </c>
      <c r="S89" s="10" t="s">
        <v>357</v>
      </c>
      <c r="T89" s="10" t="s">
        <v>358</v>
      </c>
      <c r="U89" s="11">
        <v>41319</v>
      </c>
      <c r="V89" s="10">
        <v>14</v>
      </c>
      <c r="W89" s="10">
        <v>2</v>
      </c>
      <c r="X89" s="10">
        <v>2013</v>
      </c>
      <c r="Y89" s="10">
        <f>-54.7858833333/-68.2755666667</f>
        <v>0.80242297512882721</v>
      </c>
      <c r="Z89" s="10" t="s">
        <v>72</v>
      </c>
      <c r="AA89" s="10">
        <v>-54.785883333299999</v>
      </c>
      <c r="AB89" s="10">
        <v>-68.275566666700001</v>
      </c>
      <c r="AC89" s="10"/>
      <c r="AD89" s="10" t="s">
        <v>73</v>
      </c>
      <c r="AE89" s="10" t="s">
        <v>74</v>
      </c>
      <c r="AF89" s="10"/>
      <c r="AG89" s="10"/>
      <c r="AH89" s="10"/>
      <c r="AI89" s="10" t="s">
        <v>226</v>
      </c>
      <c r="AJ89" s="10"/>
      <c r="AK89" s="10"/>
      <c r="AL89" s="10"/>
      <c r="AM89" s="10"/>
      <c r="AN89" s="10"/>
      <c r="AO89" s="10" t="s">
        <v>77</v>
      </c>
      <c r="AP89" s="20" t="str">
        <f t="shared" si="12"/>
        <v>12</v>
      </c>
      <c r="AQ89" s="10"/>
      <c r="AR89" s="10"/>
      <c r="AS89" s="10"/>
      <c r="AT89" s="10"/>
      <c r="AU89" s="10" t="s">
        <v>121</v>
      </c>
      <c r="AV89" s="20" t="str">
        <f t="shared" si="13"/>
        <v>18</v>
      </c>
      <c r="AW89" s="10"/>
      <c r="AX89" s="10"/>
      <c r="AY89" s="10"/>
      <c r="AZ89" s="10"/>
      <c r="BA89" s="10"/>
      <c r="BB89" s="10"/>
      <c r="BC89" s="10"/>
      <c r="BD89" s="10" t="s">
        <v>307</v>
      </c>
      <c r="BF89" s="10"/>
      <c r="BG89" s="10"/>
      <c r="BH89" s="10" t="s">
        <v>83</v>
      </c>
      <c r="BI89" s="10"/>
      <c r="BJ89" s="10"/>
      <c r="BK89" s="10"/>
      <c r="BL89" s="10" t="s">
        <v>363</v>
      </c>
      <c r="BM89" s="20" t="str">
        <f t="shared" si="9"/>
        <v>72</v>
      </c>
      <c r="BN89" s="10" t="s">
        <v>364</v>
      </c>
      <c r="BO89" s="20" t="str">
        <f t="shared" si="10"/>
        <v>150</v>
      </c>
      <c r="BP89" s="10"/>
      <c r="BQ89" s="10" t="s">
        <v>327</v>
      </c>
      <c r="BR89" s="20" t="str">
        <f t="shared" si="14"/>
        <v>10</v>
      </c>
      <c r="BS89" s="21">
        <f t="shared" si="11"/>
        <v>78</v>
      </c>
    </row>
    <row r="90" spans="1:72" x14ac:dyDescent="0.2">
      <c r="A90" t="s">
        <v>63</v>
      </c>
      <c r="C90" t="s">
        <v>1553</v>
      </c>
      <c r="D90" t="s">
        <v>64</v>
      </c>
      <c r="E90" t="s">
        <v>65</v>
      </c>
      <c r="F90" t="s">
        <v>64</v>
      </c>
      <c r="G90" t="s">
        <v>211</v>
      </c>
      <c r="H90" t="s">
        <v>212</v>
      </c>
      <c r="I90" t="s">
        <v>701</v>
      </c>
      <c r="J90" t="s">
        <v>702</v>
      </c>
      <c r="L90">
        <v>3090</v>
      </c>
      <c r="M90">
        <v>3090</v>
      </c>
      <c r="N90">
        <v>10138</v>
      </c>
      <c r="O90">
        <v>10138</v>
      </c>
      <c r="P90" t="s">
        <v>1548</v>
      </c>
      <c r="R90" t="s">
        <v>1549</v>
      </c>
      <c r="T90" t="s">
        <v>1550</v>
      </c>
      <c r="U90" s="2">
        <v>41237</v>
      </c>
      <c r="V90">
        <v>24</v>
      </c>
      <c r="W90">
        <v>11</v>
      </c>
      <c r="X90">
        <v>2012</v>
      </c>
      <c r="Y90">
        <f>-0.4464833333/-78.4224833333</f>
        <v>5.6933077648462184E-3</v>
      </c>
      <c r="Z90" t="s">
        <v>72</v>
      </c>
      <c r="AA90">
        <v>-0.44648333330000001</v>
      </c>
      <c r="AB90">
        <v>-78.422483333299994</v>
      </c>
      <c r="AD90" t="s">
        <v>96</v>
      </c>
      <c r="AE90" t="s">
        <v>74</v>
      </c>
      <c r="AI90" t="s">
        <v>75</v>
      </c>
      <c r="AO90" t="s">
        <v>88</v>
      </c>
      <c r="AP90" s="20" t="str">
        <f t="shared" si="12"/>
        <v>15</v>
      </c>
      <c r="AU90" t="s">
        <v>130</v>
      </c>
      <c r="AV90" s="20" t="str">
        <f t="shared" si="13"/>
        <v>19</v>
      </c>
      <c r="BD90" t="s">
        <v>1554</v>
      </c>
      <c r="BH90" t="s">
        <v>83</v>
      </c>
      <c r="BL90" t="s">
        <v>174</v>
      </c>
      <c r="BM90" s="20" t="str">
        <f t="shared" si="9"/>
        <v>83</v>
      </c>
      <c r="BN90" t="s">
        <v>563</v>
      </c>
      <c r="BO90" s="20" t="str">
        <f t="shared" si="10"/>
        <v>161</v>
      </c>
      <c r="BQ90" t="s">
        <v>512</v>
      </c>
      <c r="BR90" s="20" t="str">
        <f t="shared" si="14"/>
        <v>13.5</v>
      </c>
      <c r="BS90" s="21">
        <f t="shared" si="11"/>
        <v>78</v>
      </c>
    </row>
    <row r="91" spans="1:72" s="13" customFormat="1" x14ac:dyDescent="0.2">
      <c r="A91" s="4" t="s">
        <v>63</v>
      </c>
      <c r="B91" s="4" t="s">
        <v>2166</v>
      </c>
      <c r="C91" s="4" t="s">
        <v>1837</v>
      </c>
      <c r="D91" s="4" t="s">
        <v>64</v>
      </c>
      <c r="E91" s="4" t="s">
        <v>65</v>
      </c>
      <c r="F91" s="4" t="s">
        <v>64</v>
      </c>
      <c r="G91" s="4" t="s">
        <v>134</v>
      </c>
      <c r="H91" s="4" t="s">
        <v>67</v>
      </c>
      <c r="I91" s="4" t="s">
        <v>68</v>
      </c>
      <c r="J91" s="4" t="s">
        <v>1651</v>
      </c>
      <c r="K91" s="4" t="s">
        <v>1717</v>
      </c>
      <c r="L91" s="4">
        <v>170</v>
      </c>
      <c r="M91" s="4">
        <v>170</v>
      </c>
      <c r="N91" s="4">
        <v>170</v>
      </c>
      <c r="O91" s="4">
        <v>170</v>
      </c>
      <c r="P91" s="4" t="s">
        <v>1838</v>
      </c>
      <c r="Q91" s="4"/>
      <c r="R91" s="4" t="s">
        <v>1839</v>
      </c>
      <c r="S91" s="4"/>
      <c r="T91" s="4" t="s">
        <v>1840</v>
      </c>
      <c r="U91" s="5">
        <v>41125</v>
      </c>
      <c r="V91" s="4">
        <v>4</v>
      </c>
      <c r="W91" s="4">
        <v>8</v>
      </c>
      <c r="X91" s="4">
        <v>2012</v>
      </c>
      <c r="Y91" s="4" t="s">
        <v>1841</v>
      </c>
      <c r="Z91" s="4" t="s">
        <v>72</v>
      </c>
      <c r="AA91" s="4">
        <v>40.707470000000001</v>
      </c>
      <c r="AB91" s="4">
        <v>-75.667379999999994</v>
      </c>
      <c r="AC91" s="4"/>
      <c r="AD91" s="4" t="s">
        <v>73</v>
      </c>
      <c r="AE91" s="4" t="s">
        <v>74</v>
      </c>
      <c r="AF91" s="4"/>
      <c r="AG91" s="4"/>
      <c r="AH91" s="4"/>
      <c r="AI91" s="4"/>
      <c r="AJ91" s="4"/>
      <c r="AK91" s="4"/>
      <c r="AL91" s="4"/>
      <c r="AM91" s="4"/>
      <c r="AN91" s="4"/>
      <c r="AO91" s="4" t="s">
        <v>76</v>
      </c>
      <c r="AP91" s="20" t="str">
        <f t="shared" si="12"/>
        <v>13</v>
      </c>
      <c r="AQ91" s="4"/>
      <c r="AR91" s="4"/>
      <c r="AS91" s="4"/>
      <c r="AT91" s="4"/>
      <c r="AU91" s="4" t="s">
        <v>130</v>
      </c>
      <c r="AV91" s="20" t="str">
        <f t="shared" si="13"/>
        <v>19</v>
      </c>
      <c r="AW91" s="4"/>
      <c r="AX91" s="4"/>
      <c r="AY91" s="4"/>
      <c r="AZ91" s="4"/>
      <c r="BA91" s="4"/>
      <c r="BB91" s="4"/>
      <c r="BC91" s="4"/>
      <c r="BD91" s="4" t="s">
        <v>1712</v>
      </c>
      <c r="BE91" s="20"/>
      <c r="BF91" s="4"/>
      <c r="BG91" s="4"/>
      <c r="BH91" s="4" t="s">
        <v>83</v>
      </c>
      <c r="BI91" s="4"/>
      <c r="BJ91" s="4"/>
      <c r="BK91" s="4"/>
      <c r="BL91" s="4" t="s">
        <v>208</v>
      </c>
      <c r="BM91" s="20" t="str">
        <f t="shared" si="9"/>
        <v>80</v>
      </c>
      <c r="BN91" s="4" t="s">
        <v>569</v>
      </c>
      <c r="BO91" s="20" t="str">
        <f t="shared" si="10"/>
        <v>158</v>
      </c>
      <c r="BP91" s="4"/>
      <c r="BQ91" s="4" t="s">
        <v>390</v>
      </c>
      <c r="BR91" s="20" t="str">
        <f t="shared" si="14"/>
        <v>14.5</v>
      </c>
      <c r="BS91" s="21">
        <f t="shared" si="11"/>
        <v>78</v>
      </c>
      <c r="BT91"/>
    </row>
    <row r="92" spans="1:72" x14ac:dyDescent="0.2">
      <c r="A92" s="4" t="s">
        <v>63</v>
      </c>
      <c r="B92" s="4" t="s">
        <v>2148</v>
      </c>
      <c r="C92" s="4" t="s">
        <v>1880</v>
      </c>
      <c r="D92" s="4" t="s">
        <v>64</v>
      </c>
      <c r="E92" s="4" t="s">
        <v>65</v>
      </c>
      <c r="F92" s="4" t="s">
        <v>64</v>
      </c>
      <c r="G92" s="4" t="s">
        <v>134</v>
      </c>
      <c r="H92" s="4" t="s">
        <v>67</v>
      </c>
      <c r="I92" s="4" t="s">
        <v>68</v>
      </c>
      <c r="J92" s="4" t="s">
        <v>1778</v>
      </c>
      <c r="K92" s="4" t="s">
        <v>1784</v>
      </c>
      <c r="L92" s="4">
        <v>89</v>
      </c>
      <c r="M92" s="4">
        <v>89</v>
      </c>
      <c r="N92" s="4">
        <v>89</v>
      </c>
      <c r="O92" s="4">
        <v>89</v>
      </c>
      <c r="P92" s="4" t="s">
        <v>1881</v>
      </c>
      <c r="Q92" s="4"/>
      <c r="R92" s="4" t="s">
        <v>1795</v>
      </c>
      <c r="S92" s="4"/>
      <c r="T92" s="4" t="s">
        <v>1796</v>
      </c>
      <c r="U92" s="5">
        <v>41133</v>
      </c>
      <c r="V92" s="4">
        <v>12</v>
      </c>
      <c r="W92" s="4">
        <v>8</v>
      </c>
      <c r="X92" s="4">
        <v>2012</v>
      </c>
      <c r="Y92" s="4" t="s">
        <v>1882</v>
      </c>
      <c r="Z92" s="4" t="s">
        <v>72</v>
      </c>
      <c r="AA92" s="4">
        <v>37.655009999999997</v>
      </c>
      <c r="AB92" s="4">
        <v>-77.739769999999993</v>
      </c>
      <c r="AC92" s="4">
        <v>25</v>
      </c>
      <c r="AD92" s="4" t="s">
        <v>73</v>
      </c>
      <c r="AE92" s="4" t="s">
        <v>74</v>
      </c>
      <c r="AF92" s="4"/>
      <c r="AG92" s="4"/>
      <c r="AH92" s="4"/>
      <c r="AI92" s="4"/>
      <c r="AJ92" s="4"/>
      <c r="AK92" s="4"/>
      <c r="AL92" s="4"/>
      <c r="AM92" s="4"/>
      <c r="AN92" s="4"/>
      <c r="AO92" s="4" t="s">
        <v>76</v>
      </c>
      <c r="AP92" s="20" t="str">
        <f t="shared" si="12"/>
        <v>13</v>
      </c>
      <c r="AQ92" s="4"/>
      <c r="AR92" s="4"/>
      <c r="AS92" s="4"/>
      <c r="AT92" s="4"/>
      <c r="AU92" s="4" t="s">
        <v>121</v>
      </c>
      <c r="AV92" s="20" t="str">
        <f t="shared" si="13"/>
        <v>18</v>
      </c>
      <c r="AW92" s="4"/>
      <c r="AX92" s="4"/>
      <c r="AY92" s="4"/>
      <c r="AZ92" s="4"/>
      <c r="BA92" s="4"/>
      <c r="BB92" s="4"/>
      <c r="BC92" s="4"/>
      <c r="BD92" s="4" t="s">
        <v>1639</v>
      </c>
      <c r="BF92" s="4"/>
      <c r="BG92" s="4"/>
      <c r="BH92" s="4" t="s">
        <v>83</v>
      </c>
      <c r="BI92" s="4"/>
      <c r="BJ92" s="4"/>
      <c r="BK92" s="4"/>
      <c r="BL92" s="4" t="s">
        <v>136</v>
      </c>
      <c r="BM92" s="20" t="str">
        <f t="shared" si="9"/>
        <v>75</v>
      </c>
      <c r="BN92" s="4" t="s">
        <v>205</v>
      </c>
      <c r="BO92" s="20" t="str">
        <f t="shared" si="10"/>
        <v>153</v>
      </c>
      <c r="BP92" s="4"/>
      <c r="BQ92" s="4" t="s">
        <v>182</v>
      </c>
      <c r="BR92" s="20" t="str">
        <f t="shared" si="14"/>
        <v>15.13</v>
      </c>
      <c r="BS92" s="21">
        <f t="shared" si="11"/>
        <v>78</v>
      </c>
    </row>
    <row r="93" spans="1:72" x14ac:dyDescent="0.2">
      <c r="A93" s="13" t="s">
        <v>63</v>
      </c>
      <c r="B93" s="13"/>
      <c r="C93" s="13" t="s">
        <v>2072</v>
      </c>
      <c r="D93" s="13" t="s">
        <v>64</v>
      </c>
      <c r="E93" s="13" t="s">
        <v>65</v>
      </c>
      <c r="F93" s="13" t="s">
        <v>64</v>
      </c>
      <c r="G93" s="13" t="s">
        <v>1886</v>
      </c>
      <c r="H93" s="13" t="s">
        <v>212</v>
      </c>
      <c r="I93" s="13" t="s">
        <v>1887</v>
      </c>
      <c r="J93" s="13" t="s">
        <v>1888</v>
      </c>
      <c r="K93" s="13"/>
      <c r="L93" s="13">
        <v>3839</v>
      </c>
      <c r="M93" s="13">
        <v>3839</v>
      </c>
      <c r="N93" s="13">
        <v>3839</v>
      </c>
      <c r="O93" s="13">
        <v>3839</v>
      </c>
      <c r="P93" s="13" t="s">
        <v>2073</v>
      </c>
      <c r="Q93" s="13"/>
      <c r="R93" s="13" t="s">
        <v>2048</v>
      </c>
      <c r="S93" s="13"/>
      <c r="T93" s="13" t="s">
        <v>2074</v>
      </c>
      <c r="U93" s="15">
        <v>41887</v>
      </c>
      <c r="V93" s="13">
        <v>5</v>
      </c>
      <c r="W93" s="13">
        <v>9</v>
      </c>
      <c r="X93" s="13">
        <v>2014</v>
      </c>
      <c r="Y93" s="13">
        <f>-16.2756833333/-68.55105</f>
        <v>0.23742427480395997</v>
      </c>
      <c r="Z93" s="13" t="s">
        <v>72</v>
      </c>
      <c r="AA93" s="13">
        <v>-16.275683333300002</v>
      </c>
      <c r="AB93" s="13">
        <v>-68.551050000000004</v>
      </c>
      <c r="AC93" s="13">
        <v>96</v>
      </c>
      <c r="AD93" s="13" t="s">
        <v>73</v>
      </c>
      <c r="AE93" s="13" t="s">
        <v>74</v>
      </c>
      <c r="AF93" s="13"/>
      <c r="AG93" s="13"/>
      <c r="AH93" s="13"/>
      <c r="AI93" s="13" t="s">
        <v>203</v>
      </c>
      <c r="AJ93" s="13"/>
      <c r="AK93" s="13"/>
      <c r="AL93" s="13"/>
      <c r="AM93" s="13"/>
      <c r="AN93" s="13"/>
      <c r="AO93" s="13" t="s">
        <v>196</v>
      </c>
      <c r="AP93" s="20" t="str">
        <f t="shared" si="12"/>
        <v>12.5</v>
      </c>
      <c r="AQ93" s="13"/>
      <c r="AR93" s="13"/>
      <c r="AS93" s="13"/>
      <c r="AT93" s="13"/>
      <c r="AU93" s="13" t="s">
        <v>1076</v>
      </c>
      <c r="AV93" s="20" t="str">
        <f t="shared" si="13"/>
        <v>18.2</v>
      </c>
      <c r="AW93" s="13"/>
      <c r="AX93" s="13"/>
      <c r="AY93" s="13"/>
      <c r="AZ93" s="13"/>
      <c r="BA93" s="13"/>
      <c r="BB93" s="13"/>
      <c r="BC93" s="13"/>
      <c r="BD93" s="13" t="s">
        <v>2075</v>
      </c>
      <c r="BF93" s="13"/>
      <c r="BG93" s="13"/>
      <c r="BH93" s="13" t="s">
        <v>83</v>
      </c>
      <c r="BI93" s="13"/>
      <c r="BJ93" s="13"/>
      <c r="BK93" s="13"/>
      <c r="BL93" s="13" t="s">
        <v>375</v>
      </c>
      <c r="BM93" s="20" t="str">
        <f t="shared" si="9"/>
        <v>73</v>
      </c>
      <c r="BN93" s="13" t="s">
        <v>441</v>
      </c>
      <c r="BO93" s="20" t="str">
        <f t="shared" si="10"/>
        <v>151</v>
      </c>
      <c r="BP93" s="13"/>
      <c r="BQ93" s="13" t="s">
        <v>2076</v>
      </c>
      <c r="BR93" s="20" t="str">
        <f t="shared" si="14"/>
        <v>10.9</v>
      </c>
      <c r="BS93" s="21">
        <f t="shared" si="11"/>
        <v>78</v>
      </c>
    </row>
    <row r="94" spans="1:72" x14ac:dyDescent="0.2">
      <c r="A94" s="10" t="s">
        <v>63</v>
      </c>
      <c r="B94" s="10" t="s">
        <v>2230</v>
      </c>
      <c r="C94" s="10" t="s">
        <v>1309</v>
      </c>
      <c r="D94" s="10" t="s">
        <v>64</v>
      </c>
      <c r="E94" s="10" t="s">
        <v>65</v>
      </c>
      <c r="F94" s="10" t="s">
        <v>64</v>
      </c>
      <c r="G94" s="10" t="s">
        <v>615</v>
      </c>
      <c r="H94" s="10" t="s">
        <v>67</v>
      </c>
      <c r="I94" s="10" t="s">
        <v>788</v>
      </c>
      <c r="J94" s="10" t="s">
        <v>789</v>
      </c>
      <c r="K94" s="10" t="s">
        <v>925</v>
      </c>
      <c r="L94" s="10">
        <v>651</v>
      </c>
      <c r="M94" s="10">
        <v>651</v>
      </c>
      <c r="N94" s="10">
        <v>2136</v>
      </c>
      <c r="O94" s="10">
        <v>2136</v>
      </c>
      <c r="P94" s="10" t="s">
        <v>926</v>
      </c>
      <c r="Q94" s="10"/>
      <c r="R94" s="10" t="s">
        <v>927</v>
      </c>
      <c r="S94" s="10" t="s">
        <v>928</v>
      </c>
      <c r="T94" s="10" t="s">
        <v>929</v>
      </c>
      <c r="U94" s="11">
        <v>41117</v>
      </c>
      <c r="V94" s="10">
        <v>27</v>
      </c>
      <c r="W94" s="10">
        <v>7</v>
      </c>
      <c r="X94" s="10">
        <v>2012</v>
      </c>
      <c r="Y94" s="10" t="s">
        <v>930</v>
      </c>
      <c r="Z94" s="10" t="s">
        <v>72</v>
      </c>
      <c r="AA94" s="10">
        <v>53.861516666699998</v>
      </c>
      <c r="AB94" s="10">
        <v>-113.3027333333</v>
      </c>
      <c r="AC94" s="10"/>
      <c r="AD94" s="10" t="s">
        <v>73</v>
      </c>
      <c r="AE94" s="10" t="s">
        <v>74</v>
      </c>
      <c r="AF94" s="10"/>
      <c r="AG94" s="10"/>
      <c r="AH94" s="10"/>
      <c r="AI94" s="10" t="s">
        <v>75</v>
      </c>
      <c r="AJ94" s="10"/>
      <c r="AK94" s="10"/>
      <c r="AL94" s="10"/>
      <c r="AM94" s="10"/>
      <c r="AN94" s="10"/>
      <c r="AO94" s="10" t="s">
        <v>186</v>
      </c>
      <c r="AP94" s="20" t="str">
        <f t="shared" si="12"/>
        <v>14.5</v>
      </c>
      <c r="AQ94" s="10"/>
      <c r="AR94" s="10"/>
      <c r="AS94" s="10"/>
      <c r="AT94" s="10"/>
      <c r="AU94" s="10" t="s">
        <v>1310</v>
      </c>
      <c r="AV94" s="20" t="str">
        <f t="shared" si="13"/>
        <v>18.6</v>
      </c>
      <c r="AW94" s="10"/>
      <c r="AX94" s="10"/>
      <c r="AY94" s="10"/>
      <c r="AZ94" s="10"/>
      <c r="BA94" s="10"/>
      <c r="BB94" s="10"/>
      <c r="BC94" s="10"/>
      <c r="BD94" s="10"/>
      <c r="BF94" s="10"/>
      <c r="BG94" s="10"/>
      <c r="BH94" s="10" t="s">
        <v>83</v>
      </c>
      <c r="BI94" s="10"/>
      <c r="BJ94" s="10"/>
      <c r="BK94" s="10"/>
      <c r="BL94" s="10" t="s">
        <v>346</v>
      </c>
      <c r="BM94" s="20" t="str">
        <f t="shared" si="9"/>
        <v>87</v>
      </c>
      <c r="BN94" s="10" t="s">
        <v>89</v>
      </c>
      <c r="BO94" s="20" t="str">
        <f t="shared" si="10"/>
        <v>165</v>
      </c>
      <c r="BP94" s="10"/>
      <c r="BQ94" s="10" t="s">
        <v>818</v>
      </c>
      <c r="BR94" s="20" t="str">
        <f t="shared" si="14"/>
        <v>13.6</v>
      </c>
      <c r="BS94" s="21">
        <f t="shared" si="11"/>
        <v>78</v>
      </c>
    </row>
    <row r="95" spans="1:72" s="13" customFormat="1" x14ac:dyDescent="0.2">
      <c r="A95" s="4" t="s">
        <v>63</v>
      </c>
      <c r="B95" s="4" t="s">
        <v>2162</v>
      </c>
      <c r="C95" s="4" t="s">
        <v>1851</v>
      </c>
      <c r="D95" s="4" t="s">
        <v>64</v>
      </c>
      <c r="E95" s="4" t="s">
        <v>65</v>
      </c>
      <c r="F95" s="4" t="s">
        <v>64</v>
      </c>
      <c r="G95" s="4" t="s">
        <v>134</v>
      </c>
      <c r="H95" s="4" t="s">
        <v>67</v>
      </c>
      <c r="I95" s="4" t="s">
        <v>68</v>
      </c>
      <c r="J95" s="4" t="s">
        <v>1651</v>
      </c>
      <c r="K95" s="4" t="s">
        <v>1845</v>
      </c>
      <c r="L95" s="4">
        <v>153</v>
      </c>
      <c r="M95" s="4">
        <v>153</v>
      </c>
      <c r="N95" s="4">
        <v>153</v>
      </c>
      <c r="O95" s="4">
        <v>153</v>
      </c>
      <c r="P95" s="4" t="s">
        <v>1852</v>
      </c>
      <c r="Q95" s="4"/>
      <c r="R95" s="4" t="s">
        <v>1853</v>
      </c>
      <c r="S95" s="4"/>
      <c r="T95" s="4" t="s">
        <v>1854</v>
      </c>
      <c r="U95" s="5">
        <v>41122</v>
      </c>
      <c r="V95" s="4">
        <v>1</v>
      </c>
      <c r="W95" s="4">
        <v>8</v>
      </c>
      <c r="X95" s="4">
        <v>2012</v>
      </c>
      <c r="Y95" s="4" t="s">
        <v>1855</v>
      </c>
      <c r="Z95" s="4" t="s">
        <v>72</v>
      </c>
      <c r="AA95" s="4">
        <v>40.55189</v>
      </c>
      <c r="AB95" s="4">
        <v>-75.324550000000002</v>
      </c>
      <c r="AC95" s="4"/>
      <c r="AD95" s="4" t="s">
        <v>73</v>
      </c>
      <c r="AE95" s="4" t="s">
        <v>74</v>
      </c>
      <c r="AF95" s="4"/>
      <c r="AG95" s="4"/>
      <c r="AH95" s="4"/>
      <c r="AI95" s="4"/>
      <c r="AJ95" s="4"/>
      <c r="AK95" s="4"/>
      <c r="AL95" s="4"/>
      <c r="AM95" s="4"/>
      <c r="AN95" s="4"/>
      <c r="AO95" s="4" t="s">
        <v>76</v>
      </c>
      <c r="AP95" s="20" t="str">
        <f t="shared" si="12"/>
        <v>13</v>
      </c>
      <c r="AQ95" s="4"/>
      <c r="AR95" s="4"/>
      <c r="AS95" s="4"/>
      <c r="AT95" s="4"/>
      <c r="AU95" s="4" t="s">
        <v>130</v>
      </c>
      <c r="AV95" s="20" t="str">
        <f t="shared" si="13"/>
        <v>19</v>
      </c>
      <c r="AW95" s="4"/>
      <c r="AX95" s="4"/>
      <c r="AY95" s="4"/>
      <c r="AZ95" s="4"/>
      <c r="BA95" s="4"/>
      <c r="BB95" s="4"/>
      <c r="BC95" s="4"/>
      <c r="BD95" s="4" t="s">
        <v>1856</v>
      </c>
      <c r="BE95" s="20"/>
      <c r="BF95" s="4"/>
      <c r="BG95" s="4"/>
      <c r="BH95" s="4" t="s">
        <v>83</v>
      </c>
      <c r="BI95" s="4"/>
      <c r="BJ95" s="4"/>
      <c r="BK95" s="4"/>
      <c r="BL95" s="4" t="s">
        <v>899</v>
      </c>
      <c r="BM95" s="20" t="str">
        <f t="shared" si="9"/>
        <v>82.5</v>
      </c>
      <c r="BN95" s="4" t="s">
        <v>563</v>
      </c>
      <c r="BO95" s="20" t="str">
        <f t="shared" si="10"/>
        <v>161</v>
      </c>
      <c r="BP95" s="4"/>
      <c r="BQ95" s="4" t="s">
        <v>340</v>
      </c>
      <c r="BR95" s="20" t="str">
        <f t="shared" si="14"/>
        <v>15</v>
      </c>
      <c r="BS95" s="21">
        <f t="shared" si="11"/>
        <v>78.5</v>
      </c>
      <c r="BT95"/>
    </row>
    <row r="96" spans="1:72" s="13" customFormat="1" x14ac:dyDescent="0.2">
      <c r="A96" s="13" t="s">
        <v>63</v>
      </c>
      <c r="C96" s="13" t="s">
        <v>783</v>
      </c>
      <c r="D96" s="13" t="s">
        <v>64</v>
      </c>
      <c r="E96" s="13" t="s">
        <v>65</v>
      </c>
      <c r="F96" s="13" t="s">
        <v>64</v>
      </c>
      <c r="G96" s="13" t="s">
        <v>211</v>
      </c>
      <c r="H96" s="13" t="s">
        <v>212</v>
      </c>
      <c r="I96" s="13" t="s">
        <v>701</v>
      </c>
      <c r="J96" s="13" t="s">
        <v>734</v>
      </c>
      <c r="L96" s="13">
        <v>2818</v>
      </c>
      <c r="M96" s="13">
        <v>2818</v>
      </c>
      <c r="N96" s="13">
        <v>9244</v>
      </c>
      <c r="O96" s="13">
        <v>9244</v>
      </c>
      <c r="P96" s="13" t="s">
        <v>784</v>
      </c>
      <c r="R96" s="13" t="s">
        <v>785</v>
      </c>
      <c r="T96" s="13" t="s">
        <v>786</v>
      </c>
      <c r="U96" s="15">
        <v>41229</v>
      </c>
      <c r="V96" s="13">
        <v>16</v>
      </c>
      <c r="W96" s="13">
        <v>11</v>
      </c>
      <c r="X96" s="13">
        <v>2012</v>
      </c>
      <c r="Y96" s="13">
        <f>-0.8561333333/-78.6132</f>
        <v>1.0890452663165981E-2</v>
      </c>
      <c r="Z96" s="13" t="s">
        <v>72</v>
      </c>
      <c r="AA96" s="13">
        <v>-0.85613333329999997</v>
      </c>
      <c r="AB96" s="13">
        <v>-78.613200000000006</v>
      </c>
      <c r="AD96" s="13" t="s">
        <v>96</v>
      </c>
      <c r="AE96" s="13" t="s">
        <v>74</v>
      </c>
      <c r="AI96" s="13" t="s">
        <v>75</v>
      </c>
      <c r="AO96" s="13" t="s">
        <v>76</v>
      </c>
      <c r="AP96" s="20" t="str">
        <f t="shared" si="12"/>
        <v>13</v>
      </c>
      <c r="AU96" s="13" t="s">
        <v>82</v>
      </c>
      <c r="AV96" s="20" t="str">
        <f t="shared" si="13"/>
        <v>17</v>
      </c>
      <c r="BD96" s="13" t="s">
        <v>787</v>
      </c>
      <c r="BE96" s="20"/>
      <c r="BH96" s="13" t="s">
        <v>78</v>
      </c>
      <c r="BL96" s="13" t="s">
        <v>98</v>
      </c>
      <c r="BM96" s="20" t="str">
        <f t="shared" si="9"/>
        <v>76</v>
      </c>
      <c r="BN96" s="13" t="s">
        <v>699</v>
      </c>
      <c r="BO96" s="20" t="str">
        <f t="shared" si="10"/>
        <v>155</v>
      </c>
      <c r="BQ96" s="13" t="s">
        <v>512</v>
      </c>
      <c r="BR96" s="20" t="str">
        <f t="shared" si="14"/>
        <v>13.5</v>
      </c>
      <c r="BS96" s="21">
        <f t="shared" si="11"/>
        <v>79</v>
      </c>
      <c r="BT96"/>
    </row>
    <row r="97" spans="1:72" x14ac:dyDescent="0.2">
      <c r="A97" t="s">
        <v>63</v>
      </c>
      <c r="B97" s="20" t="s">
        <v>2352</v>
      </c>
      <c r="C97" t="s">
        <v>377</v>
      </c>
      <c r="D97" t="s">
        <v>64</v>
      </c>
      <c r="E97" t="s">
        <v>65</v>
      </c>
      <c r="F97" t="s">
        <v>64</v>
      </c>
      <c r="G97" t="s">
        <v>211</v>
      </c>
      <c r="H97" t="s">
        <v>212</v>
      </c>
      <c r="I97" t="s">
        <v>213</v>
      </c>
      <c r="J97" t="s">
        <v>214</v>
      </c>
      <c r="L97">
        <v>261</v>
      </c>
      <c r="M97">
        <v>261</v>
      </c>
      <c r="N97">
        <v>856</v>
      </c>
      <c r="O97">
        <v>856</v>
      </c>
      <c r="P97" t="s">
        <v>378</v>
      </c>
      <c r="R97" t="s">
        <v>234</v>
      </c>
      <c r="S97" t="s">
        <v>357</v>
      </c>
      <c r="T97" t="s">
        <v>379</v>
      </c>
      <c r="U97" s="2">
        <v>41309</v>
      </c>
      <c r="V97">
        <v>4</v>
      </c>
      <c r="W97">
        <v>2</v>
      </c>
      <c r="X97">
        <v>2013</v>
      </c>
      <c r="Y97">
        <f>-37.35/-59.2028333333</f>
        <v>0.63088196792418771</v>
      </c>
      <c r="Z97" t="s">
        <v>72</v>
      </c>
      <c r="AA97">
        <v>-37.35</v>
      </c>
      <c r="AB97">
        <v>-59.202833333299999</v>
      </c>
      <c r="AD97" t="s">
        <v>73</v>
      </c>
      <c r="AE97" t="s">
        <v>74</v>
      </c>
      <c r="AI97" t="s">
        <v>226</v>
      </c>
      <c r="AO97" t="s">
        <v>76</v>
      </c>
      <c r="AP97" s="20" t="str">
        <f t="shared" si="12"/>
        <v>13</v>
      </c>
      <c r="AU97" t="s">
        <v>82</v>
      </c>
      <c r="AV97" s="20" t="str">
        <f t="shared" si="13"/>
        <v>17</v>
      </c>
      <c r="BD97" t="s">
        <v>258</v>
      </c>
      <c r="BH97" t="s">
        <v>78</v>
      </c>
      <c r="BL97" t="s">
        <v>289</v>
      </c>
      <c r="BM97" s="20" t="str">
        <f t="shared" si="9"/>
        <v>69</v>
      </c>
      <c r="BN97" t="s">
        <v>380</v>
      </c>
      <c r="BO97" s="20" t="str">
        <f t="shared" si="10"/>
        <v>148</v>
      </c>
      <c r="BQ97" t="s">
        <v>381</v>
      </c>
      <c r="BR97" s="20" t="str">
        <f t="shared" si="14"/>
        <v>9</v>
      </c>
      <c r="BS97" s="21">
        <f t="shared" si="11"/>
        <v>79</v>
      </c>
    </row>
    <row r="98" spans="1:72" s="13" customFormat="1" x14ac:dyDescent="0.2">
      <c r="A98" s="13" t="s">
        <v>63</v>
      </c>
      <c r="C98" s="13" t="s">
        <v>1386</v>
      </c>
      <c r="D98" s="13" t="s">
        <v>64</v>
      </c>
      <c r="E98" s="13" t="s">
        <v>65</v>
      </c>
      <c r="F98" s="13" t="s">
        <v>64</v>
      </c>
      <c r="G98" s="13" t="s">
        <v>211</v>
      </c>
      <c r="H98" s="13" t="s">
        <v>212</v>
      </c>
      <c r="I98" s="13" t="s">
        <v>701</v>
      </c>
      <c r="J98" s="13" t="s">
        <v>1342</v>
      </c>
      <c r="L98" s="13">
        <v>14</v>
      </c>
      <c r="M98" s="13">
        <v>14</v>
      </c>
      <c r="N98" s="13">
        <v>46</v>
      </c>
      <c r="O98" s="13">
        <v>46</v>
      </c>
      <c r="P98" s="13" t="s">
        <v>1387</v>
      </c>
      <c r="R98" s="13" t="s">
        <v>1356</v>
      </c>
      <c r="T98" s="13" t="s">
        <v>1388</v>
      </c>
      <c r="U98" s="14">
        <v>41243</v>
      </c>
      <c r="V98" s="13">
        <v>30</v>
      </c>
      <c r="W98" s="13">
        <v>11</v>
      </c>
      <c r="X98" s="13">
        <v>2012</v>
      </c>
      <c r="Y98" s="13">
        <f>-0.92535/-80.4792833333</f>
        <v>1.1497990062457688E-2</v>
      </c>
      <c r="Z98" s="13" t="s">
        <v>72</v>
      </c>
      <c r="AA98" s="13">
        <v>-0.92535000000000001</v>
      </c>
      <c r="AB98" s="13">
        <v>-80.479283333300003</v>
      </c>
      <c r="AD98" s="13" t="s">
        <v>96</v>
      </c>
      <c r="AE98" s="13" t="s">
        <v>74</v>
      </c>
      <c r="AI98" s="13" t="s">
        <v>226</v>
      </c>
      <c r="AO98" s="13" t="s">
        <v>87</v>
      </c>
      <c r="AP98" s="20" t="str">
        <f t="shared" si="12"/>
        <v>14</v>
      </c>
      <c r="AU98" s="13" t="s">
        <v>130</v>
      </c>
      <c r="AV98" s="20" t="str">
        <f t="shared" si="13"/>
        <v>19</v>
      </c>
      <c r="BD98" s="13" t="s">
        <v>258</v>
      </c>
      <c r="BE98" s="20"/>
      <c r="BH98" s="13" t="s">
        <v>78</v>
      </c>
      <c r="BL98" s="13" t="s">
        <v>363</v>
      </c>
      <c r="BM98" s="20" t="str">
        <f t="shared" si="9"/>
        <v>72</v>
      </c>
      <c r="BN98" s="13" t="s">
        <v>441</v>
      </c>
      <c r="BO98" s="20" t="str">
        <f t="shared" si="10"/>
        <v>151</v>
      </c>
      <c r="BQ98" s="13" t="s">
        <v>801</v>
      </c>
      <c r="BR98" s="20" t="str">
        <f t="shared" si="14"/>
        <v>9.5</v>
      </c>
      <c r="BS98" s="21">
        <f t="shared" si="11"/>
        <v>79</v>
      </c>
    </row>
    <row r="99" spans="1:72" x14ac:dyDescent="0.2">
      <c r="A99" t="s">
        <v>63</v>
      </c>
      <c r="C99" t="s">
        <v>711</v>
      </c>
      <c r="D99" t="s">
        <v>64</v>
      </c>
      <c r="E99" t="s">
        <v>65</v>
      </c>
      <c r="F99" t="s">
        <v>64</v>
      </c>
      <c r="G99" t="s">
        <v>211</v>
      </c>
      <c r="H99" t="s">
        <v>212</v>
      </c>
      <c r="I99" t="s">
        <v>701</v>
      </c>
      <c r="J99" t="s">
        <v>702</v>
      </c>
      <c r="L99">
        <v>2589</v>
      </c>
      <c r="M99">
        <v>2589</v>
      </c>
      <c r="N99">
        <v>8494</v>
      </c>
      <c r="O99">
        <v>8494</v>
      </c>
      <c r="P99" t="s">
        <v>703</v>
      </c>
      <c r="R99" t="s">
        <v>704</v>
      </c>
      <c r="T99" t="s">
        <v>705</v>
      </c>
      <c r="U99" s="2">
        <v>41219</v>
      </c>
      <c r="V99">
        <v>6</v>
      </c>
      <c r="W99">
        <v>11</v>
      </c>
      <c r="X99">
        <v>2012</v>
      </c>
      <c r="Y99">
        <f>-0.2479166667/-78.3570166667</f>
        <v>3.1639370313770393E-3</v>
      </c>
      <c r="Z99" t="s">
        <v>72</v>
      </c>
      <c r="AA99">
        <v>-0.24791666670000001</v>
      </c>
      <c r="AB99">
        <v>-78.357016666700005</v>
      </c>
      <c r="AD99" t="s">
        <v>96</v>
      </c>
      <c r="AE99" t="s">
        <v>74</v>
      </c>
      <c r="AI99" t="s">
        <v>75</v>
      </c>
      <c r="AO99" t="s">
        <v>236</v>
      </c>
      <c r="AP99" s="20" t="str">
        <f t="shared" si="12"/>
        <v>11</v>
      </c>
      <c r="AU99" t="s">
        <v>111</v>
      </c>
      <c r="AV99" s="20" t="str">
        <f t="shared" si="13"/>
        <v>20</v>
      </c>
      <c r="BD99" t="s">
        <v>258</v>
      </c>
      <c r="BH99" t="s">
        <v>78</v>
      </c>
      <c r="BL99" t="s">
        <v>712</v>
      </c>
      <c r="BM99" s="20" t="str">
        <f t="shared" si="9"/>
        <v>71</v>
      </c>
      <c r="BN99" t="s">
        <v>364</v>
      </c>
      <c r="BO99" s="20" t="str">
        <f t="shared" si="10"/>
        <v>150</v>
      </c>
      <c r="BQ99" t="s">
        <v>327</v>
      </c>
      <c r="BR99" s="20" t="str">
        <f t="shared" si="14"/>
        <v>10</v>
      </c>
      <c r="BS99" s="21">
        <f t="shared" si="11"/>
        <v>79</v>
      </c>
      <c r="BT99" s="13"/>
    </row>
    <row r="100" spans="1:72" x14ac:dyDescent="0.2">
      <c r="A100" t="s">
        <v>63</v>
      </c>
      <c r="C100" t="s">
        <v>1490</v>
      </c>
      <c r="D100" t="s">
        <v>64</v>
      </c>
      <c r="E100" t="s">
        <v>65</v>
      </c>
      <c r="F100" t="s">
        <v>64</v>
      </c>
      <c r="G100" t="s">
        <v>211</v>
      </c>
      <c r="H100" t="s">
        <v>212</v>
      </c>
      <c r="I100" t="s">
        <v>701</v>
      </c>
      <c r="J100" t="s">
        <v>1466</v>
      </c>
      <c r="L100">
        <v>320</v>
      </c>
      <c r="M100">
        <v>320</v>
      </c>
      <c r="N100">
        <v>1050</v>
      </c>
      <c r="O100">
        <v>1050</v>
      </c>
      <c r="P100" t="s">
        <v>1487</v>
      </c>
      <c r="R100" t="s">
        <v>1488</v>
      </c>
      <c r="T100" t="s">
        <v>1489</v>
      </c>
      <c r="U100" s="2">
        <v>41253</v>
      </c>
      <c r="V100">
        <v>10</v>
      </c>
      <c r="W100">
        <v>12</v>
      </c>
      <c r="X100">
        <v>2012</v>
      </c>
      <c r="Y100">
        <f>-0.2439166667/-79.3369333333</f>
        <v>3.0744403199363538E-3</v>
      </c>
      <c r="Z100" t="s">
        <v>72</v>
      </c>
      <c r="AA100">
        <v>-0.24391666670000001</v>
      </c>
      <c r="AB100">
        <v>-79.336933333299996</v>
      </c>
      <c r="AD100" t="s">
        <v>96</v>
      </c>
      <c r="AE100" t="s">
        <v>74</v>
      </c>
      <c r="AI100" t="s">
        <v>226</v>
      </c>
      <c r="AO100" t="s">
        <v>87</v>
      </c>
      <c r="AP100" s="20" t="str">
        <f t="shared" si="12"/>
        <v>14</v>
      </c>
      <c r="AU100" t="s">
        <v>344</v>
      </c>
      <c r="AV100" s="20" t="str">
        <f t="shared" si="13"/>
        <v>16</v>
      </c>
      <c r="BD100" t="s">
        <v>258</v>
      </c>
      <c r="BH100" t="s">
        <v>78</v>
      </c>
      <c r="BL100" t="s">
        <v>403</v>
      </c>
      <c r="BM100" s="20" t="str">
        <f t="shared" si="9"/>
        <v>67</v>
      </c>
      <c r="BN100" t="s">
        <v>419</v>
      </c>
      <c r="BO100" s="20" t="str">
        <f t="shared" si="10"/>
        <v>146</v>
      </c>
      <c r="BQ100" t="s">
        <v>381</v>
      </c>
      <c r="BR100" s="20" t="str">
        <f t="shared" si="14"/>
        <v>9</v>
      </c>
      <c r="BS100" s="21">
        <f t="shared" si="11"/>
        <v>79</v>
      </c>
      <c r="BT100" s="20"/>
    </row>
    <row r="101" spans="1:72" x14ac:dyDescent="0.2">
      <c r="A101" t="s">
        <v>63</v>
      </c>
      <c r="C101" t="s">
        <v>2094</v>
      </c>
      <c r="D101" t="s">
        <v>64</v>
      </c>
      <c r="E101" t="s">
        <v>65</v>
      </c>
      <c r="F101" t="s">
        <v>64</v>
      </c>
      <c r="G101" t="s">
        <v>211</v>
      </c>
      <c r="H101" t="s">
        <v>67</v>
      </c>
      <c r="I101" t="s">
        <v>68</v>
      </c>
      <c r="J101" t="s">
        <v>2031</v>
      </c>
      <c r="K101" t="s">
        <v>1054</v>
      </c>
      <c r="L101">
        <v>3065</v>
      </c>
      <c r="M101">
        <v>3065</v>
      </c>
      <c r="N101">
        <v>10056</v>
      </c>
      <c r="O101">
        <v>10056</v>
      </c>
      <c r="P101" t="s">
        <v>2089</v>
      </c>
      <c r="R101" t="s">
        <v>2090</v>
      </c>
      <c r="S101" t="s">
        <v>2091</v>
      </c>
      <c r="T101" t="s">
        <v>2095</v>
      </c>
      <c r="U101" s="1">
        <v>41187</v>
      </c>
      <c r="V101">
        <v>5</v>
      </c>
      <c r="W101">
        <v>10</v>
      </c>
      <c r="X101">
        <v>2012</v>
      </c>
      <c r="Y101" t="s">
        <v>2093</v>
      </c>
      <c r="Z101" t="s">
        <v>72</v>
      </c>
      <c r="AA101">
        <v>39.243033333299998</v>
      </c>
      <c r="AB101">
        <v>-106.2968</v>
      </c>
      <c r="AC101">
        <v>100</v>
      </c>
      <c r="AD101" t="s">
        <v>96</v>
      </c>
      <c r="AE101" t="s">
        <v>74</v>
      </c>
      <c r="AI101" t="s">
        <v>226</v>
      </c>
      <c r="AO101" t="s">
        <v>76</v>
      </c>
      <c r="AP101" s="20" t="str">
        <f t="shared" si="12"/>
        <v>13</v>
      </c>
      <c r="AU101" t="s">
        <v>121</v>
      </c>
      <c r="AV101" s="20" t="str">
        <f t="shared" si="13"/>
        <v>18</v>
      </c>
      <c r="BD101" t="s">
        <v>258</v>
      </c>
      <c r="BH101" t="s">
        <v>78</v>
      </c>
      <c r="BL101" t="s">
        <v>375</v>
      </c>
      <c r="BM101" s="20" t="str">
        <f t="shared" si="9"/>
        <v>73</v>
      </c>
      <c r="BN101" t="s">
        <v>326</v>
      </c>
      <c r="BO101" s="20" t="str">
        <f t="shared" si="10"/>
        <v>152</v>
      </c>
      <c r="BQ101" t="s">
        <v>308</v>
      </c>
      <c r="BR101" s="20" t="str">
        <f t="shared" si="14"/>
        <v>10.75</v>
      </c>
      <c r="BS101" s="21">
        <f t="shared" si="11"/>
        <v>79</v>
      </c>
      <c r="BT101" s="19"/>
    </row>
    <row r="102" spans="1:72" x14ac:dyDescent="0.2">
      <c r="A102" t="s">
        <v>63</v>
      </c>
      <c r="B102" s="20" t="s">
        <v>2381</v>
      </c>
      <c r="C102" t="s">
        <v>1287</v>
      </c>
      <c r="D102" t="s">
        <v>64</v>
      </c>
      <c r="E102" t="s">
        <v>65</v>
      </c>
      <c r="F102" t="s">
        <v>64</v>
      </c>
      <c r="G102" t="s">
        <v>615</v>
      </c>
      <c r="H102" t="s">
        <v>67</v>
      </c>
      <c r="I102" t="s">
        <v>68</v>
      </c>
      <c r="J102" t="s">
        <v>1136</v>
      </c>
      <c r="K102" t="s">
        <v>1210</v>
      </c>
      <c r="L102">
        <v>806</v>
      </c>
      <c r="M102">
        <v>806</v>
      </c>
      <c r="N102">
        <v>2645</v>
      </c>
      <c r="O102">
        <v>2645</v>
      </c>
      <c r="P102" t="s">
        <v>1280</v>
      </c>
      <c r="R102" t="s">
        <v>1281</v>
      </c>
      <c r="S102" t="s">
        <v>1282</v>
      </c>
      <c r="T102" t="s">
        <v>1283</v>
      </c>
      <c r="U102" s="2">
        <v>41071</v>
      </c>
      <c r="V102">
        <v>11</v>
      </c>
      <c r="W102">
        <v>6</v>
      </c>
      <c r="X102">
        <v>2012</v>
      </c>
      <c r="Y102" t="s">
        <v>1284</v>
      </c>
      <c r="Z102" t="s">
        <v>72</v>
      </c>
      <c r="AA102">
        <v>37.063749999999999</v>
      </c>
      <c r="AB102">
        <v>-113.5223333333</v>
      </c>
      <c r="AD102" t="s">
        <v>73</v>
      </c>
      <c r="AE102" t="s">
        <v>74</v>
      </c>
      <c r="AI102" t="s">
        <v>75</v>
      </c>
      <c r="AO102" t="s">
        <v>87</v>
      </c>
      <c r="AP102" s="20" t="str">
        <f t="shared" si="12"/>
        <v>14</v>
      </c>
      <c r="AU102" t="s">
        <v>792</v>
      </c>
      <c r="AV102" s="20" t="str">
        <f t="shared" si="13"/>
        <v>18.9</v>
      </c>
      <c r="BD102" t="s">
        <v>1288</v>
      </c>
      <c r="BH102" t="s">
        <v>78</v>
      </c>
      <c r="BL102" t="s">
        <v>363</v>
      </c>
      <c r="BM102" s="20" t="str">
        <f t="shared" si="9"/>
        <v>72</v>
      </c>
      <c r="BN102" t="s">
        <v>441</v>
      </c>
      <c r="BO102" s="20" t="str">
        <f t="shared" si="10"/>
        <v>151</v>
      </c>
      <c r="BQ102" t="s">
        <v>1289</v>
      </c>
      <c r="BR102" s="20" t="str">
        <f t="shared" si="14"/>
        <v>11.9</v>
      </c>
      <c r="BS102" s="21">
        <f t="shared" si="11"/>
        <v>79</v>
      </c>
    </row>
    <row r="103" spans="1:72" x14ac:dyDescent="0.2">
      <c r="A103" s="13" t="s">
        <v>63</v>
      </c>
      <c r="B103" s="13"/>
      <c r="C103" s="13" t="s">
        <v>709</v>
      </c>
      <c r="D103" s="13" t="s">
        <v>64</v>
      </c>
      <c r="E103" s="13" t="s">
        <v>65</v>
      </c>
      <c r="F103" s="13" t="s">
        <v>64</v>
      </c>
      <c r="G103" s="13" t="s">
        <v>211</v>
      </c>
      <c r="H103" s="13" t="s">
        <v>212</v>
      </c>
      <c r="I103" s="13" t="s">
        <v>701</v>
      </c>
      <c r="J103" s="13" t="s">
        <v>702</v>
      </c>
      <c r="K103" s="13"/>
      <c r="L103" s="13">
        <v>2589</v>
      </c>
      <c r="M103" s="13">
        <v>2589</v>
      </c>
      <c r="N103" s="13">
        <v>8494</v>
      </c>
      <c r="O103" s="13">
        <v>8494</v>
      </c>
      <c r="P103" s="13" t="s">
        <v>703</v>
      </c>
      <c r="Q103" s="13"/>
      <c r="R103" s="13" t="s">
        <v>704</v>
      </c>
      <c r="S103" s="13"/>
      <c r="T103" s="13" t="s">
        <v>705</v>
      </c>
      <c r="U103" s="14">
        <v>41219</v>
      </c>
      <c r="V103" s="13">
        <v>6</v>
      </c>
      <c r="W103" s="13">
        <v>11</v>
      </c>
      <c r="X103" s="13">
        <v>2012</v>
      </c>
      <c r="Y103" s="13">
        <f>-0.2479166667/-78.3570166667</f>
        <v>3.1639370313770393E-3</v>
      </c>
      <c r="Z103" s="13" t="s">
        <v>72</v>
      </c>
      <c r="AA103" s="13">
        <v>-0.24791666670000001</v>
      </c>
      <c r="AB103" s="13">
        <v>-78.357016666700005</v>
      </c>
      <c r="AC103" s="13"/>
      <c r="AD103" s="13" t="s">
        <v>96</v>
      </c>
      <c r="AE103" s="13" t="s">
        <v>74</v>
      </c>
      <c r="AF103" s="13"/>
      <c r="AG103" s="13"/>
      <c r="AH103" s="13"/>
      <c r="AI103" s="13" t="s">
        <v>75</v>
      </c>
      <c r="AJ103" s="13"/>
      <c r="AK103" s="13"/>
      <c r="AL103" s="13"/>
      <c r="AM103" s="13"/>
      <c r="AN103" s="13"/>
      <c r="AO103" s="13" t="s">
        <v>76</v>
      </c>
      <c r="AP103" s="20" t="str">
        <f t="shared" si="12"/>
        <v>13</v>
      </c>
      <c r="AQ103" s="13"/>
      <c r="AR103" s="13"/>
      <c r="AS103" s="13"/>
      <c r="AT103" s="13"/>
      <c r="AU103" s="13" t="s">
        <v>121</v>
      </c>
      <c r="AV103" s="20" t="str">
        <f t="shared" si="13"/>
        <v>18</v>
      </c>
      <c r="AW103" s="13"/>
      <c r="AX103" s="13"/>
      <c r="AY103" s="13"/>
      <c r="AZ103" s="13"/>
      <c r="BA103" s="13"/>
      <c r="BB103" s="13"/>
      <c r="BC103" s="13"/>
      <c r="BD103" s="13" t="s">
        <v>710</v>
      </c>
      <c r="BE103" s="20" t="s">
        <v>241</v>
      </c>
      <c r="BF103" s="13"/>
      <c r="BG103" s="13"/>
      <c r="BH103" s="13" t="s">
        <v>78</v>
      </c>
      <c r="BI103" s="13"/>
      <c r="BJ103" s="13"/>
      <c r="BK103" s="13"/>
      <c r="BL103" s="13" t="s">
        <v>351</v>
      </c>
      <c r="BM103" s="20" t="str">
        <f t="shared" si="9"/>
        <v>77</v>
      </c>
      <c r="BN103" s="13" t="s">
        <v>695</v>
      </c>
      <c r="BO103" s="20" t="str">
        <f t="shared" si="10"/>
        <v>156</v>
      </c>
      <c r="BP103" s="13"/>
      <c r="BQ103" s="13" t="s">
        <v>408</v>
      </c>
      <c r="BR103" s="20" t="str">
        <f t="shared" si="14"/>
        <v>12</v>
      </c>
      <c r="BS103" s="21">
        <f t="shared" si="11"/>
        <v>79</v>
      </c>
    </row>
    <row r="104" spans="1:72" x14ac:dyDescent="0.2">
      <c r="A104" s="10" t="s">
        <v>63</v>
      </c>
      <c r="B104" s="10" t="s">
        <v>2261</v>
      </c>
      <c r="C104" s="10" t="s">
        <v>564</v>
      </c>
      <c r="D104" s="10" t="s">
        <v>64</v>
      </c>
      <c r="E104" s="10" t="s">
        <v>65</v>
      </c>
      <c r="F104" s="10" t="s">
        <v>64</v>
      </c>
      <c r="G104" s="10" t="s">
        <v>211</v>
      </c>
      <c r="H104" s="10" t="s">
        <v>212</v>
      </c>
      <c r="I104" s="10" t="s">
        <v>383</v>
      </c>
      <c r="J104" s="10" t="s">
        <v>551</v>
      </c>
      <c r="K104" s="10"/>
      <c r="L104" s="10">
        <v>533</v>
      </c>
      <c r="M104" s="10">
        <v>533</v>
      </c>
      <c r="N104" s="10">
        <v>1749</v>
      </c>
      <c r="O104" s="10">
        <v>1749</v>
      </c>
      <c r="P104" s="10" t="s">
        <v>565</v>
      </c>
      <c r="Q104" s="10"/>
      <c r="R104" s="10" t="s">
        <v>553</v>
      </c>
      <c r="S104" s="10" t="s">
        <v>566</v>
      </c>
      <c r="T104" s="10" t="s">
        <v>567</v>
      </c>
      <c r="U104" s="11">
        <v>41414</v>
      </c>
      <c r="V104" s="10">
        <v>20</v>
      </c>
      <c r="W104" s="10">
        <v>5</v>
      </c>
      <c r="X104" s="10">
        <v>2013</v>
      </c>
      <c r="Y104" s="10">
        <f>-23.4518333333/-52.0023333333</f>
        <v>0.45097655874380699</v>
      </c>
      <c r="Z104" s="10" t="s">
        <v>72</v>
      </c>
      <c r="AA104" s="10">
        <v>-23.451833333300002</v>
      </c>
      <c r="AB104" s="10">
        <v>-52.002333333300001</v>
      </c>
      <c r="AC104" s="10"/>
      <c r="AD104" s="10" t="s">
        <v>73</v>
      </c>
      <c r="AE104" s="10" t="s">
        <v>74</v>
      </c>
      <c r="AF104" s="10"/>
      <c r="AG104" s="10"/>
      <c r="AH104" s="10"/>
      <c r="AI104" s="10"/>
      <c r="AJ104" s="10"/>
      <c r="AK104" s="10"/>
      <c r="AL104" s="10"/>
      <c r="AM104" s="10"/>
      <c r="AN104" s="10"/>
      <c r="AO104" s="10" t="s">
        <v>130</v>
      </c>
      <c r="AP104" s="20" t="str">
        <f t="shared" si="12"/>
        <v>19</v>
      </c>
      <c r="AQ104" s="10"/>
      <c r="AR104" s="10"/>
      <c r="AS104" s="10"/>
      <c r="AT104" s="10"/>
      <c r="AU104" s="10" t="s">
        <v>82</v>
      </c>
      <c r="AV104" s="20" t="str">
        <f t="shared" si="13"/>
        <v>17</v>
      </c>
      <c r="AW104" s="10"/>
      <c r="AX104" s="10"/>
      <c r="AY104" s="10"/>
      <c r="AZ104" s="10"/>
      <c r="BA104" s="10"/>
      <c r="BB104" s="10"/>
      <c r="BC104" s="10"/>
      <c r="BD104" s="10" t="s">
        <v>568</v>
      </c>
      <c r="BE104" s="20" t="s">
        <v>241</v>
      </c>
      <c r="BF104" s="10"/>
      <c r="BG104" s="10"/>
      <c r="BH104" s="10" t="s">
        <v>78</v>
      </c>
      <c r="BI104" s="10"/>
      <c r="BJ104" s="10"/>
      <c r="BK104" s="10"/>
      <c r="BL104" s="10" t="s">
        <v>194</v>
      </c>
      <c r="BM104" s="20" t="str">
        <f t="shared" si="9"/>
        <v>79</v>
      </c>
      <c r="BN104" s="10" t="s">
        <v>569</v>
      </c>
      <c r="BO104" s="20" t="str">
        <f t="shared" si="10"/>
        <v>158</v>
      </c>
      <c r="BP104" s="10"/>
      <c r="BQ104" s="10" t="s">
        <v>255</v>
      </c>
      <c r="BR104" s="20" t="str">
        <f t="shared" si="14"/>
        <v>11.5</v>
      </c>
      <c r="BS104" s="21">
        <f t="shared" si="11"/>
        <v>79</v>
      </c>
    </row>
    <row r="105" spans="1:72" x14ac:dyDescent="0.2">
      <c r="A105" t="s">
        <v>63</v>
      </c>
      <c r="B105" t="s">
        <v>2315</v>
      </c>
      <c r="C105" t="s">
        <v>819</v>
      </c>
      <c r="D105" t="s">
        <v>64</v>
      </c>
      <c r="E105" t="s">
        <v>65</v>
      </c>
      <c r="F105" t="s">
        <v>64</v>
      </c>
      <c r="G105" t="s">
        <v>615</v>
      </c>
      <c r="H105" t="s">
        <v>67</v>
      </c>
      <c r="I105" t="s">
        <v>788</v>
      </c>
      <c r="J105" t="s">
        <v>789</v>
      </c>
      <c r="K105" t="s">
        <v>803</v>
      </c>
      <c r="L105">
        <v>699</v>
      </c>
      <c r="M105">
        <v>699</v>
      </c>
      <c r="N105">
        <v>2294</v>
      </c>
      <c r="O105">
        <v>2294</v>
      </c>
      <c r="P105" t="s">
        <v>811</v>
      </c>
      <c r="R105" t="s">
        <v>812</v>
      </c>
      <c r="S105" t="s">
        <v>813</v>
      </c>
      <c r="T105" t="s">
        <v>814</v>
      </c>
      <c r="U105" s="2">
        <v>41109</v>
      </c>
      <c r="V105">
        <v>19</v>
      </c>
      <c r="W105">
        <v>7</v>
      </c>
      <c r="X105">
        <v>2012</v>
      </c>
      <c r="Y105" t="s">
        <v>815</v>
      </c>
      <c r="Z105" t="s">
        <v>72</v>
      </c>
      <c r="AA105">
        <v>53.379816666700002</v>
      </c>
      <c r="AB105">
        <v>-113.5273666667</v>
      </c>
      <c r="AD105" t="s">
        <v>73</v>
      </c>
      <c r="AE105" t="s">
        <v>74</v>
      </c>
      <c r="AI105" t="s">
        <v>75</v>
      </c>
      <c r="AO105" t="s">
        <v>643</v>
      </c>
      <c r="AP105" s="20" t="str">
        <f t="shared" si="12"/>
        <v>14.3</v>
      </c>
      <c r="AU105" t="s">
        <v>820</v>
      </c>
      <c r="AV105" s="20" t="str">
        <f t="shared" si="13"/>
        <v>18.4</v>
      </c>
      <c r="BH105" t="s">
        <v>78</v>
      </c>
      <c r="BL105" t="s">
        <v>84</v>
      </c>
      <c r="BM105" s="20" t="str">
        <f t="shared" si="9"/>
        <v>78</v>
      </c>
      <c r="BN105" t="s">
        <v>187</v>
      </c>
      <c r="BO105" s="20" t="str">
        <f t="shared" si="10"/>
        <v>157</v>
      </c>
      <c r="BQ105" t="s">
        <v>821</v>
      </c>
      <c r="BR105" s="20" t="str">
        <f t="shared" si="14"/>
        <v>11.3</v>
      </c>
      <c r="BS105" s="21">
        <f t="shared" si="11"/>
        <v>79</v>
      </c>
    </row>
    <row r="106" spans="1:72" x14ac:dyDescent="0.2">
      <c r="A106" t="s">
        <v>63</v>
      </c>
      <c r="B106" s="20" t="s">
        <v>2351</v>
      </c>
      <c r="C106" t="s">
        <v>273</v>
      </c>
      <c r="D106" t="s">
        <v>64</v>
      </c>
      <c r="E106" t="s">
        <v>65</v>
      </c>
      <c r="F106" t="s">
        <v>64</v>
      </c>
      <c r="G106" t="s">
        <v>211</v>
      </c>
      <c r="H106" t="s">
        <v>212</v>
      </c>
      <c r="I106" t="s">
        <v>213</v>
      </c>
      <c r="J106" t="s">
        <v>214</v>
      </c>
      <c r="L106">
        <v>258</v>
      </c>
      <c r="M106">
        <v>258</v>
      </c>
      <c r="N106">
        <v>846</v>
      </c>
      <c r="O106">
        <v>846</v>
      </c>
      <c r="P106" t="s">
        <v>270</v>
      </c>
      <c r="R106" t="s">
        <v>216</v>
      </c>
      <c r="S106" t="s">
        <v>217</v>
      </c>
      <c r="T106" t="s">
        <v>271</v>
      </c>
      <c r="U106" s="2">
        <v>41309</v>
      </c>
      <c r="V106">
        <v>4</v>
      </c>
      <c r="W106">
        <v>2</v>
      </c>
      <c r="X106">
        <v>2013</v>
      </c>
      <c r="Y106">
        <f>-37.3533333333/-59.2028333333</f>
        <v>0.63093827153521986</v>
      </c>
      <c r="Z106" t="s">
        <v>72</v>
      </c>
      <c r="AA106">
        <v>-37.3533333333</v>
      </c>
      <c r="AB106">
        <v>-59.202833333299999</v>
      </c>
      <c r="AD106" t="s">
        <v>73</v>
      </c>
      <c r="AE106" t="s">
        <v>74</v>
      </c>
      <c r="AO106" t="s">
        <v>227</v>
      </c>
      <c r="AP106" s="20" t="str">
        <f t="shared" si="12"/>
        <v>10</v>
      </c>
      <c r="AU106" t="s">
        <v>82</v>
      </c>
      <c r="AV106" s="20" t="str">
        <f t="shared" si="13"/>
        <v>17</v>
      </c>
      <c r="BD106" t="s">
        <v>274</v>
      </c>
      <c r="BH106" t="s">
        <v>83</v>
      </c>
      <c r="BM106" s="20"/>
      <c r="BO106" s="21">
        <v>132</v>
      </c>
      <c r="BQ106" t="s">
        <v>275</v>
      </c>
      <c r="BR106" s="20" t="str">
        <f t="shared" si="14"/>
        <v>11</v>
      </c>
      <c r="BS106" s="21">
        <v>79</v>
      </c>
      <c r="BT106" s="10" t="s">
        <v>2412</v>
      </c>
    </row>
    <row r="107" spans="1:72" x14ac:dyDescent="0.2">
      <c r="A107" s="13" t="s">
        <v>63</v>
      </c>
      <c r="B107" s="13"/>
      <c r="C107" s="13" t="s">
        <v>1562</v>
      </c>
      <c r="D107" s="13" t="s">
        <v>64</v>
      </c>
      <c r="E107" s="13" t="s">
        <v>65</v>
      </c>
      <c r="F107" s="13" t="s">
        <v>64</v>
      </c>
      <c r="G107" s="13" t="s">
        <v>211</v>
      </c>
      <c r="H107" s="13" t="s">
        <v>212</v>
      </c>
      <c r="I107" s="13" t="s">
        <v>701</v>
      </c>
      <c r="J107" s="13" t="s">
        <v>1342</v>
      </c>
      <c r="K107" s="13"/>
      <c r="L107" s="13">
        <v>100</v>
      </c>
      <c r="M107" s="13">
        <v>100</v>
      </c>
      <c r="N107" s="13">
        <v>327</v>
      </c>
      <c r="O107" s="13">
        <v>327</v>
      </c>
      <c r="P107" s="13" t="s">
        <v>1557</v>
      </c>
      <c r="Q107" s="13"/>
      <c r="R107" s="13" t="s">
        <v>1558</v>
      </c>
      <c r="S107" s="13"/>
      <c r="T107" s="13" t="s">
        <v>1559</v>
      </c>
      <c r="U107" s="14">
        <v>41241</v>
      </c>
      <c r="V107" s="13">
        <v>28</v>
      </c>
      <c r="W107" s="13">
        <v>11</v>
      </c>
      <c r="X107" s="13">
        <v>2012</v>
      </c>
      <c r="Y107" s="13">
        <f>-1.0793833333/-80.5399166667</f>
        <v>1.3401843184998992E-2</v>
      </c>
      <c r="Z107" s="13" t="s">
        <v>72</v>
      </c>
      <c r="AA107" s="13">
        <v>-1.0793833333</v>
      </c>
      <c r="AB107" s="13">
        <v>-80.539916666699995</v>
      </c>
      <c r="AC107" s="13"/>
      <c r="AD107" s="13" t="s">
        <v>96</v>
      </c>
      <c r="AE107" s="13" t="s">
        <v>74</v>
      </c>
      <c r="AF107" s="13"/>
      <c r="AG107" s="13"/>
      <c r="AH107" s="13"/>
      <c r="AI107" s="13" t="s">
        <v>203</v>
      </c>
      <c r="AJ107" s="13"/>
      <c r="AK107" s="13"/>
      <c r="AL107" s="13"/>
      <c r="AM107" s="13"/>
      <c r="AN107" s="13"/>
      <c r="AO107" s="13" t="s">
        <v>121</v>
      </c>
      <c r="AP107" s="20" t="str">
        <f t="shared" si="12"/>
        <v>18</v>
      </c>
      <c r="AQ107" s="13"/>
      <c r="AR107" s="13"/>
      <c r="AS107" s="13"/>
      <c r="AT107" s="13"/>
      <c r="AU107" s="13" t="s">
        <v>82</v>
      </c>
      <c r="AV107" s="20" t="str">
        <f t="shared" si="13"/>
        <v>17</v>
      </c>
      <c r="AW107" s="13"/>
      <c r="AX107" s="13"/>
      <c r="AY107" s="13"/>
      <c r="AZ107" s="13"/>
      <c r="BA107" s="13"/>
      <c r="BB107" s="13"/>
      <c r="BC107" s="13"/>
      <c r="BD107" s="13" t="s">
        <v>318</v>
      </c>
      <c r="BF107" s="13"/>
      <c r="BG107" s="13"/>
      <c r="BH107" s="13" t="s">
        <v>83</v>
      </c>
      <c r="BI107" s="13"/>
      <c r="BJ107" s="13"/>
      <c r="BK107" s="13"/>
      <c r="BL107" s="13" t="s">
        <v>136</v>
      </c>
      <c r="BM107" s="20" t="str">
        <f t="shared" ref="BM107:BM170" si="15">LEFT(BL107,FIND("^^",SUBSTITUTE(BL107," ","^^",LEN(BL107)-LEN(SUBSTITUTE(BL107," ",""))))-1)</f>
        <v>75</v>
      </c>
      <c r="BN107" s="13" t="s">
        <v>254</v>
      </c>
      <c r="BO107" s="20" t="str">
        <f t="shared" ref="BO107:BO170" si="16">LEFT(BN107,FIND("^^",SUBSTITUTE(BN107," ","^^",LEN(BN107)-LEN(SUBSTITUTE(BN107," ",""))))-1)</f>
        <v>154</v>
      </c>
      <c r="BP107" s="13"/>
      <c r="BQ107" s="13" t="s">
        <v>275</v>
      </c>
      <c r="BR107" s="20" t="str">
        <f t="shared" si="14"/>
        <v>11</v>
      </c>
      <c r="BS107" s="21">
        <f t="shared" ref="BS107:BS170" si="17">(BO107-BM107)</f>
        <v>79</v>
      </c>
    </row>
    <row r="108" spans="1:72" x14ac:dyDescent="0.2">
      <c r="A108" s="13" t="s">
        <v>63</v>
      </c>
      <c r="B108" s="13"/>
      <c r="C108" s="13" t="s">
        <v>1530</v>
      </c>
      <c r="D108" s="13" t="s">
        <v>64</v>
      </c>
      <c r="E108" s="13" t="s">
        <v>65</v>
      </c>
      <c r="F108" s="13" t="s">
        <v>64</v>
      </c>
      <c r="G108" s="13" t="s">
        <v>211</v>
      </c>
      <c r="H108" s="13" t="s">
        <v>212</v>
      </c>
      <c r="I108" s="13" t="s">
        <v>701</v>
      </c>
      <c r="J108" s="13" t="s">
        <v>702</v>
      </c>
      <c r="K108" s="13"/>
      <c r="L108" s="13"/>
      <c r="M108" s="13"/>
      <c r="N108" s="13"/>
      <c r="O108" s="13"/>
      <c r="P108" s="13"/>
      <c r="Q108" s="13"/>
      <c r="R108" s="13" t="s">
        <v>1528</v>
      </c>
      <c r="S108" s="13"/>
      <c r="T108" s="13" t="s">
        <v>1529</v>
      </c>
      <c r="U108" s="14">
        <v>41255</v>
      </c>
      <c r="V108" s="13">
        <v>12</v>
      </c>
      <c r="W108" s="13">
        <v>12</v>
      </c>
      <c r="X108" s="13">
        <v>2012</v>
      </c>
      <c r="Y108" s="13">
        <f>-0.39095/-79.2101666667</f>
        <v>4.9356038050650331E-3</v>
      </c>
      <c r="Z108" s="13" t="s">
        <v>72</v>
      </c>
      <c r="AA108" s="13">
        <v>-0.39095000000000002</v>
      </c>
      <c r="AB108" s="13">
        <v>-79.210166666700005</v>
      </c>
      <c r="AC108" s="13"/>
      <c r="AD108" s="13" t="s">
        <v>96</v>
      </c>
      <c r="AE108" s="13" t="s">
        <v>74</v>
      </c>
      <c r="AF108" s="13"/>
      <c r="AG108" s="13"/>
      <c r="AH108" s="13"/>
      <c r="AI108" s="13" t="s">
        <v>226</v>
      </c>
      <c r="AJ108" s="13"/>
      <c r="AK108" s="13"/>
      <c r="AL108" s="13"/>
      <c r="AM108" s="13"/>
      <c r="AN108" s="13"/>
      <c r="AO108" s="13" t="s">
        <v>76</v>
      </c>
      <c r="AP108" s="20" t="str">
        <f t="shared" si="12"/>
        <v>13</v>
      </c>
      <c r="AQ108" s="13"/>
      <c r="AR108" s="13"/>
      <c r="AS108" s="13"/>
      <c r="AT108" s="13"/>
      <c r="AU108" s="13" t="s">
        <v>82</v>
      </c>
      <c r="AV108" s="20" t="str">
        <f t="shared" si="13"/>
        <v>17</v>
      </c>
      <c r="AW108" s="13"/>
      <c r="AX108" s="13"/>
      <c r="AY108" s="13"/>
      <c r="AZ108" s="13"/>
      <c r="BA108" s="13"/>
      <c r="BB108" s="13"/>
      <c r="BC108" s="13"/>
      <c r="BD108" s="13" t="s">
        <v>1531</v>
      </c>
      <c r="BF108" s="13"/>
      <c r="BG108" s="13"/>
      <c r="BH108" s="13" t="s">
        <v>83</v>
      </c>
      <c r="BI108" s="13"/>
      <c r="BJ108" s="13"/>
      <c r="BK108" s="13"/>
      <c r="BL108" s="13" t="s">
        <v>433</v>
      </c>
      <c r="BM108" s="20" t="str">
        <f t="shared" si="15"/>
        <v>65</v>
      </c>
      <c r="BN108" s="13" t="s">
        <v>290</v>
      </c>
      <c r="BO108" s="20" t="str">
        <f t="shared" si="16"/>
        <v>144</v>
      </c>
      <c r="BP108" s="13"/>
      <c r="BQ108" s="13" t="s">
        <v>516</v>
      </c>
      <c r="BR108" s="20" t="str">
        <f t="shared" si="14"/>
        <v>7</v>
      </c>
      <c r="BS108" s="21">
        <f t="shared" si="17"/>
        <v>79</v>
      </c>
    </row>
    <row r="109" spans="1:72" x14ac:dyDescent="0.2">
      <c r="A109" t="s">
        <v>63</v>
      </c>
      <c r="B109" s="20" t="s">
        <v>2395</v>
      </c>
      <c r="C109" t="s">
        <v>477</v>
      </c>
      <c r="D109" t="s">
        <v>64</v>
      </c>
      <c r="E109" t="s">
        <v>65</v>
      </c>
      <c r="F109" t="s">
        <v>64</v>
      </c>
      <c r="G109" t="s">
        <v>211</v>
      </c>
      <c r="H109" t="s">
        <v>212</v>
      </c>
      <c r="I109" t="s">
        <v>383</v>
      </c>
      <c r="J109" t="s">
        <v>443</v>
      </c>
      <c r="L109">
        <v>74</v>
      </c>
      <c r="M109">
        <v>74</v>
      </c>
      <c r="N109">
        <v>242</v>
      </c>
      <c r="O109">
        <v>242</v>
      </c>
      <c r="P109" t="s">
        <v>478</v>
      </c>
      <c r="R109" t="s">
        <v>445</v>
      </c>
      <c r="S109" t="s">
        <v>479</v>
      </c>
      <c r="T109" t="s">
        <v>480</v>
      </c>
      <c r="U109" s="2">
        <v>41430</v>
      </c>
      <c r="V109">
        <v>5</v>
      </c>
      <c r="W109">
        <v>6</v>
      </c>
      <c r="X109">
        <v>2013</v>
      </c>
      <c r="Y109">
        <f>-29.8241666667/-57.1931666667</f>
        <v>0.52146381123646968</v>
      </c>
      <c r="Z109" t="s">
        <v>72</v>
      </c>
      <c r="AA109">
        <v>-29.824166666699998</v>
      </c>
      <c r="AB109">
        <v>-57.193166666700002</v>
      </c>
      <c r="AD109" t="s">
        <v>73</v>
      </c>
      <c r="AE109" t="s">
        <v>74</v>
      </c>
      <c r="AO109" t="s">
        <v>76</v>
      </c>
      <c r="AP109" s="20" t="str">
        <f t="shared" si="12"/>
        <v>13</v>
      </c>
      <c r="AU109" t="s">
        <v>82</v>
      </c>
      <c r="AV109" s="20" t="str">
        <f t="shared" si="13"/>
        <v>17</v>
      </c>
      <c r="BD109" t="s">
        <v>423</v>
      </c>
      <c r="BH109" t="s">
        <v>83</v>
      </c>
      <c r="BL109" t="s">
        <v>363</v>
      </c>
      <c r="BM109" s="20" t="str">
        <f t="shared" si="15"/>
        <v>72</v>
      </c>
      <c r="BN109" t="s">
        <v>441</v>
      </c>
      <c r="BO109" s="20" t="str">
        <f t="shared" si="16"/>
        <v>151</v>
      </c>
      <c r="BQ109" t="s">
        <v>438</v>
      </c>
      <c r="BR109" s="20" t="str">
        <f t="shared" si="14"/>
        <v>11.25</v>
      </c>
      <c r="BS109" s="21">
        <f t="shared" si="17"/>
        <v>79</v>
      </c>
    </row>
    <row r="110" spans="1:72" x14ac:dyDescent="0.2">
      <c r="A110" s="10" t="s">
        <v>63</v>
      </c>
      <c r="B110" s="10" t="s">
        <v>2290</v>
      </c>
      <c r="C110" s="10" t="s">
        <v>548</v>
      </c>
      <c r="D110" s="10" t="s">
        <v>64</v>
      </c>
      <c r="E110" s="10" t="s">
        <v>65</v>
      </c>
      <c r="F110" s="10" t="s">
        <v>64</v>
      </c>
      <c r="G110" s="10" t="s">
        <v>211</v>
      </c>
      <c r="H110" s="10" t="s">
        <v>212</v>
      </c>
      <c r="I110" s="10" t="s">
        <v>383</v>
      </c>
      <c r="J110" s="10" t="s">
        <v>384</v>
      </c>
      <c r="K110" s="10"/>
      <c r="L110" s="10">
        <v>1264</v>
      </c>
      <c r="M110" s="10">
        <v>1264</v>
      </c>
      <c r="N110" s="10">
        <v>4147</v>
      </c>
      <c r="O110" s="10">
        <v>4147</v>
      </c>
      <c r="P110" s="10" t="s">
        <v>546</v>
      </c>
      <c r="Q110" s="10"/>
      <c r="R110" s="10" t="s">
        <v>386</v>
      </c>
      <c r="S110" s="10" t="s">
        <v>305</v>
      </c>
      <c r="T110" s="10" t="s">
        <v>547</v>
      </c>
      <c r="U110" s="11">
        <v>41539</v>
      </c>
      <c r="V110" s="10">
        <v>22</v>
      </c>
      <c r="W110" s="10">
        <v>9</v>
      </c>
      <c r="X110" s="10">
        <v>2013</v>
      </c>
      <c r="Y110" s="10">
        <f>-15.6391666667/-47.9095</f>
        <v>0.3264314314843611</v>
      </c>
      <c r="Z110" s="10" t="s">
        <v>72</v>
      </c>
      <c r="AA110" s="10">
        <v>-15.6391666667</v>
      </c>
      <c r="AB110" s="10">
        <v>-47.909500000000001</v>
      </c>
      <c r="AC110" s="10"/>
      <c r="AD110" s="10" t="s">
        <v>73</v>
      </c>
      <c r="AE110" s="10" t="s">
        <v>74</v>
      </c>
      <c r="AF110" s="10"/>
      <c r="AG110" s="10"/>
      <c r="AH110" s="10"/>
      <c r="AI110" s="10"/>
      <c r="AJ110" s="10"/>
      <c r="AK110" s="10"/>
      <c r="AL110" s="10"/>
      <c r="AM110" s="10"/>
      <c r="AN110" s="10"/>
      <c r="AO110" s="10" t="s">
        <v>88</v>
      </c>
      <c r="AP110" s="20" t="str">
        <f t="shared" si="12"/>
        <v>15</v>
      </c>
      <c r="AQ110" s="10"/>
      <c r="AR110" s="10"/>
      <c r="AS110" s="10"/>
      <c r="AT110" s="10"/>
      <c r="AU110" s="10" t="s">
        <v>130</v>
      </c>
      <c r="AV110" s="20" t="str">
        <f t="shared" si="13"/>
        <v>19</v>
      </c>
      <c r="AW110" s="10"/>
      <c r="AX110" s="10"/>
      <c r="AY110" s="10"/>
      <c r="AZ110" s="10"/>
      <c r="BA110" s="10"/>
      <c r="BB110" s="10"/>
      <c r="BC110" s="10"/>
      <c r="BD110" s="10" t="s">
        <v>549</v>
      </c>
      <c r="BF110" s="10"/>
      <c r="BG110" s="10"/>
      <c r="BH110" s="10" t="s">
        <v>83</v>
      </c>
      <c r="BI110" s="10"/>
      <c r="BJ110" s="10"/>
      <c r="BK110" s="10"/>
      <c r="BL110" s="10" t="s">
        <v>160</v>
      </c>
      <c r="BM110" s="20" t="str">
        <f t="shared" si="15"/>
        <v>86</v>
      </c>
      <c r="BN110" s="10" t="s">
        <v>89</v>
      </c>
      <c r="BO110" s="20" t="str">
        <f t="shared" si="16"/>
        <v>165</v>
      </c>
      <c r="BP110" s="10"/>
      <c r="BQ110" s="10" t="s">
        <v>438</v>
      </c>
      <c r="BR110" s="20" t="str">
        <f t="shared" si="14"/>
        <v>11.25</v>
      </c>
      <c r="BS110" s="21">
        <f t="shared" si="17"/>
        <v>79</v>
      </c>
    </row>
    <row r="111" spans="1:72" x14ac:dyDescent="0.2">
      <c r="A111" s="4" t="s">
        <v>63</v>
      </c>
      <c r="B111" s="4" t="s">
        <v>2160</v>
      </c>
      <c r="C111" s="4" t="s">
        <v>1665</v>
      </c>
      <c r="D111" s="4" t="s">
        <v>64</v>
      </c>
      <c r="E111" s="4" t="s">
        <v>65</v>
      </c>
      <c r="F111" s="4" t="s">
        <v>64</v>
      </c>
      <c r="G111" s="4" t="s">
        <v>134</v>
      </c>
      <c r="H111" s="4" t="s">
        <v>67</v>
      </c>
      <c r="I111" s="4" t="s">
        <v>68</v>
      </c>
      <c r="J111" s="4" t="s">
        <v>1651</v>
      </c>
      <c r="K111" s="4" t="s">
        <v>1652</v>
      </c>
      <c r="L111" s="4"/>
      <c r="M111" s="4"/>
      <c r="N111" s="4"/>
      <c r="O111" s="4"/>
      <c r="P111" s="4"/>
      <c r="Q111" s="4"/>
      <c r="R111" s="4" t="s">
        <v>1662</v>
      </c>
      <c r="S111" s="4"/>
      <c r="T111" s="4" t="s">
        <v>1663</v>
      </c>
      <c r="U111" s="5">
        <v>41125</v>
      </c>
      <c r="V111" s="4">
        <v>4</v>
      </c>
      <c r="W111" s="4">
        <v>8</v>
      </c>
      <c r="X111" s="4">
        <v>2012</v>
      </c>
      <c r="Y111" s="4" t="s">
        <v>1666</v>
      </c>
      <c r="Z111" s="4" t="s">
        <v>72</v>
      </c>
      <c r="AA111" s="4">
        <v>40.528098</v>
      </c>
      <c r="AB111" s="4">
        <v>-76.101673000000005</v>
      </c>
      <c r="AC111" s="4"/>
      <c r="AD111" s="4" t="s">
        <v>73</v>
      </c>
      <c r="AE111" s="4" t="s">
        <v>74</v>
      </c>
      <c r="AF111" s="4"/>
      <c r="AG111" s="4"/>
      <c r="AH111" s="4"/>
      <c r="AI111" s="4"/>
      <c r="AJ111" s="4"/>
      <c r="AK111" s="4"/>
      <c r="AL111" s="4"/>
      <c r="AM111" s="4"/>
      <c r="AN111" s="4"/>
      <c r="AO111" s="4" t="s">
        <v>207</v>
      </c>
      <c r="AP111" s="20" t="str">
        <f t="shared" si="12"/>
        <v>13.5</v>
      </c>
      <c r="AQ111" s="4"/>
      <c r="AR111" s="4"/>
      <c r="AS111" s="4"/>
      <c r="AT111" s="4"/>
      <c r="AU111" s="4" t="s">
        <v>121</v>
      </c>
      <c r="AV111" s="20" t="str">
        <f t="shared" si="13"/>
        <v>18</v>
      </c>
      <c r="AW111" s="4"/>
      <c r="AX111" s="4"/>
      <c r="AY111" s="4"/>
      <c r="AZ111" s="4"/>
      <c r="BA111" s="4"/>
      <c r="BB111" s="4"/>
      <c r="BC111" s="4"/>
      <c r="BD111" s="4" t="s">
        <v>1639</v>
      </c>
      <c r="BF111" s="4"/>
      <c r="BG111" s="4"/>
      <c r="BH111" s="4" t="s">
        <v>83</v>
      </c>
      <c r="BI111" s="4"/>
      <c r="BJ111" s="4"/>
      <c r="BK111" s="4"/>
      <c r="BL111" s="4" t="s">
        <v>153</v>
      </c>
      <c r="BM111" s="20" t="str">
        <f t="shared" si="15"/>
        <v>81</v>
      </c>
      <c r="BN111" s="4" t="s">
        <v>181</v>
      </c>
      <c r="BO111" s="20" t="str">
        <f t="shared" si="16"/>
        <v>160</v>
      </c>
      <c r="BP111" s="4"/>
      <c r="BQ111" s="4" t="s">
        <v>1667</v>
      </c>
      <c r="BR111" s="20" t="str">
        <f t="shared" si="14"/>
        <v>17.13</v>
      </c>
      <c r="BS111" s="21">
        <f t="shared" si="17"/>
        <v>79</v>
      </c>
    </row>
    <row r="112" spans="1:72" x14ac:dyDescent="0.2">
      <c r="A112" s="7" t="s">
        <v>63</v>
      </c>
      <c r="B112" s="7" t="s">
        <v>2185</v>
      </c>
      <c r="C112" s="7" t="s">
        <v>176</v>
      </c>
      <c r="D112" s="7" t="s">
        <v>64</v>
      </c>
      <c r="E112" s="7" t="s">
        <v>65</v>
      </c>
      <c r="F112" s="7" t="s">
        <v>64</v>
      </c>
      <c r="G112" s="7" t="s">
        <v>134</v>
      </c>
      <c r="H112" s="7" t="s">
        <v>67</v>
      </c>
      <c r="I112" s="7" t="s">
        <v>68</v>
      </c>
      <c r="J112" s="7" t="s">
        <v>69</v>
      </c>
      <c r="K112" s="7" t="s">
        <v>70</v>
      </c>
      <c r="L112" s="7">
        <v>704</v>
      </c>
      <c r="M112" s="7">
        <v>704</v>
      </c>
      <c r="N112" s="7">
        <v>704</v>
      </c>
      <c r="O112" s="7">
        <v>704</v>
      </c>
      <c r="P112" s="7" t="s">
        <v>177</v>
      </c>
      <c r="Q112" s="7"/>
      <c r="R112" s="7" t="s">
        <v>178</v>
      </c>
      <c r="S112" s="7"/>
      <c r="T112" s="7" t="s">
        <v>179</v>
      </c>
      <c r="U112" s="8">
        <v>41128</v>
      </c>
      <c r="V112" s="7">
        <v>7</v>
      </c>
      <c r="W112" s="7">
        <v>8</v>
      </c>
      <c r="X112" s="7">
        <v>2012</v>
      </c>
      <c r="Y112" s="7" t="s">
        <v>180</v>
      </c>
      <c r="Z112" s="7" t="s">
        <v>72</v>
      </c>
      <c r="AA112" s="7">
        <v>32.268120000000003</v>
      </c>
      <c r="AB112" s="7">
        <v>-111.02657000000001</v>
      </c>
      <c r="AC112" s="7"/>
      <c r="AD112" s="7" t="s">
        <v>96</v>
      </c>
      <c r="AE112" s="7" t="s">
        <v>74</v>
      </c>
      <c r="AF112" s="7"/>
      <c r="AG112" s="7"/>
      <c r="AH112" s="7"/>
      <c r="AI112" s="7"/>
      <c r="AJ112" s="7"/>
      <c r="AK112" s="7"/>
      <c r="AL112" s="7"/>
      <c r="AM112" s="7"/>
      <c r="AN112" s="7"/>
      <c r="AO112" s="7" t="s">
        <v>87</v>
      </c>
      <c r="AP112" s="20" t="str">
        <f t="shared" si="12"/>
        <v>14</v>
      </c>
      <c r="AQ112" s="7"/>
      <c r="AR112" s="7"/>
      <c r="AS112" s="7"/>
      <c r="AT112" s="7"/>
      <c r="AU112" s="7" t="s">
        <v>130</v>
      </c>
      <c r="AV112" s="20" t="str">
        <f t="shared" si="13"/>
        <v>19</v>
      </c>
      <c r="AW112" s="7"/>
      <c r="AX112" s="7"/>
      <c r="AY112" s="7"/>
      <c r="AZ112" s="7"/>
      <c r="BA112" s="7"/>
      <c r="BB112" s="7"/>
      <c r="BC112" s="7"/>
      <c r="BD112" s="7" t="s">
        <v>112</v>
      </c>
      <c r="BF112" s="7"/>
      <c r="BG112" s="7"/>
      <c r="BH112" s="7" t="s">
        <v>83</v>
      </c>
      <c r="BI112" s="7"/>
      <c r="BJ112" s="7"/>
      <c r="BK112" s="7"/>
      <c r="BL112" s="7" t="s">
        <v>153</v>
      </c>
      <c r="BM112" s="20" t="str">
        <f t="shared" si="15"/>
        <v>81</v>
      </c>
      <c r="BN112" s="7" t="s">
        <v>181</v>
      </c>
      <c r="BO112" s="20" t="str">
        <f t="shared" si="16"/>
        <v>160</v>
      </c>
      <c r="BP112" s="7"/>
      <c r="BQ112" s="7" t="s">
        <v>182</v>
      </c>
      <c r="BR112" s="20" t="str">
        <f t="shared" si="14"/>
        <v>15.13</v>
      </c>
      <c r="BS112" s="21">
        <f t="shared" si="17"/>
        <v>79</v>
      </c>
    </row>
    <row r="113" spans="1:72" x14ac:dyDescent="0.2">
      <c r="A113" s="4" t="s">
        <v>63</v>
      </c>
      <c r="B113" s="4" t="s">
        <v>2142</v>
      </c>
      <c r="C113" s="4" t="s">
        <v>1772</v>
      </c>
      <c r="D113" s="4" t="s">
        <v>64</v>
      </c>
      <c r="E113" s="4" t="s">
        <v>65</v>
      </c>
      <c r="F113" s="4" t="s">
        <v>64</v>
      </c>
      <c r="G113" s="4" t="s">
        <v>134</v>
      </c>
      <c r="H113" s="4" t="s">
        <v>67</v>
      </c>
      <c r="I113" s="4" t="s">
        <v>68</v>
      </c>
      <c r="J113" s="4" t="s">
        <v>1590</v>
      </c>
      <c r="K113" s="4" t="s">
        <v>1729</v>
      </c>
      <c r="L113" s="4">
        <v>280</v>
      </c>
      <c r="M113" s="4">
        <v>280</v>
      </c>
      <c r="N113" s="4">
        <v>280</v>
      </c>
      <c r="O113" s="4">
        <v>280</v>
      </c>
      <c r="P113" s="4" t="s">
        <v>1773</v>
      </c>
      <c r="Q113" s="4"/>
      <c r="R113" s="4" t="s">
        <v>1774</v>
      </c>
      <c r="S113" s="4"/>
      <c r="T113" s="4" t="s">
        <v>1775</v>
      </c>
      <c r="U113" s="5">
        <v>41064</v>
      </c>
      <c r="V113" s="4">
        <v>4</v>
      </c>
      <c r="W113" s="4">
        <v>6</v>
      </c>
      <c r="X113" s="4">
        <v>2012</v>
      </c>
      <c r="Y113" s="4" t="s">
        <v>1776</v>
      </c>
      <c r="Z113" s="4" t="s">
        <v>72</v>
      </c>
      <c r="AA113" s="4">
        <v>34.946379999999998</v>
      </c>
      <c r="AB113" s="4">
        <v>-83.383799999999994</v>
      </c>
      <c r="AC113" s="4"/>
      <c r="AD113" s="4" t="s">
        <v>73</v>
      </c>
      <c r="AE113" s="4" t="s">
        <v>74</v>
      </c>
      <c r="AF113" s="4"/>
      <c r="AG113" s="4"/>
      <c r="AH113" s="4"/>
      <c r="AI113" s="4"/>
      <c r="AJ113" s="4"/>
      <c r="AK113" s="4"/>
      <c r="AL113" s="4"/>
      <c r="AM113" s="4"/>
      <c r="AN113" s="4"/>
      <c r="AO113" s="4" t="s">
        <v>76</v>
      </c>
      <c r="AP113" s="20" t="str">
        <f t="shared" si="12"/>
        <v>13</v>
      </c>
      <c r="AQ113" s="4"/>
      <c r="AR113" s="4"/>
      <c r="AS113" s="4"/>
      <c r="AT113" s="4"/>
      <c r="AU113" s="4" t="s">
        <v>141</v>
      </c>
      <c r="AV113" s="20" t="str">
        <f t="shared" si="13"/>
        <v>18.5</v>
      </c>
      <c r="AW113" s="4"/>
      <c r="AX113" s="4"/>
      <c r="AY113" s="4"/>
      <c r="AZ113" s="4"/>
      <c r="BA113" s="4"/>
      <c r="BB113" s="4"/>
      <c r="BC113" s="4"/>
      <c r="BD113" s="4" t="s">
        <v>1606</v>
      </c>
      <c r="BF113" s="4"/>
      <c r="BG113" s="4"/>
      <c r="BH113" s="4" t="s">
        <v>78</v>
      </c>
      <c r="BI113" s="4"/>
      <c r="BJ113" s="4"/>
      <c r="BK113" s="4"/>
      <c r="BL113" s="4" t="s">
        <v>123</v>
      </c>
      <c r="BM113" s="20" t="str">
        <f t="shared" si="15"/>
        <v>88</v>
      </c>
      <c r="BN113" s="4" t="s">
        <v>324</v>
      </c>
      <c r="BO113" s="20" t="str">
        <f t="shared" si="16"/>
        <v>168</v>
      </c>
      <c r="BP113" s="4"/>
      <c r="BQ113" s="4" t="s">
        <v>1735</v>
      </c>
      <c r="BR113" s="20" t="str">
        <f t="shared" si="14"/>
        <v>16.13</v>
      </c>
      <c r="BS113" s="21">
        <f t="shared" si="17"/>
        <v>80</v>
      </c>
      <c r="BT113" s="10"/>
    </row>
    <row r="114" spans="1:72" x14ac:dyDescent="0.2">
      <c r="A114" s="10" t="s">
        <v>63</v>
      </c>
      <c r="B114" s="10" t="s">
        <v>2235</v>
      </c>
      <c r="C114" s="10" t="s">
        <v>256</v>
      </c>
      <c r="D114" s="10" t="s">
        <v>64</v>
      </c>
      <c r="E114" s="10" t="s">
        <v>65</v>
      </c>
      <c r="F114" s="10" t="s">
        <v>64</v>
      </c>
      <c r="G114" s="10" t="s">
        <v>211</v>
      </c>
      <c r="H114" s="10" t="s">
        <v>212</v>
      </c>
      <c r="I114" s="10" t="s">
        <v>213</v>
      </c>
      <c r="J114" s="10" t="s">
        <v>214</v>
      </c>
      <c r="K114" s="10"/>
      <c r="L114" s="10">
        <v>210</v>
      </c>
      <c r="M114" s="10">
        <v>210</v>
      </c>
      <c r="N114" s="10">
        <v>689</v>
      </c>
      <c r="O114" s="10">
        <v>689</v>
      </c>
      <c r="P114" s="10" t="s">
        <v>233</v>
      </c>
      <c r="Q114" s="10"/>
      <c r="R114" s="10" t="s">
        <v>234</v>
      </c>
      <c r="S114" s="10" t="s">
        <v>250</v>
      </c>
      <c r="T114" s="10" t="s">
        <v>257</v>
      </c>
      <c r="U114" s="11">
        <v>41308</v>
      </c>
      <c r="V114" s="10">
        <v>3</v>
      </c>
      <c r="W114" s="10">
        <v>2</v>
      </c>
      <c r="X114" s="10">
        <v>2013</v>
      </c>
      <c r="Y114" s="10">
        <f>-37.3275166667/-59.0834</f>
        <v>0.63177672013966701</v>
      </c>
      <c r="Z114" s="10" t="s">
        <v>72</v>
      </c>
      <c r="AA114" s="10">
        <v>-37.327516666699999</v>
      </c>
      <c r="AB114" s="10">
        <v>-59.083399999999997</v>
      </c>
      <c r="AC114" s="10"/>
      <c r="AD114" s="10" t="s">
        <v>73</v>
      </c>
      <c r="AE114" s="10" t="s">
        <v>74</v>
      </c>
      <c r="AF114" s="10"/>
      <c r="AG114" s="10"/>
      <c r="AH114" s="10"/>
      <c r="AI114" s="10" t="s">
        <v>226</v>
      </c>
      <c r="AJ114" s="10"/>
      <c r="AK114" s="10"/>
      <c r="AL114" s="10"/>
      <c r="AM114" s="10"/>
      <c r="AN114" s="10"/>
      <c r="AO114" s="10" t="s">
        <v>227</v>
      </c>
      <c r="AP114" s="20" t="str">
        <f t="shared" si="12"/>
        <v>10</v>
      </c>
      <c r="AQ114" s="10"/>
      <c r="AR114" s="10"/>
      <c r="AS114" s="10"/>
      <c r="AT114" s="10"/>
      <c r="AU114" s="10" t="s">
        <v>130</v>
      </c>
      <c r="AV114" s="20" t="str">
        <f t="shared" si="13"/>
        <v>19</v>
      </c>
      <c r="AW114" s="10"/>
      <c r="AX114" s="10"/>
      <c r="AY114" s="10"/>
      <c r="AZ114" s="10"/>
      <c r="BA114" s="10"/>
      <c r="BB114" s="10"/>
      <c r="BC114" s="10"/>
      <c r="BD114" s="10" t="s">
        <v>258</v>
      </c>
      <c r="BF114" s="10"/>
      <c r="BG114" s="10"/>
      <c r="BH114" s="10" t="s">
        <v>78</v>
      </c>
      <c r="BI114" s="10"/>
      <c r="BJ114" s="10"/>
      <c r="BK114" s="10"/>
      <c r="BL114" s="10" t="s">
        <v>197</v>
      </c>
      <c r="BM114" s="20" t="str">
        <f t="shared" si="15"/>
        <v>74</v>
      </c>
      <c r="BN114" s="10" t="s">
        <v>254</v>
      </c>
      <c r="BO114" s="20" t="str">
        <f t="shared" si="16"/>
        <v>154</v>
      </c>
      <c r="BP114" s="10"/>
      <c r="BQ114" s="10" t="s">
        <v>259</v>
      </c>
      <c r="BR114" s="20" t="str">
        <f t="shared" si="14"/>
        <v>7.5</v>
      </c>
      <c r="BS114" s="21">
        <f t="shared" si="17"/>
        <v>80</v>
      </c>
      <c r="BT114" s="10"/>
    </row>
    <row r="115" spans="1:72" x14ac:dyDescent="0.2">
      <c r="A115" s="10" t="s">
        <v>63</v>
      </c>
      <c r="B115" s="10" t="s">
        <v>2274</v>
      </c>
      <c r="C115" s="10" t="s">
        <v>458</v>
      </c>
      <c r="D115" s="10" t="s">
        <v>64</v>
      </c>
      <c r="E115" s="10" t="s">
        <v>65</v>
      </c>
      <c r="F115" s="10" t="s">
        <v>64</v>
      </c>
      <c r="G115" s="10" t="s">
        <v>211</v>
      </c>
      <c r="H115" s="10" t="s">
        <v>212</v>
      </c>
      <c r="I115" s="10" t="s">
        <v>383</v>
      </c>
      <c r="J115" s="10" t="s">
        <v>443</v>
      </c>
      <c r="K115" s="10"/>
      <c r="L115" s="10">
        <v>77</v>
      </c>
      <c r="M115" s="10">
        <v>77</v>
      </c>
      <c r="N115" s="10">
        <v>251</v>
      </c>
      <c r="O115" s="10">
        <v>251</v>
      </c>
      <c r="P115" s="10" t="s">
        <v>459</v>
      </c>
      <c r="Q115" s="10"/>
      <c r="R115" s="10" t="s">
        <v>445</v>
      </c>
      <c r="S115" s="10" t="s">
        <v>460</v>
      </c>
      <c r="T115" s="10" t="s">
        <v>461</v>
      </c>
      <c r="U115" s="11">
        <v>41429</v>
      </c>
      <c r="V115" s="10">
        <v>4</v>
      </c>
      <c r="W115" s="10">
        <v>6</v>
      </c>
      <c r="X115" s="10">
        <v>2013</v>
      </c>
      <c r="Y115" s="10">
        <f>-29.8885/-57.2003333333</f>
        <v>0.52252317876965904</v>
      </c>
      <c r="Z115" s="10" t="s">
        <v>72</v>
      </c>
      <c r="AA115" s="10">
        <v>-29.888500000000001</v>
      </c>
      <c r="AB115" s="10">
        <v>-57.200333333300001</v>
      </c>
      <c r="AC115" s="10"/>
      <c r="AD115" s="10" t="s">
        <v>73</v>
      </c>
      <c r="AE115" s="10" t="s">
        <v>74</v>
      </c>
      <c r="AF115" s="10"/>
      <c r="AG115" s="10"/>
      <c r="AH115" s="10"/>
      <c r="AI115" s="10"/>
      <c r="AJ115" s="10"/>
      <c r="AK115" s="10"/>
      <c r="AL115" s="10"/>
      <c r="AM115" s="10"/>
      <c r="AN115" s="10"/>
      <c r="AO115" s="10" t="s">
        <v>87</v>
      </c>
      <c r="AP115" s="20" t="str">
        <f t="shared" si="12"/>
        <v>14</v>
      </c>
      <c r="AQ115" s="10"/>
      <c r="AR115" s="10"/>
      <c r="AS115" s="10"/>
      <c r="AT115" s="10"/>
      <c r="AU115" s="10" t="s">
        <v>121</v>
      </c>
      <c r="AV115" s="20" t="str">
        <f t="shared" si="13"/>
        <v>18</v>
      </c>
      <c r="AW115" s="10"/>
      <c r="AX115" s="10"/>
      <c r="AY115" s="10"/>
      <c r="AZ115" s="10"/>
      <c r="BA115" s="10"/>
      <c r="BB115" s="10"/>
      <c r="BC115" s="10"/>
      <c r="BD115" s="10" t="s">
        <v>457</v>
      </c>
      <c r="BF115" s="10"/>
      <c r="BG115" s="10"/>
      <c r="BH115" s="10" t="s">
        <v>78</v>
      </c>
      <c r="BI115" s="10"/>
      <c r="BJ115" s="10"/>
      <c r="BK115" s="10"/>
      <c r="BL115" s="10" t="s">
        <v>147</v>
      </c>
      <c r="BM115" s="20" t="str">
        <f t="shared" si="15"/>
        <v>84</v>
      </c>
      <c r="BN115" s="10" t="s">
        <v>99</v>
      </c>
      <c r="BO115" s="20" t="str">
        <f t="shared" si="16"/>
        <v>164</v>
      </c>
      <c r="BP115" s="10"/>
      <c r="BQ115" s="10" t="s">
        <v>408</v>
      </c>
      <c r="BR115" s="20" t="str">
        <f t="shared" si="14"/>
        <v>12</v>
      </c>
      <c r="BS115" s="21">
        <f t="shared" si="17"/>
        <v>80</v>
      </c>
      <c r="BT115" s="10"/>
    </row>
    <row r="116" spans="1:72" x14ac:dyDescent="0.2">
      <c r="A116" t="s">
        <v>63</v>
      </c>
      <c r="B116" s="20" t="s">
        <v>2362</v>
      </c>
      <c r="C116" t="s">
        <v>469</v>
      </c>
      <c r="D116" t="s">
        <v>64</v>
      </c>
      <c r="E116" t="s">
        <v>65</v>
      </c>
      <c r="F116" t="s">
        <v>64</v>
      </c>
      <c r="G116" t="s">
        <v>211</v>
      </c>
      <c r="H116" t="s">
        <v>212</v>
      </c>
      <c r="I116" t="s">
        <v>383</v>
      </c>
      <c r="J116" t="s">
        <v>443</v>
      </c>
      <c r="L116">
        <v>58</v>
      </c>
      <c r="M116">
        <v>58</v>
      </c>
      <c r="N116">
        <v>190</v>
      </c>
      <c r="O116">
        <v>190</v>
      </c>
      <c r="P116" t="s">
        <v>470</v>
      </c>
      <c r="R116" t="s">
        <v>445</v>
      </c>
      <c r="S116" t="s">
        <v>471</v>
      </c>
      <c r="T116" t="s">
        <v>472</v>
      </c>
      <c r="U116" s="2">
        <v>41429</v>
      </c>
      <c r="V116">
        <v>4</v>
      </c>
      <c r="W116">
        <v>6</v>
      </c>
      <c r="X116">
        <v>2013</v>
      </c>
      <c r="Y116">
        <f>-29.8168333333/-57.2005</f>
        <v>0.52126875347767943</v>
      </c>
      <c r="Z116" t="s">
        <v>72</v>
      </c>
      <c r="AA116">
        <v>-29.8168333333</v>
      </c>
      <c r="AB116">
        <v>-57.200499999999998</v>
      </c>
      <c r="AD116" t="s">
        <v>73</v>
      </c>
      <c r="AE116" t="s">
        <v>74</v>
      </c>
      <c r="AI116" t="s">
        <v>226</v>
      </c>
      <c r="AO116" t="s">
        <v>77</v>
      </c>
      <c r="AP116" s="20" t="str">
        <f t="shared" si="12"/>
        <v>12</v>
      </c>
      <c r="AU116" t="s">
        <v>88</v>
      </c>
      <c r="AV116" s="20" t="str">
        <f t="shared" si="13"/>
        <v>15</v>
      </c>
      <c r="BD116" t="s">
        <v>258</v>
      </c>
      <c r="BH116" t="s">
        <v>78</v>
      </c>
      <c r="BL116" t="s">
        <v>238</v>
      </c>
      <c r="BM116" s="20" t="str">
        <f t="shared" si="15"/>
        <v>59</v>
      </c>
      <c r="BN116" t="s">
        <v>473</v>
      </c>
      <c r="BO116" s="20" t="str">
        <f t="shared" si="16"/>
        <v>139</v>
      </c>
      <c r="BQ116" t="s">
        <v>474</v>
      </c>
      <c r="BR116" s="20" t="str">
        <f t="shared" si="14"/>
        <v>6.75</v>
      </c>
      <c r="BS116" s="21">
        <f t="shared" si="17"/>
        <v>80</v>
      </c>
      <c r="BT116" s="10"/>
    </row>
    <row r="117" spans="1:72" x14ac:dyDescent="0.2">
      <c r="A117" s="13" t="s">
        <v>63</v>
      </c>
      <c r="B117" s="13"/>
      <c r="C117" s="13" t="s">
        <v>1947</v>
      </c>
      <c r="D117" s="13" t="s">
        <v>64</v>
      </c>
      <c r="E117" s="13" t="s">
        <v>65</v>
      </c>
      <c r="F117" s="13" t="s">
        <v>64</v>
      </c>
      <c r="G117" s="13" t="s">
        <v>1886</v>
      </c>
      <c r="H117" s="13" t="s">
        <v>212</v>
      </c>
      <c r="I117" s="13" t="s">
        <v>1887</v>
      </c>
      <c r="J117" s="13" t="s">
        <v>1888</v>
      </c>
      <c r="K117" s="13"/>
      <c r="L117" s="13">
        <v>3060</v>
      </c>
      <c r="M117" s="13">
        <v>3060</v>
      </c>
      <c r="N117" s="13">
        <v>3060</v>
      </c>
      <c r="O117" s="13">
        <v>3060</v>
      </c>
      <c r="P117" s="13" t="s">
        <v>1909</v>
      </c>
      <c r="Q117" s="13"/>
      <c r="R117" s="13" t="s">
        <v>1910</v>
      </c>
      <c r="S117" s="13"/>
      <c r="T117" s="13" t="s">
        <v>1911</v>
      </c>
      <c r="U117" s="14">
        <v>41867</v>
      </c>
      <c r="V117" s="13">
        <v>16</v>
      </c>
      <c r="W117" s="13">
        <v>8</v>
      </c>
      <c r="X117" s="13">
        <v>2014</v>
      </c>
      <c r="Y117" s="13">
        <f>-16.6022333333/-68.0650833333</f>
        <v>0.24391703528815872</v>
      </c>
      <c r="Z117" s="13" t="s">
        <v>72</v>
      </c>
      <c r="AA117" s="13">
        <v>-16.602233333299999</v>
      </c>
      <c r="AB117" s="13">
        <v>-68.065083333299995</v>
      </c>
      <c r="AC117" s="13">
        <v>100</v>
      </c>
      <c r="AD117" s="13" t="s">
        <v>73</v>
      </c>
      <c r="AE117" s="13" t="s">
        <v>74</v>
      </c>
      <c r="AF117" s="13"/>
      <c r="AG117" s="13"/>
      <c r="AH117" s="13"/>
      <c r="AI117" s="13" t="s">
        <v>203</v>
      </c>
      <c r="AJ117" s="13"/>
      <c r="AK117" s="13"/>
      <c r="AL117" s="13"/>
      <c r="AM117" s="13"/>
      <c r="AN117" s="13"/>
      <c r="AO117" s="13" t="s">
        <v>186</v>
      </c>
      <c r="AP117" s="20" t="str">
        <f t="shared" si="12"/>
        <v>14.5</v>
      </c>
      <c r="AQ117" s="13"/>
      <c r="AR117" s="13"/>
      <c r="AS117" s="13"/>
      <c r="AT117" s="13"/>
      <c r="AU117" s="13" t="s">
        <v>121</v>
      </c>
      <c r="AV117" s="20" t="str">
        <f t="shared" si="13"/>
        <v>18</v>
      </c>
      <c r="AW117" s="13"/>
      <c r="AX117" s="13"/>
      <c r="AY117" s="13"/>
      <c r="AZ117" s="13"/>
      <c r="BA117" s="13"/>
      <c r="BB117" s="13"/>
      <c r="BC117" s="13"/>
      <c r="BD117" s="13" t="s">
        <v>258</v>
      </c>
      <c r="BF117" s="13"/>
      <c r="BG117" s="13"/>
      <c r="BH117" s="13" t="s">
        <v>78</v>
      </c>
      <c r="BI117" s="13"/>
      <c r="BJ117" s="13"/>
      <c r="BK117" s="13"/>
      <c r="BL117" s="13" t="s">
        <v>194</v>
      </c>
      <c r="BM117" s="20" t="str">
        <f t="shared" si="15"/>
        <v>79</v>
      </c>
      <c r="BN117" s="13" t="s">
        <v>85</v>
      </c>
      <c r="BO117" s="20" t="str">
        <f t="shared" si="16"/>
        <v>159</v>
      </c>
      <c r="BP117" s="13"/>
      <c r="BQ117" s="13" t="s">
        <v>821</v>
      </c>
      <c r="BR117" s="20" t="str">
        <f t="shared" si="14"/>
        <v>11.3</v>
      </c>
      <c r="BS117" s="21">
        <f t="shared" si="17"/>
        <v>80</v>
      </c>
      <c r="BT117" s="10"/>
    </row>
    <row r="118" spans="1:72" x14ac:dyDescent="0.2">
      <c r="A118" s="7" t="s">
        <v>63</v>
      </c>
      <c r="B118" s="7" t="s">
        <v>2205</v>
      </c>
      <c r="C118" s="7" t="s">
        <v>1184</v>
      </c>
      <c r="D118" s="7" t="s">
        <v>64</v>
      </c>
      <c r="E118" s="7" t="s">
        <v>65</v>
      </c>
      <c r="F118" s="7" t="s">
        <v>64</v>
      </c>
      <c r="G118" s="7" t="s">
        <v>615</v>
      </c>
      <c r="H118" s="7" t="s">
        <v>67</v>
      </c>
      <c r="I118" s="7" t="s">
        <v>68</v>
      </c>
      <c r="J118" s="7" t="s">
        <v>1136</v>
      </c>
      <c r="K118" s="7" t="s">
        <v>1137</v>
      </c>
      <c r="L118" s="7">
        <v>1388</v>
      </c>
      <c r="M118" s="7">
        <v>1388</v>
      </c>
      <c r="N118" s="7">
        <v>4555</v>
      </c>
      <c r="O118" s="7">
        <v>4555</v>
      </c>
      <c r="P118" s="7" t="s">
        <v>1185</v>
      </c>
      <c r="Q118" s="7"/>
      <c r="R118" s="7" t="s">
        <v>1186</v>
      </c>
      <c r="S118" s="7" t="s">
        <v>1187</v>
      </c>
      <c r="T118" s="7" t="s">
        <v>1188</v>
      </c>
      <c r="U118" s="9">
        <v>41075</v>
      </c>
      <c r="V118" s="7">
        <v>15</v>
      </c>
      <c r="W118" s="7">
        <v>6</v>
      </c>
      <c r="X118" s="7">
        <v>2012</v>
      </c>
      <c r="Y118" s="7" t="s">
        <v>1189</v>
      </c>
      <c r="Z118" s="7" t="s">
        <v>72</v>
      </c>
      <c r="AA118" s="7">
        <v>40.100283333299998</v>
      </c>
      <c r="AB118" s="7">
        <v>-111.65455</v>
      </c>
      <c r="AC118" s="7"/>
      <c r="AD118" s="7" t="s">
        <v>73</v>
      </c>
      <c r="AE118" s="7" t="s">
        <v>74</v>
      </c>
      <c r="AF118" s="7"/>
      <c r="AG118" s="7"/>
      <c r="AH118" s="7"/>
      <c r="AI118" s="7" t="s">
        <v>75</v>
      </c>
      <c r="AJ118" s="7"/>
      <c r="AK118" s="7"/>
      <c r="AL118" s="7"/>
      <c r="AM118" s="7"/>
      <c r="AN118" s="7"/>
      <c r="AO118" s="7" t="s">
        <v>207</v>
      </c>
      <c r="AP118" s="20" t="str">
        <f t="shared" si="12"/>
        <v>13.5</v>
      </c>
      <c r="AQ118" s="7"/>
      <c r="AR118" s="7"/>
      <c r="AS118" s="7"/>
      <c r="AT118" s="7"/>
      <c r="AU118" s="7" t="s">
        <v>111</v>
      </c>
      <c r="AV118" s="20" t="str">
        <f t="shared" si="13"/>
        <v>20</v>
      </c>
      <c r="AW118" s="7"/>
      <c r="AX118" s="7"/>
      <c r="AY118" s="7"/>
      <c r="AZ118" s="7"/>
      <c r="BA118" s="7"/>
      <c r="BB118" s="7"/>
      <c r="BC118" s="7"/>
      <c r="BD118" s="7" t="s">
        <v>258</v>
      </c>
      <c r="BF118" s="7"/>
      <c r="BG118" s="7"/>
      <c r="BH118" s="7" t="s">
        <v>78</v>
      </c>
      <c r="BI118" s="7"/>
      <c r="BJ118" s="7"/>
      <c r="BK118" s="7"/>
      <c r="BL118" s="7" t="s">
        <v>79</v>
      </c>
      <c r="BM118" s="20" t="str">
        <f t="shared" si="15"/>
        <v>85</v>
      </c>
      <c r="BN118" s="7" t="s">
        <v>89</v>
      </c>
      <c r="BO118" s="20" t="str">
        <f t="shared" si="16"/>
        <v>165</v>
      </c>
      <c r="BP118" s="7"/>
      <c r="BQ118" s="7" t="s">
        <v>262</v>
      </c>
      <c r="BR118" s="20" t="str">
        <f t="shared" si="14"/>
        <v>12.5</v>
      </c>
      <c r="BS118" s="21">
        <f t="shared" si="17"/>
        <v>80</v>
      </c>
    </row>
    <row r="119" spans="1:72" x14ac:dyDescent="0.2">
      <c r="A119" t="s">
        <v>63</v>
      </c>
      <c r="B119" t="s">
        <v>2372</v>
      </c>
      <c r="C119" t="s">
        <v>406</v>
      </c>
      <c r="D119" t="s">
        <v>64</v>
      </c>
      <c r="E119" t="s">
        <v>65</v>
      </c>
      <c r="F119" t="s">
        <v>64</v>
      </c>
      <c r="G119" t="s">
        <v>211</v>
      </c>
      <c r="H119" t="s">
        <v>212</v>
      </c>
      <c r="I119" t="s">
        <v>383</v>
      </c>
      <c r="J119" t="s">
        <v>384</v>
      </c>
      <c r="L119">
        <v>1086</v>
      </c>
      <c r="M119">
        <v>1086</v>
      </c>
      <c r="N119">
        <v>3562</v>
      </c>
      <c r="O119">
        <v>3562</v>
      </c>
      <c r="P119" t="s">
        <v>399</v>
      </c>
      <c r="R119" t="s">
        <v>386</v>
      </c>
      <c r="S119" t="s">
        <v>400</v>
      </c>
      <c r="T119" t="s">
        <v>401</v>
      </c>
      <c r="U119" s="2">
        <v>41540</v>
      </c>
      <c r="V119">
        <v>23</v>
      </c>
      <c r="W119">
        <v>9</v>
      </c>
      <c r="X119">
        <v>2013</v>
      </c>
      <c r="Y119">
        <f>-15.9403333333/-47.9255</f>
        <v>0.33260651079905268</v>
      </c>
      <c r="Z119" t="s">
        <v>72</v>
      </c>
      <c r="AA119">
        <v>-15.9403333333</v>
      </c>
      <c r="AB119">
        <v>-47.9255</v>
      </c>
      <c r="AD119" t="s">
        <v>73</v>
      </c>
      <c r="AE119" t="s">
        <v>74</v>
      </c>
      <c r="AO119" t="s">
        <v>87</v>
      </c>
      <c r="AP119" s="20" t="str">
        <f t="shared" si="12"/>
        <v>14</v>
      </c>
      <c r="AU119" t="s">
        <v>82</v>
      </c>
      <c r="AV119" s="20" t="str">
        <f t="shared" si="13"/>
        <v>17</v>
      </c>
      <c r="BD119" t="s">
        <v>152</v>
      </c>
      <c r="BH119" t="s">
        <v>78</v>
      </c>
      <c r="BL119" t="s">
        <v>189</v>
      </c>
      <c r="BM119" s="20" t="str">
        <f t="shared" si="15"/>
        <v>82</v>
      </c>
      <c r="BN119" t="s">
        <v>407</v>
      </c>
      <c r="BO119" s="20" t="str">
        <f t="shared" si="16"/>
        <v>162</v>
      </c>
      <c r="BQ119" t="s">
        <v>408</v>
      </c>
      <c r="BR119" s="20" t="str">
        <f t="shared" si="14"/>
        <v>12</v>
      </c>
      <c r="BS119" s="21">
        <f t="shared" si="17"/>
        <v>80</v>
      </c>
      <c r="BT119" s="13"/>
    </row>
    <row r="120" spans="1:72" x14ac:dyDescent="0.2">
      <c r="A120" s="4" t="s">
        <v>63</v>
      </c>
      <c r="B120" s="4" t="s">
        <v>2144</v>
      </c>
      <c r="C120" s="4" t="s">
        <v>1789</v>
      </c>
      <c r="D120" s="4" t="s">
        <v>64</v>
      </c>
      <c r="E120" s="4" t="s">
        <v>65</v>
      </c>
      <c r="F120" s="4" t="s">
        <v>64</v>
      </c>
      <c r="G120" s="4" t="s">
        <v>134</v>
      </c>
      <c r="H120" s="4" t="s">
        <v>67</v>
      </c>
      <c r="I120" s="4" t="s">
        <v>68</v>
      </c>
      <c r="J120" s="4" t="s">
        <v>1778</v>
      </c>
      <c r="K120" s="4" t="s">
        <v>1784</v>
      </c>
      <c r="L120" s="4">
        <v>109</v>
      </c>
      <c r="M120" s="4">
        <v>109</v>
      </c>
      <c r="N120" s="4">
        <v>109</v>
      </c>
      <c r="O120" s="4">
        <v>109</v>
      </c>
      <c r="P120" s="4" t="s">
        <v>1790</v>
      </c>
      <c r="Q120" s="4"/>
      <c r="R120" s="4" t="s">
        <v>1791</v>
      </c>
      <c r="S120" s="4"/>
      <c r="T120" s="4" t="s">
        <v>1792</v>
      </c>
      <c r="U120" s="5">
        <v>41135</v>
      </c>
      <c r="V120" s="4">
        <v>14</v>
      </c>
      <c r="W120" s="4">
        <v>8</v>
      </c>
      <c r="X120" s="4">
        <v>2012</v>
      </c>
      <c r="Y120" s="4" t="s">
        <v>1793</v>
      </c>
      <c r="Z120" s="4" t="s">
        <v>72</v>
      </c>
      <c r="AA120" s="4">
        <v>37.527560000000001</v>
      </c>
      <c r="AB120" s="4">
        <v>-77.627560000000003</v>
      </c>
      <c r="AC120" s="4"/>
      <c r="AD120" s="4" t="s">
        <v>73</v>
      </c>
      <c r="AE120" s="4" t="s">
        <v>74</v>
      </c>
      <c r="AF120" s="4"/>
      <c r="AG120" s="4"/>
      <c r="AH120" s="4"/>
      <c r="AI120" s="4"/>
      <c r="AJ120" s="4"/>
      <c r="AK120" s="4"/>
      <c r="AL120" s="4"/>
      <c r="AM120" s="4"/>
      <c r="AN120" s="4"/>
      <c r="AO120" s="4" t="s">
        <v>87</v>
      </c>
      <c r="AP120" s="20" t="str">
        <f t="shared" si="12"/>
        <v>14</v>
      </c>
      <c r="AQ120" s="4"/>
      <c r="AR120" s="4"/>
      <c r="AS120" s="4"/>
      <c r="AT120" s="4"/>
      <c r="AU120" s="4" t="s">
        <v>121</v>
      </c>
      <c r="AV120" s="20" t="str">
        <f t="shared" si="13"/>
        <v>18</v>
      </c>
      <c r="AW120" s="4"/>
      <c r="AX120" s="4"/>
      <c r="AY120" s="4"/>
      <c r="AZ120" s="4"/>
      <c r="BA120" s="4"/>
      <c r="BB120" s="4"/>
      <c r="BC120" s="4"/>
      <c r="BD120" s="4" t="s">
        <v>152</v>
      </c>
      <c r="BF120" s="4"/>
      <c r="BG120" s="4"/>
      <c r="BH120" s="4" t="s">
        <v>78</v>
      </c>
      <c r="BI120" s="4"/>
      <c r="BJ120" s="4"/>
      <c r="BK120" s="4"/>
      <c r="BL120" s="4" t="s">
        <v>375</v>
      </c>
      <c r="BM120" s="20" t="str">
        <f t="shared" si="15"/>
        <v>73</v>
      </c>
      <c r="BN120" s="4" t="s">
        <v>205</v>
      </c>
      <c r="BO120" s="20" t="str">
        <f t="shared" si="16"/>
        <v>153</v>
      </c>
      <c r="BP120" s="4"/>
      <c r="BQ120" s="4" t="s">
        <v>199</v>
      </c>
      <c r="BR120" s="20" t="str">
        <f t="shared" si="14"/>
        <v>13</v>
      </c>
      <c r="BS120" s="21">
        <f t="shared" si="17"/>
        <v>80</v>
      </c>
    </row>
    <row r="121" spans="1:72" x14ac:dyDescent="0.2">
      <c r="A121" s="4" t="s">
        <v>63</v>
      </c>
      <c r="B121" s="4" t="s">
        <v>2151</v>
      </c>
      <c r="C121" s="4" t="s">
        <v>1777</v>
      </c>
      <c r="D121" s="4" t="s">
        <v>64</v>
      </c>
      <c r="E121" s="4" t="s">
        <v>65</v>
      </c>
      <c r="F121" s="4" t="s">
        <v>64</v>
      </c>
      <c r="G121" s="4" t="s">
        <v>134</v>
      </c>
      <c r="H121" s="4" t="s">
        <v>67</v>
      </c>
      <c r="I121" s="4" t="s">
        <v>68</v>
      </c>
      <c r="J121" s="4" t="s">
        <v>1778</v>
      </c>
      <c r="K121" s="4" t="s">
        <v>1779</v>
      </c>
      <c r="L121" s="4">
        <v>44</v>
      </c>
      <c r="M121" s="4">
        <v>44</v>
      </c>
      <c r="N121" s="4">
        <v>44</v>
      </c>
      <c r="O121" s="4">
        <v>44</v>
      </c>
      <c r="P121" s="4" t="s">
        <v>444</v>
      </c>
      <c r="Q121" s="4"/>
      <c r="R121" s="4" t="s">
        <v>1780</v>
      </c>
      <c r="S121" s="4"/>
      <c r="T121" s="4" t="s">
        <v>1781</v>
      </c>
      <c r="U121" s="5">
        <v>41131</v>
      </c>
      <c r="V121" s="4">
        <v>10</v>
      </c>
      <c r="W121" s="4">
        <v>8</v>
      </c>
      <c r="X121" s="4">
        <v>2012</v>
      </c>
      <c r="Y121" s="4" t="s">
        <v>1782</v>
      </c>
      <c r="Z121" s="4" t="s">
        <v>72</v>
      </c>
      <c r="AA121" s="4">
        <v>37.703198</v>
      </c>
      <c r="AB121" s="4">
        <v>-77.401438999999996</v>
      </c>
      <c r="AC121" s="4"/>
      <c r="AD121" s="4" t="s">
        <v>73</v>
      </c>
      <c r="AE121" s="4" t="s">
        <v>74</v>
      </c>
      <c r="AF121" s="4"/>
      <c r="AG121" s="4"/>
      <c r="AH121" s="4"/>
      <c r="AI121" s="4"/>
      <c r="AJ121" s="4"/>
      <c r="AK121" s="4"/>
      <c r="AL121" s="4"/>
      <c r="AM121" s="4"/>
      <c r="AN121" s="4"/>
      <c r="AO121" s="4" t="s">
        <v>87</v>
      </c>
      <c r="AP121" s="20" t="str">
        <f t="shared" si="12"/>
        <v>14</v>
      </c>
      <c r="AQ121" s="4"/>
      <c r="AR121" s="4"/>
      <c r="AS121" s="4"/>
      <c r="AT121" s="4"/>
      <c r="AU121" s="4" t="s">
        <v>141</v>
      </c>
      <c r="AV121" s="20" t="str">
        <f t="shared" si="13"/>
        <v>18.5</v>
      </c>
      <c r="AW121" s="4"/>
      <c r="AX121" s="4"/>
      <c r="AY121" s="4"/>
      <c r="AZ121" s="4"/>
      <c r="BA121" s="4"/>
      <c r="BB121" s="4"/>
      <c r="BC121" s="4"/>
      <c r="BD121" s="4" t="s">
        <v>152</v>
      </c>
      <c r="BF121" s="4"/>
      <c r="BG121" s="4"/>
      <c r="BH121" s="4" t="s">
        <v>78</v>
      </c>
      <c r="BI121" s="4"/>
      <c r="BJ121" s="4"/>
      <c r="BK121" s="4"/>
      <c r="BL121" s="4" t="s">
        <v>153</v>
      </c>
      <c r="BM121" s="20" t="str">
        <f t="shared" si="15"/>
        <v>81</v>
      </c>
      <c r="BN121" s="4" t="s">
        <v>563</v>
      </c>
      <c r="BO121" s="20" t="str">
        <f t="shared" si="16"/>
        <v>161</v>
      </c>
      <c r="BP121" s="4"/>
      <c r="BQ121" s="4" t="s">
        <v>243</v>
      </c>
      <c r="BR121" s="20" t="str">
        <f t="shared" si="14"/>
        <v>16</v>
      </c>
      <c r="BS121" s="21">
        <f t="shared" si="17"/>
        <v>80</v>
      </c>
    </row>
    <row r="122" spans="1:72" x14ac:dyDescent="0.2">
      <c r="A122" s="4" t="s">
        <v>63</v>
      </c>
      <c r="B122" s="4" t="s">
        <v>2149</v>
      </c>
      <c r="C122" s="4" t="s">
        <v>1794</v>
      </c>
      <c r="D122" s="4" t="s">
        <v>64</v>
      </c>
      <c r="E122" s="4" t="s">
        <v>65</v>
      </c>
      <c r="F122" s="4" t="s">
        <v>64</v>
      </c>
      <c r="G122" s="4" t="s">
        <v>134</v>
      </c>
      <c r="H122" s="4" t="s">
        <v>67</v>
      </c>
      <c r="I122" s="4" t="s">
        <v>68</v>
      </c>
      <c r="J122" s="4" t="s">
        <v>1778</v>
      </c>
      <c r="K122" s="4" t="s">
        <v>1784</v>
      </c>
      <c r="L122" s="4">
        <v>92</v>
      </c>
      <c r="M122" s="4">
        <v>92</v>
      </c>
      <c r="N122" s="4">
        <v>92</v>
      </c>
      <c r="O122" s="4">
        <v>92</v>
      </c>
      <c r="P122" s="4" t="s">
        <v>538</v>
      </c>
      <c r="Q122" s="4"/>
      <c r="R122" s="4" t="s">
        <v>1795</v>
      </c>
      <c r="S122" s="4"/>
      <c r="T122" s="4" t="s">
        <v>1796</v>
      </c>
      <c r="U122" s="5">
        <v>41131</v>
      </c>
      <c r="V122" s="4">
        <v>10</v>
      </c>
      <c r="W122" s="4">
        <v>8</v>
      </c>
      <c r="X122" s="4">
        <v>2012</v>
      </c>
      <c r="Y122" s="4" t="s">
        <v>1797</v>
      </c>
      <c r="Z122" s="4" t="s">
        <v>72</v>
      </c>
      <c r="AA122" s="4">
        <v>37.655349999999999</v>
      </c>
      <c r="AB122" s="4">
        <v>-77.72927</v>
      </c>
      <c r="AC122" s="4"/>
      <c r="AD122" s="4" t="s">
        <v>73</v>
      </c>
      <c r="AE122" s="4" t="s">
        <v>74</v>
      </c>
      <c r="AF122" s="4"/>
      <c r="AG122" s="4"/>
      <c r="AH122" s="4"/>
      <c r="AI122" s="4"/>
      <c r="AJ122" s="4"/>
      <c r="AK122" s="4"/>
      <c r="AL122" s="4"/>
      <c r="AM122" s="4"/>
      <c r="AN122" s="4"/>
      <c r="AO122" s="4" t="s">
        <v>76</v>
      </c>
      <c r="AP122" s="20" t="str">
        <f t="shared" si="12"/>
        <v>13</v>
      </c>
      <c r="AQ122" s="4"/>
      <c r="AR122" s="4"/>
      <c r="AS122" s="4"/>
      <c r="AT122" s="4"/>
      <c r="AU122" s="4" t="s">
        <v>121</v>
      </c>
      <c r="AV122" s="20" t="str">
        <f t="shared" si="13"/>
        <v>18</v>
      </c>
      <c r="AW122" s="4"/>
      <c r="AX122" s="4"/>
      <c r="AY122" s="4"/>
      <c r="AZ122" s="4"/>
      <c r="BA122" s="4"/>
      <c r="BB122" s="4"/>
      <c r="BC122" s="4"/>
      <c r="BD122" s="4" t="s">
        <v>1798</v>
      </c>
      <c r="BE122" s="20" t="s">
        <v>241</v>
      </c>
      <c r="BF122" s="4"/>
      <c r="BG122" s="4"/>
      <c r="BH122" s="4" t="s">
        <v>78</v>
      </c>
      <c r="BI122" s="4"/>
      <c r="BJ122" s="4"/>
      <c r="BK122" s="4"/>
      <c r="BL122" s="4" t="s">
        <v>98</v>
      </c>
      <c r="BM122" s="20" t="str">
        <f t="shared" si="15"/>
        <v>76</v>
      </c>
      <c r="BN122" s="4" t="s">
        <v>695</v>
      </c>
      <c r="BO122" s="20" t="str">
        <f t="shared" si="16"/>
        <v>156</v>
      </c>
      <c r="BP122" s="4"/>
      <c r="BQ122" s="4" t="s">
        <v>100</v>
      </c>
      <c r="BR122" s="20" t="str">
        <f t="shared" si="14"/>
        <v>15.25</v>
      </c>
      <c r="BS122" s="21">
        <f t="shared" si="17"/>
        <v>80</v>
      </c>
    </row>
    <row r="123" spans="1:72" x14ac:dyDescent="0.2">
      <c r="A123" t="s">
        <v>63</v>
      </c>
      <c r="C123" t="s">
        <v>570</v>
      </c>
      <c r="D123" t="s">
        <v>64</v>
      </c>
      <c r="E123" t="s">
        <v>65</v>
      </c>
      <c r="F123" t="s">
        <v>64</v>
      </c>
      <c r="G123" t="s">
        <v>211</v>
      </c>
      <c r="H123" t="s">
        <v>212</v>
      </c>
      <c r="I123" t="s">
        <v>383</v>
      </c>
      <c r="J123" t="s">
        <v>551</v>
      </c>
      <c r="L123">
        <v>533</v>
      </c>
      <c r="M123">
        <v>533</v>
      </c>
      <c r="N123">
        <v>1749</v>
      </c>
      <c r="O123">
        <v>1749</v>
      </c>
      <c r="P123" t="s">
        <v>565</v>
      </c>
      <c r="R123" t="s">
        <v>553</v>
      </c>
      <c r="S123" t="s">
        <v>566</v>
      </c>
      <c r="T123" t="s">
        <v>567</v>
      </c>
      <c r="U123" s="2">
        <v>41414</v>
      </c>
      <c r="V123">
        <v>20</v>
      </c>
      <c r="W123">
        <v>5</v>
      </c>
      <c r="X123">
        <v>2013</v>
      </c>
      <c r="Y123">
        <f>-23.4518333333/-52.0023333333</f>
        <v>0.45097655874380699</v>
      </c>
      <c r="Z123" t="s">
        <v>72</v>
      </c>
      <c r="AA123">
        <v>-23.451833333300002</v>
      </c>
      <c r="AB123">
        <v>-52.002333333300001</v>
      </c>
      <c r="AD123" t="s">
        <v>73</v>
      </c>
      <c r="AE123" t="s">
        <v>74</v>
      </c>
      <c r="AO123" t="s">
        <v>87</v>
      </c>
      <c r="AP123" s="20" t="str">
        <f t="shared" si="12"/>
        <v>14</v>
      </c>
      <c r="AU123" t="s">
        <v>82</v>
      </c>
      <c r="AV123" s="20" t="str">
        <f t="shared" si="13"/>
        <v>17</v>
      </c>
      <c r="BD123" t="s">
        <v>571</v>
      </c>
      <c r="BE123" s="20" t="s">
        <v>241</v>
      </c>
      <c r="BH123" t="s">
        <v>78</v>
      </c>
      <c r="BL123" t="s">
        <v>351</v>
      </c>
      <c r="BM123" s="20" t="str">
        <f t="shared" si="15"/>
        <v>77</v>
      </c>
      <c r="BN123" t="s">
        <v>187</v>
      </c>
      <c r="BO123" s="20" t="str">
        <f t="shared" si="16"/>
        <v>157</v>
      </c>
      <c r="BQ123" t="s">
        <v>275</v>
      </c>
      <c r="BR123" s="20" t="str">
        <f t="shared" si="14"/>
        <v>11</v>
      </c>
      <c r="BS123" s="21">
        <f t="shared" si="17"/>
        <v>80</v>
      </c>
    </row>
    <row r="124" spans="1:72" x14ac:dyDescent="0.2">
      <c r="A124" s="7" t="s">
        <v>63</v>
      </c>
      <c r="B124" s="7" t="s">
        <v>2228</v>
      </c>
      <c r="C124" s="7" t="s">
        <v>844</v>
      </c>
      <c r="D124" s="7" t="s">
        <v>64</v>
      </c>
      <c r="E124" s="7" t="s">
        <v>65</v>
      </c>
      <c r="F124" s="7" t="s">
        <v>64</v>
      </c>
      <c r="G124" s="7" t="s">
        <v>615</v>
      </c>
      <c r="H124" s="7" t="s">
        <v>67</v>
      </c>
      <c r="I124" s="7" t="s">
        <v>788</v>
      </c>
      <c r="J124" s="7" t="s">
        <v>789</v>
      </c>
      <c r="K124" s="7" t="s">
        <v>822</v>
      </c>
      <c r="L124" s="7">
        <v>711</v>
      </c>
      <c r="M124" s="7">
        <v>711</v>
      </c>
      <c r="N124" s="7">
        <v>2333</v>
      </c>
      <c r="O124" s="7">
        <v>2333</v>
      </c>
      <c r="P124" s="7" t="s">
        <v>845</v>
      </c>
      <c r="Q124" s="7"/>
      <c r="R124" s="7" t="s">
        <v>846</v>
      </c>
      <c r="S124" s="7"/>
      <c r="T124" s="7" t="s">
        <v>847</v>
      </c>
      <c r="U124" s="9">
        <v>41123</v>
      </c>
      <c r="V124" s="7">
        <v>2</v>
      </c>
      <c r="W124" s="7">
        <v>8</v>
      </c>
      <c r="X124" s="7">
        <v>2012</v>
      </c>
      <c r="Y124" s="7" t="s">
        <v>848</v>
      </c>
      <c r="Z124" s="7" t="s">
        <v>72</v>
      </c>
      <c r="AA124" s="7">
        <v>53.395033333299999</v>
      </c>
      <c r="AB124" s="7">
        <v>-113.9378</v>
      </c>
      <c r="AC124" s="7"/>
      <c r="AD124" s="7" t="s">
        <v>73</v>
      </c>
      <c r="AE124" s="7" t="s">
        <v>74</v>
      </c>
      <c r="AF124" s="7"/>
      <c r="AG124" s="7"/>
      <c r="AH124" s="7"/>
      <c r="AI124" s="7" t="s">
        <v>75</v>
      </c>
      <c r="AJ124" s="7"/>
      <c r="AK124" s="7"/>
      <c r="AL124" s="7"/>
      <c r="AM124" s="7"/>
      <c r="AN124" s="7"/>
      <c r="AO124" s="7" t="s">
        <v>87</v>
      </c>
      <c r="AP124" s="20" t="str">
        <f t="shared" si="12"/>
        <v>14</v>
      </c>
      <c r="AQ124" s="7"/>
      <c r="AR124" s="7"/>
      <c r="AS124" s="7"/>
      <c r="AT124" s="7"/>
      <c r="AU124" s="7" t="s">
        <v>141</v>
      </c>
      <c r="AV124" s="20" t="str">
        <f t="shared" si="13"/>
        <v>18.5</v>
      </c>
      <c r="AW124" s="7"/>
      <c r="AX124" s="7"/>
      <c r="AY124" s="7"/>
      <c r="AZ124" s="7"/>
      <c r="BA124" s="7"/>
      <c r="BB124" s="7"/>
      <c r="BC124" s="7"/>
      <c r="BD124" s="7"/>
      <c r="BF124" s="7"/>
      <c r="BG124" s="7"/>
      <c r="BH124" s="7" t="s">
        <v>78</v>
      </c>
      <c r="BI124" s="7"/>
      <c r="BJ124" s="7"/>
      <c r="BK124" s="7"/>
      <c r="BL124" s="7" t="s">
        <v>79</v>
      </c>
      <c r="BM124" s="20" t="str">
        <f t="shared" si="15"/>
        <v>85</v>
      </c>
      <c r="BN124" s="7" t="s">
        <v>89</v>
      </c>
      <c r="BO124" s="20" t="str">
        <f t="shared" si="16"/>
        <v>165</v>
      </c>
      <c r="BP124" s="7"/>
      <c r="BQ124" s="7" t="s">
        <v>133</v>
      </c>
      <c r="BR124" s="20" t="str">
        <f t="shared" si="14"/>
        <v>14</v>
      </c>
      <c r="BS124" s="21">
        <f t="shared" si="17"/>
        <v>80</v>
      </c>
    </row>
    <row r="125" spans="1:72" x14ac:dyDescent="0.2">
      <c r="A125" s="13" t="s">
        <v>63</v>
      </c>
      <c r="B125" s="13"/>
      <c r="C125" s="13" t="s">
        <v>780</v>
      </c>
      <c r="D125" s="13" t="s">
        <v>64</v>
      </c>
      <c r="E125" s="13" t="s">
        <v>65</v>
      </c>
      <c r="F125" s="13" t="s">
        <v>64</v>
      </c>
      <c r="G125" s="13" t="s">
        <v>211</v>
      </c>
      <c r="H125" s="13" t="s">
        <v>212</v>
      </c>
      <c r="I125" s="13" t="s">
        <v>701</v>
      </c>
      <c r="J125" s="13" t="s">
        <v>734</v>
      </c>
      <c r="K125" s="13"/>
      <c r="L125" s="13">
        <v>2973</v>
      </c>
      <c r="M125" s="13">
        <v>2973</v>
      </c>
      <c r="N125" s="13">
        <v>9755</v>
      </c>
      <c r="O125" s="13">
        <v>9755</v>
      </c>
      <c r="P125" s="13" t="s">
        <v>745</v>
      </c>
      <c r="Q125" s="13"/>
      <c r="R125" s="13" t="s">
        <v>750</v>
      </c>
      <c r="S125" s="13"/>
      <c r="T125" s="13" t="s">
        <v>781</v>
      </c>
      <c r="U125" s="15">
        <v>40862</v>
      </c>
      <c r="V125" s="13">
        <v>15</v>
      </c>
      <c r="W125" s="13">
        <v>11</v>
      </c>
      <c r="X125" s="13">
        <v>2012</v>
      </c>
      <c r="Y125" s="13">
        <f>-0.87355/-78.6070833333</f>
        <v>1.111286620693051E-2</v>
      </c>
      <c r="Z125" s="13" t="s">
        <v>72</v>
      </c>
      <c r="AA125" s="13">
        <v>-0.87355000000000005</v>
      </c>
      <c r="AB125" s="13">
        <v>-78.607083333299997</v>
      </c>
      <c r="AC125" s="13"/>
      <c r="AD125" s="13" t="s">
        <v>96</v>
      </c>
      <c r="AE125" s="13" t="s">
        <v>74</v>
      </c>
      <c r="AF125" s="13"/>
      <c r="AG125" s="13"/>
      <c r="AH125" s="13"/>
      <c r="AI125" s="13"/>
      <c r="AJ125" s="13"/>
      <c r="AK125" s="13"/>
      <c r="AL125" s="13"/>
      <c r="AM125" s="13"/>
      <c r="AN125" s="13"/>
      <c r="AO125" s="13" t="s">
        <v>121</v>
      </c>
      <c r="AP125" s="20" t="str">
        <f t="shared" si="12"/>
        <v>18</v>
      </c>
      <c r="AQ125" s="13"/>
      <c r="AR125" s="13"/>
      <c r="AS125" s="13"/>
      <c r="AT125" s="13"/>
      <c r="AU125" s="13" t="s">
        <v>130</v>
      </c>
      <c r="AV125" s="20" t="str">
        <f t="shared" si="13"/>
        <v>19</v>
      </c>
      <c r="AW125" s="13"/>
      <c r="AX125" s="13"/>
      <c r="AY125" s="13"/>
      <c r="AZ125" s="13"/>
      <c r="BA125" s="13"/>
      <c r="BB125" s="13"/>
      <c r="BC125" s="13"/>
      <c r="BD125" s="13" t="s">
        <v>782</v>
      </c>
      <c r="BF125" s="13"/>
      <c r="BG125" s="13"/>
      <c r="BH125" s="13" t="s">
        <v>83</v>
      </c>
      <c r="BI125" s="13"/>
      <c r="BJ125" s="13"/>
      <c r="BK125" s="13"/>
      <c r="BL125" s="13" t="s">
        <v>153</v>
      </c>
      <c r="BM125" s="20" t="str">
        <f t="shared" si="15"/>
        <v>81</v>
      </c>
      <c r="BN125" s="13" t="s">
        <v>563</v>
      </c>
      <c r="BO125" s="20" t="str">
        <f t="shared" si="16"/>
        <v>161</v>
      </c>
      <c r="BP125" s="13"/>
      <c r="BQ125" s="13" t="s">
        <v>133</v>
      </c>
      <c r="BR125" s="20" t="str">
        <f t="shared" si="14"/>
        <v>14</v>
      </c>
      <c r="BS125" s="21">
        <f t="shared" si="17"/>
        <v>80</v>
      </c>
    </row>
    <row r="126" spans="1:72" x14ac:dyDescent="0.2">
      <c r="A126" t="s">
        <v>63</v>
      </c>
      <c r="C126" t="s">
        <v>1411</v>
      </c>
      <c r="D126" t="s">
        <v>64</v>
      </c>
      <c r="E126" t="s">
        <v>65</v>
      </c>
      <c r="F126" t="s">
        <v>64</v>
      </c>
      <c r="G126" t="s">
        <v>211</v>
      </c>
      <c r="H126" t="s">
        <v>212</v>
      </c>
      <c r="I126" t="s">
        <v>701</v>
      </c>
      <c r="J126" t="s">
        <v>702</v>
      </c>
      <c r="L126">
        <v>1599</v>
      </c>
      <c r="M126">
        <v>1599</v>
      </c>
      <c r="N126">
        <v>5246</v>
      </c>
      <c r="O126">
        <v>5246</v>
      </c>
      <c r="P126" t="s">
        <v>1412</v>
      </c>
      <c r="R126" t="s">
        <v>1413</v>
      </c>
      <c r="T126" t="s">
        <v>1414</v>
      </c>
      <c r="U126" s="2">
        <v>41247</v>
      </c>
      <c r="V126">
        <v>4</v>
      </c>
      <c r="W126">
        <v>12</v>
      </c>
      <c r="X126">
        <v>2012</v>
      </c>
      <c r="Y126" t="s">
        <v>1415</v>
      </c>
      <c r="Z126" t="s">
        <v>72</v>
      </c>
      <c r="AA126">
        <v>6.2183333299999997E-2</v>
      </c>
      <c r="AB126">
        <v>-78.682019444399998</v>
      </c>
      <c r="AD126" t="s">
        <v>96</v>
      </c>
      <c r="AE126" t="s">
        <v>74</v>
      </c>
      <c r="AI126" t="s">
        <v>226</v>
      </c>
      <c r="AO126" t="s">
        <v>87</v>
      </c>
      <c r="AP126" s="20" t="str">
        <f t="shared" si="12"/>
        <v>14</v>
      </c>
      <c r="AU126" t="s">
        <v>82</v>
      </c>
      <c r="AV126" s="20" t="str">
        <f t="shared" si="13"/>
        <v>17</v>
      </c>
      <c r="BD126" t="s">
        <v>1372</v>
      </c>
      <c r="BH126" t="s">
        <v>83</v>
      </c>
      <c r="BL126" t="s">
        <v>84</v>
      </c>
      <c r="BM126" s="20" t="str">
        <f t="shared" si="15"/>
        <v>78</v>
      </c>
      <c r="BN126" t="s">
        <v>569</v>
      </c>
      <c r="BO126" s="20" t="str">
        <f t="shared" si="16"/>
        <v>158</v>
      </c>
      <c r="BQ126" t="s">
        <v>408</v>
      </c>
      <c r="BR126" s="20" t="str">
        <f t="shared" si="14"/>
        <v>12</v>
      </c>
      <c r="BS126" s="21">
        <f t="shared" si="17"/>
        <v>80</v>
      </c>
    </row>
    <row r="127" spans="1:72" x14ac:dyDescent="0.2">
      <c r="A127" t="s">
        <v>63</v>
      </c>
      <c r="C127" t="s">
        <v>1333</v>
      </c>
      <c r="D127" t="s">
        <v>64</v>
      </c>
      <c r="E127" t="s">
        <v>65</v>
      </c>
      <c r="F127" t="s">
        <v>64</v>
      </c>
      <c r="G127" t="s">
        <v>211</v>
      </c>
      <c r="H127" t="s">
        <v>212</v>
      </c>
      <c r="I127" t="s">
        <v>701</v>
      </c>
      <c r="J127" t="s">
        <v>734</v>
      </c>
      <c r="L127">
        <v>2872</v>
      </c>
      <c r="M127">
        <v>2872</v>
      </c>
      <c r="N127">
        <v>9424</v>
      </c>
      <c r="O127">
        <v>9424</v>
      </c>
      <c r="P127" t="s">
        <v>1330</v>
      </c>
      <c r="R127" t="s">
        <v>1331</v>
      </c>
      <c r="T127" t="s">
        <v>1332</v>
      </c>
      <c r="U127" s="2">
        <v>41228</v>
      </c>
      <c r="V127">
        <v>15</v>
      </c>
      <c r="W127">
        <v>11</v>
      </c>
      <c r="X127">
        <v>2012</v>
      </c>
      <c r="Y127">
        <f>-0.8626666667/-78.64425</f>
        <v>1.0969227460367414E-2</v>
      </c>
      <c r="Z127" t="s">
        <v>72</v>
      </c>
      <c r="AA127">
        <v>-0.86266666670000003</v>
      </c>
      <c r="AB127">
        <v>-78.64425</v>
      </c>
      <c r="AD127" t="s">
        <v>96</v>
      </c>
      <c r="AE127" t="s">
        <v>74</v>
      </c>
      <c r="AI127" t="s">
        <v>75</v>
      </c>
      <c r="AO127" t="s">
        <v>344</v>
      </c>
      <c r="AP127" s="20" t="str">
        <f t="shared" si="12"/>
        <v>16</v>
      </c>
      <c r="AU127" t="s">
        <v>88</v>
      </c>
      <c r="AV127" s="20" t="str">
        <f t="shared" si="13"/>
        <v>15</v>
      </c>
      <c r="BD127" t="s">
        <v>1334</v>
      </c>
      <c r="BH127" t="s">
        <v>83</v>
      </c>
      <c r="BL127" t="s">
        <v>208</v>
      </c>
      <c r="BM127" s="20" t="str">
        <f t="shared" si="15"/>
        <v>80</v>
      </c>
      <c r="BN127" t="s">
        <v>181</v>
      </c>
      <c r="BO127" s="20" t="str">
        <f t="shared" si="16"/>
        <v>160</v>
      </c>
      <c r="BQ127" t="s">
        <v>262</v>
      </c>
      <c r="BR127" s="20" t="str">
        <f t="shared" si="14"/>
        <v>12.5</v>
      </c>
      <c r="BS127" s="21">
        <f t="shared" si="17"/>
        <v>80</v>
      </c>
    </row>
    <row r="128" spans="1:72" x14ac:dyDescent="0.2">
      <c r="A128" s="10" t="s">
        <v>63</v>
      </c>
      <c r="B128" s="10" t="s">
        <v>2276</v>
      </c>
      <c r="C128" s="10" t="s">
        <v>475</v>
      </c>
      <c r="D128" s="10" t="s">
        <v>64</v>
      </c>
      <c r="E128" s="10" t="s">
        <v>65</v>
      </c>
      <c r="F128" s="10" t="s">
        <v>64</v>
      </c>
      <c r="G128" s="10" t="s">
        <v>211</v>
      </c>
      <c r="H128" s="10" t="s">
        <v>212</v>
      </c>
      <c r="I128" s="10" t="s">
        <v>383</v>
      </c>
      <c r="J128" s="10" t="s">
        <v>443</v>
      </c>
      <c r="K128" s="10"/>
      <c r="L128" s="10">
        <v>58</v>
      </c>
      <c r="M128" s="10">
        <v>58</v>
      </c>
      <c r="N128" s="10">
        <v>190</v>
      </c>
      <c r="O128" s="10">
        <v>190</v>
      </c>
      <c r="P128" s="10" t="s">
        <v>470</v>
      </c>
      <c r="Q128" s="10"/>
      <c r="R128" s="10" t="s">
        <v>445</v>
      </c>
      <c r="S128" s="10" t="s">
        <v>471</v>
      </c>
      <c r="T128" s="10" t="s">
        <v>472</v>
      </c>
      <c r="U128" s="11">
        <v>41429</v>
      </c>
      <c r="V128" s="10">
        <v>4</v>
      </c>
      <c r="W128" s="10">
        <v>6</v>
      </c>
      <c r="X128" s="10">
        <v>2013</v>
      </c>
      <c r="Y128" s="10">
        <f>-29.8168333333/-57.2005</f>
        <v>0.52126875347767943</v>
      </c>
      <c r="Z128" s="10" t="s">
        <v>72</v>
      </c>
      <c r="AA128" s="10">
        <v>-29.8168333333</v>
      </c>
      <c r="AB128" s="10">
        <v>-57.200499999999998</v>
      </c>
      <c r="AC128" s="10"/>
      <c r="AD128" s="10" t="s">
        <v>73</v>
      </c>
      <c r="AE128" s="10" t="s">
        <v>74</v>
      </c>
      <c r="AF128" s="10"/>
      <c r="AG128" s="10"/>
      <c r="AH128" s="10"/>
      <c r="AI128" s="10"/>
      <c r="AJ128" s="10"/>
      <c r="AK128" s="10"/>
      <c r="AL128" s="10"/>
      <c r="AM128" s="10"/>
      <c r="AN128" s="10"/>
      <c r="AO128" s="10" t="s">
        <v>87</v>
      </c>
      <c r="AP128" s="20" t="str">
        <f t="shared" si="12"/>
        <v>14</v>
      </c>
      <c r="AQ128" s="10"/>
      <c r="AR128" s="10"/>
      <c r="AS128" s="10"/>
      <c r="AT128" s="10"/>
      <c r="AU128" s="10" t="s">
        <v>130</v>
      </c>
      <c r="AV128" s="20" t="str">
        <f t="shared" si="13"/>
        <v>19</v>
      </c>
      <c r="AW128" s="10"/>
      <c r="AX128" s="10"/>
      <c r="AY128" s="10"/>
      <c r="AZ128" s="10"/>
      <c r="BA128" s="10"/>
      <c r="BB128" s="10"/>
      <c r="BC128" s="10"/>
      <c r="BD128" s="10" t="s">
        <v>476</v>
      </c>
      <c r="BF128" s="10"/>
      <c r="BG128" s="10"/>
      <c r="BH128" s="10" t="s">
        <v>83</v>
      </c>
      <c r="BI128" s="10"/>
      <c r="BJ128" s="10"/>
      <c r="BK128" s="10"/>
      <c r="BL128" s="10" t="s">
        <v>197</v>
      </c>
      <c r="BM128" s="20" t="str">
        <f t="shared" si="15"/>
        <v>74</v>
      </c>
      <c r="BN128" s="10" t="s">
        <v>254</v>
      </c>
      <c r="BO128" s="20" t="str">
        <f t="shared" si="16"/>
        <v>154</v>
      </c>
      <c r="BP128" s="10"/>
      <c r="BQ128" s="10" t="s">
        <v>438</v>
      </c>
      <c r="BR128" s="20" t="str">
        <f t="shared" si="14"/>
        <v>11.25</v>
      </c>
      <c r="BS128" s="21">
        <f t="shared" si="17"/>
        <v>80</v>
      </c>
    </row>
    <row r="129" spans="1:72" x14ac:dyDescent="0.2">
      <c r="A129" t="s">
        <v>63</v>
      </c>
      <c r="B129" s="20" t="s">
        <v>2394</v>
      </c>
      <c r="C129" t="s">
        <v>536</v>
      </c>
      <c r="D129" t="s">
        <v>64</v>
      </c>
      <c r="E129" t="s">
        <v>65</v>
      </c>
      <c r="F129" t="s">
        <v>64</v>
      </c>
      <c r="G129" t="s">
        <v>211</v>
      </c>
      <c r="H129" t="s">
        <v>212</v>
      </c>
      <c r="I129" t="s">
        <v>383</v>
      </c>
      <c r="J129" t="s">
        <v>443</v>
      </c>
      <c r="L129">
        <v>40</v>
      </c>
      <c r="M129">
        <v>40</v>
      </c>
      <c r="N129">
        <v>131</v>
      </c>
      <c r="O129">
        <v>131</v>
      </c>
      <c r="P129" t="s">
        <v>533</v>
      </c>
      <c r="R129" t="s">
        <v>445</v>
      </c>
      <c r="S129" t="s">
        <v>534</v>
      </c>
      <c r="T129" t="s">
        <v>535</v>
      </c>
      <c r="U129" s="2">
        <v>41429</v>
      </c>
      <c r="V129">
        <v>4</v>
      </c>
      <c r="W129">
        <v>6</v>
      </c>
      <c r="X129">
        <v>2013</v>
      </c>
      <c r="Y129">
        <f>-29.8691666667/-57.1863333333</f>
        <v>0.52231302350883502</v>
      </c>
      <c r="Z129" t="s">
        <v>72</v>
      </c>
      <c r="AA129">
        <v>-29.8691666667</v>
      </c>
      <c r="AB129">
        <v>-57.186333333299999</v>
      </c>
      <c r="AD129" t="s">
        <v>73</v>
      </c>
      <c r="AE129" t="s">
        <v>74</v>
      </c>
      <c r="AO129" t="s">
        <v>88</v>
      </c>
      <c r="AP129" s="20" t="str">
        <f t="shared" si="12"/>
        <v>15</v>
      </c>
      <c r="AU129" t="s">
        <v>82</v>
      </c>
      <c r="AV129" s="20" t="str">
        <f t="shared" si="13"/>
        <v>17</v>
      </c>
      <c r="BD129" t="s">
        <v>423</v>
      </c>
      <c r="BH129" t="s">
        <v>83</v>
      </c>
      <c r="BL129" t="s">
        <v>197</v>
      </c>
      <c r="BM129" s="20" t="str">
        <f t="shared" si="15"/>
        <v>74</v>
      </c>
      <c r="BN129" t="s">
        <v>254</v>
      </c>
      <c r="BO129" s="20" t="str">
        <f t="shared" si="16"/>
        <v>154</v>
      </c>
      <c r="BQ129" t="s">
        <v>408</v>
      </c>
      <c r="BR129" s="20" t="str">
        <f t="shared" si="14"/>
        <v>12</v>
      </c>
      <c r="BS129" s="21">
        <f t="shared" si="17"/>
        <v>80</v>
      </c>
    </row>
    <row r="130" spans="1:72" x14ac:dyDescent="0.2">
      <c r="A130" s="7" t="s">
        <v>63</v>
      </c>
      <c r="B130" s="7" t="s">
        <v>2214</v>
      </c>
      <c r="C130" s="7" t="s">
        <v>1124</v>
      </c>
      <c r="D130" s="7" t="s">
        <v>64</v>
      </c>
      <c r="E130" s="7" t="s">
        <v>65</v>
      </c>
      <c r="F130" s="7" t="s">
        <v>64</v>
      </c>
      <c r="G130" s="7" t="s">
        <v>615</v>
      </c>
      <c r="H130" s="7" t="s">
        <v>67</v>
      </c>
      <c r="I130" s="7" t="s">
        <v>68</v>
      </c>
      <c r="J130" s="7" t="s">
        <v>1053</v>
      </c>
      <c r="K130" s="7" t="s">
        <v>1092</v>
      </c>
      <c r="L130" s="7">
        <v>1042</v>
      </c>
      <c r="M130" s="7">
        <v>1042</v>
      </c>
      <c r="N130" s="7">
        <v>3420</v>
      </c>
      <c r="O130" s="7">
        <v>3420</v>
      </c>
      <c r="P130" s="7" t="s">
        <v>1125</v>
      </c>
      <c r="Q130" s="7"/>
      <c r="R130" s="7" t="s">
        <v>1126</v>
      </c>
      <c r="S130" s="7" t="s">
        <v>1127</v>
      </c>
      <c r="T130" s="7" t="s">
        <v>1128</v>
      </c>
      <c r="U130" s="9">
        <v>41083</v>
      </c>
      <c r="V130" s="7">
        <v>23</v>
      </c>
      <c r="W130" s="7">
        <v>6</v>
      </c>
      <c r="X130" s="7">
        <v>2012</v>
      </c>
      <c r="Y130" s="7" t="s">
        <v>1129</v>
      </c>
      <c r="Z130" s="7" t="s">
        <v>72</v>
      </c>
      <c r="AA130" s="7">
        <v>46.510616666700002</v>
      </c>
      <c r="AB130" s="7">
        <v>-114.0716666667</v>
      </c>
      <c r="AC130" s="7"/>
      <c r="AD130" s="7" t="s">
        <v>73</v>
      </c>
      <c r="AE130" s="7" t="s">
        <v>74</v>
      </c>
      <c r="AF130" s="7"/>
      <c r="AG130" s="7"/>
      <c r="AH130" s="7"/>
      <c r="AI130" s="7" t="s">
        <v>75</v>
      </c>
      <c r="AJ130" s="7"/>
      <c r="AK130" s="7"/>
      <c r="AL130" s="7"/>
      <c r="AM130" s="7"/>
      <c r="AN130" s="7"/>
      <c r="AO130" s="7" t="s">
        <v>1130</v>
      </c>
      <c r="AP130" s="20" t="str">
        <f t="shared" ref="AP130:AP193" si="18">LEFT(AO130,FIND("^^",SUBSTITUTE(AO130," ","^^",LEN(AO130)-LEN(SUBSTITUTE(AO130," ",""))))-1)</f>
        <v>13.8</v>
      </c>
      <c r="AQ130" s="7"/>
      <c r="AR130" s="7"/>
      <c r="AS130" s="7"/>
      <c r="AT130" s="7"/>
      <c r="AU130" s="7" t="s">
        <v>675</v>
      </c>
      <c r="AV130" s="20" t="str">
        <f t="shared" ref="AV130:AV193" si="19">LEFT(AU130,FIND("^^",SUBSTITUTE(AU130," ","^^",LEN(AU130)-LEN(SUBSTITUTE(AU130," ",""))))-1)</f>
        <v>19.4</v>
      </c>
      <c r="AW130" s="7"/>
      <c r="AX130" s="7"/>
      <c r="AY130" s="7"/>
      <c r="AZ130" s="7"/>
      <c r="BA130" s="7"/>
      <c r="BB130" s="7"/>
      <c r="BC130" s="7"/>
      <c r="BD130" s="7" t="s">
        <v>1131</v>
      </c>
      <c r="BF130" s="7"/>
      <c r="BG130" s="7"/>
      <c r="BH130" s="7" t="s">
        <v>83</v>
      </c>
      <c r="BI130" s="7"/>
      <c r="BJ130" s="7"/>
      <c r="BK130" s="7"/>
      <c r="BL130" s="7" t="s">
        <v>147</v>
      </c>
      <c r="BM130" s="20" t="str">
        <f t="shared" si="15"/>
        <v>84</v>
      </c>
      <c r="BN130" s="7" t="s">
        <v>99</v>
      </c>
      <c r="BO130" s="20" t="str">
        <f t="shared" si="16"/>
        <v>164</v>
      </c>
      <c r="BP130" s="7"/>
      <c r="BQ130" s="7" t="s">
        <v>1132</v>
      </c>
      <c r="BR130" s="20" t="str">
        <f t="shared" ref="BR130:BR193" si="20">LEFT(BQ130,FIND("^^",SUBSTITUTE(BQ130," ","^^",LEN(BQ130)-LEN(SUBSTITUTE(BQ130," ",""))))-1)</f>
        <v>14.6</v>
      </c>
      <c r="BS130" s="21">
        <f t="shared" si="17"/>
        <v>80</v>
      </c>
    </row>
    <row r="131" spans="1:72" x14ac:dyDescent="0.2">
      <c r="A131" t="s">
        <v>63</v>
      </c>
      <c r="B131" t="s">
        <v>2404</v>
      </c>
      <c r="C131" t="s">
        <v>1471</v>
      </c>
      <c r="D131" t="s">
        <v>64</v>
      </c>
      <c r="E131" t="s">
        <v>65</v>
      </c>
      <c r="F131" t="s">
        <v>64</v>
      </c>
      <c r="G131" t="s">
        <v>211</v>
      </c>
      <c r="H131" t="s">
        <v>212</v>
      </c>
      <c r="I131" t="s">
        <v>701</v>
      </c>
      <c r="J131" t="s">
        <v>1466</v>
      </c>
      <c r="L131">
        <v>465</v>
      </c>
      <c r="M131">
        <v>465</v>
      </c>
      <c r="N131">
        <v>1527</v>
      </c>
      <c r="O131">
        <v>1527</v>
      </c>
      <c r="P131" t="s">
        <v>1467</v>
      </c>
      <c r="R131" t="s">
        <v>1468</v>
      </c>
      <c r="T131" t="s">
        <v>1469</v>
      </c>
      <c r="U131" s="2">
        <v>41253</v>
      </c>
      <c r="V131">
        <v>10</v>
      </c>
      <c r="W131">
        <v>12</v>
      </c>
      <c r="X131">
        <v>2012</v>
      </c>
      <c r="Y131">
        <f>-0.20675/-79.18085</f>
        <v>2.6111111461925448E-3</v>
      </c>
      <c r="Z131" t="s">
        <v>72</v>
      </c>
      <c r="AA131">
        <v>-0.20674999999999999</v>
      </c>
      <c r="AB131">
        <v>-79.180850000000007</v>
      </c>
      <c r="AD131" t="s">
        <v>96</v>
      </c>
      <c r="AE131" t="s">
        <v>74</v>
      </c>
      <c r="AI131" t="s">
        <v>75</v>
      </c>
      <c r="AO131" t="s">
        <v>77</v>
      </c>
      <c r="AP131" s="20" t="str">
        <f t="shared" si="18"/>
        <v>12</v>
      </c>
      <c r="AU131" t="s">
        <v>130</v>
      </c>
      <c r="AV131" s="20" t="str">
        <f t="shared" si="19"/>
        <v>19</v>
      </c>
      <c r="BD131" t="s">
        <v>1472</v>
      </c>
      <c r="BH131" t="s">
        <v>83</v>
      </c>
      <c r="BL131" t="s">
        <v>153</v>
      </c>
      <c r="BM131" s="20" t="str">
        <f t="shared" si="15"/>
        <v>81</v>
      </c>
      <c r="BN131" t="s">
        <v>563</v>
      </c>
      <c r="BO131" s="20" t="str">
        <f t="shared" si="16"/>
        <v>161</v>
      </c>
      <c r="BQ131" t="s">
        <v>255</v>
      </c>
      <c r="BR131" s="20" t="str">
        <f t="shared" si="20"/>
        <v>11.5</v>
      </c>
      <c r="BS131" s="21">
        <f t="shared" si="17"/>
        <v>80</v>
      </c>
    </row>
    <row r="132" spans="1:72" x14ac:dyDescent="0.2">
      <c r="A132" s="13" t="s">
        <v>63</v>
      </c>
      <c r="B132" s="13" t="s">
        <v>2405</v>
      </c>
      <c r="C132" s="13" t="s">
        <v>1508</v>
      </c>
      <c r="D132" s="13" t="s">
        <v>64</v>
      </c>
      <c r="E132" s="13" t="s">
        <v>65</v>
      </c>
      <c r="F132" s="13" t="s">
        <v>64</v>
      </c>
      <c r="G132" s="13" t="s">
        <v>211</v>
      </c>
      <c r="H132" s="13" t="s">
        <v>212</v>
      </c>
      <c r="I132" s="13" t="s">
        <v>701</v>
      </c>
      <c r="J132" s="13" t="s">
        <v>1466</v>
      </c>
      <c r="K132" s="13"/>
      <c r="L132" s="13">
        <v>335</v>
      </c>
      <c r="M132" s="13">
        <v>335</v>
      </c>
      <c r="N132" s="13">
        <v>1098</v>
      </c>
      <c r="O132" s="13">
        <v>1098</v>
      </c>
      <c r="P132" s="13" t="s">
        <v>1509</v>
      </c>
      <c r="Q132" s="13"/>
      <c r="R132" s="13" t="s">
        <v>1510</v>
      </c>
      <c r="S132" s="13"/>
      <c r="T132" s="13" t="s">
        <v>1511</v>
      </c>
      <c r="U132" s="14">
        <v>41255</v>
      </c>
      <c r="V132" s="13">
        <v>12</v>
      </c>
      <c r="W132" s="13">
        <v>12</v>
      </c>
      <c r="X132" s="13">
        <v>2012</v>
      </c>
      <c r="Y132" s="13">
        <f>-0.2441833333/-79.3385166667</f>
        <v>3.0777400884088968E-3</v>
      </c>
      <c r="Z132" s="13" t="s">
        <v>72</v>
      </c>
      <c r="AA132" s="13">
        <v>-0.2441833333</v>
      </c>
      <c r="AB132" s="13">
        <v>-79.338516666700002</v>
      </c>
      <c r="AC132" s="13"/>
      <c r="AD132" s="13" t="s">
        <v>96</v>
      </c>
      <c r="AE132" s="13" t="s">
        <v>74</v>
      </c>
      <c r="AF132" s="13"/>
      <c r="AG132" s="13"/>
      <c r="AH132" s="13"/>
      <c r="AI132" s="13" t="s">
        <v>75</v>
      </c>
      <c r="AJ132" s="13"/>
      <c r="AK132" s="13"/>
      <c r="AL132" s="13"/>
      <c r="AM132" s="13"/>
      <c r="AN132" s="13"/>
      <c r="AO132" s="13" t="s">
        <v>77</v>
      </c>
      <c r="AP132" s="20" t="str">
        <f t="shared" si="18"/>
        <v>12</v>
      </c>
      <c r="AQ132" s="13"/>
      <c r="AR132" s="13"/>
      <c r="AS132" s="13"/>
      <c r="AT132" s="13"/>
      <c r="AU132" s="13" t="s">
        <v>88</v>
      </c>
      <c r="AV132" s="20" t="str">
        <f t="shared" si="19"/>
        <v>15</v>
      </c>
      <c r="AW132" s="13"/>
      <c r="AX132" s="13"/>
      <c r="AY132" s="13"/>
      <c r="AZ132" s="13"/>
      <c r="BA132" s="13"/>
      <c r="BB132" s="13"/>
      <c r="BC132" s="13"/>
      <c r="BD132" s="13" t="s">
        <v>1512</v>
      </c>
      <c r="BF132" s="13"/>
      <c r="BG132" s="13"/>
      <c r="BH132" s="13" t="s">
        <v>83</v>
      </c>
      <c r="BI132" s="13"/>
      <c r="BJ132" s="13"/>
      <c r="BK132" s="13"/>
      <c r="BL132" s="13" t="s">
        <v>363</v>
      </c>
      <c r="BM132" s="20" t="str">
        <f t="shared" si="15"/>
        <v>72</v>
      </c>
      <c r="BN132" s="13" t="s">
        <v>326</v>
      </c>
      <c r="BO132" s="20" t="str">
        <f t="shared" si="16"/>
        <v>152</v>
      </c>
      <c r="BP132" s="13"/>
      <c r="BQ132" s="13" t="s">
        <v>801</v>
      </c>
      <c r="BR132" s="20" t="str">
        <f t="shared" si="20"/>
        <v>9.5</v>
      </c>
      <c r="BS132" s="21">
        <f t="shared" si="17"/>
        <v>80</v>
      </c>
    </row>
    <row r="133" spans="1:72" x14ac:dyDescent="0.2">
      <c r="A133" s="4" t="s">
        <v>63</v>
      </c>
      <c r="B133" s="4" t="s">
        <v>2120</v>
      </c>
      <c r="C133" s="4" t="s">
        <v>1603</v>
      </c>
      <c r="D133" s="4" t="s">
        <v>64</v>
      </c>
      <c r="E133" s="4" t="s">
        <v>65</v>
      </c>
      <c r="F133" s="4" t="s">
        <v>64</v>
      </c>
      <c r="G133" s="4" t="s">
        <v>134</v>
      </c>
      <c r="H133" s="4" t="s">
        <v>67</v>
      </c>
      <c r="I133" s="4" t="s">
        <v>68</v>
      </c>
      <c r="J133" s="4" t="s">
        <v>183</v>
      </c>
      <c r="K133" s="4" t="s">
        <v>184</v>
      </c>
      <c r="L133" s="4">
        <v>2</v>
      </c>
      <c r="M133" s="4">
        <v>2</v>
      </c>
      <c r="N133" s="4">
        <v>2</v>
      </c>
      <c r="O133" s="4">
        <v>2</v>
      </c>
      <c r="P133" s="6">
        <v>44229</v>
      </c>
      <c r="Q133" s="4"/>
      <c r="R133" s="4" t="s">
        <v>1599</v>
      </c>
      <c r="S133" s="4"/>
      <c r="T133" s="4" t="s">
        <v>1600</v>
      </c>
      <c r="U133" s="5">
        <v>41048</v>
      </c>
      <c r="V133" s="4">
        <v>19</v>
      </c>
      <c r="W133" s="4">
        <v>5</v>
      </c>
      <c r="X133" s="4">
        <v>2012</v>
      </c>
      <c r="Y133" s="4" t="s">
        <v>1601</v>
      </c>
      <c r="Z133" s="4" t="s">
        <v>72</v>
      </c>
      <c r="AA133" s="4">
        <v>29.6233</v>
      </c>
      <c r="AB133" s="4">
        <v>-82.340333333000004</v>
      </c>
      <c r="AC133" s="4">
        <v>100</v>
      </c>
      <c r="AD133" s="4" t="s">
        <v>73</v>
      </c>
      <c r="AE133" s="4" t="s">
        <v>74</v>
      </c>
      <c r="AF133" s="4"/>
      <c r="AG133" s="4"/>
      <c r="AH133" s="4"/>
      <c r="AI133" s="4"/>
      <c r="AJ133" s="4"/>
      <c r="AK133" s="4"/>
      <c r="AL133" s="4"/>
      <c r="AM133" s="4"/>
      <c r="AN133" s="4"/>
      <c r="AO133" s="4" t="s">
        <v>87</v>
      </c>
      <c r="AP133" s="20" t="str">
        <f t="shared" si="18"/>
        <v>14</v>
      </c>
      <c r="AQ133" s="4"/>
      <c r="AR133" s="4"/>
      <c r="AS133" s="4"/>
      <c r="AT133" s="4"/>
      <c r="AU133" s="4" t="s">
        <v>121</v>
      </c>
      <c r="AV133" s="20" t="str">
        <f t="shared" si="19"/>
        <v>18</v>
      </c>
      <c r="AW133" s="4"/>
      <c r="AX133" s="4"/>
      <c r="AY133" s="4"/>
      <c r="AZ133" s="4"/>
      <c r="BA133" s="4"/>
      <c r="BB133" s="4"/>
      <c r="BC133" s="4"/>
      <c r="BD133" s="4" t="s">
        <v>1604</v>
      </c>
      <c r="BF133" s="4"/>
      <c r="BG133" s="4"/>
      <c r="BH133" s="4" t="s">
        <v>83</v>
      </c>
      <c r="BI133" s="4"/>
      <c r="BJ133" s="4"/>
      <c r="BK133" s="4"/>
      <c r="BL133" s="4" t="s">
        <v>136</v>
      </c>
      <c r="BM133" s="20" t="str">
        <f t="shared" si="15"/>
        <v>75</v>
      </c>
      <c r="BN133" s="4" t="s">
        <v>699</v>
      </c>
      <c r="BO133" s="20" t="str">
        <f t="shared" si="16"/>
        <v>155</v>
      </c>
      <c r="BP133" s="4"/>
      <c r="BQ133" s="4" t="s">
        <v>138</v>
      </c>
      <c r="BR133" s="20" t="str">
        <f t="shared" si="20"/>
        <v>15.5</v>
      </c>
      <c r="BS133" s="21">
        <f t="shared" si="17"/>
        <v>80</v>
      </c>
    </row>
    <row r="134" spans="1:72" x14ac:dyDescent="0.2">
      <c r="A134" s="4" t="s">
        <v>63</v>
      </c>
      <c r="B134" s="4" t="s">
        <v>2141</v>
      </c>
      <c r="C134" s="4" t="s">
        <v>1714</v>
      </c>
      <c r="D134" s="4" t="s">
        <v>64</v>
      </c>
      <c r="E134" s="4" t="s">
        <v>65</v>
      </c>
      <c r="F134" s="4" t="s">
        <v>64</v>
      </c>
      <c r="G134" s="4" t="s">
        <v>134</v>
      </c>
      <c r="H134" s="4" t="s">
        <v>67</v>
      </c>
      <c r="I134" s="4" t="s">
        <v>68</v>
      </c>
      <c r="J134" s="4" t="s">
        <v>1590</v>
      </c>
      <c r="K134" s="4" t="s">
        <v>1625</v>
      </c>
      <c r="L134" s="4">
        <v>224</v>
      </c>
      <c r="M134" s="4">
        <v>224</v>
      </c>
      <c r="N134" s="4">
        <v>224</v>
      </c>
      <c r="O134" s="4">
        <v>224</v>
      </c>
      <c r="P134" s="4" t="s">
        <v>1680</v>
      </c>
      <c r="Q134" s="4"/>
      <c r="R134" s="4" t="s">
        <v>1627</v>
      </c>
      <c r="S134" s="4"/>
      <c r="T134" s="4" t="s">
        <v>1628</v>
      </c>
      <c r="U134" s="5">
        <v>41062</v>
      </c>
      <c r="V134" s="4">
        <v>2</v>
      </c>
      <c r="W134" s="4">
        <v>6</v>
      </c>
      <c r="X134" s="4">
        <v>2012</v>
      </c>
      <c r="Y134" s="4" t="s">
        <v>1715</v>
      </c>
      <c r="Z134" s="4" t="s">
        <v>72</v>
      </c>
      <c r="AA134" s="4">
        <v>34.118769999999998</v>
      </c>
      <c r="AB134" s="4">
        <v>-83.570920000000001</v>
      </c>
      <c r="AC134" s="4"/>
      <c r="AD134" s="4" t="s">
        <v>73</v>
      </c>
      <c r="AE134" s="4" t="s">
        <v>74</v>
      </c>
      <c r="AF134" s="4"/>
      <c r="AG134" s="4"/>
      <c r="AH134" s="4"/>
      <c r="AI134" s="4"/>
      <c r="AJ134" s="4"/>
      <c r="AK134" s="4"/>
      <c r="AL134" s="4"/>
      <c r="AM134" s="4"/>
      <c r="AN134" s="4"/>
      <c r="AO134" s="4" t="s">
        <v>207</v>
      </c>
      <c r="AP134" s="20" t="str">
        <f t="shared" si="18"/>
        <v>13.5</v>
      </c>
      <c r="AQ134" s="4"/>
      <c r="AR134" s="4"/>
      <c r="AS134" s="4"/>
      <c r="AT134" s="4"/>
      <c r="AU134" s="4" t="s">
        <v>130</v>
      </c>
      <c r="AV134" s="20" t="str">
        <f t="shared" si="19"/>
        <v>19</v>
      </c>
      <c r="AW134" s="4"/>
      <c r="AX134" s="4"/>
      <c r="AY134" s="4"/>
      <c r="AZ134" s="4"/>
      <c r="BA134" s="4"/>
      <c r="BB134" s="4"/>
      <c r="BC134" s="4"/>
      <c r="BD134" s="4" t="s">
        <v>1639</v>
      </c>
      <c r="BF134" s="4"/>
      <c r="BG134" s="4"/>
      <c r="BH134" s="4" t="s">
        <v>83</v>
      </c>
      <c r="BI134" s="4"/>
      <c r="BJ134" s="4"/>
      <c r="BK134" s="4"/>
      <c r="BL134" s="4" t="s">
        <v>208</v>
      </c>
      <c r="BM134" s="20" t="str">
        <f t="shared" si="15"/>
        <v>80</v>
      </c>
      <c r="BN134" s="4" t="s">
        <v>181</v>
      </c>
      <c r="BO134" s="20" t="str">
        <f t="shared" si="16"/>
        <v>160</v>
      </c>
      <c r="BP134" s="4"/>
      <c r="BQ134" s="4" t="s">
        <v>623</v>
      </c>
      <c r="BR134" s="20" t="str">
        <f t="shared" si="20"/>
        <v>18.5</v>
      </c>
      <c r="BS134" s="21">
        <f t="shared" si="17"/>
        <v>80</v>
      </c>
    </row>
    <row r="135" spans="1:72" x14ac:dyDescent="0.2">
      <c r="A135" s="4" t="s">
        <v>63</v>
      </c>
      <c r="B135" s="4" t="s">
        <v>2153</v>
      </c>
      <c r="C135" s="4" t="s">
        <v>1799</v>
      </c>
      <c r="D135" s="4" t="s">
        <v>64</v>
      </c>
      <c r="E135" s="4" t="s">
        <v>65</v>
      </c>
      <c r="F135" s="4" t="s">
        <v>64</v>
      </c>
      <c r="G135" s="4" t="s">
        <v>134</v>
      </c>
      <c r="H135" s="4" t="s">
        <v>67</v>
      </c>
      <c r="I135" s="4" t="s">
        <v>68</v>
      </c>
      <c r="J135" s="4" t="s">
        <v>1778</v>
      </c>
      <c r="K135" s="4" t="s">
        <v>1779</v>
      </c>
      <c r="L135" s="4">
        <v>76</v>
      </c>
      <c r="M135" s="4">
        <v>76</v>
      </c>
      <c r="N135" s="4">
        <v>76</v>
      </c>
      <c r="O135" s="4">
        <v>76</v>
      </c>
      <c r="P135" s="4" t="s">
        <v>1800</v>
      </c>
      <c r="Q135" s="4"/>
      <c r="R135" s="4" t="s">
        <v>1801</v>
      </c>
      <c r="S135" s="4"/>
      <c r="T135" s="4" t="s">
        <v>1802</v>
      </c>
      <c r="U135" s="5">
        <v>41135</v>
      </c>
      <c r="V135" s="4">
        <v>14</v>
      </c>
      <c r="W135" s="4">
        <v>8</v>
      </c>
      <c r="X135" s="4">
        <v>2012</v>
      </c>
      <c r="Y135" s="4" t="s">
        <v>1803</v>
      </c>
      <c r="Z135" s="4" t="s">
        <v>72</v>
      </c>
      <c r="AA135" s="4">
        <v>37.760629999999999</v>
      </c>
      <c r="AB135" s="4">
        <v>-77.483509999999995</v>
      </c>
      <c r="AC135" s="4"/>
      <c r="AD135" s="4" t="s">
        <v>73</v>
      </c>
      <c r="AE135" s="4" t="s">
        <v>74</v>
      </c>
      <c r="AF135" s="4"/>
      <c r="AG135" s="4"/>
      <c r="AH135" s="4"/>
      <c r="AI135" s="4"/>
      <c r="AJ135" s="4"/>
      <c r="AK135" s="4"/>
      <c r="AL135" s="4"/>
      <c r="AM135" s="4"/>
      <c r="AN135" s="4"/>
      <c r="AO135" s="4" t="s">
        <v>87</v>
      </c>
      <c r="AP135" s="20" t="str">
        <f t="shared" si="18"/>
        <v>14</v>
      </c>
      <c r="AQ135" s="4"/>
      <c r="AR135" s="4"/>
      <c r="AS135" s="4"/>
      <c r="AT135" s="4"/>
      <c r="AU135" s="4" t="s">
        <v>141</v>
      </c>
      <c r="AV135" s="20" t="str">
        <f t="shared" si="19"/>
        <v>18.5</v>
      </c>
      <c r="AW135" s="4"/>
      <c r="AX135" s="4"/>
      <c r="AY135" s="4"/>
      <c r="AZ135" s="4"/>
      <c r="BA135" s="4"/>
      <c r="BB135" s="4"/>
      <c r="BC135" s="4"/>
      <c r="BD135" s="4" t="s">
        <v>1804</v>
      </c>
      <c r="BF135" s="4"/>
      <c r="BG135" s="4"/>
      <c r="BH135" s="4" t="s">
        <v>83</v>
      </c>
      <c r="BI135" s="4"/>
      <c r="BJ135" s="4"/>
      <c r="BK135" s="4"/>
      <c r="BL135" s="4" t="s">
        <v>351</v>
      </c>
      <c r="BM135" s="20" t="str">
        <f t="shared" si="15"/>
        <v>77</v>
      </c>
      <c r="BN135" s="4" t="s">
        <v>187</v>
      </c>
      <c r="BO135" s="20" t="str">
        <f t="shared" si="16"/>
        <v>157</v>
      </c>
      <c r="BP135" s="4"/>
      <c r="BQ135" s="4" t="s">
        <v>340</v>
      </c>
      <c r="BR135" s="20" t="str">
        <f t="shared" si="20"/>
        <v>15</v>
      </c>
      <c r="BS135" s="21">
        <f t="shared" si="17"/>
        <v>80</v>
      </c>
    </row>
    <row r="136" spans="1:72" x14ac:dyDescent="0.2">
      <c r="A136" s="13" t="s">
        <v>63</v>
      </c>
      <c r="B136" s="13"/>
      <c r="C136" s="13" t="s">
        <v>2063</v>
      </c>
      <c r="D136" s="13" t="s">
        <v>64</v>
      </c>
      <c r="E136" s="13" t="s">
        <v>65</v>
      </c>
      <c r="F136" s="13" t="s">
        <v>64</v>
      </c>
      <c r="G136" s="13" t="s">
        <v>1886</v>
      </c>
      <c r="H136" s="13" t="s">
        <v>212</v>
      </c>
      <c r="I136" s="13" t="s">
        <v>1887</v>
      </c>
      <c r="J136" s="13" t="s">
        <v>1888</v>
      </c>
      <c r="K136" s="13"/>
      <c r="L136" s="13">
        <v>3835</v>
      </c>
      <c r="M136" s="13">
        <v>3835</v>
      </c>
      <c r="N136" s="13">
        <v>3835</v>
      </c>
      <c r="O136" s="13">
        <v>3835</v>
      </c>
      <c r="P136" s="13" t="s">
        <v>2064</v>
      </c>
      <c r="Q136" s="13"/>
      <c r="R136" s="13" t="s">
        <v>2065</v>
      </c>
      <c r="S136" s="13"/>
      <c r="T136" s="13" t="s">
        <v>2066</v>
      </c>
      <c r="U136" s="15">
        <v>41886</v>
      </c>
      <c r="V136" s="13">
        <v>4</v>
      </c>
      <c r="W136" s="13">
        <v>9</v>
      </c>
      <c r="X136" s="13">
        <v>2014</v>
      </c>
      <c r="Y136" s="13">
        <f>-16.1902333333/-68.60065</f>
        <v>0.23600699604595582</v>
      </c>
      <c r="Z136" s="13" t="s">
        <v>72</v>
      </c>
      <c r="AA136" s="13">
        <v>-16.1902333333</v>
      </c>
      <c r="AB136" s="13">
        <v>-68.600650000000002</v>
      </c>
      <c r="AC136" s="13">
        <v>100</v>
      </c>
      <c r="AD136" s="13" t="s">
        <v>73</v>
      </c>
      <c r="AE136" s="13" t="s">
        <v>74</v>
      </c>
      <c r="AF136" s="13"/>
      <c r="AG136" s="13"/>
      <c r="AH136" s="13"/>
      <c r="AI136" s="13" t="s">
        <v>203</v>
      </c>
      <c r="AJ136" s="13"/>
      <c r="AK136" s="13"/>
      <c r="AL136" s="13"/>
      <c r="AM136" s="13"/>
      <c r="AN136" s="13"/>
      <c r="AO136" s="13" t="s">
        <v>196</v>
      </c>
      <c r="AP136" s="20" t="str">
        <f t="shared" si="18"/>
        <v>12.5</v>
      </c>
      <c r="AQ136" s="13"/>
      <c r="AR136" s="13"/>
      <c r="AS136" s="13"/>
      <c r="AT136" s="13"/>
      <c r="AU136" s="13" t="s">
        <v>121</v>
      </c>
      <c r="AV136" s="20" t="str">
        <f t="shared" si="19"/>
        <v>18</v>
      </c>
      <c r="AW136" s="13"/>
      <c r="AX136" s="13"/>
      <c r="AY136" s="13"/>
      <c r="AZ136" s="13"/>
      <c r="BA136" s="13"/>
      <c r="BB136" s="13"/>
      <c r="BC136" s="13"/>
      <c r="BD136" s="13" t="s">
        <v>258</v>
      </c>
      <c r="BF136" s="13"/>
      <c r="BG136" s="13"/>
      <c r="BH136" s="13" t="s">
        <v>78</v>
      </c>
      <c r="BI136" s="13"/>
      <c r="BJ136" s="13"/>
      <c r="BK136" s="13"/>
      <c r="BL136" s="13" t="s">
        <v>712</v>
      </c>
      <c r="BM136" s="20" t="str">
        <f t="shared" si="15"/>
        <v>71</v>
      </c>
      <c r="BN136" s="13" t="s">
        <v>326</v>
      </c>
      <c r="BO136" s="20" t="str">
        <f t="shared" si="16"/>
        <v>152</v>
      </c>
      <c r="BP136" s="13"/>
      <c r="BQ136" s="13" t="s">
        <v>2067</v>
      </c>
      <c r="BR136" s="20" t="str">
        <f t="shared" si="20"/>
        <v>10.8</v>
      </c>
      <c r="BS136" s="21">
        <f t="shared" si="17"/>
        <v>81</v>
      </c>
      <c r="BT136" s="10"/>
    </row>
    <row r="137" spans="1:72" x14ac:dyDescent="0.2">
      <c r="A137" s="13" t="s">
        <v>63</v>
      </c>
      <c r="B137" s="13"/>
      <c r="C137" s="13" t="s">
        <v>771</v>
      </c>
      <c r="D137" s="13" t="s">
        <v>64</v>
      </c>
      <c r="E137" s="13" t="s">
        <v>65</v>
      </c>
      <c r="F137" s="13" t="s">
        <v>64</v>
      </c>
      <c r="G137" s="13" t="s">
        <v>211</v>
      </c>
      <c r="H137" s="13" t="s">
        <v>212</v>
      </c>
      <c r="I137" s="13" t="s">
        <v>701</v>
      </c>
      <c r="J137" s="13" t="s">
        <v>734</v>
      </c>
      <c r="K137" s="13"/>
      <c r="L137" s="13">
        <v>2865</v>
      </c>
      <c r="M137" s="13">
        <v>2865</v>
      </c>
      <c r="N137" s="13">
        <v>9398</v>
      </c>
      <c r="O137" s="13">
        <v>9398</v>
      </c>
      <c r="P137" s="13" t="s">
        <v>772</v>
      </c>
      <c r="Q137" s="13"/>
      <c r="R137" s="13" t="s">
        <v>773</v>
      </c>
      <c r="S137" s="13"/>
      <c r="T137" s="13" t="s">
        <v>774</v>
      </c>
      <c r="U137" s="14">
        <v>41228</v>
      </c>
      <c r="V137" s="13">
        <v>15</v>
      </c>
      <c r="W137" s="13">
        <v>11</v>
      </c>
      <c r="X137" s="13">
        <v>2012</v>
      </c>
      <c r="Y137" s="13">
        <f>-0.86965/-0.6213833333</f>
        <v>1.3995386638092182</v>
      </c>
      <c r="Z137" s="13" t="s">
        <v>72</v>
      </c>
      <c r="AA137" s="13">
        <v>-0.86965000000000003</v>
      </c>
      <c r="AB137" s="13">
        <v>-78.621383333300003</v>
      </c>
      <c r="AC137" s="13"/>
      <c r="AD137" s="13" t="s">
        <v>96</v>
      </c>
      <c r="AE137" s="13" t="s">
        <v>74</v>
      </c>
      <c r="AF137" s="13"/>
      <c r="AG137" s="13"/>
      <c r="AH137" s="13"/>
      <c r="AI137" s="13" t="s">
        <v>75</v>
      </c>
      <c r="AJ137" s="13"/>
      <c r="AK137" s="13"/>
      <c r="AL137" s="13"/>
      <c r="AM137" s="13"/>
      <c r="AN137" s="13"/>
      <c r="AO137" s="13" t="s">
        <v>76</v>
      </c>
      <c r="AP137" s="20" t="str">
        <f t="shared" si="18"/>
        <v>13</v>
      </c>
      <c r="AQ137" s="13"/>
      <c r="AR137" s="13"/>
      <c r="AS137" s="13"/>
      <c r="AT137" s="13"/>
      <c r="AU137" s="13" t="s">
        <v>121</v>
      </c>
      <c r="AV137" s="20" t="str">
        <f t="shared" si="19"/>
        <v>18</v>
      </c>
      <c r="AW137" s="13"/>
      <c r="AX137" s="13"/>
      <c r="AY137" s="13"/>
      <c r="AZ137" s="13"/>
      <c r="BA137" s="13"/>
      <c r="BB137" s="13"/>
      <c r="BC137" s="13"/>
      <c r="BD137" s="13" t="s">
        <v>258</v>
      </c>
      <c r="BF137" s="13"/>
      <c r="BG137" s="13"/>
      <c r="BH137" s="13" t="s">
        <v>78</v>
      </c>
      <c r="BI137" s="13"/>
      <c r="BJ137" s="13"/>
      <c r="BK137" s="13"/>
      <c r="BL137" s="13" t="s">
        <v>153</v>
      </c>
      <c r="BM137" s="20" t="str">
        <f t="shared" si="15"/>
        <v>81</v>
      </c>
      <c r="BN137" s="13" t="s">
        <v>407</v>
      </c>
      <c r="BO137" s="20" t="str">
        <f t="shared" si="16"/>
        <v>162</v>
      </c>
      <c r="BP137" s="13"/>
      <c r="BQ137" s="13" t="s">
        <v>275</v>
      </c>
      <c r="BR137" s="20" t="str">
        <f t="shared" si="20"/>
        <v>11</v>
      </c>
      <c r="BS137" s="21">
        <f t="shared" si="17"/>
        <v>81</v>
      </c>
      <c r="BT137" s="13"/>
    </row>
    <row r="138" spans="1:72" x14ac:dyDescent="0.2">
      <c r="A138" t="s">
        <v>63</v>
      </c>
      <c r="B138" s="20" t="s">
        <v>2368</v>
      </c>
      <c r="C138" t="s">
        <v>309</v>
      </c>
      <c r="D138" t="s">
        <v>64</v>
      </c>
      <c r="E138" t="s">
        <v>65</v>
      </c>
      <c r="F138" t="s">
        <v>64</v>
      </c>
      <c r="G138" t="s">
        <v>211</v>
      </c>
      <c r="H138" t="s">
        <v>212</v>
      </c>
      <c r="I138" t="s">
        <v>213</v>
      </c>
      <c r="J138" t="s">
        <v>293</v>
      </c>
      <c r="L138">
        <v>16</v>
      </c>
      <c r="M138">
        <v>16</v>
      </c>
      <c r="N138">
        <v>52</v>
      </c>
      <c r="O138">
        <v>52</v>
      </c>
      <c r="P138" t="s">
        <v>310</v>
      </c>
      <c r="R138" t="s">
        <v>294</v>
      </c>
      <c r="S138" t="s">
        <v>299</v>
      </c>
      <c r="T138" t="s">
        <v>311</v>
      </c>
      <c r="U138" s="2">
        <v>41338</v>
      </c>
      <c r="V138">
        <v>5</v>
      </c>
      <c r="W138">
        <v>3</v>
      </c>
      <c r="X138">
        <v>2013</v>
      </c>
      <c r="Y138">
        <f>-43.3216666667/-65.5386666667</f>
        <v>0.66100927696644174</v>
      </c>
      <c r="Z138" t="s">
        <v>72</v>
      </c>
      <c r="AA138">
        <v>-43.321666666699997</v>
      </c>
      <c r="AB138">
        <v>-65.538666666699996</v>
      </c>
      <c r="AD138" t="s">
        <v>73</v>
      </c>
      <c r="AE138" t="s">
        <v>74</v>
      </c>
      <c r="AO138" t="s">
        <v>88</v>
      </c>
      <c r="AP138" s="20" t="str">
        <f t="shared" si="18"/>
        <v>15</v>
      </c>
      <c r="AU138" t="s">
        <v>82</v>
      </c>
      <c r="AV138" s="20" t="str">
        <f t="shared" si="19"/>
        <v>17</v>
      </c>
      <c r="BD138" t="s">
        <v>152</v>
      </c>
      <c r="BH138" t="s">
        <v>78</v>
      </c>
      <c r="BL138" t="s">
        <v>147</v>
      </c>
      <c r="BM138" s="20" t="str">
        <f t="shared" si="15"/>
        <v>84</v>
      </c>
      <c r="BN138" t="s">
        <v>89</v>
      </c>
      <c r="BO138" s="20" t="str">
        <f t="shared" si="16"/>
        <v>165</v>
      </c>
      <c r="BQ138" t="s">
        <v>199</v>
      </c>
      <c r="BR138" s="20" t="str">
        <f t="shared" si="20"/>
        <v>13</v>
      </c>
      <c r="BS138" s="21">
        <f t="shared" si="17"/>
        <v>81</v>
      </c>
      <c r="BT138" s="13"/>
    </row>
    <row r="139" spans="1:72" x14ac:dyDescent="0.2">
      <c r="A139" t="s">
        <v>63</v>
      </c>
      <c r="B139" t="s">
        <v>2378</v>
      </c>
      <c r="C139" t="s">
        <v>1408</v>
      </c>
      <c r="D139" t="s">
        <v>64</v>
      </c>
      <c r="E139" t="s">
        <v>65</v>
      </c>
      <c r="F139" t="s">
        <v>64</v>
      </c>
      <c r="G139" t="s">
        <v>211</v>
      </c>
      <c r="H139" t="s">
        <v>212</v>
      </c>
      <c r="I139" t="s">
        <v>701</v>
      </c>
      <c r="J139" t="s">
        <v>702</v>
      </c>
      <c r="L139">
        <v>1377</v>
      </c>
      <c r="M139">
        <v>1377</v>
      </c>
      <c r="N139">
        <v>4519</v>
      </c>
      <c r="O139">
        <v>4519</v>
      </c>
      <c r="P139" t="s">
        <v>1404</v>
      </c>
      <c r="R139" t="s">
        <v>1405</v>
      </c>
      <c r="T139" t="s">
        <v>1406</v>
      </c>
      <c r="U139" s="2">
        <v>41246</v>
      </c>
      <c r="V139">
        <v>3</v>
      </c>
      <c r="W139">
        <v>12</v>
      </c>
      <c r="X139">
        <v>2012</v>
      </c>
      <c r="Y139" t="s">
        <v>1407</v>
      </c>
      <c r="Z139" t="s">
        <v>72</v>
      </c>
      <c r="AA139">
        <v>7.4099999999999999E-2</v>
      </c>
      <c r="AB139">
        <v>-78.668116666700001</v>
      </c>
      <c r="AD139" t="s">
        <v>96</v>
      </c>
      <c r="AE139" t="s">
        <v>74</v>
      </c>
      <c r="AI139" t="s">
        <v>75</v>
      </c>
      <c r="AO139" t="s">
        <v>87</v>
      </c>
      <c r="AP139" s="20" t="str">
        <f t="shared" si="18"/>
        <v>14</v>
      </c>
      <c r="AU139" t="s">
        <v>130</v>
      </c>
      <c r="AV139" s="20" t="str">
        <f t="shared" si="19"/>
        <v>19</v>
      </c>
      <c r="BD139" t="s">
        <v>152</v>
      </c>
      <c r="BH139" t="s">
        <v>78</v>
      </c>
      <c r="BL139" t="s">
        <v>194</v>
      </c>
      <c r="BM139" s="20" t="str">
        <f t="shared" si="15"/>
        <v>79</v>
      </c>
      <c r="BN139" t="s">
        <v>181</v>
      </c>
      <c r="BO139" s="20" t="str">
        <f t="shared" si="16"/>
        <v>160</v>
      </c>
      <c r="BQ139" t="s">
        <v>408</v>
      </c>
      <c r="BR139" s="20" t="str">
        <f t="shared" si="20"/>
        <v>12</v>
      </c>
      <c r="BS139" s="21">
        <f t="shared" si="17"/>
        <v>81</v>
      </c>
    </row>
    <row r="140" spans="1:72" x14ac:dyDescent="0.2">
      <c r="A140" s="4" t="s">
        <v>63</v>
      </c>
      <c r="B140" s="4" t="s">
        <v>2175</v>
      </c>
      <c r="C140" s="4" t="s">
        <v>1704</v>
      </c>
      <c r="D140" s="4" t="s">
        <v>64</v>
      </c>
      <c r="E140" s="4" t="s">
        <v>65</v>
      </c>
      <c r="F140" s="4" t="s">
        <v>64</v>
      </c>
      <c r="G140" s="4" t="s">
        <v>134</v>
      </c>
      <c r="H140" s="4" t="s">
        <v>67</v>
      </c>
      <c r="I140" s="4" t="s">
        <v>68</v>
      </c>
      <c r="J140" s="4" t="s">
        <v>1618</v>
      </c>
      <c r="K140" s="4" t="s">
        <v>1619</v>
      </c>
      <c r="L140" s="4">
        <v>177</v>
      </c>
      <c r="M140" s="4">
        <v>177</v>
      </c>
      <c r="N140" s="4">
        <v>177</v>
      </c>
      <c r="O140" s="4">
        <v>177</v>
      </c>
      <c r="P140" s="4" t="s">
        <v>1705</v>
      </c>
      <c r="Q140" s="4"/>
      <c r="R140" s="4" t="s">
        <v>1706</v>
      </c>
      <c r="S140" s="4"/>
      <c r="T140" s="4" t="s">
        <v>1702</v>
      </c>
      <c r="U140" s="5">
        <v>41107</v>
      </c>
      <c r="V140" s="4">
        <v>17</v>
      </c>
      <c r="W140" s="4">
        <v>7</v>
      </c>
      <c r="X140" s="4">
        <v>2012</v>
      </c>
      <c r="Y140" s="4" t="s">
        <v>1707</v>
      </c>
      <c r="Z140" s="4" t="s">
        <v>72</v>
      </c>
      <c r="AA140" s="4">
        <v>43.997970000000002</v>
      </c>
      <c r="AB140" s="4">
        <v>-72.104479999999995</v>
      </c>
      <c r="AC140" s="4">
        <v>100</v>
      </c>
      <c r="AD140" s="4" t="s">
        <v>73</v>
      </c>
      <c r="AE140" s="4" t="s">
        <v>74</v>
      </c>
      <c r="AF140" s="4"/>
      <c r="AG140" s="4"/>
      <c r="AH140" s="4"/>
      <c r="AI140" s="4"/>
      <c r="AJ140" s="4"/>
      <c r="AK140" s="4"/>
      <c r="AL140" s="4"/>
      <c r="AM140" s="4"/>
      <c r="AN140" s="4"/>
      <c r="AO140" s="4" t="s">
        <v>76</v>
      </c>
      <c r="AP140" s="20" t="str">
        <f t="shared" si="18"/>
        <v>13</v>
      </c>
      <c r="AQ140" s="4"/>
      <c r="AR140" s="4"/>
      <c r="AS140" s="4"/>
      <c r="AT140" s="4"/>
      <c r="AU140" s="4" t="s">
        <v>82</v>
      </c>
      <c r="AV140" s="20" t="str">
        <f t="shared" si="19"/>
        <v>17</v>
      </c>
      <c r="AW140" s="4"/>
      <c r="AX140" s="4"/>
      <c r="AY140" s="4"/>
      <c r="AZ140" s="4"/>
      <c r="BA140" s="4"/>
      <c r="BB140" s="4"/>
      <c r="BC140" s="4"/>
      <c r="BD140" s="4" t="s">
        <v>152</v>
      </c>
      <c r="BF140" s="4"/>
      <c r="BG140" s="4"/>
      <c r="BH140" s="4" t="s">
        <v>78</v>
      </c>
      <c r="BI140" s="4"/>
      <c r="BJ140" s="4"/>
      <c r="BK140" s="4"/>
      <c r="BL140" s="4" t="s">
        <v>712</v>
      </c>
      <c r="BM140" s="20" t="str">
        <f t="shared" si="15"/>
        <v>71</v>
      </c>
      <c r="BN140" s="4" t="s">
        <v>326</v>
      </c>
      <c r="BO140" s="20" t="str">
        <f t="shared" si="16"/>
        <v>152</v>
      </c>
      <c r="BP140" s="4"/>
      <c r="BQ140" s="4" t="s">
        <v>1708</v>
      </c>
      <c r="BR140" s="20" t="str">
        <f t="shared" si="20"/>
        <v>13.38</v>
      </c>
      <c r="BS140" s="21">
        <f t="shared" si="17"/>
        <v>81</v>
      </c>
    </row>
    <row r="141" spans="1:72" x14ac:dyDescent="0.2">
      <c r="A141" s="13" t="s">
        <v>63</v>
      </c>
      <c r="B141" s="13"/>
      <c r="C141" s="13" t="s">
        <v>1316</v>
      </c>
      <c r="D141" s="13" t="s">
        <v>64</v>
      </c>
      <c r="E141" s="13" t="s">
        <v>65</v>
      </c>
      <c r="F141" s="13" t="s">
        <v>64</v>
      </c>
      <c r="G141" s="13" t="s">
        <v>211</v>
      </c>
      <c r="H141" s="13" t="s">
        <v>212</v>
      </c>
      <c r="I141" s="13" t="s">
        <v>701</v>
      </c>
      <c r="J141" s="13" t="s">
        <v>702</v>
      </c>
      <c r="K141" s="13"/>
      <c r="L141" s="13">
        <v>2381</v>
      </c>
      <c r="M141" s="13">
        <v>2381</v>
      </c>
      <c r="N141" s="13">
        <v>7812</v>
      </c>
      <c r="O141" s="13">
        <v>7812</v>
      </c>
      <c r="P141" s="13" t="s">
        <v>1317</v>
      </c>
      <c r="Q141" s="13"/>
      <c r="R141" s="13" t="s">
        <v>1318</v>
      </c>
      <c r="S141" s="13" t="s">
        <v>1319</v>
      </c>
      <c r="T141" s="13" t="s">
        <v>1320</v>
      </c>
      <c r="U141" s="14">
        <v>41233</v>
      </c>
      <c r="V141" s="13">
        <v>20</v>
      </c>
      <c r="W141" s="13">
        <v>11</v>
      </c>
      <c r="X141" s="13">
        <v>2012</v>
      </c>
      <c r="Y141" s="13">
        <f>-0.2115833333/-78.3870166667</f>
        <v>2.6992140063149491E-3</v>
      </c>
      <c r="Z141" s="13" t="s">
        <v>72</v>
      </c>
      <c r="AA141" s="13">
        <v>-0.21158333330000001</v>
      </c>
      <c r="AB141" s="13">
        <v>-78.387016666700006</v>
      </c>
      <c r="AC141" s="13"/>
      <c r="AD141" s="13" t="s">
        <v>96</v>
      </c>
      <c r="AE141" s="13" t="s">
        <v>74</v>
      </c>
      <c r="AF141" s="13"/>
      <c r="AG141" s="13"/>
      <c r="AH141" s="13"/>
      <c r="AI141" s="13" t="s">
        <v>75</v>
      </c>
      <c r="AJ141" s="13"/>
      <c r="AK141" s="13"/>
      <c r="AL141" s="13"/>
      <c r="AM141" s="13"/>
      <c r="AN141" s="13"/>
      <c r="AO141" s="13" t="s">
        <v>88</v>
      </c>
      <c r="AP141" s="20" t="str">
        <f t="shared" si="18"/>
        <v>15</v>
      </c>
      <c r="AQ141" s="13"/>
      <c r="AR141" s="13"/>
      <c r="AS141" s="13"/>
      <c r="AT141" s="13"/>
      <c r="AU141" s="13" t="s">
        <v>121</v>
      </c>
      <c r="AV141" s="20" t="str">
        <f t="shared" si="19"/>
        <v>18</v>
      </c>
      <c r="AW141" s="13"/>
      <c r="AX141" s="13"/>
      <c r="AY141" s="13"/>
      <c r="AZ141" s="13"/>
      <c r="BA141" s="13"/>
      <c r="BB141" s="13"/>
      <c r="BC141" s="13"/>
      <c r="BD141" s="13" t="s">
        <v>1321</v>
      </c>
      <c r="BE141" s="20" t="s">
        <v>241</v>
      </c>
      <c r="BF141" s="13"/>
      <c r="BG141" s="13"/>
      <c r="BH141" s="13" t="s">
        <v>78</v>
      </c>
      <c r="BI141" s="13"/>
      <c r="BJ141" s="13"/>
      <c r="BK141" s="13"/>
      <c r="BL141" s="13" t="s">
        <v>375</v>
      </c>
      <c r="BM141" s="20" t="str">
        <f t="shared" si="15"/>
        <v>73</v>
      </c>
      <c r="BN141" s="13" t="s">
        <v>254</v>
      </c>
      <c r="BO141" s="20" t="str">
        <f t="shared" si="16"/>
        <v>154</v>
      </c>
      <c r="BP141" s="13"/>
      <c r="BQ141" s="13" t="s">
        <v>199</v>
      </c>
      <c r="BR141" s="20" t="str">
        <f t="shared" si="20"/>
        <v>13</v>
      </c>
      <c r="BS141" s="21">
        <f t="shared" si="17"/>
        <v>81</v>
      </c>
    </row>
    <row r="142" spans="1:72" x14ac:dyDescent="0.2">
      <c r="A142" s="4" t="s">
        <v>63</v>
      </c>
      <c r="B142" s="4" t="s">
        <v>2161</v>
      </c>
      <c r="C142" s="4" t="s">
        <v>1716</v>
      </c>
      <c r="D142" s="4" t="s">
        <v>64</v>
      </c>
      <c r="E142" s="4" t="s">
        <v>65</v>
      </c>
      <c r="F142" s="4" t="s">
        <v>64</v>
      </c>
      <c r="G142" s="4" t="s">
        <v>134</v>
      </c>
      <c r="H142" s="4" t="s">
        <v>67</v>
      </c>
      <c r="I142" s="4" t="s">
        <v>68</v>
      </c>
      <c r="J142" s="4" t="s">
        <v>1651</v>
      </c>
      <c r="K142" s="4" t="s">
        <v>1717</v>
      </c>
      <c r="L142" s="4">
        <v>322</v>
      </c>
      <c r="M142" s="4">
        <v>322</v>
      </c>
      <c r="N142" s="4">
        <v>322</v>
      </c>
      <c r="O142" s="4">
        <v>322</v>
      </c>
      <c r="P142" s="4" t="s">
        <v>1718</v>
      </c>
      <c r="Q142" s="4"/>
      <c r="R142" s="4" t="s">
        <v>1671</v>
      </c>
      <c r="S142" s="4"/>
      <c r="T142" s="4" t="s">
        <v>1719</v>
      </c>
      <c r="U142" s="5">
        <v>41123</v>
      </c>
      <c r="V142" s="4">
        <v>2</v>
      </c>
      <c r="W142" s="4">
        <v>8</v>
      </c>
      <c r="X142" s="4">
        <v>2012</v>
      </c>
      <c r="Y142" s="4" t="s">
        <v>1720</v>
      </c>
      <c r="Z142" s="4" t="s">
        <v>72</v>
      </c>
      <c r="AA142" s="4">
        <v>40.53107</v>
      </c>
      <c r="AB142" s="4">
        <v>-75.347380000000001</v>
      </c>
      <c r="AC142" s="4"/>
      <c r="AD142" s="4" t="s">
        <v>73</v>
      </c>
      <c r="AE142" s="4" t="s">
        <v>74</v>
      </c>
      <c r="AF142" s="4"/>
      <c r="AG142" s="4"/>
      <c r="AH142" s="4"/>
      <c r="AI142" s="4"/>
      <c r="AJ142" s="4"/>
      <c r="AK142" s="4"/>
      <c r="AL142" s="4"/>
      <c r="AM142" s="4"/>
      <c r="AN142" s="4"/>
      <c r="AO142" s="4" t="s">
        <v>87</v>
      </c>
      <c r="AP142" s="20" t="str">
        <f t="shared" si="18"/>
        <v>14</v>
      </c>
      <c r="AQ142" s="4"/>
      <c r="AR142" s="4"/>
      <c r="AS142" s="4"/>
      <c r="AT142" s="4"/>
      <c r="AU142" s="4" t="s">
        <v>130</v>
      </c>
      <c r="AV142" s="20" t="str">
        <f t="shared" si="19"/>
        <v>19</v>
      </c>
      <c r="AW142" s="4"/>
      <c r="AX142" s="4"/>
      <c r="AY142" s="4"/>
      <c r="AZ142" s="4"/>
      <c r="BA142" s="4"/>
      <c r="BB142" s="4"/>
      <c r="BC142" s="4"/>
      <c r="BD142" s="4" t="s">
        <v>1721</v>
      </c>
      <c r="BF142" s="4"/>
      <c r="BG142" s="4"/>
      <c r="BH142" s="4" t="s">
        <v>83</v>
      </c>
      <c r="BI142" s="4"/>
      <c r="BJ142" s="4"/>
      <c r="BK142" s="4"/>
      <c r="BL142" s="4" t="s">
        <v>153</v>
      </c>
      <c r="BM142" s="20" t="str">
        <f t="shared" si="15"/>
        <v>81</v>
      </c>
      <c r="BN142" s="4" t="s">
        <v>407</v>
      </c>
      <c r="BO142" s="20" t="str">
        <f t="shared" si="16"/>
        <v>162</v>
      </c>
      <c r="BP142" s="4"/>
      <c r="BQ142" s="4" t="s">
        <v>340</v>
      </c>
      <c r="BR142" s="20" t="str">
        <f t="shared" si="20"/>
        <v>15</v>
      </c>
      <c r="BS142" s="21">
        <f t="shared" si="17"/>
        <v>81</v>
      </c>
    </row>
    <row r="143" spans="1:72" x14ac:dyDescent="0.2">
      <c r="A143" s="4" t="s">
        <v>63</v>
      </c>
      <c r="B143" s="4" t="s">
        <v>2134</v>
      </c>
      <c r="C143" s="4" t="s">
        <v>1684</v>
      </c>
      <c r="D143" s="4" t="s">
        <v>64</v>
      </c>
      <c r="E143" s="4" t="s">
        <v>65</v>
      </c>
      <c r="F143" s="4" t="s">
        <v>64</v>
      </c>
      <c r="G143" s="4" t="s">
        <v>134</v>
      </c>
      <c r="H143" s="4" t="s">
        <v>67</v>
      </c>
      <c r="I143" s="4" t="s">
        <v>68</v>
      </c>
      <c r="J143" s="4" t="s">
        <v>1590</v>
      </c>
      <c r="K143" s="4" t="s">
        <v>1591</v>
      </c>
      <c r="L143" s="4">
        <v>224</v>
      </c>
      <c r="M143" s="4">
        <v>224</v>
      </c>
      <c r="N143" s="4">
        <v>224</v>
      </c>
      <c r="O143" s="4">
        <v>224</v>
      </c>
      <c r="P143" s="4" t="s">
        <v>1680</v>
      </c>
      <c r="Q143" s="4"/>
      <c r="R143" s="4" t="s">
        <v>1681</v>
      </c>
      <c r="S143" s="4"/>
      <c r="T143" s="4" t="s">
        <v>1682</v>
      </c>
      <c r="U143" s="5">
        <v>41072</v>
      </c>
      <c r="V143" s="4">
        <v>12</v>
      </c>
      <c r="W143" s="4">
        <v>6</v>
      </c>
      <c r="X143" s="4">
        <v>2012</v>
      </c>
      <c r="Y143" s="4" t="s">
        <v>1683</v>
      </c>
      <c r="Z143" s="4" t="s">
        <v>72</v>
      </c>
      <c r="AA143" s="4">
        <v>33.870249999999999</v>
      </c>
      <c r="AB143" s="4">
        <v>-83.288929999999993</v>
      </c>
      <c r="AC143" s="4"/>
      <c r="AD143" s="4" t="s">
        <v>73</v>
      </c>
      <c r="AE143" s="4" t="s">
        <v>74</v>
      </c>
      <c r="AF143" s="4"/>
      <c r="AG143" s="4"/>
      <c r="AH143" s="4"/>
      <c r="AI143" s="4"/>
      <c r="AJ143" s="4"/>
      <c r="AK143" s="4"/>
      <c r="AL143" s="4"/>
      <c r="AM143" s="4"/>
      <c r="AN143" s="4"/>
      <c r="AO143" s="4" t="s">
        <v>87</v>
      </c>
      <c r="AP143" s="20" t="str">
        <f t="shared" si="18"/>
        <v>14</v>
      </c>
      <c r="AQ143" s="4"/>
      <c r="AR143" s="4"/>
      <c r="AS143" s="4"/>
      <c r="AT143" s="4"/>
      <c r="AU143" s="4" t="s">
        <v>82</v>
      </c>
      <c r="AV143" s="20" t="str">
        <f t="shared" si="19"/>
        <v>17</v>
      </c>
      <c r="AW143" s="4"/>
      <c r="AX143" s="4"/>
      <c r="AY143" s="4"/>
      <c r="AZ143" s="4"/>
      <c r="BA143" s="4"/>
      <c r="BB143" s="4"/>
      <c r="BC143" s="4"/>
      <c r="BD143" s="4" t="s">
        <v>1685</v>
      </c>
      <c r="BF143" s="4"/>
      <c r="BG143" s="4"/>
      <c r="BH143" s="4" t="s">
        <v>83</v>
      </c>
      <c r="BI143" s="4"/>
      <c r="BJ143" s="4"/>
      <c r="BK143" s="4"/>
      <c r="BL143" s="4" t="s">
        <v>375</v>
      </c>
      <c r="BM143" s="20" t="str">
        <f t="shared" si="15"/>
        <v>73</v>
      </c>
      <c r="BN143" s="4" t="s">
        <v>254</v>
      </c>
      <c r="BO143" s="20" t="str">
        <f t="shared" si="16"/>
        <v>154</v>
      </c>
      <c r="BP143" s="4"/>
      <c r="BQ143" s="4" t="s">
        <v>1551</v>
      </c>
      <c r="BR143" s="20" t="str">
        <f t="shared" si="20"/>
        <v>15.75</v>
      </c>
      <c r="BS143" s="21">
        <f t="shared" si="17"/>
        <v>81</v>
      </c>
    </row>
    <row r="144" spans="1:72" x14ac:dyDescent="0.2">
      <c r="A144" t="s">
        <v>63</v>
      </c>
      <c r="C144" t="s">
        <v>2084</v>
      </c>
      <c r="D144" t="s">
        <v>64</v>
      </c>
      <c r="E144" t="s">
        <v>65</v>
      </c>
      <c r="F144" t="s">
        <v>64</v>
      </c>
      <c r="G144" t="s">
        <v>1886</v>
      </c>
      <c r="H144" t="s">
        <v>212</v>
      </c>
      <c r="I144" t="s">
        <v>1887</v>
      </c>
      <c r="J144" t="s">
        <v>1888</v>
      </c>
      <c r="L144">
        <v>3141</v>
      </c>
      <c r="M144">
        <v>3141</v>
      </c>
      <c r="N144">
        <v>3141</v>
      </c>
      <c r="O144">
        <v>3141</v>
      </c>
      <c r="P144" t="s">
        <v>2085</v>
      </c>
      <c r="R144" t="s">
        <v>2086</v>
      </c>
      <c r="T144" t="s">
        <v>2087</v>
      </c>
      <c r="U144" s="1">
        <v>41862</v>
      </c>
      <c r="V144">
        <v>11</v>
      </c>
      <c r="W144">
        <v>8</v>
      </c>
      <c r="X144">
        <v>2014</v>
      </c>
      <c r="Y144">
        <f>-16.6099/-68.0634333333</f>
        <v>0.24403558837038</v>
      </c>
      <c r="Z144" t="s">
        <v>72</v>
      </c>
      <c r="AA144">
        <v>-16.6099</v>
      </c>
      <c r="AB144">
        <v>-68.063433333299997</v>
      </c>
      <c r="AC144">
        <v>100</v>
      </c>
      <c r="AD144" t="s">
        <v>73</v>
      </c>
      <c r="AE144" t="s">
        <v>74</v>
      </c>
      <c r="AI144" t="s">
        <v>203</v>
      </c>
      <c r="AO144" t="s">
        <v>186</v>
      </c>
      <c r="AP144" s="20" t="str">
        <f t="shared" si="18"/>
        <v>14.5</v>
      </c>
      <c r="AU144" t="s">
        <v>141</v>
      </c>
      <c r="AV144" s="20" t="str">
        <f t="shared" si="19"/>
        <v>18.5</v>
      </c>
      <c r="BD144" t="s">
        <v>258</v>
      </c>
      <c r="BH144" t="s">
        <v>73</v>
      </c>
      <c r="BL144" t="s">
        <v>197</v>
      </c>
      <c r="BM144" s="20" t="str">
        <f t="shared" si="15"/>
        <v>74</v>
      </c>
      <c r="BN144" t="s">
        <v>699</v>
      </c>
      <c r="BO144" s="20" t="str">
        <f t="shared" si="16"/>
        <v>155</v>
      </c>
      <c r="BQ144" t="s">
        <v>255</v>
      </c>
      <c r="BR144" s="20" t="str">
        <f t="shared" si="20"/>
        <v>11.5</v>
      </c>
      <c r="BS144" s="21">
        <f t="shared" si="17"/>
        <v>81</v>
      </c>
      <c r="BT144" s="10"/>
    </row>
    <row r="145" spans="1:72" x14ac:dyDescent="0.2">
      <c r="A145" s="4" t="s">
        <v>63</v>
      </c>
      <c r="B145" s="4" t="s">
        <v>2157</v>
      </c>
      <c r="C145" s="4" t="s">
        <v>1650</v>
      </c>
      <c r="D145" s="4" t="s">
        <v>64</v>
      </c>
      <c r="E145" s="4" t="s">
        <v>65</v>
      </c>
      <c r="F145" s="4" t="s">
        <v>64</v>
      </c>
      <c r="G145" s="4" t="s">
        <v>134</v>
      </c>
      <c r="H145" s="4" t="s">
        <v>67</v>
      </c>
      <c r="I145" s="4" t="s">
        <v>68</v>
      </c>
      <c r="J145" s="4" t="s">
        <v>1651</v>
      </c>
      <c r="K145" s="4" t="s">
        <v>1652</v>
      </c>
      <c r="L145" s="4"/>
      <c r="M145" s="4"/>
      <c r="N145" s="4"/>
      <c r="O145" s="4"/>
      <c r="P145" s="4"/>
      <c r="Q145" s="4"/>
      <c r="R145" s="4" t="s">
        <v>1653</v>
      </c>
      <c r="S145" s="4"/>
      <c r="T145" s="4" t="s">
        <v>1654</v>
      </c>
      <c r="U145" s="5">
        <v>41124</v>
      </c>
      <c r="V145" s="4">
        <v>3</v>
      </c>
      <c r="W145" s="4">
        <v>8</v>
      </c>
      <c r="X145" s="4">
        <v>2012</v>
      </c>
      <c r="Y145" s="4" t="s">
        <v>1655</v>
      </c>
      <c r="Z145" s="4" t="s">
        <v>72</v>
      </c>
      <c r="AA145" s="4">
        <v>40.500421000000003</v>
      </c>
      <c r="AB145" s="4">
        <v>-76.103425000000001</v>
      </c>
      <c r="AC145" s="4"/>
      <c r="AD145" s="4" t="s">
        <v>73</v>
      </c>
      <c r="AE145" s="4" t="s">
        <v>74</v>
      </c>
      <c r="AF145" s="4"/>
      <c r="AG145" s="4"/>
      <c r="AH145" s="4"/>
      <c r="AI145" s="4"/>
      <c r="AJ145" s="4"/>
      <c r="AK145" s="4"/>
      <c r="AL145" s="4"/>
      <c r="AM145" s="4"/>
      <c r="AN145" s="4"/>
      <c r="AO145" s="4" t="s">
        <v>87</v>
      </c>
      <c r="AP145" s="20" t="str">
        <f t="shared" si="18"/>
        <v>14</v>
      </c>
      <c r="AQ145" s="4"/>
      <c r="AR145" s="4"/>
      <c r="AS145" s="4"/>
      <c r="AT145" s="4"/>
      <c r="AU145" s="4" t="s">
        <v>130</v>
      </c>
      <c r="AV145" s="20" t="str">
        <f t="shared" si="19"/>
        <v>19</v>
      </c>
      <c r="AW145" s="4"/>
      <c r="AX145" s="4"/>
      <c r="AY145" s="4"/>
      <c r="AZ145" s="4"/>
      <c r="BA145" s="4"/>
      <c r="BB145" s="4"/>
      <c r="BC145" s="4"/>
      <c r="BD145" s="4" t="s">
        <v>1656</v>
      </c>
      <c r="BE145" s="20" t="s">
        <v>241</v>
      </c>
      <c r="BF145" s="4"/>
      <c r="BG145" s="4"/>
      <c r="BH145" s="4" t="s">
        <v>78</v>
      </c>
      <c r="BI145" s="4"/>
      <c r="BJ145" s="4"/>
      <c r="BK145" s="4"/>
      <c r="BL145" s="4" t="s">
        <v>899</v>
      </c>
      <c r="BM145" s="20" t="str">
        <f t="shared" si="15"/>
        <v>82.5</v>
      </c>
      <c r="BN145" s="4" t="s">
        <v>99</v>
      </c>
      <c r="BO145" s="20" t="str">
        <f t="shared" si="16"/>
        <v>164</v>
      </c>
      <c r="BP145" s="4"/>
      <c r="BQ145" s="4" t="s">
        <v>171</v>
      </c>
      <c r="BR145" s="20" t="str">
        <f t="shared" si="20"/>
        <v>21.25</v>
      </c>
      <c r="BS145" s="21">
        <f t="shared" si="17"/>
        <v>81.5</v>
      </c>
    </row>
    <row r="146" spans="1:72" x14ac:dyDescent="0.2">
      <c r="A146" s="4" t="s">
        <v>63</v>
      </c>
      <c r="B146" s="4" t="s">
        <v>2167</v>
      </c>
      <c r="C146" s="4" t="s">
        <v>1868</v>
      </c>
      <c r="D146" s="4" t="s">
        <v>64</v>
      </c>
      <c r="E146" s="4" t="s">
        <v>65</v>
      </c>
      <c r="F146" s="4" t="s">
        <v>64</v>
      </c>
      <c r="G146" s="4" t="s">
        <v>134</v>
      </c>
      <c r="H146" s="4" t="s">
        <v>67</v>
      </c>
      <c r="I146" s="4" t="s">
        <v>68</v>
      </c>
      <c r="J146" s="4" t="s">
        <v>1858</v>
      </c>
      <c r="K146" s="4" t="s">
        <v>1859</v>
      </c>
      <c r="L146" s="4">
        <v>182</v>
      </c>
      <c r="M146" s="4">
        <v>182</v>
      </c>
      <c r="N146" s="4">
        <v>182</v>
      </c>
      <c r="O146" s="4">
        <v>182</v>
      </c>
      <c r="P146" s="4" t="s">
        <v>1723</v>
      </c>
      <c r="Q146" s="4"/>
      <c r="R146" s="4" t="s">
        <v>1861</v>
      </c>
      <c r="S146" s="4"/>
      <c r="T146" s="4" t="s">
        <v>1862</v>
      </c>
      <c r="U146" s="5">
        <v>41116</v>
      </c>
      <c r="V146" s="4">
        <v>26</v>
      </c>
      <c r="W146" s="4">
        <v>7</v>
      </c>
      <c r="X146" s="4">
        <v>2012</v>
      </c>
      <c r="Y146" s="4" t="s">
        <v>1869</v>
      </c>
      <c r="Z146" s="4" t="s">
        <v>72</v>
      </c>
      <c r="AA146" s="4">
        <v>43.927906999999998</v>
      </c>
      <c r="AB146" s="4">
        <v>-72.123009999999994</v>
      </c>
      <c r="AC146" s="4"/>
      <c r="AD146" s="4" t="s">
        <v>73</v>
      </c>
      <c r="AE146" s="4" t="s">
        <v>74</v>
      </c>
      <c r="AF146" s="4"/>
      <c r="AG146" s="4"/>
      <c r="AH146" s="4"/>
      <c r="AI146" s="4"/>
      <c r="AJ146" s="4"/>
      <c r="AK146" s="4"/>
      <c r="AL146" s="4"/>
      <c r="AM146" s="4"/>
      <c r="AN146" s="4"/>
      <c r="AO146" s="4" t="s">
        <v>76</v>
      </c>
      <c r="AP146" s="20" t="str">
        <f t="shared" si="18"/>
        <v>13</v>
      </c>
      <c r="AQ146" s="4"/>
      <c r="AR146" s="4"/>
      <c r="AS146" s="4"/>
      <c r="AT146" s="4"/>
      <c r="AU146" s="4" t="s">
        <v>130</v>
      </c>
      <c r="AV146" s="20" t="str">
        <f t="shared" si="19"/>
        <v>19</v>
      </c>
      <c r="AW146" s="4"/>
      <c r="AX146" s="4"/>
      <c r="AY146" s="4"/>
      <c r="AZ146" s="4"/>
      <c r="BA146" s="4"/>
      <c r="BB146" s="4"/>
      <c r="BC146" s="4"/>
      <c r="BD146" s="4" t="s">
        <v>1870</v>
      </c>
      <c r="BF146" s="4"/>
      <c r="BG146" s="4"/>
      <c r="BH146" s="4" t="s">
        <v>83</v>
      </c>
      <c r="BI146" s="4"/>
      <c r="BJ146" s="4"/>
      <c r="BK146" s="4"/>
      <c r="BL146" s="4" t="s">
        <v>208</v>
      </c>
      <c r="BM146" s="20" t="str">
        <f t="shared" si="15"/>
        <v>80</v>
      </c>
      <c r="BN146" s="4" t="s">
        <v>1871</v>
      </c>
      <c r="BO146" s="20" t="str">
        <f t="shared" si="16"/>
        <v>161.5</v>
      </c>
      <c r="BP146" s="4"/>
      <c r="BQ146" s="4" t="s">
        <v>138</v>
      </c>
      <c r="BR146" s="20" t="str">
        <f t="shared" si="20"/>
        <v>15.5</v>
      </c>
      <c r="BS146" s="21">
        <f t="shared" si="17"/>
        <v>81.5</v>
      </c>
    </row>
    <row r="147" spans="1:72" x14ac:dyDescent="0.2">
      <c r="A147" s="13" t="s">
        <v>63</v>
      </c>
      <c r="B147" s="13"/>
      <c r="C147" s="13" t="s">
        <v>757</v>
      </c>
      <c r="D147" s="13" t="s">
        <v>64</v>
      </c>
      <c r="E147" s="13" t="s">
        <v>65</v>
      </c>
      <c r="F147" s="13" t="s">
        <v>64</v>
      </c>
      <c r="G147" s="13" t="s">
        <v>211</v>
      </c>
      <c r="H147" s="13" t="s">
        <v>212</v>
      </c>
      <c r="I147" s="13" t="s">
        <v>701</v>
      </c>
      <c r="J147" s="13" t="s">
        <v>734</v>
      </c>
      <c r="K147" s="13"/>
      <c r="L147" s="13">
        <v>2973</v>
      </c>
      <c r="M147" s="13">
        <v>2973</v>
      </c>
      <c r="N147" s="13">
        <v>9755</v>
      </c>
      <c r="O147" s="13">
        <v>9755</v>
      </c>
      <c r="P147" s="13" t="s">
        <v>745</v>
      </c>
      <c r="Q147" s="13"/>
      <c r="R147" s="13" t="s">
        <v>746</v>
      </c>
      <c r="S147" s="13"/>
      <c r="T147" s="13" t="s">
        <v>747</v>
      </c>
      <c r="U147" s="14">
        <v>41228</v>
      </c>
      <c r="V147" s="13">
        <v>15</v>
      </c>
      <c r="W147" s="13">
        <v>11</v>
      </c>
      <c r="X147" s="13">
        <v>2012</v>
      </c>
      <c r="Y147" s="13">
        <f>-0.87355/-78.6070833333</f>
        <v>1.111286620693051E-2</v>
      </c>
      <c r="Z147" s="13" t="s">
        <v>72</v>
      </c>
      <c r="AA147" s="13">
        <v>-0.87355000000000005</v>
      </c>
      <c r="AB147" s="13">
        <v>-78.607083333299997</v>
      </c>
      <c r="AC147" s="13"/>
      <c r="AD147" s="13" t="s">
        <v>96</v>
      </c>
      <c r="AE147" s="13" t="s">
        <v>74</v>
      </c>
      <c r="AF147" s="13"/>
      <c r="AG147" s="13"/>
      <c r="AH147" s="13"/>
      <c r="AI147" s="13" t="s">
        <v>75</v>
      </c>
      <c r="AJ147" s="13"/>
      <c r="AK147" s="13"/>
      <c r="AL147" s="13"/>
      <c r="AM147" s="13"/>
      <c r="AN147" s="13"/>
      <c r="AO147" s="13" t="s">
        <v>130</v>
      </c>
      <c r="AP147" s="20" t="str">
        <f t="shared" si="18"/>
        <v>19</v>
      </c>
      <c r="AQ147" s="13"/>
      <c r="AR147" s="13"/>
      <c r="AS147" s="13"/>
      <c r="AT147" s="13"/>
      <c r="AU147" s="13" t="s">
        <v>121</v>
      </c>
      <c r="AV147" s="20" t="str">
        <f t="shared" si="19"/>
        <v>18</v>
      </c>
      <c r="AW147" s="13"/>
      <c r="AX147" s="13"/>
      <c r="AY147" s="13"/>
      <c r="AZ147" s="13"/>
      <c r="BA147" s="13"/>
      <c r="BB147" s="13"/>
      <c r="BC147" s="13"/>
      <c r="BD147" s="13" t="s">
        <v>258</v>
      </c>
      <c r="BF147" s="13"/>
      <c r="BG147" s="13"/>
      <c r="BH147" s="13" t="s">
        <v>78</v>
      </c>
      <c r="BI147" s="13"/>
      <c r="BJ147" s="13"/>
      <c r="BK147" s="13"/>
      <c r="BL147" s="13" t="s">
        <v>197</v>
      </c>
      <c r="BM147" s="20" t="str">
        <f t="shared" si="15"/>
        <v>74</v>
      </c>
      <c r="BN147" s="13" t="s">
        <v>695</v>
      </c>
      <c r="BO147" s="20" t="str">
        <f t="shared" si="16"/>
        <v>156</v>
      </c>
      <c r="BP147" s="13"/>
      <c r="BQ147" s="13" t="s">
        <v>255</v>
      </c>
      <c r="BR147" s="20" t="str">
        <f t="shared" si="20"/>
        <v>11.5</v>
      </c>
      <c r="BS147" s="21">
        <f t="shared" si="17"/>
        <v>82</v>
      </c>
      <c r="BT147" s="13"/>
    </row>
    <row r="148" spans="1:72" x14ac:dyDescent="0.2">
      <c r="A148" t="s">
        <v>63</v>
      </c>
      <c r="C148" t="s">
        <v>1542</v>
      </c>
      <c r="D148" t="s">
        <v>64</v>
      </c>
      <c r="E148" t="s">
        <v>65</v>
      </c>
      <c r="F148" t="s">
        <v>64</v>
      </c>
      <c r="G148" t="s">
        <v>211</v>
      </c>
      <c r="H148" t="s">
        <v>212</v>
      </c>
      <c r="I148" t="s">
        <v>701</v>
      </c>
      <c r="J148" t="s">
        <v>702</v>
      </c>
      <c r="L148">
        <v>2557</v>
      </c>
      <c r="M148">
        <v>2557</v>
      </c>
      <c r="N148">
        <v>8389</v>
      </c>
      <c r="O148">
        <v>8389</v>
      </c>
      <c r="P148" t="s">
        <v>1538</v>
      </c>
      <c r="R148" t="s">
        <v>1539</v>
      </c>
      <c r="T148" t="s">
        <v>1540</v>
      </c>
      <c r="U148" s="2">
        <v>41235</v>
      </c>
      <c r="V148">
        <v>22</v>
      </c>
      <c r="W148">
        <v>11</v>
      </c>
      <c r="X148">
        <v>2012</v>
      </c>
      <c r="Y148">
        <f>-0.17635/-78.32885</f>
        <v>2.2514054527801699E-3</v>
      </c>
      <c r="Z148" t="s">
        <v>72</v>
      </c>
      <c r="AA148">
        <v>-0.17635000000000001</v>
      </c>
      <c r="AB148">
        <v>-78.328850000000003</v>
      </c>
      <c r="AD148" t="s">
        <v>96</v>
      </c>
      <c r="AE148" t="s">
        <v>74</v>
      </c>
      <c r="AI148" t="s">
        <v>75</v>
      </c>
      <c r="AO148" t="s">
        <v>88</v>
      </c>
      <c r="AP148" s="20" t="str">
        <f t="shared" si="18"/>
        <v>15</v>
      </c>
      <c r="AU148" t="s">
        <v>121</v>
      </c>
      <c r="AV148" s="20" t="str">
        <f t="shared" si="19"/>
        <v>18</v>
      </c>
      <c r="BD148" t="s">
        <v>258</v>
      </c>
      <c r="BH148" t="s">
        <v>78</v>
      </c>
      <c r="BL148" t="s">
        <v>197</v>
      </c>
      <c r="BM148" s="20" t="str">
        <f t="shared" si="15"/>
        <v>74</v>
      </c>
      <c r="BN148" t="s">
        <v>695</v>
      </c>
      <c r="BO148" s="20" t="str">
        <f t="shared" si="16"/>
        <v>156</v>
      </c>
      <c r="BQ148" t="s">
        <v>390</v>
      </c>
      <c r="BR148" s="20" t="str">
        <f t="shared" si="20"/>
        <v>14.5</v>
      </c>
      <c r="BS148" s="21">
        <f t="shared" si="17"/>
        <v>82</v>
      </c>
    </row>
    <row r="149" spans="1:72" x14ac:dyDescent="0.2">
      <c r="A149" t="s">
        <v>63</v>
      </c>
      <c r="C149" t="s">
        <v>1464</v>
      </c>
      <c r="D149" t="s">
        <v>64</v>
      </c>
      <c r="E149" t="s">
        <v>65</v>
      </c>
      <c r="F149" t="s">
        <v>64</v>
      </c>
      <c r="G149" t="s">
        <v>211</v>
      </c>
      <c r="H149" t="s">
        <v>212</v>
      </c>
      <c r="I149" t="s">
        <v>701</v>
      </c>
      <c r="J149" t="s">
        <v>702</v>
      </c>
      <c r="L149">
        <v>1737</v>
      </c>
      <c r="M149">
        <v>1737</v>
      </c>
      <c r="N149">
        <v>5698</v>
      </c>
      <c r="O149">
        <v>5698</v>
      </c>
      <c r="P149" t="s">
        <v>1460</v>
      </c>
      <c r="R149" t="s">
        <v>1461</v>
      </c>
      <c r="T149" t="s">
        <v>1462</v>
      </c>
      <c r="U149" s="2">
        <v>41250</v>
      </c>
      <c r="V149">
        <v>7</v>
      </c>
      <c r="W149">
        <v>12</v>
      </c>
      <c r="X149">
        <v>2012</v>
      </c>
      <c r="Y149" t="s">
        <v>1463</v>
      </c>
      <c r="Z149" t="s">
        <v>72</v>
      </c>
      <c r="AA149">
        <v>6.2083333300000001E-2</v>
      </c>
      <c r="AB149">
        <v>-78.690216666699996</v>
      </c>
      <c r="AD149" t="s">
        <v>96</v>
      </c>
      <c r="AE149" t="s">
        <v>74</v>
      </c>
      <c r="AI149" t="s">
        <v>75</v>
      </c>
      <c r="AO149" t="s">
        <v>87</v>
      </c>
      <c r="AP149" s="20" t="str">
        <f t="shared" si="18"/>
        <v>14</v>
      </c>
      <c r="AU149" t="s">
        <v>344</v>
      </c>
      <c r="AV149" s="20" t="str">
        <f t="shared" si="19"/>
        <v>16</v>
      </c>
      <c r="BD149" t="s">
        <v>258</v>
      </c>
      <c r="BH149" t="s">
        <v>78</v>
      </c>
      <c r="BL149" t="s">
        <v>351</v>
      </c>
      <c r="BM149" s="20" t="str">
        <f t="shared" si="15"/>
        <v>77</v>
      </c>
      <c r="BN149" t="s">
        <v>85</v>
      </c>
      <c r="BO149" s="20" t="str">
        <f t="shared" si="16"/>
        <v>159</v>
      </c>
      <c r="BQ149" t="s">
        <v>255</v>
      </c>
      <c r="BR149" s="20" t="str">
        <f t="shared" si="20"/>
        <v>11.5</v>
      </c>
      <c r="BS149" s="21">
        <f t="shared" si="17"/>
        <v>82</v>
      </c>
      <c r="BT149" s="10"/>
    </row>
    <row r="150" spans="1:72" x14ac:dyDescent="0.2">
      <c r="A150" t="s">
        <v>63</v>
      </c>
      <c r="B150" t="s">
        <v>2337</v>
      </c>
      <c r="C150" t="s">
        <v>1311</v>
      </c>
      <c r="D150" t="s">
        <v>64</v>
      </c>
      <c r="E150" t="s">
        <v>65</v>
      </c>
      <c r="F150" t="s">
        <v>64</v>
      </c>
      <c r="G150" t="s">
        <v>615</v>
      </c>
      <c r="H150" t="s">
        <v>67</v>
      </c>
      <c r="I150" t="s">
        <v>68</v>
      </c>
      <c r="J150" t="s">
        <v>69</v>
      </c>
      <c r="K150" t="s">
        <v>70</v>
      </c>
      <c r="R150" t="s">
        <v>1312</v>
      </c>
      <c r="T150" t="s">
        <v>1313</v>
      </c>
      <c r="U150" s="2">
        <v>41171</v>
      </c>
      <c r="V150">
        <v>19</v>
      </c>
      <c r="W150">
        <v>9</v>
      </c>
      <c r="X150">
        <v>2012</v>
      </c>
      <c r="Y150" t="s">
        <v>1001</v>
      </c>
      <c r="Z150" t="s">
        <v>72</v>
      </c>
      <c r="AA150">
        <v>32.281350000000003</v>
      </c>
      <c r="AB150">
        <v>-110.94995</v>
      </c>
      <c r="AD150" t="s">
        <v>73</v>
      </c>
      <c r="AE150" t="s">
        <v>74</v>
      </c>
      <c r="AI150" t="s">
        <v>75</v>
      </c>
      <c r="AO150" t="s">
        <v>87</v>
      </c>
      <c r="AP150" s="20" t="str">
        <f t="shared" si="18"/>
        <v>14</v>
      </c>
      <c r="AU150" t="s">
        <v>1310</v>
      </c>
      <c r="AV150" s="20" t="str">
        <f t="shared" si="19"/>
        <v>18.6</v>
      </c>
      <c r="BD150" t="s">
        <v>152</v>
      </c>
      <c r="BH150" t="s">
        <v>78</v>
      </c>
      <c r="BL150" t="s">
        <v>899</v>
      </c>
      <c r="BM150" s="20" t="str">
        <f t="shared" si="15"/>
        <v>82.5</v>
      </c>
      <c r="BN150" t="s">
        <v>1314</v>
      </c>
      <c r="BO150" s="20" t="str">
        <f t="shared" si="16"/>
        <v>164.5</v>
      </c>
      <c r="BQ150" t="s">
        <v>1315</v>
      </c>
      <c r="BR150" s="20" t="str">
        <f t="shared" si="20"/>
        <v>12.4</v>
      </c>
      <c r="BS150" s="21">
        <f t="shared" si="17"/>
        <v>82</v>
      </c>
    </row>
    <row r="151" spans="1:72" x14ac:dyDescent="0.2">
      <c r="A151" s="4" t="s">
        <v>63</v>
      </c>
      <c r="B151" s="4" t="s">
        <v>2156</v>
      </c>
      <c r="C151" s="4" t="s">
        <v>1657</v>
      </c>
      <c r="D151" s="4" t="s">
        <v>64</v>
      </c>
      <c r="E151" s="4" t="s">
        <v>65</v>
      </c>
      <c r="F151" s="4" t="s">
        <v>64</v>
      </c>
      <c r="G151" s="4" t="s">
        <v>134</v>
      </c>
      <c r="H151" s="4" t="s">
        <v>67</v>
      </c>
      <c r="I151" s="4" t="s">
        <v>68</v>
      </c>
      <c r="J151" s="4" t="s">
        <v>1651</v>
      </c>
      <c r="K151" s="4" t="s">
        <v>1652</v>
      </c>
      <c r="L151" s="4"/>
      <c r="M151" s="4"/>
      <c r="N151" s="4"/>
      <c r="O151" s="4"/>
      <c r="P151" s="4"/>
      <c r="Q151" s="4"/>
      <c r="R151" s="4" t="s">
        <v>1658</v>
      </c>
      <c r="S151" s="4"/>
      <c r="T151" s="4" t="s">
        <v>1659</v>
      </c>
      <c r="U151" s="5">
        <v>41124</v>
      </c>
      <c r="V151" s="4">
        <v>3</v>
      </c>
      <c r="W151" s="4">
        <v>8</v>
      </c>
      <c r="X151" s="4">
        <v>2012</v>
      </c>
      <c r="Y151" s="4" t="s">
        <v>1660</v>
      </c>
      <c r="Z151" s="4" t="s">
        <v>72</v>
      </c>
      <c r="AA151" s="4">
        <v>40.461967999999999</v>
      </c>
      <c r="AB151" s="4">
        <v>-76.087890000000002</v>
      </c>
      <c r="AC151" s="4"/>
      <c r="AD151" s="4" t="s">
        <v>73</v>
      </c>
      <c r="AE151" s="4" t="s">
        <v>74</v>
      </c>
      <c r="AF151" s="4"/>
      <c r="AG151" s="4"/>
      <c r="AH151" s="4"/>
      <c r="AI151" s="4"/>
      <c r="AJ151" s="4"/>
      <c r="AK151" s="4"/>
      <c r="AL151" s="4"/>
      <c r="AM151" s="4"/>
      <c r="AN151" s="4"/>
      <c r="AO151" s="4" t="s">
        <v>87</v>
      </c>
      <c r="AP151" s="20" t="str">
        <f t="shared" si="18"/>
        <v>14</v>
      </c>
      <c r="AQ151" s="4"/>
      <c r="AR151" s="4"/>
      <c r="AS151" s="4"/>
      <c r="AT151" s="4"/>
      <c r="AU151" s="4" t="s">
        <v>653</v>
      </c>
      <c r="AV151" s="20" t="str">
        <f t="shared" si="19"/>
        <v>17.5</v>
      </c>
      <c r="AW151" s="4"/>
      <c r="AX151" s="4"/>
      <c r="AY151" s="4"/>
      <c r="AZ151" s="4"/>
      <c r="BA151" s="4"/>
      <c r="BB151" s="4"/>
      <c r="BC151" s="4"/>
      <c r="BD151" s="4" t="s">
        <v>152</v>
      </c>
      <c r="BF151" s="4"/>
      <c r="BG151" s="4"/>
      <c r="BH151" s="4" t="s">
        <v>78</v>
      </c>
      <c r="BI151" s="4"/>
      <c r="BJ151" s="4"/>
      <c r="BK151" s="4"/>
      <c r="BL151" s="4" t="s">
        <v>160</v>
      </c>
      <c r="BM151" s="20" t="str">
        <f t="shared" si="15"/>
        <v>86</v>
      </c>
      <c r="BN151" s="4" t="s">
        <v>324</v>
      </c>
      <c r="BO151" s="20" t="str">
        <f t="shared" si="16"/>
        <v>168</v>
      </c>
      <c r="BP151" s="4"/>
      <c r="BQ151" s="4" t="s">
        <v>115</v>
      </c>
      <c r="BR151" s="20" t="str">
        <f t="shared" si="20"/>
        <v>17.25</v>
      </c>
      <c r="BS151" s="21">
        <f t="shared" si="17"/>
        <v>82</v>
      </c>
    </row>
    <row r="152" spans="1:72" x14ac:dyDescent="0.2">
      <c r="A152" s="4" t="s">
        <v>63</v>
      </c>
      <c r="B152" s="4" t="s">
        <v>2154</v>
      </c>
      <c r="C152" s="4" t="s">
        <v>1831</v>
      </c>
      <c r="D152" s="4" t="s">
        <v>64</v>
      </c>
      <c r="E152" s="4" t="s">
        <v>65</v>
      </c>
      <c r="F152" s="4" t="s">
        <v>64</v>
      </c>
      <c r="G152" s="4" t="s">
        <v>134</v>
      </c>
      <c r="H152" s="4" t="s">
        <v>67</v>
      </c>
      <c r="I152" s="4" t="s">
        <v>68</v>
      </c>
      <c r="J152" s="4" t="s">
        <v>1778</v>
      </c>
      <c r="K152" s="4" t="s">
        <v>1832</v>
      </c>
      <c r="L152" s="4">
        <v>62</v>
      </c>
      <c r="M152" s="4">
        <v>62</v>
      </c>
      <c r="N152" s="4">
        <v>62</v>
      </c>
      <c r="O152" s="4">
        <v>62</v>
      </c>
      <c r="P152" s="4" t="s">
        <v>1645</v>
      </c>
      <c r="Q152" s="4"/>
      <c r="R152" s="4" t="s">
        <v>1833</v>
      </c>
      <c r="S152" s="4"/>
      <c r="T152" s="4" t="s">
        <v>1834</v>
      </c>
      <c r="U152" s="5">
        <v>41135</v>
      </c>
      <c r="V152" s="4">
        <v>14</v>
      </c>
      <c r="W152" s="4">
        <v>8</v>
      </c>
      <c r="X152" s="4">
        <v>2012</v>
      </c>
      <c r="Y152" s="4" t="s">
        <v>1835</v>
      </c>
      <c r="Z152" s="4" t="s">
        <v>72</v>
      </c>
      <c r="AA152" s="4">
        <v>37.854480000000002</v>
      </c>
      <c r="AB152" s="4">
        <v>-77.262619999999998</v>
      </c>
      <c r="AC152" s="4"/>
      <c r="AD152" s="4" t="s">
        <v>73</v>
      </c>
      <c r="AE152" s="4" t="s">
        <v>74</v>
      </c>
      <c r="AF152" s="4"/>
      <c r="AG152" s="4"/>
      <c r="AH152" s="4"/>
      <c r="AI152" s="4"/>
      <c r="AJ152" s="4"/>
      <c r="AK152" s="4"/>
      <c r="AL152" s="4"/>
      <c r="AM152" s="4"/>
      <c r="AN152" s="4"/>
      <c r="AO152" s="4" t="s">
        <v>87</v>
      </c>
      <c r="AP152" s="20" t="str">
        <f t="shared" si="18"/>
        <v>14</v>
      </c>
      <c r="AQ152" s="4"/>
      <c r="AR152" s="4"/>
      <c r="AS152" s="4"/>
      <c r="AT152" s="4"/>
      <c r="AU152" s="4" t="s">
        <v>121</v>
      </c>
      <c r="AV152" s="20" t="str">
        <f t="shared" si="19"/>
        <v>18</v>
      </c>
      <c r="AW152" s="4"/>
      <c r="AX152" s="4"/>
      <c r="AY152" s="4"/>
      <c r="AZ152" s="4"/>
      <c r="BA152" s="4"/>
      <c r="BB152" s="4"/>
      <c r="BC152" s="4"/>
      <c r="BD152" s="4" t="s">
        <v>1836</v>
      </c>
      <c r="BE152" s="20" t="s">
        <v>241</v>
      </c>
      <c r="BF152" s="4"/>
      <c r="BG152" s="4"/>
      <c r="BH152" s="4" t="s">
        <v>78</v>
      </c>
      <c r="BI152" s="4"/>
      <c r="BJ152" s="4"/>
      <c r="BK152" s="4"/>
      <c r="BL152" s="4" t="s">
        <v>153</v>
      </c>
      <c r="BM152" s="20" t="str">
        <f t="shared" si="15"/>
        <v>81</v>
      </c>
      <c r="BN152" s="4" t="s">
        <v>654</v>
      </c>
      <c r="BO152" s="20" t="str">
        <f t="shared" si="16"/>
        <v>163</v>
      </c>
      <c r="BP152" s="4"/>
      <c r="BQ152" s="4" t="s">
        <v>512</v>
      </c>
      <c r="BR152" s="20" t="str">
        <f t="shared" si="20"/>
        <v>13.5</v>
      </c>
      <c r="BS152" s="21">
        <f t="shared" si="17"/>
        <v>82</v>
      </c>
    </row>
    <row r="153" spans="1:72" x14ac:dyDescent="0.2">
      <c r="A153" t="s">
        <v>63</v>
      </c>
      <c r="C153" t="s">
        <v>1484</v>
      </c>
      <c r="D153" t="s">
        <v>64</v>
      </c>
      <c r="E153" t="s">
        <v>65</v>
      </c>
      <c r="F153" t="s">
        <v>64</v>
      </c>
      <c r="G153" t="s">
        <v>211</v>
      </c>
      <c r="H153" t="s">
        <v>212</v>
      </c>
      <c r="I153" t="s">
        <v>701</v>
      </c>
      <c r="J153" t="s">
        <v>1466</v>
      </c>
      <c r="L153">
        <v>369</v>
      </c>
      <c r="M153">
        <v>369</v>
      </c>
      <c r="N153">
        <v>1212</v>
      </c>
      <c r="O153">
        <v>1212</v>
      </c>
      <c r="P153" t="s">
        <v>1480</v>
      </c>
      <c r="R153" t="s">
        <v>1481</v>
      </c>
      <c r="T153" t="s">
        <v>1482</v>
      </c>
      <c r="U153" s="2">
        <v>41254</v>
      </c>
      <c r="V153">
        <v>11</v>
      </c>
      <c r="W153">
        <v>12</v>
      </c>
      <c r="X153">
        <v>2012</v>
      </c>
      <c r="Y153">
        <f>-0.12485/-79.2583833333</f>
        <v>1.5752276888487192E-3</v>
      </c>
      <c r="Z153" t="s">
        <v>72</v>
      </c>
      <c r="AA153">
        <v>-0.12485</v>
      </c>
      <c r="AB153">
        <v>-79.258383333300003</v>
      </c>
      <c r="AD153" t="s">
        <v>96</v>
      </c>
      <c r="AE153" t="s">
        <v>74</v>
      </c>
      <c r="AI153" t="s">
        <v>75</v>
      </c>
      <c r="AO153" t="s">
        <v>236</v>
      </c>
      <c r="AP153" s="20" t="str">
        <f t="shared" si="18"/>
        <v>11</v>
      </c>
      <c r="AU153" t="s">
        <v>82</v>
      </c>
      <c r="AV153" s="20" t="str">
        <f t="shared" si="19"/>
        <v>17</v>
      </c>
      <c r="BD153" t="s">
        <v>1485</v>
      </c>
      <c r="BE153" s="20" t="s">
        <v>241</v>
      </c>
      <c r="BH153" t="s">
        <v>78</v>
      </c>
      <c r="BL153" t="s">
        <v>194</v>
      </c>
      <c r="BM153" s="20" t="str">
        <f t="shared" si="15"/>
        <v>79</v>
      </c>
      <c r="BN153" t="s">
        <v>563</v>
      </c>
      <c r="BO153" s="20" t="str">
        <f t="shared" si="16"/>
        <v>161</v>
      </c>
      <c r="BQ153" t="s">
        <v>408</v>
      </c>
      <c r="BR153" s="20" t="str">
        <f t="shared" si="20"/>
        <v>12</v>
      </c>
      <c r="BS153" s="21">
        <f t="shared" si="17"/>
        <v>82</v>
      </c>
    </row>
    <row r="154" spans="1:72" x14ac:dyDescent="0.2">
      <c r="A154" s="13" t="s">
        <v>63</v>
      </c>
      <c r="B154" s="13"/>
      <c r="C154" s="13" t="s">
        <v>1479</v>
      </c>
      <c r="D154" s="13" t="s">
        <v>64</v>
      </c>
      <c r="E154" s="13" t="s">
        <v>65</v>
      </c>
      <c r="F154" s="13" t="s">
        <v>64</v>
      </c>
      <c r="G154" s="13" t="s">
        <v>211</v>
      </c>
      <c r="H154" s="13" t="s">
        <v>212</v>
      </c>
      <c r="I154" s="13" t="s">
        <v>701</v>
      </c>
      <c r="J154" s="13" t="s">
        <v>1466</v>
      </c>
      <c r="K154" s="13"/>
      <c r="L154" s="13">
        <v>369</v>
      </c>
      <c r="M154" s="13">
        <v>369</v>
      </c>
      <c r="N154" s="13">
        <v>1212</v>
      </c>
      <c r="O154" s="13">
        <v>1212</v>
      </c>
      <c r="P154" s="13" t="s">
        <v>1480</v>
      </c>
      <c r="Q154" s="13"/>
      <c r="R154" s="13" t="s">
        <v>1481</v>
      </c>
      <c r="S154" s="13"/>
      <c r="T154" s="13" t="s">
        <v>1482</v>
      </c>
      <c r="U154" s="14">
        <v>41254</v>
      </c>
      <c r="V154" s="13">
        <v>11</v>
      </c>
      <c r="W154" s="13">
        <v>12</v>
      </c>
      <c r="X154" s="13">
        <v>2012</v>
      </c>
      <c r="Y154" s="13">
        <f>-0.12485/-79.2583833333</f>
        <v>1.5752276888487192E-3</v>
      </c>
      <c r="Z154" s="13" t="s">
        <v>72</v>
      </c>
      <c r="AA154" s="13">
        <v>-0.12485</v>
      </c>
      <c r="AB154" s="13">
        <v>-79.258383333300003</v>
      </c>
      <c r="AC154" s="13"/>
      <c r="AD154" s="13" t="s">
        <v>96</v>
      </c>
      <c r="AE154" s="13" t="s">
        <v>74</v>
      </c>
      <c r="AF154" s="13"/>
      <c r="AG154" s="13"/>
      <c r="AH154" s="13"/>
      <c r="AI154" s="13" t="s">
        <v>75</v>
      </c>
      <c r="AJ154" s="13"/>
      <c r="AK154" s="13"/>
      <c r="AL154" s="13"/>
      <c r="AM154" s="13"/>
      <c r="AN154" s="13"/>
      <c r="AO154" s="13" t="s">
        <v>130</v>
      </c>
      <c r="AP154" s="20" t="str">
        <f t="shared" si="18"/>
        <v>19</v>
      </c>
      <c r="AQ154" s="13"/>
      <c r="AR154" s="13"/>
      <c r="AS154" s="13"/>
      <c r="AT154" s="13"/>
      <c r="AU154" s="13" t="s">
        <v>121</v>
      </c>
      <c r="AV154" s="20" t="str">
        <f t="shared" si="19"/>
        <v>18</v>
      </c>
      <c r="AW154" s="13"/>
      <c r="AX154" s="13"/>
      <c r="AY154" s="13"/>
      <c r="AZ154" s="13"/>
      <c r="BA154" s="13"/>
      <c r="BB154" s="13"/>
      <c r="BC154" s="13"/>
      <c r="BD154" s="13" t="s">
        <v>1483</v>
      </c>
      <c r="BE154" s="20" t="s">
        <v>241</v>
      </c>
      <c r="BF154" s="13"/>
      <c r="BG154" s="13"/>
      <c r="BH154" s="13" t="s">
        <v>78</v>
      </c>
      <c r="BI154" s="13"/>
      <c r="BJ154" s="13"/>
      <c r="BK154" s="13"/>
      <c r="BL154" s="13" t="s">
        <v>194</v>
      </c>
      <c r="BM154" s="20" t="str">
        <f t="shared" si="15"/>
        <v>79</v>
      </c>
      <c r="BN154" s="13" t="s">
        <v>563</v>
      </c>
      <c r="BO154" s="20" t="str">
        <f t="shared" si="16"/>
        <v>161</v>
      </c>
      <c r="BP154" s="13"/>
      <c r="BQ154" s="13" t="s">
        <v>628</v>
      </c>
      <c r="BR154" s="20" t="str">
        <f t="shared" si="20"/>
        <v>25</v>
      </c>
      <c r="BS154" s="21">
        <f t="shared" si="17"/>
        <v>82</v>
      </c>
    </row>
    <row r="155" spans="1:72" x14ac:dyDescent="0.2">
      <c r="A155" t="s">
        <v>63</v>
      </c>
      <c r="B155" t="s">
        <v>2341</v>
      </c>
      <c r="C155" t="s">
        <v>143</v>
      </c>
      <c r="D155" t="s">
        <v>64</v>
      </c>
      <c r="E155" t="s">
        <v>65</v>
      </c>
      <c r="F155" t="s">
        <v>64</v>
      </c>
      <c r="G155" t="s">
        <v>134</v>
      </c>
      <c r="H155" t="s">
        <v>67</v>
      </c>
      <c r="I155" t="s">
        <v>68</v>
      </c>
      <c r="J155" t="s">
        <v>69</v>
      </c>
      <c r="K155" t="s">
        <v>70</v>
      </c>
      <c r="L155">
        <v>657</v>
      </c>
      <c r="M155">
        <v>657</v>
      </c>
      <c r="N155">
        <v>657</v>
      </c>
      <c r="O155">
        <v>657</v>
      </c>
      <c r="P155" t="s">
        <v>92</v>
      </c>
      <c r="R155" t="s">
        <v>93</v>
      </c>
      <c r="T155" t="s">
        <v>144</v>
      </c>
      <c r="U155" s="1">
        <v>41032</v>
      </c>
      <c r="V155">
        <v>3</v>
      </c>
      <c r="W155">
        <v>5</v>
      </c>
      <c r="X155">
        <v>2012</v>
      </c>
      <c r="Y155" t="s">
        <v>145</v>
      </c>
      <c r="Z155" t="s">
        <v>72</v>
      </c>
      <c r="AA155">
        <v>32.287210000000002</v>
      </c>
      <c r="AB155">
        <v>-110.99599000000001</v>
      </c>
      <c r="AD155" t="s">
        <v>96</v>
      </c>
      <c r="AE155" t="s">
        <v>74</v>
      </c>
      <c r="AO155" t="s">
        <v>87</v>
      </c>
      <c r="AP155" s="20" t="str">
        <f t="shared" si="18"/>
        <v>14</v>
      </c>
      <c r="AU155" t="s">
        <v>130</v>
      </c>
      <c r="AV155" s="20" t="str">
        <f t="shared" si="19"/>
        <v>19</v>
      </c>
      <c r="BD155" t="s">
        <v>146</v>
      </c>
      <c r="BE155" s="20" t="s">
        <v>241</v>
      </c>
      <c r="BH155" t="s">
        <v>78</v>
      </c>
      <c r="BL155" t="s">
        <v>147</v>
      </c>
      <c r="BM155" s="20" t="str">
        <f t="shared" si="15"/>
        <v>84</v>
      </c>
      <c r="BN155" t="s">
        <v>148</v>
      </c>
      <c r="BO155" s="20" t="str">
        <f t="shared" si="16"/>
        <v>166</v>
      </c>
      <c r="BQ155" t="s">
        <v>149</v>
      </c>
      <c r="BR155" s="20" t="str">
        <f t="shared" si="20"/>
        <v>16.5</v>
      </c>
      <c r="BS155" s="21">
        <f t="shared" si="17"/>
        <v>82</v>
      </c>
    </row>
    <row r="156" spans="1:72" x14ac:dyDescent="0.2">
      <c r="A156" t="s">
        <v>63</v>
      </c>
      <c r="C156" t="s">
        <v>764</v>
      </c>
      <c r="D156" t="s">
        <v>64</v>
      </c>
      <c r="E156" t="s">
        <v>65</v>
      </c>
      <c r="F156" t="s">
        <v>64</v>
      </c>
      <c r="G156" t="s">
        <v>211</v>
      </c>
      <c r="H156" t="s">
        <v>212</v>
      </c>
      <c r="I156" t="s">
        <v>701</v>
      </c>
      <c r="J156" t="s">
        <v>734</v>
      </c>
      <c r="L156">
        <v>2867</v>
      </c>
      <c r="M156">
        <v>2867</v>
      </c>
      <c r="N156">
        <v>9405</v>
      </c>
      <c r="O156">
        <v>9405</v>
      </c>
      <c r="P156" t="s">
        <v>765</v>
      </c>
      <c r="R156" t="s">
        <v>766</v>
      </c>
      <c r="T156" t="s">
        <v>767</v>
      </c>
      <c r="U156" s="2">
        <v>41228</v>
      </c>
      <c r="V156">
        <v>15</v>
      </c>
      <c r="W156">
        <v>11</v>
      </c>
      <c r="X156">
        <v>2012</v>
      </c>
      <c r="Y156">
        <f>-0.8633166667/-78.6119</f>
        <v>1.098200993361056E-2</v>
      </c>
      <c r="Z156" t="s">
        <v>72</v>
      </c>
      <c r="AA156">
        <v>-0.86331666669999996</v>
      </c>
      <c r="AB156">
        <v>-78.611900000000006</v>
      </c>
      <c r="AD156" t="s">
        <v>96</v>
      </c>
      <c r="AE156" t="s">
        <v>74</v>
      </c>
      <c r="AI156" t="s">
        <v>226</v>
      </c>
      <c r="AO156" t="s">
        <v>76</v>
      </c>
      <c r="AP156" s="20" t="str">
        <f t="shared" si="18"/>
        <v>13</v>
      </c>
      <c r="AU156" t="s">
        <v>82</v>
      </c>
      <c r="AV156" s="20" t="str">
        <f t="shared" si="19"/>
        <v>17</v>
      </c>
      <c r="BD156" t="s">
        <v>768</v>
      </c>
      <c r="BH156" t="s">
        <v>83</v>
      </c>
      <c r="BL156" t="s">
        <v>197</v>
      </c>
      <c r="BM156" s="20" t="str">
        <f t="shared" si="15"/>
        <v>74</v>
      </c>
      <c r="BN156" t="s">
        <v>695</v>
      </c>
      <c r="BO156" s="20" t="str">
        <f t="shared" si="16"/>
        <v>156</v>
      </c>
      <c r="BQ156" t="s">
        <v>408</v>
      </c>
      <c r="BR156" s="20" t="str">
        <f t="shared" si="20"/>
        <v>12</v>
      </c>
      <c r="BS156" s="21">
        <f t="shared" si="17"/>
        <v>82</v>
      </c>
    </row>
    <row r="157" spans="1:72" x14ac:dyDescent="0.2">
      <c r="A157" t="s">
        <v>63</v>
      </c>
      <c r="B157" t="s">
        <v>2387</v>
      </c>
      <c r="C157" t="s">
        <v>1556</v>
      </c>
      <c r="D157" t="s">
        <v>64</v>
      </c>
      <c r="E157" t="s">
        <v>65</v>
      </c>
      <c r="F157" t="s">
        <v>64</v>
      </c>
      <c r="G157" t="s">
        <v>211</v>
      </c>
      <c r="H157" t="s">
        <v>212</v>
      </c>
      <c r="I157" t="s">
        <v>701</v>
      </c>
      <c r="J157" t="s">
        <v>1342</v>
      </c>
      <c r="L157">
        <v>100</v>
      </c>
      <c r="M157">
        <v>100</v>
      </c>
      <c r="N157">
        <v>327</v>
      </c>
      <c r="O157">
        <v>327</v>
      </c>
      <c r="P157" t="s">
        <v>1557</v>
      </c>
      <c r="R157" t="s">
        <v>1558</v>
      </c>
      <c r="T157" t="s">
        <v>1559</v>
      </c>
      <c r="U157" s="2">
        <v>41241</v>
      </c>
      <c r="V157">
        <v>28</v>
      </c>
      <c r="W157">
        <v>11</v>
      </c>
      <c r="X157">
        <v>2012</v>
      </c>
      <c r="Y157">
        <f>-1.0793833333/-80.5399166667</f>
        <v>1.3401843184998992E-2</v>
      </c>
      <c r="Z157" t="s">
        <v>72</v>
      </c>
      <c r="AA157">
        <v>-1.0793833333</v>
      </c>
      <c r="AB157">
        <v>-80.539916666699995</v>
      </c>
      <c r="AD157" t="s">
        <v>96</v>
      </c>
      <c r="AE157" t="s">
        <v>74</v>
      </c>
      <c r="AI157" t="s">
        <v>75</v>
      </c>
      <c r="AO157" t="s">
        <v>82</v>
      </c>
      <c r="AP157" s="20" t="str">
        <f t="shared" si="18"/>
        <v>17</v>
      </c>
      <c r="AU157" t="s">
        <v>82</v>
      </c>
      <c r="AV157" s="20" t="str">
        <f t="shared" si="19"/>
        <v>17</v>
      </c>
      <c r="BD157" t="s">
        <v>1560</v>
      </c>
      <c r="BH157" t="s">
        <v>83</v>
      </c>
      <c r="BL157" t="s">
        <v>253</v>
      </c>
      <c r="BM157" s="20" t="str">
        <f t="shared" si="15"/>
        <v>70</v>
      </c>
      <c r="BN157" t="s">
        <v>326</v>
      </c>
      <c r="BO157" s="20" t="str">
        <f t="shared" si="16"/>
        <v>152</v>
      </c>
      <c r="BQ157" t="s">
        <v>390</v>
      </c>
      <c r="BR157" s="20" t="str">
        <f t="shared" si="20"/>
        <v>14.5</v>
      </c>
      <c r="BS157" s="21">
        <f t="shared" si="17"/>
        <v>82</v>
      </c>
    </row>
    <row r="158" spans="1:72" x14ac:dyDescent="0.2">
      <c r="A158" t="s">
        <v>63</v>
      </c>
      <c r="C158" t="s">
        <v>1492</v>
      </c>
      <c r="D158" t="s">
        <v>64</v>
      </c>
      <c r="E158" t="s">
        <v>65</v>
      </c>
      <c r="F158" t="s">
        <v>64</v>
      </c>
      <c r="G158" t="s">
        <v>211</v>
      </c>
      <c r="H158" t="s">
        <v>212</v>
      </c>
      <c r="I158" t="s">
        <v>701</v>
      </c>
      <c r="J158" t="s">
        <v>1466</v>
      </c>
      <c r="L158">
        <v>369</v>
      </c>
      <c r="M158">
        <v>369</v>
      </c>
      <c r="N158">
        <v>1212</v>
      </c>
      <c r="O158">
        <v>1212</v>
      </c>
      <c r="P158" t="s">
        <v>1480</v>
      </c>
      <c r="R158" t="s">
        <v>1481</v>
      </c>
      <c r="T158" t="s">
        <v>1482</v>
      </c>
      <c r="U158" s="2">
        <v>41254</v>
      </c>
      <c r="V158">
        <v>11</v>
      </c>
      <c r="W158">
        <v>12</v>
      </c>
      <c r="X158">
        <v>2012</v>
      </c>
      <c r="Y158">
        <f>-0.12485/-79.2583833333</f>
        <v>1.5752276888487192E-3</v>
      </c>
      <c r="Z158" t="s">
        <v>72</v>
      </c>
      <c r="AA158">
        <v>-0.12485</v>
      </c>
      <c r="AB158">
        <v>-79.258383333300003</v>
      </c>
      <c r="AD158" t="s">
        <v>96</v>
      </c>
      <c r="AE158" t="s">
        <v>74</v>
      </c>
      <c r="AI158" t="s">
        <v>203</v>
      </c>
      <c r="AO158" t="s">
        <v>77</v>
      </c>
      <c r="AP158" s="20" t="str">
        <f t="shared" si="18"/>
        <v>12</v>
      </c>
      <c r="AU158" t="s">
        <v>121</v>
      </c>
      <c r="AV158" s="20" t="str">
        <f t="shared" si="19"/>
        <v>18</v>
      </c>
      <c r="BD158" t="s">
        <v>1372</v>
      </c>
      <c r="BH158" t="s">
        <v>83</v>
      </c>
      <c r="BL158" t="s">
        <v>289</v>
      </c>
      <c r="BM158" s="20" t="str">
        <f t="shared" si="15"/>
        <v>69</v>
      </c>
      <c r="BN158" t="s">
        <v>441</v>
      </c>
      <c r="BO158" s="20" t="str">
        <f t="shared" si="16"/>
        <v>151</v>
      </c>
      <c r="BQ158" t="s">
        <v>801</v>
      </c>
      <c r="BR158" s="20" t="str">
        <f t="shared" si="20"/>
        <v>9.5</v>
      </c>
      <c r="BS158" s="21">
        <f t="shared" si="17"/>
        <v>82</v>
      </c>
    </row>
    <row r="159" spans="1:72" x14ac:dyDescent="0.2">
      <c r="A159" t="s">
        <v>63</v>
      </c>
      <c r="C159" t="s">
        <v>1322</v>
      </c>
      <c r="D159" t="s">
        <v>64</v>
      </c>
      <c r="E159" t="s">
        <v>65</v>
      </c>
      <c r="F159" t="s">
        <v>64</v>
      </c>
      <c r="G159" t="s">
        <v>211</v>
      </c>
      <c r="H159" t="s">
        <v>212</v>
      </c>
      <c r="I159" t="s">
        <v>701</v>
      </c>
      <c r="J159" t="s">
        <v>734</v>
      </c>
      <c r="L159">
        <v>2865</v>
      </c>
      <c r="M159">
        <v>2865</v>
      </c>
      <c r="N159">
        <v>9398</v>
      </c>
      <c r="O159">
        <v>9398</v>
      </c>
      <c r="P159" t="s">
        <v>772</v>
      </c>
      <c r="R159" t="s">
        <v>773</v>
      </c>
      <c r="T159" t="s">
        <v>1323</v>
      </c>
      <c r="U159" s="2">
        <v>41230</v>
      </c>
      <c r="V159">
        <v>17</v>
      </c>
      <c r="W159">
        <v>11</v>
      </c>
      <c r="X159">
        <v>2012</v>
      </c>
      <c r="Y159">
        <f>-0.86965/-78.6213833333</f>
        <v>1.1061240124881659E-2</v>
      </c>
      <c r="Z159" t="s">
        <v>72</v>
      </c>
      <c r="AA159">
        <v>-0.86965000000000003</v>
      </c>
      <c r="AB159">
        <v>-78.621383333300003</v>
      </c>
      <c r="AD159" t="s">
        <v>96</v>
      </c>
      <c r="AE159" t="s">
        <v>74</v>
      </c>
      <c r="AI159" t="s">
        <v>75</v>
      </c>
      <c r="AO159" t="s">
        <v>130</v>
      </c>
      <c r="AP159" s="20" t="str">
        <f t="shared" si="18"/>
        <v>19</v>
      </c>
      <c r="AU159" t="s">
        <v>82</v>
      </c>
      <c r="AV159" s="20" t="str">
        <f t="shared" si="19"/>
        <v>17</v>
      </c>
      <c r="BD159" t="s">
        <v>1324</v>
      </c>
      <c r="BH159" t="s">
        <v>83</v>
      </c>
      <c r="BL159" t="s">
        <v>174</v>
      </c>
      <c r="BM159" s="20" t="str">
        <f t="shared" si="15"/>
        <v>83</v>
      </c>
      <c r="BN159" t="s">
        <v>89</v>
      </c>
      <c r="BO159" s="20" t="str">
        <f t="shared" si="16"/>
        <v>165</v>
      </c>
      <c r="BQ159" t="s">
        <v>408</v>
      </c>
      <c r="BR159" s="20" t="str">
        <f t="shared" si="20"/>
        <v>12</v>
      </c>
      <c r="BS159" s="21">
        <f t="shared" si="17"/>
        <v>82</v>
      </c>
    </row>
    <row r="160" spans="1:72" x14ac:dyDescent="0.2">
      <c r="A160" s="13" t="s">
        <v>63</v>
      </c>
      <c r="B160" s="13"/>
      <c r="C160" s="13" t="s">
        <v>720</v>
      </c>
      <c r="D160" s="13" t="s">
        <v>64</v>
      </c>
      <c r="E160" s="13" t="s">
        <v>65</v>
      </c>
      <c r="F160" s="13" t="s">
        <v>64</v>
      </c>
      <c r="G160" s="13" t="s">
        <v>211</v>
      </c>
      <c r="H160" s="13" t="s">
        <v>212</v>
      </c>
      <c r="I160" s="13" t="s">
        <v>701</v>
      </c>
      <c r="J160" s="13" t="s">
        <v>702</v>
      </c>
      <c r="K160" s="13"/>
      <c r="L160" s="13">
        <v>2653</v>
      </c>
      <c r="M160" s="13">
        <v>2653</v>
      </c>
      <c r="N160" s="13">
        <v>8704</v>
      </c>
      <c r="O160" s="13">
        <v>8704</v>
      </c>
      <c r="P160" s="13" t="s">
        <v>721</v>
      </c>
      <c r="Q160" s="13"/>
      <c r="R160" s="13" t="s">
        <v>722</v>
      </c>
      <c r="S160" s="13"/>
      <c r="T160" s="13" t="s">
        <v>723</v>
      </c>
      <c r="U160" s="14">
        <v>41221</v>
      </c>
      <c r="V160" s="13">
        <v>8</v>
      </c>
      <c r="W160" s="13">
        <v>11</v>
      </c>
      <c r="X160" s="13">
        <v>2012</v>
      </c>
      <c r="Y160" s="13">
        <f>-0.2416/-78.3349833333</f>
        <v>3.0841903542895943E-3</v>
      </c>
      <c r="Z160" s="13" t="s">
        <v>72</v>
      </c>
      <c r="AA160" s="13">
        <v>-0.24160000000000001</v>
      </c>
      <c r="AB160" s="13">
        <v>-78.334983333300002</v>
      </c>
      <c r="AC160" s="13"/>
      <c r="AD160" s="13" t="s">
        <v>96</v>
      </c>
      <c r="AE160" s="13" t="s">
        <v>74</v>
      </c>
      <c r="AF160" s="13"/>
      <c r="AG160" s="13"/>
      <c r="AH160" s="13"/>
      <c r="AI160" s="13" t="s">
        <v>75</v>
      </c>
      <c r="AJ160" s="13"/>
      <c r="AK160" s="13"/>
      <c r="AL160" s="13"/>
      <c r="AM160" s="13"/>
      <c r="AN160" s="13"/>
      <c r="AO160" s="13" t="s">
        <v>130</v>
      </c>
      <c r="AP160" s="20" t="str">
        <f t="shared" si="18"/>
        <v>19</v>
      </c>
      <c r="AQ160" s="13"/>
      <c r="AR160" s="13"/>
      <c r="AS160" s="13"/>
      <c r="AT160" s="13"/>
      <c r="AU160" s="13" t="s">
        <v>82</v>
      </c>
      <c r="AV160" s="20" t="str">
        <f t="shared" si="19"/>
        <v>17</v>
      </c>
      <c r="AW160" s="13"/>
      <c r="AX160" s="13"/>
      <c r="AY160" s="13"/>
      <c r="AZ160" s="13"/>
      <c r="BA160" s="13"/>
      <c r="BB160" s="13"/>
      <c r="BC160" s="13"/>
      <c r="BD160" s="13" t="s">
        <v>724</v>
      </c>
      <c r="BF160" s="13"/>
      <c r="BG160" s="13"/>
      <c r="BH160" s="13" t="s">
        <v>83</v>
      </c>
      <c r="BI160" s="13"/>
      <c r="BJ160" s="13"/>
      <c r="BK160" s="13"/>
      <c r="BL160" s="13" t="s">
        <v>363</v>
      </c>
      <c r="BM160" s="20" t="str">
        <f t="shared" si="15"/>
        <v>72</v>
      </c>
      <c r="BN160" s="13" t="s">
        <v>254</v>
      </c>
      <c r="BO160" s="20" t="str">
        <f t="shared" si="16"/>
        <v>154</v>
      </c>
      <c r="BP160" s="13"/>
      <c r="BQ160" s="13" t="s">
        <v>610</v>
      </c>
      <c r="BR160" s="20" t="str">
        <f t="shared" si="20"/>
        <v>13.75</v>
      </c>
      <c r="BS160" s="21">
        <f t="shared" si="17"/>
        <v>82</v>
      </c>
    </row>
    <row r="161" spans="1:72" x14ac:dyDescent="0.2">
      <c r="A161" s="13" t="s">
        <v>63</v>
      </c>
      <c r="B161" s="13"/>
      <c r="C161" s="13" t="s">
        <v>1398</v>
      </c>
      <c r="D161" s="13" t="s">
        <v>64</v>
      </c>
      <c r="E161" s="13" t="s">
        <v>65</v>
      </c>
      <c r="F161" s="13" t="s">
        <v>64</v>
      </c>
      <c r="G161" s="13" t="s">
        <v>211</v>
      </c>
      <c r="H161" s="13" t="s">
        <v>212</v>
      </c>
      <c r="I161" s="13" t="s">
        <v>701</v>
      </c>
      <c r="J161" s="13" t="s">
        <v>702</v>
      </c>
      <c r="K161" s="13"/>
      <c r="L161" s="13">
        <v>1470</v>
      </c>
      <c r="M161" s="13">
        <v>1470</v>
      </c>
      <c r="N161" s="13">
        <v>4824</v>
      </c>
      <c r="O161" s="13">
        <v>4824</v>
      </c>
      <c r="P161" s="13" t="s">
        <v>1399</v>
      </c>
      <c r="Q161" s="13"/>
      <c r="R161" s="13" t="s">
        <v>1400</v>
      </c>
      <c r="S161" s="13"/>
      <c r="T161" s="13" t="s">
        <v>1401</v>
      </c>
      <c r="U161" s="14">
        <v>41246</v>
      </c>
      <c r="V161" s="13">
        <v>3</v>
      </c>
      <c r="W161" s="13">
        <v>12</v>
      </c>
      <c r="X161" s="13">
        <v>2012</v>
      </c>
      <c r="Y161" s="13" t="s">
        <v>1402</v>
      </c>
      <c r="Z161" s="13" t="s">
        <v>72</v>
      </c>
      <c r="AA161" s="13">
        <v>3.3000000000000002E-2</v>
      </c>
      <c r="AB161" s="13">
        <v>-78.681366666700001</v>
      </c>
      <c r="AC161" s="13"/>
      <c r="AD161" s="13" t="s">
        <v>96</v>
      </c>
      <c r="AE161" s="13" t="s">
        <v>74</v>
      </c>
      <c r="AF161" s="13"/>
      <c r="AG161" s="13"/>
      <c r="AH161" s="13"/>
      <c r="AI161" s="13" t="s">
        <v>75</v>
      </c>
      <c r="AJ161" s="13"/>
      <c r="AK161" s="13"/>
      <c r="AL161" s="13"/>
      <c r="AM161" s="13"/>
      <c r="AN161" s="13"/>
      <c r="AO161" s="13" t="s">
        <v>87</v>
      </c>
      <c r="AP161" s="20" t="str">
        <f t="shared" si="18"/>
        <v>14</v>
      </c>
      <c r="AQ161" s="13"/>
      <c r="AR161" s="13"/>
      <c r="AS161" s="13"/>
      <c r="AT161" s="13"/>
      <c r="AU161" s="13" t="s">
        <v>82</v>
      </c>
      <c r="AV161" s="20" t="str">
        <f t="shared" si="19"/>
        <v>17</v>
      </c>
      <c r="AW161" s="13"/>
      <c r="AX161" s="13"/>
      <c r="AY161" s="13"/>
      <c r="AZ161" s="13"/>
      <c r="BA161" s="13"/>
      <c r="BB161" s="13"/>
      <c r="BC161" s="13"/>
      <c r="BD161" s="13" t="s">
        <v>1385</v>
      </c>
      <c r="BF161" s="13"/>
      <c r="BG161" s="13"/>
      <c r="BH161" s="13" t="s">
        <v>83</v>
      </c>
      <c r="BI161" s="13"/>
      <c r="BJ161" s="13"/>
      <c r="BK161" s="13"/>
      <c r="BL161" s="13" t="s">
        <v>253</v>
      </c>
      <c r="BM161" s="20" t="str">
        <f t="shared" si="15"/>
        <v>70</v>
      </c>
      <c r="BN161" s="13" t="s">
        <v>326</v>
      </c>
      <c r="BO161" s="20" t="str">
        <f t="shared" si="16"/>
        <v>152</v>
      </c>
      <c r="BP161" s="13"/>
      <c r="BQ161" s="13" t="s">
        <v>255</v>
      </c>
      <c r="BR161" s="20" t="str">
        <f t="shared" si="20"/>
        <v>11.5</v>
      </c>
      <c r="BS161" s="21">
        <f t="shared" si="17"/>
        <v>82</v>
      </c>
    </row>
    <row r="162" spans="1:72" x14ac:dyDescent="0.2">
      <c r="A162" s="4" t="s">
        <v>63</v>
      </c>
      <c r="B162" s="4" t="s">
        <v>2123</v>
      </c>
      <c r="C162" s="4" t="s">
        <v>1739</v>
      </c>
      <c r="D162" s="4" t="s">
        <v>64</v>
      </c>
      <c r="E162" s="4" t="s">
        <v>65</v>
      </c>
      <c r="F162" s="4" t="s">
        <v>64</v>
      </c>
      <c r="G162" s="4" t="s">
        <v>134</v>
      </c>
      <c r="H162" s="4" t="s">
        <v>67</v>
      </c>
      <c r="I162" s="4" t="s">
        <v>68</v>
      </c>
      <c r="J162" s="4" t="s">
        <v>183</v>
      </c>
      <c r="K162" s="4" t="s">
        <v>184</v>
      </c>
      <c r="L162" s="4">
        <v>24</v>
      </c>
      <c r="M162" s="4">
        <v>24</v>
      </c>
      <c r="N162" s="4">
        <v>24</v>
      </c>
      <c r="O162" s="4">
        <v>24</v>
      </c>
      <c r="P162" s="4" t="s">
        <v>190</v>
      </c>
      <c r="Q162" s="4"/>
      <c r="R162" s="4" t="s">
        <v>1740</v>
      </c>
      <c r="S162" s="4"/>
      <c r="T162" s="4" t="s">
        <v>1741</v>
      </c>
      <c r="U162" s="5">
        <v>41053</v>
      </c>
      <c r="V162" s="4">
        <v>24</v>
      </c>
      <c r="W162" s="4">
        <v>5</v>
      </c>
      <c r="X162" s="4">
        <v>2012</v>
      </c>
      <c r="Y162" s="4" t="s">
        <v>1742</v>
      </c>
      <c r="Z162" s="4" t="s">
        <v>72</v>
      </c>
      <c r="AA162" s="4">
        <v>29.390180000000001</v>
      </c>
      <c r="AB162" s="4">
        <v>-82.129900000000006</v>
      </c>
      <c r="AC162" s="4"/>
      <c r="AD162" s="4" t="s">
        <v>73</v>
      </c>
      <c r="AE162" s="4" t="s">
        <v>74</v>
      </c>
      <c r="AF162" s="4"/>
      <c r="AG162" s="4"/>
      <c r="AH162" s="4"/>
      <c r="AI162" s="4"/>
      <c r="AJ162" s="4"/>
      <c r="AK162" s="4"/>
      <c r="AL162" s="4"/>
      <c r="AM162" s="4"/>
      <c r="AN162" s="4"/>
      <c r="AO162" s="4" t="s">
        <v>76</v>
      </c>
      <c r="AP162" s="20" t="str">
        <f t="shared" si="18"/>
        <v>13</v>
      </c>
      <c r="AQ162" s="4"/>
      <c r="AR162" s="4"/>
      <c r="AS162" s="4"/>
      <c r="AT162" s="4"/>
      <c r="AU162" s="4" t="s">
        <v>141</v>
      </c>
      <c r="AV162" s="20" t="str">
        <f t="shared" si="19"/>
        <v>18.5</v>
      </c>
      <c r="AW162" s="4"/>
      <c r="AX162" s="4"/>
      <c r="AY162" s="4"/>
      <c r="AZ162" s="4"/>
      <c r="BA162" s="4"/>
      <c r="BB162" s="4"/>
      <c r="BC162" s="4"/>
      <c r="BD162" s="4" t="s">
        <v>1639</v>
      </c>
      <c r="BF162" s="4"/>
      <c r="BG162" s="4"/>
      <c r="BH162" s="4" t="s">
        <v>83</v>
      </c>
      <c r="BI162" s="4"/>
      <c r="BJ162" s="4"/>
      <c r="BK162" s="4"/>
      <c r="BL162" s="4" t="s">
        <v>84</v>
      </c>
      <c r="BM162" s="20" t="str">
        <f t="shared" si="15"/>
        <v>78</v>
      </c>
      <c r="BN162" s="4" t="s">
        <v>181</v>
      </c>
      <c r="BO162" s="20" t="str">
        <f t="shared" si="16"/>
        <v>160</v>
      </c>
      <c r="BP162" s="4"/>
      <c r="BQ162" s="4" t="s">
        <v>224</v>
      </c>
      <c r="BR162" s="20" t="str">
        <f t="shared" si="20"/>
        <v>14.25</v>
      </c>
      <c r="BS162" s="21">
        <f t="shared" si="17"/>
        <v>82</v>
      </c>
    </row>
    <row r="163" spans="1:72" x14ac:dyDescent="0.2">
      <c r="A163" s="7" t="s">
        <v>63</v>
      </c>
      <c r="B163" s="7" t="s">
        <v>2180</v>
      </c>
      <c r="C163" s="7" t="s">
        <v>106</v>
      </c>
      <c r="D163" s="7" t="s">
        <v>64</v>
      </c>
      <c r="E163" s="7" t="s">
        <v>65</v>
      </c>
      <c r="F163" s="7" t="s">
        <v>64</v>
      </c>
      <c r="G163" s="7" t="s">
        <v>66</v>
      </c>
      <c r="H163" s="7" t="s">
        <v>67</v>
      </c>
      <c r="I163" s="7" t="s">
        <v>68</v>
      </c>
      <c r="J163" s="7" t="s">
        <v>69</v>
      </c>
      <c r="K163" s="7" t="s">
        <v>70</v>
      </c>
      <c r="L163" s="7">
        <v>845</v>
      </c>
      <c r="M163" s="7">
        <v>845</v>
      </c>
      <c r="N163" s="7">
        <v>845</v>
      </c>
      <c r="O163" s="7">
        <v>845</v>
      </c>
      <c r="P163" s="7" t="s">
        <v>107</v>
      </c>
      <c r="Q163" s="7"/>
      <c r="R163" s="7" t="s">
        <v>108</v>
      </c>
      <c r="S163" s="7"/>
      <c r="T163" s="7" t="s">
        <v>109</v>
      </c>
      <c r="U163" s="8">
        <v>41060</v>
      </c>
      <c r="V163" s="7">
        <v>31</v>
      </c>
      <c r="W163" s="7">
        <v>5</v>
      </c>
      <c r="X163" s="7">
        <v>2012</v>
      </c>
      <c r="Y163" s="7" t="s">
        <v>110</v>
      </c>
      <c r="Z163" s="7" t="s">
        <v>72</v>
      </c>
      <c r="AA163" s="7">
        <v>32.170020000000001</v>
      </c>
      <c r="AB163" s="7">
        <v>-110.78325</v>
      </c>
      <c r="AC163" s="7"/>
      <c r="AD163" s="7" t="s">
        <v>96</v>
      </c>
      <c r="AE163" s="7" t="s">
        <v>74</v>
      </c>
      <c r="AF163" s="7"/>
      <c r="AG163" s="7"/>
      <c r="AH163" s="7"/>
      <c r="AI163" s="7"/>
      <c r="AJ163" s="7"/>
      <c r="AK163" s="7"/>
      <c r="AL163" s="7"/>
      <c r="AM163" s="7"/>
      <c r="AN163" s="7"/>
      <c r="AO163" s="7" t="s">
        <v>87</v>
      </c>
      <c r="AP163" s="20" t="str">
        <f t="shared" si="18"/>
        <v>14</v>
      </c>
      <c r="AQ163" s="7"/>
      <c r="AR163" s="7"/>
      <c r="AS163" s="7"/>
      <c r="AT163" s="7"/>
      <c r="AU163" s="7" t="s">
        <v>111</v>
      </c>
      <c r="AV163" s="20" t="str">
        <f t="shared" si="19"/>
        <v>20</v>
      </c>
      <c r="AW163" s="7"/>
      <c r="AX163" s="7"/>
      <c r="AY163" s="7"/>
      <c r="AZ163" s="7"/>
      <c r="BA163" s="7"/>
      <c r="BB163" s="7"/>
      <c r="BC163" s="7"/>
      <c r="BD163" s="7" t="s">
        <v>112</v>
      </c>
      <c r="BF163" s="7"/>
      <c r="BG163" s="7"/>
      <c r="BH163" s="7" t="s">
        <v>83</v>
      </c>
      <c r="BI163" s="7"/>
      <c r="BJ163" s="7"/>
      <c r="BK163" s="7"/>
      <c r="BL163" s="7" t="s">
        <v>113</v>
      </c>
      <c r="BM163" s="20" t="str">
        <f t="shared" si="15"/>
        <v>90</v>
      </c>
      <c r="BN163" s="7" t="s">
        <v>114</v>
      </c>
      <c r="BO163" s="20" t="str">
        <f t="shared" si="16"/>
        <v>172</v>
      </c>
      <c r="BP163" s="7"/>
      <c r="BQ163" s="7" t="s">
        <v>115</v>
      </c>
      <c r="BR163" s="20" t="str">
        <f t="shared" si="20"/>
        <v>17.25</v>
      </c>
      <c r="BS163" s="21">
        <f t="shared" si="17"/>
        <v>82</v>
      </c>
    </row>
    <row r="164" spans="1:72" x14ac:dyDescent="0.2">
      <c r="A164" s="13" t="s">
        <v>63</v>
      </c>
      <c r="B164" s="13"/>
      <c r="C164" s="13" t="s">
        <v>1989</v>
      </c>
      <c r="D164" s="13" t="s">
        <v>64</v>
      </c>
      <c r="E164" s="13" t="s">
        <v>65</v>
      </c>
      <c r="F164" s="13" t="s">
        <v>64</v>
      </c>
      <c r="G164" s="13" t="s">
        <v>1886</v>
      </c>
      <c r="H164" s="13" t="s">
        <v>212</v>
      </c>
      <c r="I164" s="13" t="s">
        <v>1887</v>
      </c>
      <c r="J164" s="13" t="s">
        <v>1949</v>
      </c>
      <c r="K164" s="13"/>
      <c r="L164" s="13">
        <v>2815</v>
      </c>
      <c r="M164" s="13">
        <v>2815</v>
      </c>
      <c r="N164" s="13">
        <v>2815</v>
      </c>
      <c r="O164" s="13">
        <v>2815</v>
      </c>
      <c r="P164" s="13" t="s">
        <v>1990</v>
      </c>
      <c r="Q164" s="13"/>
      <c r="R164" s="13" t="s">
        <v>1985</v>
      </c>
      <c r="S164" s="13"/>
      <c r="T164" s="13" t="s">
        <v>1986</v>
      </c>
      <c r="U164" s="14">
        <v>41873</v>
      </c>
      <c r="V164" s="13">
        <v>22</v>
      </c>
      <c r="W164" s="13">
        <v>8</v>
      </c>
      <c r="X164" s="13">
        <v>2014</v>
      </c>
      <c r="Y164" s="13">
        <f>-17.6442166667/-65.9884333333</f>
        <v>0.26738347579159955</v>
      </c>
      <c r="Z164" s="13" t="s">
        <v>72</v>
      </c>
      <c r="AA164" s="13">
        <v>-17.6442166667</v>
      </c>
      <c r="AB164" s="13">
        <v>-65.988433333299994</v>
      </c>
      <c r="AC164" s="13">
        <v>100</v>
      </c>
      <c r="AD164" s="13" t="s">
        <v>73</v>
      </c>
      <c r="AE164" s="13" t="s">
        <v>74</v>
      </c>
      <c r="AF164" s="13"/>
      <c r="AG164" s="13"/>
      <c r="AH164" s="13"/>
      <c r="AI164" s="13" t="s">
        <v>203</v>
      </c>
      <c r="AJ164" s="13"/>
      <c r="AK164" s="13"/>
      <c r="AL164" s="13"/>
      <c r="AM164" s="13"/>
      <c r="AN164" s="13"/>
      <c r="AO164" s="13" t="s">
        <v>1130</v>
      </c>
      <c r="AP164" s="20" t="str">
        <f t="shared" si="18"/>
        <v>13.8</v>
      </c>
      <c r="AQ164" s="13"/>
      <c r="AR164" s="13"/>
      <c r="AS164" s="13"/>
      <c r="AT164" s="13"/>
      <c r="AU164" s="13" t="s">
        <v>1076</v>
      </c>
      <c r="AV164" s="20" t="str">
        <f t="shared" si="19"/>
        <v>18.2</v>
      </c>
      <c r="AW164" s="13"/>
      <c r="AX164" s="13"/>
      <c r="AY164" s="13"/>
      <c r="AZ164" s="13"/>
      <c r="BA164" s="13"/>
      <c r="BB164" s="13"/>
      <c r="BC164" s="13"/>
      <c r="BD164" s="13" t="s">
        <v>1991</v>
      </c>
      <c r="BF164" s="13"/>
      <c r="BG164" s="13"/>
      <c r="BH164" s="13" t="s">
        <v>83</v>
      </c>
      <c r="BI164" s="13"/>
      <c r="BJ164" s="13"/>
      <c r="BK164" s="13"/>
      <c r="BL164" s="13" t="s">
        <v>98</v>
      </c>
      <c r="BM164" s="20" t="str">
        <f t="shared" si="15"/>
        <v>76</v>
      </c>
      <c r="BN164" s="13" t="s">
        <v>569</v>
      </c>
      <c r="BO164" s="20" t="str">
        <f t="shared" si="16"/>
        <v>158</v>
      </c>
      <c r="BP164" s="13"/>
      <c r="BQ164" s="13" t="s">
        <v>1992</v>
      </c>
      <c r="BR164" s="20" t="str">
        <f t="shared" si="20"/>
        <v>11.8</v>
      </c>
      <c r="BS164" s="21">
        <f t="shared" si="17"/>
        <v>82</v>
      </c>
    </row>
    <row r="165" spans="1:72" x14ac:dyDescent="0.2">
      <c r="A165" s="7" t="s">
        <v>63</v>
      </c>
      <c r="B165" s="7" t="s">
        <v>2199</v>
      </c>
      <c r="C165" s="7" t="s">
        <v>1295</v>
      </c>
      <c r="D165" s="7" t="s">
        <v>64</v>
      </c>
      <c r="E165" s="7" t="s">
        <v>65</v>
      </c>
      <c r="F165" s="7" t="s">
        <v>64</v>
      </c>
      <c r="G165" s="7" t="s">
        <v>615</v>
      </c>
      <c r="H165" s="7" t="s">
        <v>67</v>
      </c>
      <c r="I165" s="7" t="s">
        <v>68</v>
      </c>
      <c r="J165" s="7" t="s">
        <v>1136</v>
      </c>
      <c r="K165" s="7" t="s">
        <v>1210</v>
      </c>
      <c r="L165" s="7">
        <v>1176</v>
      </c>
      <c r="M165" s="7">
        <v>1176</v>
      </c>
      <c r="N165" s="7">
        <v>3857</v>
      </c>
      <c r="O165" s="7">
        <v>3857</v>
      </c>
      <c r="P165" s="7" t="s">
        <v>1296</v>
      </c>
      <c r="Q165" s="7"/>
      <c r="R165" s="7" t="s">
        <v>1297</v>
      </c>
      <c r="S165" s="7" t="s">
        <v>1298</v>
      </c>
      <c r="T165" s="7" t="s">
        <v>1299</v>
      </c>
      <c r="U165" s="9">
        <v>41072</v>
      </c>
      <c r="V165" s="7">
        <v>12</v>
      </c>
      <c r="W165" s="7">
        <v>6</v>
      </c>
      <c r="X165" s="7">
        <v>2012</v>
      </c>
      <c r="Y165" s="7" t="s">
        <v>1300</v>
      </c>
      <c r="Z165" s="7" t="s">
        <v>72</v>
      </c>
      <c r="AA165" s="7">
        <v>37.2069333333</v>
      </c>
      <c r="AB165" s="7">
        <v>-113.617</v>
      </c>
      <c r="AC165" s="7"/>
      <c r="AD165" s="7" t="s">
        <v>73</v>
      </c>
      <c r="AE165" s="7" t="s">
        <v>74</v>
      </c>
      <c r="AF165" s="7"/>
      <c r="AG165" s="7"/>
      <c r="AH165" s="7"/>
      <c r="AI165" s="7" t="s">
        <v>75</v>
      </c>
      <c r="AJ165" s="7"/>
      <c r="AK165" s="7"/>
      <c r="AL165" s="7"/>
      <c r="AM165" s="7"/>
      <c r="AN165" s="7"/>
      <c r="AO165" s="7" t="s">
        <v>1097</v>
      </c>
      <c r="AP165" s="20" t="str">
        <f t="shared" si="18"/>
        <v>14.1</v>
      </c>
      <c r="AQ165" s="7"/>
      <c r="AR165" s="7"/>
      <c r="AS165" s="7"/>
      <c r="AT165" s="7"/>
      <c r="AU165" s="7" t="s">
        <v>1256</v>
      </c>
      <c r="AV165" s="20" t="str">
        <f t="shared" si="19"/>
        <v>17.1</v>
      </c>
      <c r="AW165" s="7"/>
      <c r="AX165" s="7"/>
      <c r="AY165" s="7"/>
      <c r="AZ165" s="7"/>
      <c r="BA165" s="7"/>
      <c r="BB165" s="7"/>
      <c r="BC165" s="7"/>
      <c r="BD165" s="7" t="s">
        <v>1301</v>
      </c>
      <c r="BF165" s="7"/>
      <c r="BG165" s="7"/>
      <c r="BH165" s="7" t="s">
        <v>78</v>
      </c>
      <c r="BI165" s="7"/>
      <c r="BJ165" s="7"/>
      <c r="BK165" s="7"/>
      <c r="BL165" s="7" t="s">
        <v>1302</v>
      </c>
      <c r="BM165" s="20" t="str">
        <f t="shared" si="15"/>
        <v>75.5</v>
      </c>
      <c r="BN165" s="7" t="s">
        <v>569</v>
      </c>
      <c r="BO165" s="20" t="str">
        <f t="shared" si="16"/>
        <v>158</v>
      </c>
      <c r="BP165" s="7"/>
      <c r="BQ165" s="7" t="s">
        <v>988</v>
      </c>
      <c r="BR165" s="20" t="str">
        <f t="shared" si="20"/>
        <v>14.4</v>
      </c>
      <c r="BS165" s="21">
        <f t="shared" si="17"/>
        <v>82.5</v>
      </c>
    </row>
    <row r="166" spans="1:72" x14ac:dyDescent="0.2">
      <c r="A166" s="4" t="s">
        <v>63</v>
      </c>
      <c r="B166" s="4" t="s">
        <v>2129</v>
      </c>
      <c r="C166" s="4" t="s">
        <v>1584</v>
      </c>
      <c r="D166" s="4" t="s">
        <v>64</v>
      </c>
      <c r="E166" s="4" t="s">
        <v>65</v>
      </c>
      <c r="F166" s="4" t="s">
        <v>64</v>
      </c>
      <c r="G166" s="4" t="s">
        <v>134</v>
      </c>
      <c r="H166" s="4" t="s">
        <v>67</v>
      </c>
      <c r="I166" s="4" t="s">
        <v>68</v>
      </c>
      <c r="J166" s="4" t="s">
        <v>183</v>
      </c>
      <c r="K166" s="4" t="s">
        <v>1579</v>
      </c>
      <c r="L166" s="4">
        <v>92</v>
      </c>
      <c r="M166" s="4">
        <v>92</v>
      </c>
      <c r="N166" s="4">
        <v>92</v>
      </c>
      <c r="O166" s="4">
        <v>92</v>
      </c>
      <c r="P166" s="4" t="s">
        <v>538</v>
      </c>
      <c r="Q166" s="4"/>
      <c r="R166" s="4" t="s">
        <v>1585</v>
      </c>
      <c r="S166" s="4"/>
      <c r="T166" s="4" t="s">
        <v>1586</v>
      </c>
      <c r="U166" s="5">
        <v>41057</v>
      </c>
      <c r="V166" s="4">
        <v>28</v>
      </c>
      <c r="W166" s="4">
        <v>5</v>
      </c>
      <c r="X166" s="4">
        <v>2012</v>
      </c>
      <c r="Y166" s="4" t="s">
        <v>1587</v>
      </c>
      <c r="Z166" s="4" t="s">
        <v>72</v>
      </c>
      <c r="AA166" s="4">
        <v>29.782800000000002</v>
      </c>
      <c r="AB166" s="4">
        <v>-82.375500000000002</v>
      </c>
      <c r="AC166" s="4"/>
      <c r="AD166" s="4" t="s">
        <v>73</v>
      </c>
      <c r="AE166" s="4" t="s">
        <v>74</v>
      </c>
      <c r="AF166" s="4"/>
      <c r="AG166" s="4"/>
      <c r="AH166" s="4"/>
      <c r="AI166" s="4"/>
      <c r="AJ166" s="4"/>
      <c r="AK166" s="4"/>
      <c r="AL166" s="4"/>
      <c r="AM166" s="4"/>
      <c r="AN166" s="4"/>
      <c r="AO166" s="4" t="s">
        <v>87</v>
      </c>
      <c r="AP166" s="20" t="str">
        <f t="shared" si="18"/>
        <v>14</v>
      </c>
      <c r="AQ166" s="4"/>
      <c r="AR166" s="4"/>
      <c r="AS166" s="4"/>
      <c r="AT166" s="4"/>
      <c r="AU166" s="4" t="s">
        <v>121</v>
      </c>
      <c r="AV166" s="20" t="str">
        <f t="shared" si="19"/>
        <v>18</v>
      </c>
      <c r="AW166" s="4"/>
      <c r="AX166" s="4"/>
      <c r="AY166" s="4"/>
      <c r="AZ166" s="4"/>
      <c r="BA166" s="4"/>
      <c r="BB166" s="4"/>
      <c r="BC166" s="4"/>
      <c r="BD166" s="4" t="s">
        <v>1588</v>
      </c>
      <c r="BF166" s="4"/>
      <c r="BG166" s="4"/>
      <c r="BH166" s="4" t="s">
        <v>83</v>
      </c>
      <c r="BI166" s="4"/>
      <c r="BJ166" s="4"/>
      <c r="BK166" s="4"/>
      <c r="BL166" s="4" t="s">
        <v>160</v>
      </c>
      <c r="BM166" s="20" t="str">
        <f t="shared" si="15"/>
        <v>86</v>
      </c>
      <c r="BN166" s="4" t="s">
        <v>657</v>
      </c>
      <c r="BO166" s="20" t="str">
        <f t="shared" si="16"/>
        <v>168.5</v>
      </c>
      <c r="BP166" s="4"/>
      <c r="BQ166" s="4" t="s">
        <v>133</v>
      </c>
      <c r="BR166" s="20" t="str">
        <f t="shared" si="20"/>
        <v>14</v>
      </c>
      <c r="BS166" s="21">
        <f t="shared" si="17"/>
        <v>82.5</v>
      </c>
    </row>
    <row r="167" spans="1:72" x14ac:dyDescent="0.2">
      <c r="A167" s="13" t="s">
        <v>63</v>
      </c>
      <c r="B167" s="13"/>
      <c r="C167" s="13" t="s">
        <v>729</v>
      </c>
      <c r="D167" s="13" t="s">
        <v>64</v>
      </c>
      <c r="E167" s="13" t="s">
        <v>65</v>
      </c>
      <c r="F167" s="13" t="s">
        <v>64</v>
      </c>
      <c r="G167" s="13" t="s">
        <v>211</v>
      </c>
      <c r="H167" s="13" t="s">
        <v>212</v>
      </c>
      <c r="I167" s="13" t="s">
        <v>701</v>
      </c>
      <c r="J167" s="13" t="s">
        <v>702</v>
      </c>
      <c r="K167" s="13"/>
      <c r="L167" s="13">
        <v>2351</v>
      </c>
      <c r="M167" s="13">
        <v>2351</v>
      </c>
      <c r="N167" s="13">
        <v>2351</v>
      </c>
      <c r="O167" s="13">
        <v>2351</v>
      </c>
      <c r="P167" s="13" t="s">
        <v>730</v>
      </c>
      <c r="Q167" s="13"/>
      <c r="R167" s="13" t="s">
        <v>731</v>
      </c>
      <c r="S167" s="13"/>
      <c r="T167" s="13" t="s">
        <v>732</v>
      </c>
      <c r="U167" s="14">
        <v>41222</v>
      </c>
      <c r="V167" s="13">
        <v>9</v>
      </c>
      <c r="W167" s="13">
        <v>11</v>
      </c>
      <c r="X167" s="13">
        <v>2012</v>
      </c>
      <c r="Y167" s="13">
        <f>-0.2161666667/-78.4057</f>
        <v>2.7570274444332493E-3</v>
      </c>
      <c r="Z167" s="13" t="s">
        <v>72</v>
      </c>
      <c r="AA167" s="13">
        <v>-0.21616666670000001</v>
      </c>
      <c r="AB167" s="13">
        <v>-78.405699999999996</v>
      </c>
      <c r="AC167" s="13"/>
      <c r="AD167" s="13" t="s">
        <v>96</v>
      </c>
      <c r="AE167" s="13" t="s">
        <v>74</v>
      </c>
      <c r="AF167" s="13"/>
      <c r="AG167" s="13"/>
      <c r="AH167" s="13"/>
      <c r="AI167" s="13" t="s">
        <v>75</v>
      </c>
      <c r="AJ167" s="13"/>
      <c r="AK167" s="13"/>
      <c r="AL167" s="13"/>
      <c r="AM167" s="13"/>
      <c r="AN167" s="13"/>
      <c r="AO167" s="13" t="s">
        <v>130</v>
      </c>
      <c r="AP167" s="20" t="str">
        <f t="shared" si="18"/>
        <v>19</v>
      </c>
      <c r="AQ167" s="13"/>
      <c r="AR167" s="13"/>
      <c r="AS167" s="13"/>
      <c r="AT167" s="13"/>
      <c r="AU167" s="13" t="s">
        <v>344</v>
      </c>
      <c r="AV167" s="20" t="str">
        <f t="shared" si="19"/>
        <v>16</v>
      </c>
      <c r="AW167" s="13"/>
      <c r="AX167" s="13"/>
      <c r="AY167" s="13"/>
      <c r="AZ167" s="13"/>
      <c r="BA167" s="13"/>
      <c r="BB167" s="13"/>
      <c r="BC167" s="13"/>
      <c r="BD167" s="13" t="s">
        <v>258</v>
      </c>
      <c r="BF167" s="13"/>
      <c r="BG167" s="13"/>
      <c r="BH167" s="13" t="s">
        <v>78</v>
      </c>
      <c r="BI167" s="13"/>
      <c r="BJ167" s="13"/>
      <c r="BK167" s="13"/>
      <c r="BL167" s="13" t="s">
        <v>194</v>
      </c>
      <c r="BM167" s="20" t="str">
        <f t="shared" si="15"/>
        <v>79</v>
      </c>
      <c r="BN167" s="13" t="s">
        <v>407</v>
      </c>
      <c r="BO167" s="20" t="str">
        <f t="shared" si="16"/>
        <v>162</v>
      </c>
      <c r="BP167" s="13"/>
      <c r="BQ167" s="13" t="s">
        <v>408</v>
      </c>
      <c r="BR167" s="20" t="str">
        <f t="shared" si="20"/>
        <v>12</v>
      </c>
      <c r="BS167" s="21">
        <f t="shared" si="17"/>
        <v>83</v>
      </c>
    </row>
    <row r="168" spans="1:72" x14ac:dyDescent="0.2">
      <c r="A168" t="s">
        <v>63</v>
      </c>
      <c r="C168" t="s">
        <v>1418</v>
      </c>
      <c r="D168" t="s">
        <v>64</v>
      </c>
      <c r="E168" t="s">
        <v>65</v>
      </c>
      <c r="F168" t="s">
        <v>64</v>
      </c>
      <c r="G168" t="s">
        <v>211</v>
      </c>
      <c r="H168" t="s">
        <v>212</v>
      </c>
      <c r="I168" t="s">
        <v>701</v>
      </c>
      <c r="J168" t="s">
        <v>702</v>
      </c>
      <c r="L168">
        <v>1599</v>
      </c>
      <c r="M168">
        <v>1599</v>
      </c>
      <c r="N168">
        <v>5246</v>
      </c>
      <c r="O168">
        <v>5246</v>
      </c>
      <c r="P168" t="s">
        <v>1412</v>
      </c>
      <c r="R168" t="s">
        <v>1413</v>
      </c>
      <c r="T168" t="s">
        <v>1414</v>
      </c>
      <c r="U168" s="2">
        <v>41247</v>
      </c>
      <c r="V168">
        <v>4</v>
      </c>
      <c r="W168">
        <v>12</v>
      </c>
      <c r="X168">
        <v>2012</v>
      </c>
      <c r="Y168" t="s">
        <v>1415</v>
      </c>
      <c r="Z168" t="s">
        <v>72</v>
      </c>
      <c r="AA168">
        <v>6.2183333299999997E-2</v>
      </c>
      <c r="AB168">
        <v>-78.682019444399998</v>
      </c>
      <c r="AD168" t="s">
        <v>96</v>
      </c>
      <c r="AE168" t="s">
        <v>74</v>
      </c>
      <c r="AI168" t="s">
        <v>75</v>
      </c>
      <c r="AO168" t="s">
        <v>88</v>
      </c>
      <c r="AP168" s="20" t="str">
        <f t="shared" si="18"/>
        <v>15</v>
      </c>
      <c r="AU168" t="s">
        <v>121</v>
      </c>
      <c r="AV168" s="20" t="str">
        <f t="shared" si="19"/>
        <v>18</v>
      </c>
      <c r="BD168" t="s">
        <v>258</v>
      </c>
      <c r="BH168" t="s">
        <v>78</v>
      </c>
      <c r="BL168" t="s">
        <v>712</v>
      </c>
      <c r="BM168" s="20" t="str">
        <f t="shared" si="15"/>
        <v>71</v>
      </c>
      <c r="BN168" t="s">
        <v>254</v>
      </c>
      <c r="BO168" s="20" t="str">
        <f t="shared" si="16"/>
        <v>154</v>
      </c>
      <c r="BQ168" t="s">
        <v>512</v>
      </c>
      <c r="BR168" s="20" t="str">
        <f t="shared" si="20"/>
        <v>13.5</v>
      </c>
      <c r="BS168" s="21">
        <f t="shared" si="17"/>
        <v>83</v>
      </c>
      <c r="BT168" s="10"/>
    </row>
    <row r="169" spans="1:72" x14ac:dyDescent="0.2">
      <c r="A169" s="4" t="s">
        <v>63</v>
      </c>
      <c r="B169" s="4" t="s">
        <v>2176</v>
      </c>
      <c r="C169" s="4" t="s">
        <v>1693</v>
      </c>
      <c r="D169" s="4" t="s">
        <v>64</v>
      </c>
      <c r="E169" s="4" t="s">
        <v>65</v>
      </c>
      <c r="F169" s="4" t="s">
        <v>64</v>
      </c>
      <c r="G169" s="4" t="s">
        <v>134</v>
      </c>
      <c r="H169" s="4" t="s">
        <v>67</v>
      </c>
      <c r="I169" s="4" t="s">
        <v>68</v>
      </c>
      <c r="J169" s="4" t="s">
        <v>1618</v>
      </c>
      <c r="K169" s="4" t="s">
        <v>1619</v>
      </c>
      <c r="L169" s="4">
        <v>110</v>
      </c>
      <c r="M169" s="4">
        <v>110</v>
      </c>
      <c r="N169" s="4">
        <v>110</v>
      </c>
      <c r="O169" s="4">
        <v>110</v>
      </c>
      <c r="P169" s="4" t="s">
        <v>1694</v>
      </c>
      <c r="Q169" s="4"/>
      <c r="R169" s="4" t="s">
        <v>1695</v>
      </c>
      <c r="S169" s="4"/>
      <c r="T169" s="4" t="s">
        <v>1696</v>
      </c>
      <c r="U169" s="5">
        <v>41110</v>
      </c>
      <c r="V169" s="4">
        <v>20</v>
      </c>
      <c r="W169" s="4">
        <v>7</v>
      </c>
      <c r="X169" s="4">
        <v>2012</v>
      </c>
      <c r="Y169" s="4" t="s">
        <v>1697</v>
      </c>
      <c r="Z169" s="4" t="s">
        <v>72</v>
      </c>
      <c r="AA169" s="4">
        <v>44.112020000000001</v>
      </c>
      <c r="AB169" s="4">
        <v>-72.045429999999996</v>
      </c>
      <c r="AC169" s="4"/>
      <c r="AD169" s="4" t="s">
        <v>73</v>
      </c>
      <c r="AE169" s="4" t="s">
        <v>74</v>
      </c>
      <c r="AF169" s="4"/>
      <c r="AG169" s="4"/>
      <c r="AH169" s="4"/>
      <c r="AI169" s="4"/>
      <c r="AJ169" s="4"/>
      <c r="AK169" s="4"/>
      <c r="AL169" s="4"/>
      <c r="AM169" s="4"/>
      <c r="AN169" s="4"/>
      <c r="AO169" s="4" t="s">
        <v>87</v>
      </c>
      <c r="AP169" s="20" t="str">
        <f t="shared" si="18"/>
        <v>14</v>
      </c>
      <c r="AQ169" s="4"/>
      <c r="AR169" s="4"/>
      <c r="AS169" s="4"/>
      <c r="AT169" s="4"/>
      <c r="AU169" s="4" t="s">
        <v>130</v>
      </c>
      <c r="AV169" s="20" t="str">
        <f t="shared" si="19"/>
        <v>19</v>
      </c>
      <c r="AW169" s="4"/>
      <c r="AX169" s="4"/>
      <c r="AY169" s="4"/>
      <c r="AZ169" s="4"/>
      <c r="BA169" s="4"/>
      <c r="BB169" s="4"/>
      <c r="BC169" s="4"/>
      <c r="BD169" s="4" t="s">
        <v>152</v>
      </c>
      <c r="BF169" s="4"/>
      <c r="BG169" s="4"/>
      <c r="BH169" s="4" t="s">
        <v>78</v>
      </c>
      <c r="BI169" s="4"/>
      <c r="BJ169" s="4"/>
      <c r="BK169" s="4"/>
      <c r="BL169" s="4" t="s">
        <v>313</v>
      </c>
      <c r="BM169" s="20" t="str">
        <f t="shared" si="15"/>
        <v>89</v>
      </c>
      <c r="BN169" s="4" t="s">
        <v>114</v>
      </c>
      <c r="BO169" s="20" t="str">
        <f t="shared" si="16"/>
        <v>172</v>
      </c>
      <c r="BP169" s="4"/>
      <c r="BQ169" s="4" t="s">
        <v>1698</v>
      </c>
      <c r="BR169" s="20" t="str">
        <f t="shared" si="20"/>
        <v>19.13</v>
      </c>
      <c r="BS169" s="21">
        <f t="shared" si="17"/>
        <v>83</v>
      </c>
    </row>
    <row r="170" spans="1:72" x14ac:dyDescent="0.2">
      <c r="A170" s="10" t="s">
        <v>63</v>
      </c>
      <c r="B170" s="10" t="s">
        <v>2240</v>
      </c>
      <c r="C170" s="10" t="s">
        <v>210</v>
      </c>
      <c r="D170" s="10" t="s">
        <v>64</v>
      </c>
      <c r="E170" s="10" t="s">
        <v>65</v>
      </c>
      <c r="F170" s="10" t="s">
        <v>64</v>
      </c>
      <c r="G170" s="10" t="s">
        <v>211</v>
      </c>
      <c r="H170" s="10" t="s">
        <v>212</v>
      </c>
      <c r="I170" s="10" t="s">
        <v>213</v>
      </c>
      <c r="J170" s="10" t="s">
        <v>214</v>
      </c>
      <c r="K170" s="10"/>
      <c r="L170" s="10">
        <v>203</v>
      </c>
      <c r="M170" s="10">
        <v>203</v>
      </c>
      <c r="N170" s="10">
        <v>666</v>
      </c>
      <c r="O170" s="10">
        <v>666</v>
      </c>
      <c r="P170" s="10" t="s">
        <v>215</v>
      </c>
      <c r="Q170" s="10"/>
      <c r="R170" s="10" t="s">
        <v>216</v>
      </c>
      <c r="S170" s="10" t="s">
        <v>217</v>
      </c>
      <c r="T170" s="10" t="s">
        <v>218</v>
      </c>
      <c r="U170" s="11">
        <v>41312</v>
      </c>
      <c r="V170" s="10">
        <v>7</v>
      </c>
      <c r="W170" s="10">
        <v>2</v>
      </c>
      <c r="X170" s="10">
        <v>2013</v>
      </c>
      <c r="Y170" s="10">
        <f>-37.2898166667/-59.1544</f>
        <v>0.63038111563467802</v>
      </c>
      <c r="Z170" s="10" t="s">
        <v>72</v>
      </c>
      <c r="AA170" s="10">
        <v>-37.289816666699998</v>
      </c>
      <c r="AB170" s="10">
        <v>-59.154400000000003</v>
      </c>
      <c r="AC170" s="10"/>
      <c r="AD170" s="10" t="s">
        <v>73</v>
      </c>
      <c r="AE170" s="10" t="s">
        <v>74</v>
      </c>
      <c r="AF170" s="10"/>
      <c r="AG170" s="10"/>
      <c r="AH170" s="10"/>
      <c r="AI170" s="10"/>
      <c r="AJ170" s="10"/>
      <c r="AK170" s="10"/>
      <c r="AL170" s="10"/>
      <c r="AM170" s="10"/>
      <c r="AN170" s="10"/>
      <c r="AO170" s="10" t="s">
        <v>87</v>
      </c>
      <c r="AP170" s="20" t="str">
        <f t="shared" si="18"/>
        <v>14</v>
      </c>
      <c r="AQ170" s="10"/>
      <c r="AR170" s="10"/>
      <c r="AS170" s="10"/>
      <c r="AT170" s="10"/>
      <c r="AU170" s="10" t="s">
        <v>121</v>
      </c>
      <c r="AV170" s="20" t="str">
        <f t="shared" si="19"/>
        <v>18</v>
      </c>
      <c r="AW170" s="10"/>
      <c r="AX170" s="10"/>
      <c r="AY170" s="10"/>
      <c r="AZ170" s="10"/>
      <c r="BA170" s="10"/>
      <c r="BB170" s="10"/>
      <c r="BC170" s="10"/>
      <c r="BD170" s="10" t="s">
        <v>219</v>
      </c>
      <c r="BE170" s="20" t="s">
        <v>241</v>
      </c>
      <c r="BF170" s="10"/>
      <c r="BG170" s="10"/>
      <c r="BH170" s="10" t="s">
        <v>78</v>
      </c>
      <c r="BI170" s="10"/>
      <c r="BJ170" s="10"/>
      <c r="BK170" s="10"/>
      <c r="BL170" s="10" t="s">
        <v>174</v>
      </c>
      <c r="BM170" s="20" t="str">
        <f t="shared" si="15"/>
        <v>83</v>
      </c>
      <c r="BN170" s="10" t="s">
        <v>148</v>
      </c>
      <c r="BO170" s="20" t="str">
        <f t="shared" si="16"/>
        <v>166</v>
      </c>
      <c r="BP170" s="10"/>
      <c r="BQ170" s="10" t="s">
        <v>133</v>
      </c>
      <c r="BR170" s="20" t="str">
        <f t="shared" si="20"/>
        <v>14</v>
      </c>
      <c r="BS170" s="21">
        <f t="shared" si="17"/>
        <v>83</v>
      </c>
    </row>
    <row r="171" spans="1:72" x14ac:dyDescent="0.2">
      <c r="A171" s="13" t="s">
        <v>63</v>
      </c>
      <c r="B171" s="13"/>
      <c r="C171" s="13" t="s">
        <v>1350</v>
      </c>
      <c r="D171" s="13" t="s">
        <v>64</v>
      </c>
      <c r="E171" s="13" t="s">
        <v>65</v>
      </c>
      <c r="F171" s="13" t="s">
        <v>64</v>
      </c>
      <c r="G171" s="13" t="s">
        <v>211</v>
      </c>
      <c r="H171" s="13" t="s">
        <v>212</v>
      </c>
      <c r="I171" s="13" t="s">
        <v>701</v>
      </c>
      <c r="J171" s="13" t="s">
        <v>702</v>
      </c>
      <c r="K171" s="13"/>
      <c r="L171" s="13">
        <v>3050</v>
      </c>
      <c r="M171" s="13">
        <v>3050</v>
      </c>
      <c r="N171" s="13">
        <v>10007</v>
      </c>
      <c r="O171" s="13">
        <v>10007</v>
      </c>
      <c r="P171" s="13" t="s">
        <v>1351</v>
      </c>
      <c r="Q171" s="13"/>
      <c r="R171" s="13" t="s">
        <v>1352</v>
      </c>
      <c r="S171" s="13"/>
      <c r="T171" s="13" t="s">
        <v>1353</v>
      </c>
      <c r="U171" s="14">
        <v>41236</v>
      </c>
      <c r="V171" s="13">
        <v>23</v>
      </c>
      <c r="W171" s="13">
        <v>11</v>
      </c>
      <c r="X171" s="13">
        <v>2012</v>
      </c>
      <c r="Y171" s="13">
        <f>-0.4291666667/-78.43145</f>
        <v>5.4718695969537727E-3</v>
      </c>
      <c r="Z171" s="13" t="s">
        <v>72</v>
      </c>
      <c r="AA171" s="13">
        <v>-0.42916666669999998</v>
      </c>
      <c r="AB171" s="13">
        <v>-78.431449999999998</v>
      </c>
      <c r="AC171" s="13"/>
      <c r="AD171" s="13" t="s">
        <v>96</v>
      </c>
      <c r="AE171" s="13" t="s">
        <v>74</v>
      </c>
      <c r="AF171" s="13"/>
      <c r="AG171" s="13"/>
      <c r="AH171" s="13"/>
      <c r="AI171" s="13" t="s">
        <v>75</v>
      </c>
      <c r="AJ171" s="13"/>
      <c r="AK171" s="13"/>
      <c r="AL171" s="13"/>
      <c r="AM171" s="13"/>
      <c r="AN171" s="13"/>
      <c r="AO171" s="13" t="s">
        <v>121</v>
      </c>
      <c r="AP171" s="20" t="str">
        <f t="shared" si="18"/>
        <v>18</v>
      </c>
      <c r="AQ171" s="13"/>
      <c r="AR171" s="13"/>
      <c r="AS171" s="13"/>
      <c r="AT171" s="13"/>
      <c r="AU171" s="13" t="s">
        <v>121</v>
      </c>
      <c r="AV171" s="20" t="str">
        <f t="shared" si="19"/>
        <v>18</v>
      </c>
      <c r="AW171" s="13"/>
      <c r="AX171" s="13"/>
      <c r="AY171" s="13"/>
      <c r="AZ171" s="13"/>
      <c r="BA171" s="13"/>
      <c r="BB171" s="13"/>
      <c r="BC171" s="13"/>
      <c r="BD171" s="13" t="s">
        <v>1354</v>
      </c>
      <c r="BE171" s="20" t="s">
        <v>241</v>
      </c>
      <c r="BF171" s="13"/>
      <c r="BG171" s="13"/>
      <c r="BH171" s="13" t="s">
        <v>78</v>
      </c>
      <c r="BI171" s="13"/>
      <c r="BJ171" s="13"/>
      <c r="BK171" s="13"/>
      <c r="BL171" s="13" t="s">
        <v>351</v>
      </c>
      <c r="BM171" s="20" t="str">
        <f t="shared" ref="BM171:BM234" si="21">LEFT(BL171,FIND("^^",SUBSTITUTE(BL171," ","^^",LEN(BL171)-LEN(SUBSTITUTE(BL171," ",""))))-1)</f>
        <v>77</v>
      </c>
      <c r="BN171" s="13" t="s">
        <v>181</v>
      </c>
      <c r="BO171" s="20" t="str">
        <f t="shared" ref="BO171:BO234" si="22">LEFT(BN171,FIND("^^",SUBSTITUTE(BN171," ","^^",LEN(BN171)-LEN(SUBSTITUTE(BN171," ",""))))-1)</f>
        <v>160</v>
      </c>
      <c r="BP171" s="13"/>
      <c r="BQ171" s="13" t="s">
        <v>281</v>
      </c>
      <c r="BR171" s="20" t="str">
        <f t="shared" si="20"/>
        <v>19</v>
      </c>
      <c r="BS171" s="21">
        <f t="shared" ref="BS171:BS234" si="23">(BO171-BM171)</f>
        <v>83</v>
      </c>
    </row>
    <row r="172" spans="1:72" x14ac:dyDescent="0.2">
      <c r="A172" s="13" t="s">
        <v>63</v>
      </c>
      <c r="B172" s="13"/>
      <c r="C172" s="13" t="s">
        <v>1465</v>
      </c>
      <c r="D172" s="13" t="s">
        <v>64</v>
      </c>
      <c r="E172" s="13" t="s">
        <v>65</v>
      </c>
      <c r="F172" s="13" t="s">
        <v>64</v>
      </c>
      <c r="G172" s="13" t="s">
        <v>211</v>
      </c>
      <c r="H172" s="13" t="s">
        <v>212</v>
      </c>
      <c r="I172" s="13" t="s">
        <v>701</v>
      </c>
      <c r="J172" s="13" t="s">
        <v>1466</v>
      </c>
      <c r="K172" s="13"/>
      <c r="L172" s="13">
        <v>465</v>
      </c>
      <c r="M172" s="13">
        <v>465</v>
      </c>
      <c r="N172" s="13">
        <v>1527</v>
      </c>
      <c r="O172" s="13">
        <v>1527</v>
      </c>
      <c r="P172" s="13" t="s">
        <v>1467</v>
      </c>
      <c r="Q172" s="13"/>
      <c r="R172" s="13" t="s">
        <v>1468</v>
      </c>
      <c r="S172" s="13"/>
      <c r="T172" s="13" t="s">
        <v>1469</v>
      </c>
      <c r="U172" s="14">
        <v>41253</v>
      </c>
      <c r="V172" s="13">
        <v>10</v>
      </c>
      <c r="W172" s="13">
        <v>12</v>
      </c>
      <c r="X172" s="13">
        <v>2012</v>
      </c>
      <c r="Y172" s="13">
        <f>-0.20675/-79.18085</f>
        <v>2.6111111461925448E-3</v>
      </c>
      <c r="Z172" s="13" t="s">
        <v>72</v>
      </c>
      <c r="AA172" s="13">
        <v>-0.20674999999999999</v>
      </c>
      <c r="AB172" s="13">
        <v>-79.180850000000007</v>
      </c>
      <c r="AC172" s="13"/>
      <c r="AD172" s="13" t="s">
        <v>96</v>
      </c>
      <c r="AE172" s="13" t="s">
        <v>74</v>
      </c>
      <c r="AF172" s="13"/>
      <c r="AG172" s="13"/>
      <c r="AH172" s="13"/>
      <c r="AI172" s="13" t="s">
        <v>226</v>
      </c>
      <c r="AJ172" s="13"/>
      <c r="AK172" s="13"/>
      <c r="AL172" s="13"/>
      <c r="AM172" s="13"/>
      <c r="AN172" s="13"/>
      <c r="AO172" s="13" t="s">
        <v>76</v>
      </c>
      <c r="AP172" s="20" t="str">
        <f t="shared" si="18"/>
        <v>13</v>
      </c>
      <c r="AQ172" s="13"/>
      <c r="AR172" s="13"/>
      <c r="AS172" s="13"/>
      <c r="AT172" s="13"/>
      <c r="AU172" s="13" t="s">
        <v>82</v>
      </c>
      <c r="AV172" s="20" t="str">
        <f t="shared" si="19"/>
        <v>17</v>
      </c>
      <c r="AW172" s="13"/>
      <c r="AX172" s="13"/>
      <c r="AY172" s="13"/>
      <c r="AZ172" s="13"/>
      <c r="BA172" s="13"/>
      <c r="BB172" s="13"/>
      <c r="BC172" s="13"/>
      <c r="BD172" s="13" t="s">
        <v>1470</v>
      </c>
      <c r="BE172" s="20" t="s">
        <v>241</v>
      </c>
      <c r="BF172" s="13"/>
      <c r="BG172" s="13"/>
      <c r="BH172" s="13" t="s">
        <v>78</v>
      </c>
      <c r="BI172" s="13"/>
      <c r="BJ172" s="13"/>
      <c r="BK172" s="13"/>
      <c r="BL172" s="13" t="s">
        <v>363</v>
      </c>
      <c r="BM172" s="20" t="str">
        <f t="shared" si="21"/>
        <v>72</v>
      </c>
      <c r="BN172" s="13" t="s">
        <v>699</v>
      </c>
      <c r="BO172" s="20" t="str">
        <f t="shared" si="22"/>
        <v>155</v>
      </c>
      <c r="BP172" s="13"/>
      <c r="BQ172" s="13" t="s">
        <v>381</v>
      </c>
      <c r="BR172" s="20" t="str">
        <f t="shared" si="20"/>
        <v>9</v>
      </c>
      <c r="BS172" s="21">
        <f t="shared" si="23"/>
        <v>83</v>
      </c>
    </row>
    <row r="173" spans="1:72" x14ac:dyDescent="0.2">
      <c r="A173" s="10" t="s">
        <v>63</v>
      </c>
      <c r="B173" s="10" t="s">
        <v>2275</v>
      </c>
      <c r="C173" s="10" t="s">
        <v>462</v>
      </c>
      <c r="D173" s="10" t="s">
        <v>64</v>
      </c>
      <c r="E173" s="10" t="s">
        <v>65</v>
      </c>
      <c r="F173" s="10" t="s">
        <v>64</v>
      </c>
      <c r="G173" s="10" t="s">
        <v>211</v>
      </c>
      <c r="H173" s="10" t="s">
        <v>212</v>
      </c>
      <c r="I173" s="10" t="s">
        <v>383</v>
      </c>
      <c r="J173" s="10" t="s">
        <v>443</v>
      </c>
      <c r="K173" s="10"/>
      <c r="L173" s="10">
        <v>82</v>
      </c>
      <c r="M173" s="10">
        <v>82</v>
      </c>
      <c r="N173" s="10">
        <v>269</v>
      </c>
      <c r="O173" s="10">
        <v>269</v>
      </c>
      <c r="P173" s="10" t="s">
        <v>463</v>
      </c>
      <c r="Q173" s="10"/>
      <c r="R173" s="10" t="s">
        <v>445</v>
      </c>
      <c r="S173" s="10" t="s">
        <v>464</v>
      </c>
      <c r="T173" s="10" t="s">
        <v>465</v>
      </c>
      <c r="U173" s="11">
        <v>41429</v>
      </c>
      <c r="V173" s="10">
        <v>4</v>
      </c>
      <c r="W173" s="10">
        <v>6</v>
      </c>
      <c r="X173" s="10">
        <v>2013</v>
      </c>
      <c r="Y173" s="10">
        <f>-29.885/-57.1851666667</f>
        <v>0.52260055783666359</v>
      </c>
      <c r="Z173" s="10" t="s">
        <v>72</v>
      </c>
      <c r="AA173" s="10">
        <v>-29.885000000000002</v>
      </c>
      <c r="AB173" s="10">
        <v>-57.185166666699999</v>
      </c>
      <c r="AC173" s="10"/>
      <c r="AD173" s="10" t="s">
        <v>73</v>
      </c>
      <c r="AE173" s="10" t="s">
        <v>74</v>
      </c>
      <c r="AF173" s="10"/>
      <c r="AG173" s="10"/>
      <c r="AH173" s="10"/>
      <c r="AI173" s="10"/>
      <c r="AJ173" s="10"/>
      <c r="AK173" s="10"/>
      <c r="AL173" s="10"/>
      <c r="AM173" s="10"/>
      <c r="AN173" s="10"/>
      <c r="AO173" s="10" t="s">
        <v>88</v>
      </c>
      <c r="AP173" s="20" t="str">
        <f t="shared" si="18"/>
        <v>15</v>
      </c>
      <c r="AQ173" s="10"/>
      <c r="AR173" s="10"/>
      <c r="AS173" s="10"/>
      <c r="AT173" s="10"/>
      <c r="AU173" s="10" t="s">
        <v>130</v>
      </c>
      <c r="AV173" s="20" t="str">
        <f t="shared" si="19"/>
        <v>19</v>
      </c>
      <c r="AW173" s="10"/>
      <c r="AX173" s="10"/>
      <c r="AY173" s="10"/>
      <c r="AZ173" s="10"/>
      <c r="BA173" s="10"/>
      <c r="BB173" s="10"/>
      <c r="BC173" s="10"/>
      <c r="BD173" s="10" t="s">
        <v>466</v>
      </c>
      <c r="BE173" s="20" t="s">
        <v>241</v>
      </c>
      <c r="BF173" s="10"/>
      <c r="BG173" s="10"/>
      <c r="BH173" s="10" t="s">
        <v>78</v>
      </c>
      <c r="BI173" s="10"/>
      <c r="BJ173" s="10"/>
      <c r="BK173" s="10"/>
      <c r="BL173" s="10" t="s">
        <v>153</v>
      </c>
      <c r="BM173" s="20" t="str">
        <f t="shared" si="21"/>
        <v>81</v>
      </c>
      <c r="BN173" s="10" t="s">
        <v>99</v>
      </c>
      <c r="BO173" s="20" t="str">
        <f t="shared" si="22"/>
        <v>164</v>
      </c>
      <c r="BP173" s="10"/>
      <c r="BQ173" s="10" t="s">
        <v>199</v>
      </c>
      <c r="BR173" s="20" t="str">
        <f t="shared" si="20"/>
        <v>13</v>
      </c>
      <c r="BS173" s="21">
        <f t="shared" si="23"/>
        <v>83</v>
      </c>
    </row>
    <row r="174" spans="1:72" x14ac:dyDescent="0.2">
      <c r="A174" s="7" t="s">
        <v>63</v>
      </c>
      <c r="B174" s="7" t="s">
        <v>2224</v>
      </c>
      <c r="C174" s="7" t="s">
        <v>833</v>
      </c>
      <c r="D174" s="7" t="s">
        <v>64</v>
      </c>
      <c r="E174" s="7" t="s">
        <v>65</v>
      </c>
      <c r="F174" s="7" t="s">
        <v>64</v>
      </c>
      <c r="G174" s="7" t="s">
        <v>615</v>
      </c>
      <c r="H174" s="7" t="s">
        <v>67</v>
      </c>
      <c r="I174" s="7" t="s">
        <v>788</v>
      </c>
      <c r="J174" s="7" t="s">
        <v>789</v>
      </c>
      <c r="K174" s="7" t="s">
        <v>822</v>
      </c>
      <c r="L174" s="7">
        <v>731</v>
      </c>
      <c r="M174" s="7">
        <v>731</v>
      </c>
      <c r="N174" s="7">
        <v>2397</v>
      </c>
      <c r="O174" s="7">
        <v>2397</v>
      </c>
      <c r="P174" s="7" t="s">
        <v>794</v>
      </c>
      <c r="Q174" s="7"/>
      <c r="R174" s="7" t="s">
        <v>834</v>
      </c>
      <c r="S174" s="7" t="s">
        <v>835</v>
      </c>
      <c r="T174" s="7" t="s">
        <v>836</v>
      </c>
      <c r="U174" s="9">
        <v>41119</v>
      </c>
      <c r="V174" s="7">
        <v>29</v>
      </c>
      <c r="W174" s="7">
        <v>7</v>
      </c>
      <c r="X174" s="7">
        <v>2012</v>
      </c>
      <c r="Y174" s="7" t="s">
        <v>837</v>
      </c>
      <c r="Z174" s="7" t="s">
        <v>72</v>
      </c>
      <c r="AA174" s="7">
        <v>53.512799999999999</v>
      </c>
      <c r="AB174" s="7">
        <v>-113.87275</v>
      </c>
      <c r="AC174" s="7"/>
      <c r="AD174" s="7" t="s">
        <v>73</v>
      </c>
      <c r="AE174" s="7" t="s">
        <v>74</v>
      </c>
      <c r="AF174" s="7"/>
      <c r="AG174" s="7"/>
      <c r="AH174" s="7"/>
      <c r="AI174" s="7"/>
      <c r="AJ174" s="7"/>
      <c r="AK174" s="7"/>
      <c r="AL174" s="7"/>
      <c r="AM174" s="7"/>
      <c r="AN174" s="7"/>
      <c r="AO174" s="7" t="s">
        <v>630</v>
      </c>
      <c r="AP174" s="20" t="str">
        <f t="shared" si="18"/>
        <v>19.5</v>
      </c>
      <c r="AQ174" s="7"/>
      <c r="AR174" s="7"/>
      <c r="AS174" s="7"/>
      <c r="AT174" s="7"/>
      <c r="AU174" s="7" t="s">
        <v>653</v>
      </c>
      <c r="AV174" s="20" t="str">
        <f t="shared" si="19"/>
        <v>17.5</v>
      </c>
      <c r="AW174" s="7"/>
      <c r="AX174" s="7"/>
      <c r="AY174" s="7"/>
      <c r="AZ174" s="7"/>
      <c r="BA174" s="7"/>
      <c r="BB174" s="7"/>
      <c r="BC174" s="7"/>
      <c r="BD174" s="7"/>
      <c r="BF174" s="7"/>
      <c r="BG174" s="7"/>
      <c r="BH174" s="7" t="s">
        <v>78</v>
      </c>
      <c r="BI174" s="7"/>
      <c r="BJ174" s="7"/>
      <c r="BK174" s="7"/>
      <c r="BL174" s="7" t="s">
        <v>451</v>
      </c>
      <c r="BM174" s="20" t="str">
        <f t="shared" si="21"/>
        <v>94</v>
      </c>
      <c r="BN174" s="7" t="s">
        <v>192</v>
      </c>
      <c r="BO174" s="20" t="str">
        <f t="shared" si="22"/>
        <v>177</v>
      </c>
      <c r="BP174" s="7"/>
      <c r="BQ174" s="7" t="s">
        <v>138</v>
      </c>
      <c r="BR174" s="20" t="str">
        <f t="shared" si="20"/>
        <v>15.5</v>
      </c>
      <c r="BS174" s="21">
        <f t="shared" si="23"/>
        <v>83</v>
      </c>
    </row>
    <row r="175" spans="1:72" x14ac:dyDescent="0.2">
      <c r="A175" s="10" t="s">
        <v>63</v>
      </c>
      <c r="B175" s="10" t="s">
        <v>2279</v>
      </c>
      <c r="C175" s="10" t="s">
        <v>537</v>
      </c>
      <c r="D175" s="10" t="s">
        <v>64</v>
      </c>
      <c r="E175" s="10" t="s">
        <v>65</v>
      </c>
      <c r="F175" s="10" t="s">
        <v>64</v>
      </c>
      <c r="G175" s="10" t="s">
        <v>211</v>
      </c>
      <c r="H175" s="10" t="s">
        <v>212</v>
      </c>
      <c r="I175" s="10" t="s">
        <v>383</v>
      </c>
      <c r="J175" s="10" t="s">
        <v>492</v>
      </c>
      <c r="K175" s="10"/>
      <c r="L175" s="10">
        <v>92</v>
      </c>
      <c r="M175" s="10">
        <v>92</v>
      </c>
      <c r="N175" s="10">
        <v>301</v>
      </c>
      <c r="O175" s="10">
        <v>301</v>
      </c>
      <c r="P175" s="10" t="s">
        <v>538</v>
      </c>
      <c r="Q175" s="10"/>
      <c r="R175" s="10" t="s">
        <v>494</v>
      </c>
      <c r="S175" s="10" t="s">
        <v>526</v>
      </c>
      <c r="T175" s="10" t="s">
        <v>539</v>
      </c>
      <c r="U175" s="11">
        <v>41533</v>
      </c>
      <c r="V175" s="10">
        <v>16</v>
      </c>
      <c r="W175" s="10">
        <v>9</v>
      </c>
      <c r="X175" s="10">
        <v>2013</v>
      </c>
      <c r="Y175" s="10">
        <f>-8.7695/-63.8016666667</f>
        <v>0.13744938742449914</v>
      </c>
      <c r="Z175" s="10" t="s">
        <v>72</v>
      </c>
      <c r="AA175" s="10">
        <v>-8.7715277799999996</v>
      </c>
      <c r="AB175" s="10">
        <v>-63.80277778</v>
      </c>
      <c r="AC175" s="10"/>
      <c r="AD175" s="10" t="s">
        <v>73</v>
      </c>
      <c r="AE175" s="10" t="s">
        <v>74</v>
      </c>
      <c r="AF175" s="10"/>
      <c r="AG175" s="10"/>
      <c r="AH175" s="10"/>
      <c r="AI175" s="10"/>
      <c r="AJ175" s="10"/>
      <c r="AK175" s="10"/>
      <c r="AL175" s="10"/>
      <c r="AM175" s="10"/>
      <c r="AN175" s="10"/>
      <c r="AO175" s="10" t="s">
        <v>76</v>
      </c>
      <c r="AP175" s="20" t="str">
        <f t="shared" si="18"/>
        <v>13</v>
      </c>
      <c r="AQ175" s="10"/>
      <c r="AR175" s="10"/>
      <c r="AS175" s="10"/>
      <c r="AT175" s="10"/>
      <c r="AU175" s="10" t="s">
        <v>130</v>
      </c>
      <c r="AV175" s="20" t="str">
        <f t="shared" si="19"/>
        <v>19</v>
      </c>
      <c r="AW175" s="10"/>
      <c r="AX175" s="10"/>
      <c r="AY175" s="10"/>
      <c r="AZ175" s="10"/>
      <c r="BA175" s="10"/>
      <c r="BB175" s="10"/>
      <c r="BC175" s="10"/>
      <c r="BD175" s="10" t="s">
        <v>540</v>
      </c>
      <c r="BF175" s="10"/>
      <c r="BG175" s="10"/>
      <c r="BH175" s="10" t="s">
        <v>83</v>
      </c>
      <c r="BI175" s="10"/>
      <c r="BJ175" s="10"/>
      <c r="BK175" s="10"/>
      <c r="BL175" s="10" t="s">
        <v>194</v>
      </c>
      <c r="BM175" s="20" t="str">
        <f t="shared" si="21"/>
        <v>79</v>
      </c>
      <c r="BN175" s="10" t="s">
        <v>407</v>
      </c>
      <c r="BO175" s="20" t="str">
        <f t="shared" si="22"/>
        <v>162</v>
      </c>
      <c r="BP175" s="10"/>
      <c r="BQ175" s="10" t="s">
        <v>327</v>
      </c>
      <c r="BR175" s="20" t="str">
        <f t="shared" si="20"/>
        <v>10</v>
      </c>
      <c r="BS175" s="21">
        <f t="shared" si="23"/>
        <v>83</v>
      </c>
      <c r="BT175" s="10"/>
    </row>
    <row r="176" spans="1:72" x14ac:dyDescent="0.2">
      <c r="A176" t="s">
        <v>63</v>
      </c>
      <c r="C176" t="s">
        <v>1545</v>
      </c>
      <c r="D176" t="s">
        <v>64</v>
      </c>
      <c r="E176" t="s">
        <v>65</v>
      </c>
      <c r="F176" t="s">
        <v>64</v>
      </c>
      <c r="G176" t="s">
        <v>211</v>
      </c>
      <c r="H176" t="s">
        <v>212</v>
      </c>
      <c r="I176" t="s">
        <v>701</v>
      </c>
      <c r="J176" t="s">
        <v>702</v>
      </c>
      <c r="L176">
        <v>3050</v>
      </c>
      <c r="M176">
        <v>3050</v>
      </c>
      <c r="N176">
        <v>10007</v>
      </c>
      <c r="O176">
        <v>10007</v>
      </c>
      <c r="P176" t="s">
        <v>1351</v>
      </c>
      <c r="R176" t="s">
        <v>1352</v>
      </c>
      <c r="T176" t="s">
        <v>1353</v>
      </c>
      <c r="U176" s="2">
        <v>41236</v>
      </c>
      <c r="V176">
        <v>23</v>
      </c>
      <c r="W176">
        <v>11</v>
      </c>
      <c r="X176">
        <v>2012</v>
      </c>
      <c r="Y176">
        <f>-0.4291666667/-78.43145</f>
        <v>5.4718695969537727E-3</v>
      </c>
      <c r="Z176" t="s">
        <v>72</v>
      </c>
      <c r="AA176">
        <v>-0.42916666669999998</v>
      </c>
      <c r="AB176">
        <v>-78.431449999999998</v>
      </c>
      <c r="AD176" t="s">
        <v>96</v>
      </c>
      <c r="AE176" t="s">
        <v>74</v>
      </c>
      <c r="AI176" t="s">
        <v>75</v>
      </c>
      <c r="AO176" t="s">
        <v>87</v>
      </c>
      <c r="AP176" s="20" t="str">
        <f t="shared" si="18"/>
        <v>14</v>
      </c>
      <c r="AU176" t="s">
        <v>82</v>
      </c>
      <c r="AV176" s="20" t="str">
        <f t="shared" si="19"/>
        <v>17</v>
      </c>
      <c r="BD176" t="s">
        <v>1546</v>
      </c>
      <c r="BH176" t="s">
        <v>83</v>
      </c>
      <c r="BL176" t="s">
        <v>153</v>
      </c>
      <c r="BM176" s="20" t="str">
        <f t="shared" si="21"/>
        <v>81</v>
      </c>
      <c r="BN176" t="s">
        <v>99</v>
      </c>
      <c r="BO176" s="20" t="str">
        <f t="shared" si="22"/>
        <v>164</v>
      </c>
      <c r="BQ176" t="s">
        <v>199</v>
      </c>
      <c r="BR176" s="20" t="str">
        <f t="shared" si="20"/>
        <v>13</v>
      </c>
      <c r="BS176" s="21">
        <f t="shared" si="23"/>
        <v>83</v>
      </c>
    </row>
    <row r="177" spans="1:72" x14ac:dyDescent="0.2">
      <c r="A177" s="10" t="s">
        <v>63</v>
      </c>
      <c r="B177" s="10" t="s">
        <v>2270</v>
      </c>
      <c r="C177" s="10" t="s">
        <v>532</v>
      </c>
      <c r="D177" s="10" t="s">
        <v>64</v>
      </c>
      <c r="E177" s="10" t="s">
        <v>65</v>
      </c>
      <c r="F177" s="10" t="s">
        <v>64</v>
      </c>
      <c r="G177" s="10" t="s">
        <v>211</v>
      </c>
      <c r="H177" s="10" t="s">
        <v>212</v>
      </c>
      <c r="I177" s="10" t="s">
        <v>383</v>
      </c>
      <c r="J177" s="10" t="s">
        <v>443</v>
      </c>
      <c r="K177" s="10"/>
      <c r="L177" s="10">
        <v>40</v>
      </c>
      <c r="M177" s="10">
        <v>40</v>
      </c>
      <c r="N177" s="10">
        <v>131</v>
      </c>
      <c r="O177" s="10">
        <v>131</v>
      </c>
      <c r="P177" s="10" t="s">
        <v>533</v>
      </c>
      <c r="Q177" s="10"/>
      <c r="R177" s="10" t="s">
        <v>445</v>
      </c>
      <c r="S177" s="10" t="s">
        <v>534</v>
      </c>
      <c r="T177" s="10" t="s">
        <v>535</v>
      </c>
      <c r="U177" s="11">
        <v>41429</v>
      </c>
      <c r="V177" s="10">
        <v>4</v>
      </c>
      <c r="W177" s="10">
        <v>6</v>
      </c>
      <c r="X177" s="10">
        <v>2013</v>
      </c>
      <c r="Y177" s="10">
        <f>-29.8691666667/-57.1863333333</f>
        <v>0.52231302350883502</v>
      </c>
      <c r="Z177" s="10" t="s">
        <v>72</v>
      </c>
      <c r="AA177" s="10">
        <v>-29.8691666667</v>
      </c>
      <c r="AB177" s="10">
        <v>-57.186333333299999</v>
      </c>
      <c r="AC177" s="10"/>
      <c r="AD177" s="10" t="s">
        <v>73</v>
      </c>
      <c r="AE177" s="10" t="s">
        <v>74</v>
      </c>
      <c r="AF177" s="10"/>
      <c r="AG177" s="10"/>
      <c r="AH177" s="10"/>
      <c r="AI177" s="10"/>
      <c r="AJ177" s="10"/>
      <c r="AK177" s="10"/>
      <c r="AL177" s="10"/>
      <c r="AM177" s="10"/>
      <c r="AN177" s="10"/>
      <c r="AO177" s="10" t="s">
        <v>87</v>
      </c>
      <c r="AP177" s="20" t="str">
        <f t="shared" si="18"/>
        <v>14</v>
      </c>
      <c r="AQ177" s="10"/>
      <c r="AR177" s="10"/>
      <c r="AS177" s="10"/>
      <c r="AT177" s="10"/>
      <c r="AU177" s="10" t="s">
        <v>121</v>
      </c>
      <c r="AV177" s="20" t="str">
        <f t="shared" si="19"/>
        <v>18</v>
      </c>
      <c r="AW177" s="10"/>
      <c r="AX177" s="10"/>
      <c r="AY177" s="10"/>
      <c r="AZ177" s="10"/>
      <c r="BA177" s="10"/>
      <c r="BB177" s="10"/>
      <c r="BC177" s="10"/>
      <c r="BD177" s="10" t="s">
        <v>423</v>
      </c>
      <c r="BF177" s="10"/>
      <c r="BG177" s="10"/>
      <c r="BH177" s="10" t="s">
        <v>83</v>
      </c>
      <c r="BI177" s="10"/>
      <c r="BJ177" s="10"/>
      <c r="BK177" s="10"/>
      <c r="BL177" s="10" t="s">
        <v>123</v>
      </c>
      <c r="BM177" s="20" t="str">
        <f t="shared" si="21"/>
        <v>88</v>
      </c>
      <c r="BN177" s="10" t="s">
        <v>302</v>
      </c>
      <c r="BO177" s="20" t="str">
        <f t="shared" si="22"/>
        <v>171</v>
      </c>
      <c r="BP177" s="10"/>
      <c r="BQ177" s="10" t="s">
        <v>512</v>
      </c>
      <c r="BR177" s="20" t="str">
        <f t="shared" si="20"/>
        <v>13.5</v>
      </c>
      <c r="BS177" s="21">
        <f t="shared" si="23"/>
        <v>83</v>
      </c>
    </row>
    <row r="178" spans="1:72" x14ac:dyDescent="0.2">
      <c r="A178" s="10" t="s">
        <v>63</v>
      </c>
      <c r="B178" s="10" t="s">
        <v>2281</v>
      </c>
      <c r="C178" s="10" t="s">
        <v>497</v>
      </c>
      <c r="D178" s="10" t="s">
        <v>64</v>
      </c>
      <c r="E178" s="10" t="s">
        <v>65</v>
      </c>
      <c r="F178" s="10" t="s">
        <v>64</v>
      </c>
      <c r="G178" s="10" t="s">
        <v>211</v>
      </c>
      <c r="H178" s="10" t="s">
        <v>212</v>
      </c>
      <c r="I178" s="10" t="s">
        <v>383</v>
      </c>
      <c r="J178" s="10" t="s">
        <v>492</v>
      </c>
      <c r="K178" s="10"/>
      <c r="L178" s="10">
        <v>97</v>
      </c>
      <c r="M178" s="10">
        <v>97</v>
      </c>
      <c r="N178" s="10">
        <v>319</v>
      </c>
      <c r="O178" s="10">
        <v>319</v>
      </c>
      <c r="P178" s="10" t="s">
        <v>498</v>
      </c>
      <c r="Q178" s="10"/>
      <c r="R178" s="10" t="s">
        <v>494</v>
      </c>
      <c r="S178" s="10" t="s">
        <v>495</v>
      </c>
      <c r="T178" s="10" t="s">
        <v>499</v>
      </c>
      <c r="U178" s="11">
        <v>41533</v>
      </c>
      <c r="V178" s="10">
        <v>16</v>
      </c>
      <c r="W178" s="10">
        <v>9</v>
      </c>
      <c r="X178" s="10">
        <v>2013</v>
      </c>
      <c r="Y178" s="10">
        <f>-8.7695/-63.7918333333</f>
        <v>0.13747057486467051</v>
      </c>
      <c r="Z178" s="10" t="s">
        <v>72</v>
      </c>
      <c r="AA178" s="10">
        <v>-8.7715555599999995</v>
      </c>
      <c r="AB178" s="10">
        <v>-63.797499999999999</v>
      </c>
      <c r="AC178" s="10"/>
      <c r="AD178" s="10" t="s">
        <v>73</v>
      </c>
      <c r="AE178" s="10" t="s">
        <v>74</v>
      </c>
      <c r="AF178" s="10"/>
      <c r="AG178" s="10"/>
      <c r="AH178" s="10"/>
      <c r="AI178" s="10"/>
      <c r="AJ178" s="10"/>
      <c r="AK178" s="10"/>
      <c r="AL178" s="10"/>
      <c r="AM178" s="10"/>
      <c r="AN178" s="10"/>
      <c r="AO178" s="10" t="s">
        <v>88</v>
      </c>
      <c r="AP178" s="20" t="str">
        <f t="shared" si="18"/>
        <v>15</v>
      </c>
      <c r="AQ178" s="10"/>
      <c r="AR178" s="10"/>
      <c r="AS178" s="10"/>
      <c r="AT178" s="10"/>
      <c r="AU178" s="10" t="s">
        <v>121</v>
      </c>
      <c r="AV178" s="20" t="str">
        <f t="shared" si="19"/>
        <v>18</v>
      </c>
      <c r="AW178" s="10"/>
      <c r="AX178" s="10"/>
      <c r="AY178" s="10"/>
      <c r="AZ178" s="10"/>
      <c r="BA178" s="10"/>
      <c r="BB178" s="10"/>
      <c r="BC178" s="10"/>
      <c r="BD178" s="10" t="s">
        <v>500</v>
      </c>
      <c r="BF178" s="10"/>
      <c r="BG178" s="10"/>
      <c r="BH178" s="10" t="s">
        <v>83</v>
      </c>
      <c r="BI178" s="10"/>
      <c r="BJ178" s="10"/>
      <c r="BK178" s="10"/>
      <c r="BL178" s="10" t="s">
        <v>153</v>
      </c>
      <c r="BM178" s="20" t="str">
        <f t="shared" si="21"/>
        <v>81</v>
      </c>
      <c r="BN178" s="10" t="s">
        <v>99</v>
      </c>
      <c r="BO178" s="20" t="str">
        <f t="shared" si="22"/>
        <v>164</v>
      </c>
      <c r="BP178" s="10"/>
      <c r="BQ178" s="10" t="s">
        <v>206</v>
      </c>
      <c r="BR178" s="20" t="str">
        <f t="shared" si="20"/>
        <v>12.25</v>
      </c>
      <c r="BS178" s="21">
        <f t="shared" si="23"/>
        <v>83</v>
      </c>
    </row>
    <row r="179" spans="1:72" x14ac:dyDescent="0.2">
      <c r="A179" s="13" t="s">
        <v>63</v>
      </c>
      <c r="B179" s="13" t="s">
        <v>2398</v>
      </c>
      <c r="C179" s="13" t="s">
        <v>2022</v>
      </c>
      <c r="D179" s="13" t="s">
        <v>64</v>
      </c>
      <c r="E179" s="13" t="s">
        <v>65</v>
      </c>
      <c r="F179" s="13" t="s">
        <v>64</v>
      </c>
      <c r="G179" s="13" t="s">
        <v>1886</v>
      </c>
      <c r="H179" s="13" t="s">
        <v>212</v>
      </c>
      <c r="I179" s="13" t="s">
        <v>1887</v>
      </c>
      <c r="J179" s="13" t="s">
        <v>2009</v>
      </c>
      <c r="K179" s="13"/>
      <c r="L179" s="13">
        <v>281</v>
      </c>
      <c r="M179" s="13">
        <v>281</v>
      </c>
      <c r="N179" s="13">
        <v>281</v>
      </c>
      <c r="O179" s="13">
        <v>281</v>
      </c>
      <c r="P179" s="13" t="s">
        <v>2023</v>
      </c>
      <c r="Q179" s="13"/>
      <c r="R179" s="13" t="s">
        <v>2020</v>
      </c>
      <c r="S179" s="13"/>
      <c r="T179" s="13" t="s">
        <v>2021</v>
      </c>
      <c r="U179" s="14">
        <v>41880</v>
      </c>
      <c r="V179" s="13">
        <v>29</v>
      </c>
      <c r="W179" s="13">
        <v>8</v>
      </c>
      <c r="X179" s="13">
        <v>2014</v>
      </c>
      <c r="Y179" s="13">
        <f>-17.328/-63.2564833333</f>
        <v>0.27393239533564223</v>
      </c>
      <c r="Z179" s="13" t="s">
        <v>72</v>
      </c>
      <c r="AA179" s="13">
        <v>-17.327999999999999</v>
      </c>
      <c r="AB179" s="13">
        <v>-63.256483333299997</v>
      </c>
      <c r="AC179" s="13">
        <v>100</v>
      </c>
      <c r="AD179" s="13" t="s">
        <v>73</v>
      </c>
      <c r="AE179" s="13" t="s">
        <v>74</v>
      </c>
      <c r="AF179" s="13"/>
      <c r="AG179" s="13"/>
      <c r="AH179" s="13"/>
      <c r="AI179" s="13"/>
      <c r="AJ179" s="13"/>
      <c r="AK179" s="13"/>
      <c r="AL179" s="13"/>
      <c r="AM179" s="13"/>
      <c r="AN179" s="13"/>
      <c r="AO179" s="13" t="s">
        <v>87</v>
      </c>
      <c r="AP179" s="20" t="str">
        <f t="shared" si="18"/>
        <v>14</v>
      </c>
      <c r="AQ179" s="13"/>
      <c r="AR179" s="13"/>
      <c r="AS179" s="13"/>
      <c r="AT179" s="13"/>
      <c r="AU179" s="13" t="s">
        <v>135</v>
      </c>
      <c r="AV179" s="20" t="str">
        <f t="shared" si="19"/>
        <v>17.9</v>
      </c>
      <c r="AW179" s="13"/>
      <c r="AX179" s="13"/>
      <c r="AY179" s="13"/>
      <c r="AZ179" s="13"/>
      <c r="BA179" s="13"/>
      <c r="BB179" s="13"/>
      <c r="BC179" s="13"/>
      <c r="BD179" s="13" t="s">
        <v>549</v>
      </c>
      <c r="BF179" s="13"/>
      <c r="BG179" s="13"/>
      <c r="BH179" s="13" t="s">
        <v>83</v>
      </c>
      <c r="BI179" s="13"/>
      <c r="BJ179" s="13"/>
      <c r="BK179" s="13"/>
      <c r="BL179" s="13" t="s">
        <v>153</v>
      </c>
      <c r="BM179" s="20" t="str">
        <f t="shared" si="21"/>
        <v>81</v>
      </c>
      <c r="BN179" s="13" t="s">
        <v>99</v>
      </c>
      <c r="BO179" s="20" t="str">
        <f t="shared" si="22"/>
        <v>164</v>
      </c>
      <c r="BP179" s="13"/>
      <c r="BQ179" s="13" t="s">
        <v>2024</v>
      </c>
      <c r="BR179" s="20" t="str">
        <f t="shared" si="20"/>
        <v>12.9</v>
      </c>
      <c r="BS179" s="21">
        <f t="shared" si="23"/>
        <v>83</v>
      </c>
    </row>
    <row r="180" spans="1:72" x14ac:dyDescent="0.2">
      <c r="A180" s="13" t="s">
        <v>63</v>
      </c>
      <c r="B180" s="13" t="s">
        <v>2406</v>
      </c>
      <c r="C180" s="13" t="s">
        <v>1507</v>
      </c>
      <c r="D180" s="13" t="s">
        <v>64</v>
      </c>
      <c r="E180" s="13" t="s">
        <v>65</v>
      </c>
      <c r="F180" s="13" t="s">
        <v>64</v>
      </c>
      <c r="G180" s="13" t="s">
        <v>211</v>
      </c>
      <c r="H180" s="13" t="s">
        <v>212</v>
      </c>
      <c r="I180" s="13" t="s">
        <v>701</v>
      </c>
      <c r="J180" s="13" t="s">
        <v>1466</v>
      </c>
      <c r="K180" s="13"/>
      <c r="L180" s="13">
        <v>477</v>
      </c>
      <c r="M180" s="13">
        <v>477</v>
      </c>
      <c r="N180" s="13">
        <v>1566</v>
      </c>
      <c r="O180" s="13">
        <v>1566</v>
      </c>
      <c r="P180" s="13" t="s">
        <v>1504</v>
      </c>
      <c r="Q180" s="13"/>
      <c r="R180" s="13" t="s">
        <v>1505</v>
      </c>
      <c r="S180" s="13"/>
      <c r="T180" s="13" t="s">
        <v>1506</v>
      </c>
      <c r="U180" s="14">
        <v>41255</v>
      </c>
      <c r="V180" s="13">
        <v>12</v>
      </c>
      <c r="W180" s="13">
        <v>12</v>
      </c>
      <c r="X180" s="13">
        <v>2012</v>
      </c>
      <c r="Y180" s="13">
        <f>-0.1897333333/-79.3184166667</f>
        <v>2.392046403261793E-3</v>
      </c>
      <c r="Z180" s="13" t="s">
        <v>72</v>
      </c>
      <c r="AA180" s="13">
        <v>-0.1897334</v>
      </c>
      <c r="AB180" s="13">
        <v>-79.201750000000004</v>
      </c>
      <c r="AC180" s="13"/>
      <c r="AD180" s="13" t="s">
        <v>96</v>
      </c>
      <c r="AE180" s="13" t="s">
        <v>74</v>
      </c>
      <c r="AF180" s="13"/>
      <c r="AG180" s="13"/>
      <c r="AH180" s="13"/>
      <c r="AI180" s="13" t="s">
        <v>75</v>
      </c>
      <c r="AJ180" s="13"/>
      <c r="AK180" s="13"/>
      <c r="AL180" s="13"/>
      <c r="AM180" s="13"/>
      <c r="AN180" s="13"/>
      <c r="AO180" s="13" t="s">
        <v>76</v>
      </c>
      <c r="AP180" s="20" t="str">
        <f t="shared" si="18"/>
        <v>13</v>
      </c>
      <c r="AQ180" s="13"/>
      <c r="AR180" s="13"/>
      <c r="AS180" s="13"/>
      <c r="AT180" s="13"/>
      <c r="AU180" s="13" t="s">
        <v>121</v>
      </c>
      <c r="AV180" s="20" t="str">
        <f t="shared" si="19"/>
        <v>18</v>
      </c>
      <c r="AW180" s="13"/>
      <c r="AX180" s="13"/>
      <c r="AY180" s="13"/>
      <c r="AZ180" s="13"/>
      <c r="BA180" s="13"/>
      <c r="BB180" s="13"/>
      <c r="BC180" s="13"/>
      <c r="BD180" s="13" t="s">
        <v>1458</v>
      </c>
      <c r="BF180" s="13"/>
      <c r="BG180" s="13"/>
      <c r="BH180" s="13" t="s">
        <v>83</v>
      </c>
      <c r="BI180" s="13"/>
      <c r="BJ180" s="13"/>
      <c r="BK180" s="13"/>
      <c r="BL180" s="13" t="s">
        <v>194</v>
      </c>
      <c r="BM180" s="20" t="str">
        <f t="shared" si="21"/>
        <v>79</v>
      </c>
      <c r="BN180" s="13" t="s">
        <v>407</v>
      </c>
      <c r="BO180" s="20" t="str">
        <f t="shared" si="22"/>
        <v>162</v>
      </c>
      <c r="BP180" s="13"/>
      <c r="BQ180" s="13" t="s">
        <v>512</v>
      </c>
      <c r="BR180" s="20" t="str">
        <f t="shared" si="20"/>
        <v>13.5</v>
      </c>
      <c r="BS180" s="21">
        <f t="shared" si="23"/>
        <v>83</v>
      </c>
    </row>
    <row r="181" spans="1:72" x14ac:dyDescent="0.2">
      <c r="A181" s="10" t="s">
        <v>63</v>
      </c>
      <c r="B181" s="10" t="s">
        <v>2271</v>
      </c>
      <c r="C181" s="10" t="s">
        <v>442</v>
      </c>
      <c r="D181" s="10" t="s">
        <v>64</v>
      </c>
      <c r="E181" s="10" t="s">
        <v>65</v>
      </c>
      <c r="F181" s="10" t="s">
        <v>64</v>
      </c>
      <c r="G181" s="10" t="s">
        <v>211</v>
      </c>
      <c r="H181" s="10" t="s">
        <v>212</v>
      </c>
      <c r="I181" s="10" t="s">
        <v>383</v>
      </c>
      <c r="J181" s="10" t="s">
        <v>443</v>
      </c>
      <c r="K181" s="10"/>
      <c r="L181" s="10">
        <v>44</v>
      </c>
      <c r="M181" s="10">
        <v>44</v>
      </c>
      <c r="N181" s="10">
        <v>145</v>
      </c>
      <c r="O181" s="10">
        <v>145</v>
      </c>
      <c r="P181" s="10" t="s">
        <v>444</v>
      </c>
      <c r="Q181" s="10"/>
      <c r="R181" s="10" t="s">
        <v>445</v>
      </c>
      <c r="S181" s="10" t="s">
        <v>305</v>
      </c>
      <c r="T181" s="10" t="s">
        <v>446</v>
      </c>
      <c r="U181" s="11">
        <v>41429</v>
      </c>
      <c r="V181" s="10">
        <v>4</v>
      </c>
      <c r="W181" s="10">
        <v>6</v>
      </c>
      <c r="X181" s="10">
        <v>2013</v>
      </c>
      <c r="Y181" s="10">
        <f>-29.8881666667/-57.234</f>
        <v>0.52220999173043992</v>
      </c>
      <c r="Z181" s="10" t="s">
        <v>72</v>
      </c>
      <c r="AA181" s="10">
        <v>-29.888166666699998</v>
      </c>
      <c r="AB181" s="10">
        <v>-57.234000000000002</v>
      </c>
      <c r="AC181" s="10"/>
      <c r="AD181" s="10" t="s">
        <v>73</v>
      </c>
      <c r="AE181" s="10" t="s">
        <v>74</v>
      </c>
      <c r="AF181" s="10"/>
      <c r="AG181" s="10"/>
      <c r="AH181" s="10"/>
      <c r="AI181" s="10"/>
      <c r="AJ181" s="10"/>
      <c r="AK181" s="10"/>
      <c r="AL181" s="10"/>
      <c r="AM181" s="10"/>
      <c r="AN181" s="10"/>
      <c r="AO181" s="10" t="s">
        <v>76</v>
      </c>
      <c r="AP181" s="20" t="str">
        <f t="shared" si="18"/>
        <v>13</v>
      </c>
      <c r="AQ181" s="10"/>
      <c r="AR181" s="10"/>
      <c r="AS181" s="10"/>
      <c r="AT181" s="10"/>
      <c r="AU181" s="10" t="s">
        <v>121</v>
      </c>
      <c r="AV181" s="20" t="str">
        <f t="shared" si="19"/>
        <v>18</v>
      </c>
      <c r="AW181" s="10"/>
      <c r="AX181" s="10"/>
      <c r="AY181" s="10"/>
      <c r="AZ181" s="10"/>
      <c r="BA181" s="10"/>
      <c r="BB181" s="10"/>
      <c r="BC181" s="10"/>
      <c r="BD181" s="10" t="s">
        <v>447</v>
      </c>
      <c r="BF181" s="10"/>
      <c r="BG181" s="10"/>
      <c r="BH181" s="10" t="s">
        <v>83</v>
      </c>
      <c r="BI181" s="10"/>
      <c r="BJ181" s="10"/>
      <c r="BK181" s="10"/>
      <c r="BL181" s="10" t="s">
        <v>189</v>
      </c>
      <c r="BM181" s="20" t="str">
        <f t="shared" si="21"/>
        <v>82</v>
      </c>
      <c r="BN181" s="10" t="s">
        <v>89</v>
      </c>
      <c r="BO181" s="20" t="str">
        <f t="shared" si="22"/>
        <v>165</v>
      </c>
      <c r="BP181" s="10"/>
      <c r="BQ181" s="10" t="s">
        <v>133</v>
      </c>
      <c r="BR181" s="20" t="str">
        <f t="shared" si="20"/>
        <v>14</v>
      </c>
      <c r="BS181" s="21">
        <f t="shared" si="23"/>
        <v>83</v>
      </c>
    </row>
    <row r="182" spans="1:72" x14ac:dyDescent="0.2">
      <c r="A182" s="7" t="s">
        <v>63</v>
      </c>
      <c r="B182" s="7" t="s">
        <v>2223</v>
      </c>
      <c r="C182" s="7" t="s">
        <v>907</v>
      </c>
      <c r="D182" s="7" t="s">
        <v>64</v>
      </c>
      <c r="E182" s="7" t="s">
        <v>65</v>
      </c>
      <c r="F182" s="7" t="s">
        <v>64</v>
      </c>
      <c r="G182" s="7" t="s">
        <v>615</v>
      </c>
      <c r="H182" s="7" t="s">
        <v>67</v>
      </c>
      <c r="I182" s="7" t="s">
        <v>788</v>
      </c>
      <c r="J182" s="7" t="s">
        <v>789</v>
      </c>
      <c r="K182" s="7" t="s">
        <v>908</v>
      </c>
      <c r="L182" s="7">
        <v>768</v>
      </c>
      <c r="M182" s="7">
        <v>768</v>
      </c>
      <c r="N182" s="7">
        <v>2521</v>
      </c>
      <c r="O182" s="7">
        <v>2521</v>
      </c>
      <c r="P182" s="7" t="s">
        <v>909</v>
      </c>
      <c r="Q182" s="7"/>
      <c r="R182" s="7" t="s">
        <v>910</v>
      </c>
      <c r="S182" s="7" t="s">
        <v>911</v>
      </c>
      <c r="T182" s="7" t="s">
        <v>912</v>
      </c>
      <c r="U182" s="9">
        <v>41117</v>
      </c>
      <c r="V182" s="7">
        <v>27</v>
      </c>
      <c r="W182" s="7">
        <v>7</v>
      </c>
      <c r="X182" s="7">
        <v>2012</v>
      </c>
      <c r="Y182" s="7" t="s">
        <v>913</v>
      </c>
      <c r="Z182" s="7" t="s">
        <v>72</v>
      </c>
      <c r="AA182" s="7">
        <v>53.395633333299998</v>
      </c>
      <c r="AB182" s="7">
        <v>-113.1895666667</v>
      </c>
      <c r="AC182" s="7"/>
      <c r="AD182" s="7" t="s">
        <v>73</v>
      </c>
      <c r="AE182" s="7" t="s">
        <v>74</v>
      </c>
      <c r="AF182" s="7"/>
      <c r="AG182" s="7"/>
      <c r="AH182" s="7"/>
      <c r="AI182" s="7" t="s">
        <v>75</v>
      </c>
      <c r="AJ182" s="7"/>
      <c r="AK182" s="7"/>
      <c r="AL182" s="7"/>
      <c r="AM182" s="7"/>
      <c r="AN182" s="7"/>
      <c r="AO182" s="7" t="s">
        <v>77</v>
      </c>
      <c r="AP182" s="20" t="str">
        <f t="shared" si="18"/>
        <v>12</v>
      </c>
      <c r="AQ182" s="7"/>
      <c r="AR182" s="7"/>
      <c r="AS182" s="7"/>
      <c r="AT182" s="7"/>
      <c r="AU182" s="7" t="s">
        <v>914</v>
      </c>
      <c r="AV182" s="20" t="str">
        <f t="shared" si="19"/>
        <v>18.1</v>
      </c>
      <c r="AW182" s="7"/>
      <c r="AX182" s="7"/>
      <c r="AY182" s="7"/>
      <c r="AZ182" s="7"/>
      <c r="BA182" s="7"/>
      <c r="BB182" s="7"/>
      <c r="BC182" s="7"/>
      <c r="BD182" s="7"/>
      <c r="BF182" s="7"/>
      <c r="BG182" s="7"/>
      <c r="BH182" s="7" t="s">
        <v>83</v>
      </c>
      <c r="BI182" s="7"/>
      <c r="BJ182" s="7"/>
      <c r="BK182" s="7"/>
      <c r="BL182" s="7" t="s">
        <v>98</v>
      </c>
      <c r="BM182" s="20" t="str">
        <f t="shared" si="21"/>
        <v>76</v>
      </c>
      <c r="BN182" s="7" t="s">
        <v>85</v>
      </c>
      <c r="BO182" s="20" t="str">
        <f t="shared" si="22"/>
        <v>159</v>
      </c>
      <c r="BP182" s="7"/>
      <c r="BQ182" s="7" t="s">
        <v>195</v>
      </c>
      <c r="BR182" s="20" t="str">
        <f t="shared" si="20"/>
        <v>17</v>
      </c>
      <c r="BS182" s="21">
        <f t="shared" si="23"/>
        <v>83</v>
      </c>
    </row>
    <row r="183" spans="1:72" x14ac:dyDescent="0.2">
      <c r="A183" s="7" t="s">
        <v>63</v>
      </c>
      <c r="B183" s="7" t="s">
        <v>2212</v>
      </c>
      <c r="C183" s="7" t="s">
        <v>1091</v>
      </c>
      <c r="D183" s="7" t="s">
        <v>64</v>
      </c>
      <c r="E183" s="7" t="s">
        <v>65</v>
      </c>
      <c r="F183" s="7" t="s">
        <v>64</v>
      </c>
      <c r="G183" s="7" t="s">
        <v>615</v>
      </c>
      <c r="H183" s="7" t="s">
        <v>67</v>
      </c>
      <c r="I183" s="7" t="s">
        <v>68</v>
      </c>
      <c r="J183" s="7" t="s">
        <v>1053</v>
      </c>
      <c r="K183" s="7" t="s">
        <v>1092</v>
      </c>
      <c r="L183" s="7">
        <v>1054</v>
      </c>
      <c r="M183" s="7">
        <v>1054</v>
      </c>
      <c r="N183" s="7">
        <v>3458</v>
      </c>
      <c r="O183" s="7">
        <v>3458</v>
      </c>
      <c r="P183" s="7" t="s">
        <v>1093</v>
      </c>
      <c r="Q183" s="7"/>
      <c r="R183" s="7" t="s">
        <v>1094</v>
      </c>
      <c r="S183" s="7" t="s">
        <v>937</v>
      </c>
      <c r="T183" s="7" t="s">
        <v>1095</v>
      </c>
      <c r="U183" s="9">
        <v>41083</v>
      </c>
      <c r="V183" s="7">
        <v>23</v>
      </c>
      <c r="W183" s="7">
        <v>6</v>
      </c>
      <c r="X183" s="7">
        <v>2012</v>
      </c>
      <c r="Y183" s="7" t="s">
        <v>1096</v>
      </c>
      <c r="Z183" s="7" t="s">
        <v>72</v>
      </c>
      <c r="AA183" s="7">
        <v>46.352866666700002</v>
      </c>
      <c r="AB183" s="7">
        <v>-114.1194</v>
      </c>
      <c r="AC183" s="7"/>
      <c r="AD183" s="7" t="s">
        <v>73</v>
      </c>
      <c r="AE183" s="7" t="s">
        <v>74</v>
      </c>
      <c r="AF183" s="7"/>
      <c r="AG183" s="7"/>
      <c r="AH183" s="7"/>
      <c r="AI183" s="7" t="s">
        <v>75</v>
      </c>
      <c r="AJ183" s="7"/>
      <c r="AK183" s="7"/>
      <c r="AL183" s="7"/>
      <c r="AM183" s="7"/>
      <c r="AN183" s="7"/>
      <c r="AO183" s="7" t="s">
        <v>1097</v>
      </c>
      <c r="AP183" s="20" t="str">
        <f t="shared" si="18"/>
        <v>14.1</v>
      </c>
      <c r="AQ183" s="7"/>
      <c r="AR183" s="7"/>
      <c r="AS183" s="7"/>
      <c r="AT183" s="7"/>
      <c r="AU183" s="7" t="s">
        <v>1098</v>
      </c>
      <c r="AV183" s="20" t="str">
        <f t="shared" si="19"/>
        <v>18.3</v>
      </c>
      <c r="AW183" s="7"/>
      <c r="AX183" s="7"/>
      <c r="AY183" s="7"/>
      <c r="AZ183" s="7"/>
      <c r="BA183" s="7"/>
      <c r="BB183" s="7"/>
      <c r="BC183" s="7"/>
      <c r="BD183" s="7" t="s">
        <v>1099</v>
      </c>
      <c r="BF183" s="7"/>
      <c r="BG183" s="7"/>
      <c r="BH183" s="7" t="s">
        <v>78</v>
      </c>
      <c r="BI183" s="7"/>
      <c r="BJ183" s="7"/>
      <c r="BK183" s="7"/>
      <c r="BL183" s="7" t="s">
        <v>899</v>
      </c>
      <c r="BM183" s="20" t="str">
        <f t="shared" si="21"/>
        <v>82.5</v>
      </c>
      <c r="BN183" s="7" t="s">
        <v>148</v>
      </c>
      <c r="BO183" s="20" t="str">
        <f t="shared" si="22"/>
        <v>166</v>
      </c>
      <c r="BP183" s="7"/>
      <c r="BQ183" s="7" t="s">
        <v>340</v>
      </c>
      <c r="BR183" s="20" t="str">
        <f t="shared" si="20"/>
        <v>15</v>
      </c>
      <c r="BS183" s="21">
        <f t="shared" si="23"/>
        <v>83.5</v>
      </c>
    </row>
    <row r="184" spans="1:72" x14ac:dyDescent="0.2">
      <c r="A184" t="s">
        <v>63</v>
      </c>
      <c r="B184" s="20" t="s">
        <v>2363</v>
      </c>
      <c r="C184" t="s">
        <v>595</v>
      </c>
      <c r="D184" t="s">
        <v>64</v>
      </c>
      <c r="E184" t="s">
        <v>65</v>
      </c>
      <c r="F184" t="s">
        <v>64</v>
      </c>
      <c r="G184" t="s">
        <v>211</v>
      </c>
      <c r="H184" t="s">
        <v>212</v>
      </c>
      <c r="I184" t="s">
        <v>383</v>
      </c>
      <c r="J184" t="s">
        <v>551</v>
      </c>
      <c r="L184">
        <v>539</v>
      </c>
      <c r="M184">
        <v>539</v>
      </c>
      <c r="N184">
        <v>1768</v>
      </c>
      <c r="O184">
        <v>1768</v>
      </c>
      <c r="P184" t="s">
        <v>592</v>
      </c>
      <c r="R184" t="s">
        <v>553</v>
      </c>
      <c r="S184" t="s">
        <v>593</v>
      </c>
      <c r="T184" t="s">
        <v>594</v>
      </c>
      <c r="U184" s="2">
        <v>41417</v>
      </c>
      <c r="V184">
        <v>23</v>
      </c>
      <c r="W184">
        <v>5</v>
      </c>
      <c r="X184">
        <v>2013</v>
      </c>
      <c r="Y184">
        <f>-23.452/-51.9073333333</f>
        <v>0.45180513992913773</v>
      </c>
      <c r="Z184" t="s">
        <v>72</v>
      </c>
      <c r="AA184">
        <v>-23.452000000000002</v>
      </c>
      <c r="AB184">
        <v>-51.907333333300002</v>
      </c>
      <c r="AD184" t="s">
        <v>73</v>
      </c>
      <c r="AE184" t="s">
        <v>74</v>
      </c>
      <c r="AO184" t="s">
        <v>207</v>
      </c>
      <c r="AP184" s="20" t="str">
        <f t="shared" si="18"/>
        <v>13.5</v>
      </c>
      <c r="AU184" t="s">
        <v>82</v>
      </c>
      <c r="AV184" s="20" t="str">
        <f t="shared" si="19"/>
        <v>17</v>
      </c>
      <c r="BD184" t="s">
        <v>258</v>
      </c>
      <c r="BH184" t="s">
        <v>78</v>
      </c>
      <c r="BL184" t="s">
        <v>153</v>
      </c>
      <c r="BM184" s="20" t="str">
        <f t="shared" si="21"/>
        <v>81</v>
      </c>
      <c r="BN184" t="s">
        <v>89</v>
      </c>
      <c r="BO184" s="20" t="str">
        <f t="shared" si="22"/>
        <v>165</v>
      </c>
      <c r="BQ184" t="s">
        <v>255</v>
      </c>
      <c r="BR184" s="20" t="str">
        <f t="shared" si="20"/>
        <v>11.5</v>
      </c>
      <c r="BS184" s="21">
        <f t="shared" si="23"/>
        <v>84</v>
      </c>
      <c r="BT184" s="10"/>
    </row>
    <row r="185" spans="1:72" x14ac:dyDescent="0.2">
      <c r="A185" s="13" t="s">
        <v>63</v>
      </c>
      <c r="B185" s="13"/>
      <c r="C185" s="13" t="s">
        <v>725</v>
      </c>
      <c r="D185" s="13" t="s">
        <v>64</v>
      </c>
      <c r="E185" s="13" t="s">
        <v>65</v>
      </c>
      <c r="F185" s="13" t="s">
        <v>64</v>
      </c>
      <c r="G185" s="13" t="s">
        <v>211</v>
      </c>
      <c r="H185" s="13" t="s">
        <v>212</v>
      </c>
      <c r="I185" s="13" t="s">
        <v>701</v>
      </c>
      <c r="J185" s="13" t="s">
        <v>702</v>
      </c>
      <c r="K185" s="13"/>
      <c r="L185" s="13">
        <v>2653</v>
      </c>
      <c r="M185" s="13">
        <v>2653</v>
      </c>
      <c r="N185" s="13">
        <v>8705</v>
      </c>
      <c r="O185" s="13">
        <v>8705</v>
      </c>
      <c r="P185" s="13" t="s">
        <v>721</v>
      </c>
      <c r="Q185" s="13"/>
      <c r="R185" s="13" t="s">
        <v>726</v>
      </c>
      <c r="S185" s="13"/>
      <c r="T185" s="13" t="s">
        <v>727</v>
      </c>
      <c r="U185" s="14">
        <v>41221</v>
      </c>
      <c r="V185" s="13">
        <v>8</v>
      </c>
      <c r="W185" s="13">
        <v>11</v>
      </c>
      <c r="X185" s="13">
        <v>2012</v>
      </c>
      <c r="Y185" s="13">
        <f>-0.2529833333/-78.3387</f>
        <v>3.2293532226090041E-3</v>
      </c>
      <c r="Z185" s="13" t="s">
        <v>72</v>
      </c>
      <c r="AA185" s="13">
        <v>-0.2529833333</v>
      </c>
      <c r="AB185" s="13">
        <v>-78.338700000000003</v>
      </c>
      <c r="AC185" s="13"/>
      <c r="AD185" s="13" t="s">
        <v>96</v>
      </c>
      <c r="AE185" s="13" t="s">
        <v>74</v>
      </c>
      <c r="AF185" s="13"/>
      <c r="AG185" s="13"/>
      <c r="AH185" s="13"/>
      <c r="AI185" s="13" t="s">
        <v>75</v>
      </c>
      <c r="AJ185" s="13"/>
      <c r="AK185" s="13"/>
      <c r="AL185" s="13"/>
      <c r="AM185" s="13"/>
      <c r="AN185" s="13"/>
      <c r="AO185" s="13" t="s">
        <v>630</v>
      </c>
      <c r="AP185" s="20" t="str">
        <f t="shared" si="18"/>
        <v>19.5</v>
      </c>
      <c r="AQ185" s="13"/>
      <c r="AR185" s="13"/>
      <c r="AS185" s="13"/>
      <c r="AT185" s="13"/>
      <c r="AU185" s="13" t="s">
        <v>121</v>
      </c>
      <c r="AV185" s="20" t="str">
        <f t="shared" si="19"/>
        <v>18</v>
      </c>
      <c r="AW185" s="13"/>
      <c r="AX185" s="13"/>
      <c r="AY185" s="13"/>
      <c r="AZ185" s="13"/>
      <c r="BA185" s="13"/>
      <c r="BB185" s="13"/>
      <c r="BC185" s="13"/>
      <c r="BD185" s="13" t="s">
        <v>258</v>
      </c>
      <c r="BF185" s="13"/>
      <c r="BG185" s="13"/>
      <c r="BH185" s="13" t="s">
        <v>78</v>
      </c>
      <c r="BI185" s="13"/>
      <c r="BJ185" s="13"/>
      <c r="BK185" s="13"/>
      <c r="BL185" s="13" t="s">
        <v>136</v>
      </c>
      <c r="BM185" s="20" t="str">
        <f t="shared" si="21"/>
        <v>75</v>
      </c>
      <c r="BN185" s="13" t="s">
        <v>85</v>
      </c>
      <c r="BO185" s="20" t="str">
        <f t="shared" si="22"/>
        <v>159</v>
      </c>
      <c r="BP185" s="13"/>
      <c r="BQ185" s="13" t="s">
        <v>728</v>
      </c>
      <c r="BR185" s="20" t="str">
        <f t="shared" si="20"/>
        <v>13.25</v>
      </c>
      <c r="BS185" s="21">
        <f t="shared" si="23"/>
        <v>84</v>
      </c>
      <c r="BT185" s="13"/>
    </row>
    <row r="186" spans="1:72" x14ac:dyDescent="0.2">
      <c r="A186" s="4" t="s">
        <v>63</v>
      </c>
      <c r="B186" s="4" t="s">
        <v>2124</v>
      </c>
      <c r="C186" s="4" t="s">
        <v>1640</v>
      </c>
      <c r="D186" s="4" t="s">
        <v>64</v>
      </c>
      <c r="E186" s="4" t="s">
        <v>65</v>
      </c>
      <c r="F186" s="4" t="s">
        <v>64</v>
      </c>
      <c r="G186" s="4" t="s">
        <v>134</v>
      </c>
      <c r="H186" s="4" t="s">
        <v>67</v>
      </c>
      <c r="I186" s="4" t="s">
        <v>68</v>
      </c>
      <c r="J186" s="4" t="s">
        <v>183</v>
      </c>
      <c r="K186" s="4" t="s">
        <v>1579</v>
      </c>
      <c r="L186" s="4">
        <v>37</v>
      </c>
      <c r="M186" s="4">
        <v>37</v>
      </c>
      <c r="N186" s="4">
        <v>37</v>
      </c>
      <c r="O186" s="4">
        <v>37</v>
      </c>
      <c r="P186" s="4" t="s">
        <v>185</v>
      </c>
      <c r="Q186" s="4"/>
      <c r="R186" s="4" t="s">
        <v>1641</v>
      </c>
      <c r="S186" s="4"/>
      <c r="T186" s="4" t="s">
        <v>1642</v>
      </c>
      <c r="U186" s="5">
        <v>41053</v>
      </c>
      <c r="V186" s="4">
        <v>24</v>
      </c>
      <c r="W186" s="4">
        <v>5</v>
      </c>
      <c r="X186" s="4">
        <v>2012</v>
      </c>
      <c r="Y186" s="4" t="s">
        <v>1643</v>
      </c>
      <c r="Z186" s="4" t="s">
        <v>72</v>
      </c>
      <c r="AA186" s="4">
        <v>29.45224</v>
      </c>
      <c r="AB186" s="4">
        <v>-82.340299999999999</v>
      </c>
      <c r="AC186" s="4"/>
      <c r="AD186" s="4" t="s">
        <v>73</v>
      </c>
      <c r="AE186" s="4" t="s">
        <v>74</v>
      </c>
      <c r="AF186" s="4"/>
      <c r="AG186" s="4"/>
      <c r="AH186" s="4"/>
      <c r="AI186" s="4"/>
      <c r="AJ186" s="4"/>
      <c r="AK186" s="4"/>
      <c r="AL186" s="4"/>
      <c r="AM186" s="4"/>
      <c r="AN186" s="4"/>
      <c r="AO186" s="4" t="s">
        <v>76</v>
      </c>
      <c r="AP186" s="20" t="str">
        <f t="shared" si="18"/>
        <v>13</v>
      </c>
      <c r="AQ186" s="4"/>
      <c r="AR186" s="4"/>
      <c r="AS186" s="4"/>
      <c r="AT186" s="4"/>
      <c r="AU186" s="4" t="s">
        <v>141</v>
      </c>
      <c r="AV186" s="20" t="str">
        <f t="shared" si="19"/>
        <v>18.5</v>
      </c>
      <c r="AW186" s="4"/>
      <c r="AX186" s="4"/>
      <c r="AY186" s="4"/>
      <c r="AZ186" s="4"/>
      <c r="BA186" s="4"/>
      <c r="BB186" s="4"/>
      <c r="BC186" s="4"/>
      <c r="BD186" s="4" t="s">
        <v>152</v>
      </c>
      <c r="BF186" s="4"/>
      <c r="BG186" s="4"/>
      <c r="BH186" s="4" t="s">
        <v>78</v>
      </c>
      <c r="BI186" s="4"/>
      <c r="BJ186" s="4"/>
      <c r="BK186" s="4"/>
      <c r="BL186" s="4" t="s">
        <v>79</v>
      </c>
      <c r="BM186" s="20" t="str">
        <f t="shared" si="21"/>
        <v>85</v>
      </c>
      <c r="BN186" s="4" t="s">
        <v>367</v>
      </c>
      <c r="BO186" s="20" t="str">
        <f t="shared" si="22"/>
        <v>169</v>
      </c>
      <c r="BP186" s="4"/>
      <c r="BQ186" s="4" t="s">
        <v>133</v>
      </c>
      <c r="BR186" s="20" t="str">
        <f t="shared" si="20"/>
        <v>14</v>
      </c>
      <c r="BS186" s="21">
        <f t="shared" si="23"/>
        <v>84</v>
      </c>
    </row>
    <row r="187" spans="1:72" x14ac:dyDescent="0.2">
      <c r="A187" s="4" t="s">
        <v>63</v>
      </c>
      <c r="B187" s="4" t="s">
        <v>2130</v>
      </c>
      <c r="C187" s="4" t="s">
        <v>1578</v>
      </c>
      <c r="D187" s="4" t="s">
        <v>64</v>
      </c>
      <c r="E187" s="4" t="s">
        <v>65</v>
      </c>
      <c r="F187" s="4" t="s">
        <v>64</v>
      </c>
      <c r="G187" s="4" t="s">
        <v>134</v>
      </c>
      <c r="H187" s="4" t="s">
        <v>67</v>
      </c>
      <c r="I187" s="4" t="s">
        <v>68</v>
      </c>
      <c r="J187" s="4" t="s">
        <v>183</v>
      </c>
      <c r="K187" s="4" t="s">
        <v>1579</v>
      </c>
      <c r="L187" s="4">
        <v>15</v>
      </c>
      <c r="M187" s="4">
        <v>15</v>
      </c>
      <c r="N187" s="4">
        <v>15</v>
      </c>
      <c r="O187" s="4">
        <v>15</v>
      </c>
      <c r="P187" s="4" t="s">
        <v>1363</v>
      </c>
      <c r="Q187" s="4"/>
      <c r="R187" s="4" t="s">
        <v>1580</v>
      </c>
      <c r="S187" s="4"/>
      <c r="T187" s="4" t="s">
        <v>1581</v>
      </c>
      <c r="U187" s="5">
        <v>41051</v>
      </c>
      <c r="V187" s="4">
        <v>22</v>
      </c>
      <c r="W187" s="4">
        <v>5</v>
      </c>
      <c r="X187" s="4">
        <v>2012</v>
      </c>
      <c r="Y187" s="4" t="s">
        <v>1582</v>
      </c>
      <c r="Z187" s="4" t="s">
        <v>72</v>
      </c>
      <c r="AA187" s="4">
        <v>29.786850000000001</v>
      </c>
      <c r="AB187" s="4">
        <v>-82.495876999999993</v>
      </c>
      <c r="AC187" s="4"/>
      <c r="AD187" s="4" t="s">
        <v>73</v>
      </c>
      <c r="AE187" s="4" t="s">
        <v>74</v>
      </c>
      <c r="AF187" s="4"/>
      <c r="AG187" s="4"/>
      <c r="AH187" s="4"/>
      <c r="AI187" s="4"/>
      <c r="AJ187" s="4"/>
      <c r="AK187" s="4"/>
      <c r="AL187" s="4"/>
      <c r="AM187" s="4"/>
      <c r="AN187" s="4"/>
      <c r="AO187" s="4" t="s">
        <v>207</v>
      </c>
      <c r="AP187" s="20" t="str">
        <f t="shared" si="18"/>
        <v>13.5</v>
      </c>
      <c r="AQ187" s="4"/>
      <c r="AR187" s="4"/>
      <c r="AS187" s="4"/>
      <c r="AT187" s="4"/>
      <c r="AU187" s="4" t="s">
        <v>130</v>
      </c>
      <c r="AV187" s="20" t="str">
        <f t="shared" si="19"/>
        <v>19</v>
      </c>
      <c r="AW187" s="4"/>
      <c r="AX187" s="4"/>
      <c r="AY187" s="4"/>
      <c r="AZ187" s="4"/>
      <c r="BA187" s="4"/>
      <c r="BB187" s="4"/>
      <c r="BC187" s="4"/>
      <c r="BD187" s="4" t="s">
        <v>152</v>
      </c>
      <c r="BF187" s="4"/>
      <c r="BG187" s="4"/>
      <c r="BH187" s="4" t="s">
        <v>78</v>
      </c>
      <c r="BI187" s="4"/>
      <c r="BJ187" s="4"/>
      <c r="BK187" s="4"/>
      <c r="BL187" s="4" t="s">
        <v>189</v>
      </c>
      <c r="BM187" s="20" t="str">
        <f t="shared" si="21"/>
        <v>82</v>
      </c>
      <c r="BN187" s="4" t="s">
        <v>148</v>
      </c>
      <c r="BO187" s="20" t="str">
        <f t="shared" si="22"/>
        <v>166</v>
      </c>
      <c r="BP187" s="4"/>
      <c r="BQ187" s="4" t="s">
        <v>1583</v>
      </c>
      <c r="BR187" s="20" t="str">
        <f t="shared" si="20"/>
        <v>11.38</v>
      </c>
      <c r="BS187" s="21">
        <f t="shared" si="23"/>
        <v>84</v>
      </c>
    </row>
    <row r="188" spans="1:72" x14ac:dyDescent="0.2">
      <c r="A188" t="s">
        <v>63</v>
      </c>
      <c r="B188" t="s">
        <v>2328</v>
      </c>
      <c r="C188" t="s">
        <v>976</v>
      </c>
      <c r="D188" t="s">
        <v>64</v>
      </c>
      <c r="E188" t="s">
        <v>65</v>
      </c>
      <c r="F188" t="s">
        <v>64</v>
      </c>
      <c r="G188" t="s">
        <v>615</v>
      </c>
      <c r="H188" t="s">
        <v>67</v>
      </c>
      <c r="I188" t="s">
        <v>68</v>
      </c>
      <c r="J188" t="s">
        <v>69</v>
      </c>
      <c r="K188" t="s">
        <v>70</v>
      </c>
      <c r="L188">
        <v>691</v>
      </c>
      <c r="M188">
        <v>691</v>
      </c>
      <c r="N188">
        <v>2267</v>
      </c>
      <c r="O188">
        <v>2267</v>
      </c>
      <c r="P188" t="s">
        <v>968</v>
      </c>
      <c r="R188" t="s">
        <v>969</v>
      </c>
      <c r="S188" t="s">
        <v>937</v>
      </c>
      <c r="T188" t="s">
        <v>970</v>
      </c>
      <c r="U188" s="2">
        <v>41165</v>
      </c>
      <c r="V188">
        <v>13</v>
      </c>
      <c r="W188">
        <v>9</v>
      </c>
      <c r="X188">
        <v>2012</v>
      </c>
      <c r="Y188" t="s">
        <v>971</v>
      </c>
      <c r="Z188" t="s">
        <v>72</v>
      </c>
      <c r="AA188">
        <v>32.146549999999998</v>
      </c>
      <c r="AB188">
        <v>-111.01108333329999</v>
      </c>
      <c r="AD188" t="s">
        <v>73</v>
      </c>
      <c r="AE188" t="s">
        <v>74</v>
      </c>
      <c r="AI188" t="s">
        <v>75</v>
      </c>
      <c r="AO188" t="s">
        <v>87</v>
      </c>
      <c r="AP188" s="20" t="str">
        <f t="shared" si="18"/>
        <v>14</v>
      </c>
      <c r="AU188" t="s">
        <v>977</v>
      </c>
      <c r="AV188" s="20" t="str">
        <f t="shared" si="19"/>
        <v>17.3</v>
      </c>
      <c r="BD188" t="s">
        <v>978</v>
      </c>
      <c r="BH188" t="s">
        <v>78</v>
      </c>
      <c r="BL188" t="s">
        <v>153</v>
      </c>
      <c r="BM188" s="20" t="str">
        <f t="shared" si="21"/>
        <v>81</v>
      </c>
      <c r="BN188" t="s">
        <v>89</v>
      </c>
      <c r="BO188" s="20" t="str">
        <f t="shared" si="22"/>
        <v>165</v>
      </c>
      <c r="BQ188" t="s">
        <v>188</v>
      </c>
      <c r="BR188" s="20" t="str">
        <f t="shared" si="20"/>
        <v>12.3</v>
      </c>
      <c r="BS188" s="21">
        <f t="shared" si="23"/>
        <v>84</v>
      </c>
    </row>
    <row r="189" spans="1:72" x14ac:dyDescent="0.2">
      <c r="A189" s="10" t="s">
        <v>63</v>
      </c>
      <c r="B189" s="10" t="s">
        <v>2234</v>
      </c>
      <c r="C189" s="10" t="s">
        <v>249</v>
      </c>
      <c r="D189" s="10" t="s">
        <v>64</v>
      </c>
      <c r="E189" s="10" t="s">
        <v>65</v>
      </c>
      <c r="F189" s="10" t="s">
        <v>64</v>
      </c>
      <c r="G189" s="10" t="s">
        <v>211</v>
      </c>
      <c r="H189" s="10" t="s">
        <v>212</v>
      </c>
      <c r="I189" s="10" t="s">
        <v>213</v>
      </c>
      <c r="J189" s="10" t="s">
        <v>214</v>
      </c>
      <c r="K189" s="10"/>
      <c r="L189" s="10">
        <v>210</v>
      </c>
      <c r="M189" s="10">
        <v>210</v>
      </c>
      <c r="N189" s="10">
        <v>689</v>
      </c>
      <c r="O189" s="10">
        <v>689</v>
      </c>
      <c r="P189" s="10" t="s">
        <v>233</v>
      </c>
      <c r="Q189" s="10"/>
      <c r="R189" s="10" t="s">
        <v>234</v>
      </c>
      <c r="S189" s="10" t="s">
        <v>250</v>
      </c>
      <c r="T189" s="10" t="s">
        <v>251</v>
      </c>
      <c r="U189" s="11">
        <v>41308</v>
      </c>
      <c r="V189" s="10">
        <v>3</v>
      </c>
      <c r="W189" s="10">
        <v>2</v>
      </c>
      <c r="X189" s="10">
        <v>2013</v>
      </c>
      <c r="Y189" s="10">
        <f>-37.3275166667/-59.0834</f>
        <v>0.63177672013966701</v>
      </c>
      <c r="Z189" s="10" t="s">
        <v>72</v>
      </c>
      <c r="AA189" s="10">
        <v>-37.327516666699999</v>
      </c>
      <c r="AB189" s="10">
        <v>-59.083399999999997</v>
      </c>
      <c r="AC189" s="10"/>
      <c r="AD189" s="10" t="s">
        <v>73</v>
      </c>
      <c r="AE189" s="10" t="s">
        <v>74</v>
      </c>
      <c r="AF189" s="10"/>
      <c r="AG189" s="10"/>
      <c r="AH189" s="10"/>
      <c r="AI189" s="10"/>
      <c r="AJ189" s="10"/>
      <c r="AK189" s="10"/>
      <c r="AL189" s="10"/>
      <c r="AM189" s="10"/>
      <c r="AN189" s="10"/>
      <c r="AO189" s="10" t="s">
        <v>77</v>
      </c>
      <c r="AP189" s="20" t="str">
        <f t="shared" si="18"/>
        <v>12</v>
      </c>
      <c r="AQ189" s="10"/>
      <c r="AR189" s="10"/>
      <c r="AS189" s="10"/>
      <c r="AT189" s="10"/>
      <c r="AU189" s="10" t="s">
        <v>82</v>
      </c>
      <c r="AV189" s="20" t="str">
        <f t="shared" si="19"/>
        <v>17</v>
      </c>
      <c r="AW189" s="10"/>
      <c r="AX189" s="10"/>
      <c r="AY189" s="10"/>
      <c r="AZ189" s="10"/>
      <c r="BA189" s="10"/>
      <c r="BB189" s="10"/>
      <c r="BC189" s="10"/>
      <c r="BD189" s="10" t="s">
        <v>252</v>
      </c>
      <c r="BE189" s="20" t="s">
        <v>241</v>
      </c>
      <c r="BF189" s="10"/>
      <c r="BG189" s="10"/>
      <c r="BH189" s="10" t="s">
        <v>78</v>
      </c>
      <c r="BI189" s="10"/>
      <c r="BJ189" s="10"/>
      <c r="BK189" s="10"/>
      <c r="BL189" s="10" t="s">
        <v>253</v>
      </c>
      <c r="BM189" s="20" t="str">
        <f t="shared" si="21"/>
        <v>70</v>
      </c>
      <c r="BN189" s="10" t="s">
        <v>254</v>
      </c>
      <c r="BO189" s="20" t="str">
        <f t="shared" si="22"/>
        <v>154</v>
      </c>
      <c r="BP189" s="10"/>
      <c r="BQ189" s="10" t="s">
        <v>255</v>
      </c>
      <c r="BR189" s="20" t="str">
        <f t="shared" si="20"/>
        <v>11.5</v>
      </c>
      <c r="BS189" s="21">
        <f t="shared" si="23"/>
        <v>84</v>
      </c>
    </row>
    <row r="190" spans="1:72" x14ac:dyDescent="0.2">
      <c r="A190" t="s">
        <v>63</v>
      </c>
      <c r="B190" t="s">
        <v>2346</v>
      </c>
      <c r="C190" t="s">
        <v>1013</v>
      </c>
      <c r="D190" t="s">
        <v>64</v>
      </c>
      <c r="E190" t="s">
        <v>65</v>
      </c>
      <c r="F190" t="s">
        <v>64</v>
      </c>
      <c r="G190" t="s">
        <v>615</v>
      </c>
      <c r="H190" t="s">
        <v>67</v>
      </c>
      <c r="I190" t="s">
        <v>68</v>
      </c>
      <c r="J190" t="s">
        <v>69</v>
      </c>
      <c r="K190" t="s">
        <v>70</v>
      </c>
      <c r="L190">
        <v>680</v>
      </c>
      <c r="M190">
        <v>680</v>
      </c>
      <c r="N190">
        <v>2232</v>
      </c>
      <c r="O190">
        <v>2232</v>
      </c>
      <c r="P190" t="s">
        <v>1014</v>
      </c>
      <c r="R190" t="s">
        <v>1015</v>
      </c>
      <c r="S190" t="s">
        <v>1016</v>
      </c>
      <c r="T190" t="s">
        <v>1017</v>
      </c>
      <c r="U190" s="2">
        <v>41171</v>
      </c>
      <c r="V190">
        <v>19</v>
      </c>
      <c r="W190">
        <v>9</v>
      </c>
      <c r="X190">
        <v>2012</v>
      </c>
      <c r="Y190" t="s">
        <v>1018</v>
      </c>
      <c r="Z190" t="s">
        <v>72</v>
      </c>
      <c r="AA190">
        <v>32.292516666700003</v>
      </c>
      <c r="AB190">
        <v>-111.02630000000001</v>
      </c>
      <c r="AD190" t="s">
        <v>73</v>
      </c>
      <c r="AE190" t="s">
        <v>74</v>
      </c>
      <c r="AI190" t="s">
        <v>75</v>
      </c>
      <c r="AO190" t="s">
        <v>76</v>
      </c>
      <c r="AP190" s="20" t="str">
        <f t="shared" si="18"/>
        <v>13</v>
      </c>
      <c r="AU190" t="s">
        <v>977</v>
      </c>
      <c r="AV190" s="20" t="str">
        <f t="shared" si="19"/>
        <v>17.3</v>
      </c>
      <c r="BD190" t="s">
        <v>1019</v>
      </c>
      <c r="BE190" s="20" t="s">
        <v>241</v>
      </c>
      <c r="BH190" t="s">
        <v>78</v>
      </c>
      <c r="BL190" t="s">
        <v>1020</v>
      </c>
      <c r="BM190" s="20" t="str">
        <f t="shared" si="21"/>
        <v>65.5</v>
      </c>
      <c r="BN190" t="s">
        <v>1021</v>
      </c>
      <c r="BO190" s="20" t="str">
        <f t="shared" si="22"/>
        <v>149.5</v>
      </c>
      <c r="BQ190" t="s">
        <v>1022</v>
      </c>
      <c r="BR190" s="20" t="str">
        <f t="shared" si="20"/>
        <v>11.0</v>
      </c>
      <c r="BS190" s="21">
        <f t="shared" si="23"/>
        <v>84</v>
      </c>
    </row>
    <row r="191" spans="1:72" x14ac:dyDescent="0.2">
      <c r="A191" s="4" t="s">
        <v>63</v>
      </c>
      <c r="B191" s="4" t="s">
        <v>2122</v>
      </c>
      <c r="C191" s="4" t="s">
        <v>1748</v>
      </c>
      <c r="D191" s="4" t="s">
        <v>64</v>
      </c>
      <c r="E191" s="4" t="s">
        <v>65</v>
      </c>
      <c r="F191" s="4" t="s">
        <v>64</v>
      </c>
      <c r="G191" s="4" t="s">
        <v>134</v>
      </c>
      <c r="H191" s="4" t="s">
        <v>67</v>
      </c>
      <c r="I191" s="4" t="s">
        <v>68</v>
      </c>
      <c r="J191" s="4" t="s">
        <v>183</v>
      </c>
      <c r="K191" s="4" t="s">
        <v>184</v>
      </c>
      <c r="L191" s="4">
        <v>29</v>
      </c>
      <c r="M191" s="4">
        <v>29</v>
      </c>
      <c r="N191" s="4">
        <v>29</v>
      </c>
      <c r="O191" s="4">
        <v>29</v>
      </c>
      <c r="P191" s="4" t="s">
        <v>1749</v>
      </c>
      <c r="Q191" s="4"/>
      <c r="R191" s="4" t="s">
        <v>1750</v>
      </c>
      <c r="S191" s="4"/>
      <c r="T191" s="4" t="s">
        <v>1751</v>
      </c>
      <c r="U191" s="5">
        <v>41054</v>
      </c>
      <c r="V191" s="4">
        <v>25</v>
      </c>
      <c r="W191" s="4">
        <v>5</v>
      </c>
      <c r="X191" s="4">
        <v>2012</v>
      </c>
      <c r="Y191" s="4" t="s">
        <v>1752</v>
      </c>
      <c r="Z191" s="4" t="s">
        <v>72</v>
      </c>
      <c r="AA191" s="4">
        <v>29.37283</v>
      </c>
      <c r="AB191" s="4">
        <v>-82.198920000000001</v>
      </c>
      <c r="AC191" s="4"/>
      <c r="AD191" s="4" t="s">
        <v>73</v>
      </c>
      <c r="AE191" s="4" t="s">
        <v>74</v>
      </c>
      <c r="AF191" s="4"/>
      <c r="AG191" s="4"/>
      <c r="AH191" s="4"/>
      <c r="AI191" s="4"/>
      <c r="AJ191" s="4"/>
      <c r="AK191" s="4"/>
      <c r="AL191" s="4"/>
      <c r="AM191" s="4"/>
      <c r="AN191" s="4"/>
      <c r="AO191" s="4" t="s">
        <v>207</v>
      </c>
      <c r="AP191" s="20" t="str">
        <f t="shared" si="18"/>
        <v>13.5</v>
      </c>
      <c r="AQ191" s="4"/>
      <c r="AR191" s="4"/>
      <c r="AS191" s="4"/>
      <c r="AT191" s="4"/>
      <c r="AU191" s="4" t="s">
        <v>141</v>
      </c>
      <c r="AV191" s="20" t="str">
        <f t="shared" si="19"/>
        <v>18.5</v>
      </c>
      <c r="AW191" s="4"/>
      <c r="AX191" s="4"/>
      <c r="AY191" s="4"/>
      <c r="AZ191" s="4"/>
      <c r="BA191" s="4"/>
      <c r="BB191" s="4"/>
      <c r="BC191" s="4"/>
      <c r="BD191" s="4" t="s">
        <v>1753</v>
      </c>
      <c r="BE191" s="20" t="s">
        <v>241</v>
      </c>
      <c r="BF191" s="4"/>
      <c r="BG191" s="4"/>
      <c r="BH191" s="4" t="s">
        <v>78</v>
      </c>
      <c r="BI191" s="4"/>
      <c r="BJ191" s="4"/>
      <c r="BK191" s="4"/>
      <c r="BL191" s="4" t="s">
        <v>79</v>
      </c>
      <c r="BM191" s="20" t="str">
        <f t="shared" si="21"/>
        <v>85</v>
      </c>
      <c r="BN191" s="4" t="s">
        <v>367</v>
      </c>
      <c r="BO191" s="20" t="str">
        <f t="shared" si="22"/>
        <v>169</v>
      </c>
      <c r="BP191" s="4"/>
      <c r="BQ191" s="4" t="s">
        <v>138</v>
      </c>
      <c r="BR191" s="20" t="str">
        <f t="shared" si="20"/>
        <v>15.5</v>
      </c>
      <c r="BS191" s="21">
        <f t="shared" si="23"/>
        <v>84</v>
      </c>
    </row>
    <row r="192" spans="1:72" x14ac:dyDescent="0.2">
      <c r="A192" s="7" t="s">
        <v>63</v>
      </c>
      <c r="B192" s="7" t="s">
        <v>2181</v>
      </c>
      <c r="C192" s="7" t="s">
        <v>116</v>
      </c>
      <c r="D192" s="7" t="s">
        <v>64</v>
      </c>
      <c r="E192" s="7" t="s">
        <v>65</v>
      </c>
      <c r="F192" s="7" t="s">
        <v>64</v>
      </c>
      <c r="G192" s="7" t="s">
        <v>66</v>
      </c>
      <c r="H192" s="7" t="s">
        <v>67</v>
      </c>
      <c r="I192" s="7" t="s">
        <v>68</v>
      </c>
      <c r="J192" s="7" t="s">
        <v>69</v>
      </c>
      <c r="K192" s="7" t="s">
        <v>70</v>
      </c>
      <c r="L192" s="7">
        <v>835</v>
      </c>
      <c r="M192" s="7">
        <v>835</v>
      </c>
      <c r="N192" s="7">
        <v>835</v>
      </c>
      <c r="O192" s="7">
        <v>835</v>
      </c>
      <c r="P192" s="7" t="s">
        <v>117</v>
      </c>
      <c r="Q192" s="7"/>
      <c r="R192" s="7" t="s">
        <v>118</v>
      </c>
      <c r="S192" s="7"/>
      <c r="T192" s="7" t="s">
        <v>119</v>
      </c>
      <c r="U192" s="8">
        <v>41060</v>
      </c>
      <c r="V192" s="7">
        <v>31</v>
      </c>
      <c r="W192" s="7">
        <v>5</v>
      </c>
      <c r="X192" s="7">
        <v>2012</v>
      </c>
      <c r="Y192" s="7" t="s">
        <v>120</v>
      </c>
      <c r="Z192" s="7" t="s">
        <v>72</v>
      </c>
      <c r="AA192" s="7">
        <v>32.164879999999997</v>
      </c>
      <c r="AB192" s="7">
        <v>-110.77263000000001</v>
      </c>
      <c r="AC192" s="7"/>
      <c r="AD192" s="7" t="s">
        <v>96</v>
      </c>
      <c r="AE192" s="7" t="s">
        <v>74</v>
      </c>
      <c r="AF192" s="7"/>
      <c r="AG192" s="7"/>
      <c r="AH192" s="7"/>
      <c r="AI192" s="7" t="s">
        <v>75</v>
      </c>
      <c r="AJ192" s="7"/>
      <c r="AK192" s="7"/>
      <c r="AL192" s="7"/>
      <c r="AM192" s="7"/>
      <c r="AN192" s="7"/>
      <c r="AO192" s="7" t="s">
        <v>76</v>
      </c>
      <c r="AP192" s="20" t="str">
        <f t="shared" si="18"/>
        <v>13</v>
      </c>
      <c r="AQ192" s="7"/>
      <c r="AR192" s="7"/>
      <c r="AS192" s="7"/>
      <c r="AT192" s="7"/>
      <c r="AU192" s="7" t="s">
        <v>121</v>
      </c>
      <c r="AV192" s="20" t="str">
        <f t="shared" si="19"/>
        <v>18</v>
      </c>
      <c r="AW192" s="7"/>
      <c r="AX192" s="7"/>
      <c r="AY192" s="7"/>
      <c r="AZ192" s="7"/>
      <c r="BA192" s="7"/>
      <c r="BB192" s="7"/>
      <c r="BC192" s="7"/>
      <c r="BD192" s="7" t="s">
        <v>122</v>
      </c>
      <c r="BE192" s="20" t="s">
        <v>241</v>
      </c>
      <c r="BF192" s="7"/>
      <c r="BG192" s="7"/>
      <c r="BH192" s="7" t="s">
        <v>78</v>
      </c>
      <c r="BI192" s="7"/>
      <c r="BJ192" s="7"/>
      <c r="BK192" s="7"/>
      <c r="BL192" s="7" t="s">
        <v>123</v>
      </c>
      <c r="BM192" s="20" t="str">
        <f t="shared" si="21"/>
        <v>88</v>
      </c>
      <c r="BN192" s="7" t="s">
        <v>114</v>
      </c>
      <c r="BO192" s="20" t="str">
        <f t="shared" si="22"/>
        <v>172</v>
      </c>
      <c r="BP192" s="7"/>
      <c r="BQ192" s="7" t="s">
        <v>124</v>
      </c>
      <c r="BR192" s="20" t="str">
        <f t="shared" si="20"/>
        <v>22.5</v>
      </c>
      <c r="BS192" s="21">
        <f t="shared" si="23"/>
        <v>84</v>
      </c>
    </row>
    <row r="193" spans="1:72" x14ac:dyDescent="0.2">
      <c r="A193" t="s">
        <v>63</v>
      </c>
      <c r="B193" t="s">
        <v>2310</v>
      </c>
      <c r="C193" t="s">
        <v>809</v>
      </c>
      <c r="D193" t="s">
        <v>64</v>
      </c>
      <c r="E193" t="s">
        <v>65</v>
      </c>
      <c r="F193" t="s">
        <v>64</v>
      </c>
      <c r="G193" t="s">
        <v>615</v>
      </c>
      <c r="H193" t="s">
        <v>67</v>
      </c>
      <c r="I193" t="s">
        <v>788</v>
      </c>
      <c r="J193" t="s">
        <v>789</v>
      </c>
      <c r="K193" t="s">
        <v>803</v>
      </c>
      <c r="L193">
        <v>732</v>
      </c>
      <c r="M193">
        <v>732</v>
      </c>
      <c r="N193">
        <v>2403</v>
      </c>
      <c r="O193">
        <v>2403</v>
      </c>
      <c r="P193" t="s">
        <v>804</v>
      </c>
      <c r="R193" t="s">
        <v>805</v>
      </c>
      <c r="T193" t="s">
        <v>806</v>
      </c>
      <c r="U193" s="2">
        <v>41109</v>
      </c>
      <c r="V193">
        <v>19</v>
      </c>
      <c r="W193">
        <v>7</v>
      </c>
      <c r="X193">
        <v>2012</v>
      </c>
      <c r="Y193" t="s">
        <v>807</v>
      </c>
      <c r="Z193" t="s">
        <v>72</v>
      </c>
      <c r="AA193">
        <v>53.424433333300001</v>
      </c>
      <c r="AB193">
        <v>-113.4043166667</v>
      </c>
      <c r="AD193" t="s">
        <v>73</v>
      </c>
      <c r="AE193" t="s">
        <v>74</v>
      </c>
      <c r="AI193" t="s">
        <v>75</v>
      </c>
      <c r="AO193" t="s">
        <v>630</v>
      </c>
      <c r="AP193" s="20" t="str">
        <f t="shared" si="18"/>
        <v>19.5</v>
      </c>
      <c r="AU193" t="s">
        <v>141</v>
      </c>
      <c r="AV193" s="20" t="str">
        <f t="shared" si="19"/>
        <v>18.5</v>
      </c>
      <c r="BH193" t="s">
        <v>78</v>
      </c>
      <c r="BL193" t="s">
        <v>84</v>
      </c>
      <c r="BM193" s="20" t="str">
        <f t="shared" si="21"/>
        <v>78</v>
      </c>
      <c r="BN193" t="s">
        <v>407</v>
      </c>
      <c r="BO193" s="20" t="str">
        <f t="shared" si="22"/>
        <v>162</v>
      </c>
      <c r="BQ193" t="s">
        <v>352</v>
      </c>
      <c r="BR193" s="20" t="str">
        <f t="shared" si="20"/>
        <v>17.5</v>
      </c>
      <c r="BS193" s="21">
        <f t="shared" si="23"/>
        <v>84</v>
      </c>
    </row>
    <row r="194" spans="1:72" x14ac:dyDescent="0.2">
      <c r="A194" s="10" t="s">
        <v>63</v>
      </c>
      <c r="B194" s="10" t="s">
        <v>2236</v>
      </c>
      <c r="C194" s="10" t="s">
        <v>269</v>
      </c>
      <c r="D194" s="10" t="s">
        <v>64</v>
      </c>
      <c r="E194" s="10" t="s">
        <v>65</v>
      </c>
      <c r="F194" s="10" t="s">
        <v>64</v>
      </c>
      <c r="G194" s="10" t="s">
        <v>211</v>
      </c>
      <c r="H194" s="10" t="s">
        <v>212</v>
      </c>
      <c r="I194" s="10" t="s">
        <v>213</v>
      </c>
      <c r="J194" s="10" t="s">
        <v>214</v>
      </c>
      <c r="K194" s="10"/>
      <c r="L194" s="10">
        <v>258</v>
      </c>
      <c r="M194" s="10">
        <v>258</v>
      </c>
      <c r="N194" s="10">
        <v>846</v>
      </c>
      <c r="O194" s="10">
        <v>846</v>
      </c>
      <c r="P194" s="10" t="s">
        <v>270</v>
      </c>
      <c r="Q194" s="10"/>
      <c r="R194" s="10" t="s">
        <v>216</v>
      </c>
      <c r="S194" s="10" t="s">
        <v>217</v>
      </c>
      <c r="T194" s="10" t="s">
        <v>271</v>
      </c>
      <c r="U194" s="11">
        <v>41309</v>
      </c>
      <c r="V194" s="10">
        <v>4</v>
      </c>
      <c r="W194" s="10">
        <v>2</v>
      </c>
      <c r="X194" s="10">
        <v>2013</v>
      </c>
      <c r="Y194" s="10">
        <f>-37.3533333333/-59.2028333333</f>
        <v>0.63093827153521986</v>
      </c>
      <c r="Z194" s="10" t="s">
        <v>72</v>
      </c>
      <c r="AA194" s="10">
        <v>-37.3533333333</v>
      </c>
      <c r="AB194" s="10">
        <v>-59.202833333299999</v>
      </c>
      <c r="AC194" s="10"/>
      <c r="AD194" s="10" t="s">
        <v>73</v>
      </c>
      <c r="AE194" s="10" t="s">
        <v>74</v>
      </c>
      <c r="AF194" s="10"/>
      <c r="AG194" s="10"/>
      <c r="AH194" s="10"/>
      <c r="AI194" s="10"/>
      <c r="AJ194" s="10"/>
      <c r="AK194" s="10"/>
      <c r="AL194" s="10"/>
      <c r="AM194" s="10"/>
      <c r="AN194" s="10"/>
      <c r="AO194" s="10" t="s">
        <v>77</v>
      </c>
      <c r="AP194" s="20" t="str">
        <f t="shared" ref="AP194:AP257" si="24">LEFT(AO194,FIND("^^",SUBSTITUTE(AO194," ","^^",LEN(AO194)-LEN(SUBSTITUTE(AO194," ",""))))-1)</f>
        <v>12</v>
      </c>
      <c r="AQ194" s="10"/>
      <c r="AR194" s="10"/>
      <c r="AS194" s="10"/>
      <c r="AT194" s="10"/>
      <c r="AU194" s="10" t="s">
        <v>111</v>
      </c>
      <c r="AV194" s="20" t="str">
        <f t="shared" ref="AV194:AV257" si="25">LEFT(AU194,FIND("^^",SUBSTITUTE(AU194," ","^^",LEN(AU194)-LEN(SUBSTITUTE(AU194," ",""))))-1)</f>
        <v>20</v>
      </c>
      <c r="AW194" s="10"/>
      <c r="AX194" s="10"/>
      <c r="AY194" s="10"/>
      <c r="AZ194" s="10"/>
      <c r="BA194" s="10"/>
      <c r="BB194" s="10"/>
      <c r="BC194" s="10"/>
      <c r="BD194" s="10" t="s">
        <v>272</v>
      </c>
      <c r="BF194" s="10"/>
      <c r="BG194" s="10"/>
      <c r="BH194" s="10" t="s">
        <v>83</v>
      </c>
      <c r="BI194" s="10"/>
      <c r="BJ194" s="10"/>
      <c r="BK194" s="10"/>
      <c r="BL194" s="10" t="s">
        <v>98</v>
      </c>
      <c r="BM194" s="20" t="str">
        <f t="shared" si="21"/>
        <v>76</v>
      </c>
      <c r="BN194" s="10" t="s">
        <v>181</v>
      </c>
      <c r="BO194" s="20" t="str">
        <f t="shared" si="22"/>
        <v>160</v>
      </c>
      <c r="BP194" s="10"/>
      <c r="BQ194" s="10" t="s">
        <v>262</v>
      </c>
      <c r="BR194" s="20" t="str">
        <f t="shared" ref="BR194:BR257" si="26">LEFT(BQ194,FIND("^^",SUBSTITUTE(BQ194," ","^^",LEN(BQ194)-LEN(SUBSTITUTE(BQ194," ",""))))-1)</f>
        <v>12.5</v>
      </c>
      <c r="BS194" s="21">
        <f t="shared" si="23"/>
        <v>84</v>
      </c>
    </row>
    <row r="195" spans="1:72" x14ac:dyDescent="0.2">
      <c r="A195" t="s">
        <v>63</v>
      </c>
      <c r="C195" t="s">
        <v>756</v>
      </c>
      <c r="D195" t="s">
        <v>64</v>
      </c>
      <c r="E195" t="s">
        <v>65</v>
      </c>
      <c r="F195" t="s">
        <v>64</v>
      </c>
      <c r="G195" t="s">
        <v>211</v>
      </c>
      <c r="H195" t="s">
        <v>212</v>
      </c>
      <c r="I195" t="s">
        <v>701</v>
      </c>
      <c r="J195" t="s">
        <v>734</v>
      </c>
      <c r="L195">
        <v>2973</v>
      </c>
      <c r="M195">
        <v>2973</v>
      </c>
      <c r="N195">
        <v>9755</v>
      </c>
      <c r="O195">
        <v>9755</v>
      </c>
      <c r="P195" t="s">
        <v>745</v>
      </c>
      <c r="R195" t="s">
        <v>750</v>
      </c>
      <c r="T195" t="s">
        <v>747</v>
      </c>
      <c r="U195" s="2">
        <v>41228</v>
      </c>
      <c r="V195">
        <v>15</v>
      </c>
      <c r="W195">
        <v>11</v>
      </c>
      <c r="X195">
        <v>2012</v>
      </c>
      <c r="Y195">
        <f>-0.87355/-78.6070833333</f>
        <v>1.111286620693051E-2</v>
      </c>
      <c r="Z195" t="s">
        <v>72</v>
      </c>
      <c r="AA195">
        <v>-0.87355000000000005</v>
      </c>
      <c r="AB195">
        <v>-78.607083333299997</v>
      </c>
      <c r="AD195" t="s">
        <v>96</v>
      </c>
      <c r="AE195" t="s">
        <v>74</v>
      </c>
      <c r="AI195" t="s">
        <v>75</v>
      </c>
      <c r="AO195" t="s">
        <v>87</v>
      </c>
      <c r="AP195" s="20" t="str">
        <f t="shared" si="24"/>
        <v>14</v>
      </c>
      <c r="AU195" t="s">
        <v>344</v>
      </c>
      <c r="AV195" s="20" t="str">
        <f t="shared" si="25"/>
        <v>16</v>
      </c>
      <c r="BD195" t="s">
        <v>754</v>
      </c>
      <c r="BH195" t="s">
        <v>83</v>
      </c>
      <c r="BL195" t="s">
        <v>123</v>
      </c>
      <c r="BM195" s="20" t="str">
        <f t="shared" si="21"/>
        <v>88</v>
      </c>
      <c r="BN195" t="s">
        <v>114</v>
      </c>
      <c r="BO195" s="20" t="str">
        <f t="shared" si="22"/>
        <v>172</v>
      </c>
      <c r="BQ195" t="s">
        <v>262</v>
      </c>
      <c r="BR195" s="20" t="str">
        <f t="shared" si="26"/>
        <v>12.5</v>
      </c>
      <c r="BS195" s="21">
        <f t="shared" si="23"/>
        <v>84</v>
      </c>
    </row>
    <row r="196" spans="1:72" x14ac:dyDescent="0.2">
      <c r="A196" t="s">
        <v>63</v>
      </c>
      <c r="C196" t="s">
        <v>707</v>
      </c>
      <c r="D196" t="s">
        <v>64</v>
      </c>
      <c r="E196" t="s">
        <v>65</v>
      </c>
      <c r="F196" t="s">
        <v>64</v>
      </c>
      <c r="G196" t="s">
        <v>211</v>
      </c>
      <c r="H196" t="s">
        <v>212</v>
      </c>
      <c r="I196" t="s">
        <v>701</v>
      </c>
      <c r="J196" t="s">
        <v>702</v>
      </c>
      <c r="L196">
        <v>2589</v>
      </c>
      <c r="M196">
        <v>2589</v>
      </c>
      <c r="N196">
        <v>8494</v>
      </c>
      <c r="O196">
        <v>8494</v>
      </c>
      <c r="P196" t="s">
        <v>703</v>
      </c>
      <c r="R196" t="s">
        <v>704</v>
      </c>
      <c r="T196" t="s">
        <v>705</v>
      </c>
      <c r="U196" s="2">
        <v>41219</v>
      </c>
      <c r="V196">
        <v>6</v>
      </c>
      <c r="W196">
        <v>11</v>
      </c>
      <c r="X196">
        <v>2012</v>
      </c>
      <c r="Y196">
        <f>-0.2479166667/-78.3570166667</f>
        <v>3.1639370313770393E-3</v>
      </c>
      <c r="Z196" t="s">
        <v>72</v>
      </c>
      <c r="AA196">
        <v>-0.24791666670000001</v>
      </c>
      <c r="AB196">
        <v>-78.357016666700005</v>
      </c>
      <c r="AD196" t="s">
        <v>96</v>
      </c>
      <c r="AE196" t="s">
        <v>74</v>
      </c>
      <c r="AI196" t="s">
        <v>75</v>
      </c>
      <c r="AO196" t="s">
        <v>87</v>
      </c>
      <c r="AP196" s="20" t="str">
        <f t="shared" si="24"/>
        <v>14</v>
      </c>
      <c r="AU196" t="s">
        <v>344</v>
      </c>
      <c r="AV196" s="20" t="str">
        <f t="shared" si="25"/>
        <v>16</v>
      </c>
      <c r="BD196" t="s">
        <v>708</v>
      </c>
      <c r="BH196" t="s">
        <v>83</v>
      </c>
      <c r="BL196" t="s">
        <v>363</v>
      </c>
      <c r="BM196" s="20" t="str">
        <f t="shared" si="21"/>
        <v>72</v>
      </c>
      <c r="BN196" t="s">
        <v>695</v>
      </c>
      <c r="BO196" s="20" t="str">
        <f t="shared" si="22"/>
        <v>156</v>
      </c>
      <c r="BQ196" t="s">
        <v>438</v>
      </c>
      <c r="BR196" s="20" t="str">
        <f t="shared" si="26"/>
        <v>11.25</v>
      </c>
      <c r="BS196" s="21">
        <f t="shared" si="23"/>
        <v>84</v>
      </c>
    </row>
    <row r="197" spans="1:72" x14ac:dyDescent="0.2">
      <c r="A197" t="s">
        <v>63</v>
      </c>
      <c r="C197" t="s">
        <v>758</v>
      </c>
      <c r="D197" t="s">
        <v>64</v>
      </c>
      <c r="E197" t="s">
        <v>65</v>
      </c>
      <c r="F197" t="s">
        <v>64</v>
      </c>
      <c r="G197" t="s">
        <v>211</v>
      </c>
      <c r="H197" t="s">
        <v>212</v>
      </c>
      <c r="I197" t="s">
        <v>701</v>
      </c>
      <c r="J197" t="s">
        <v>734</v>
      </c>
      <c r="L197">
        <v>2973</v>
      </c>
      <c r="M197">
        <v>2973</v>
      </c>
      <c r="N197">
        <v>9755</v>
      </c>
      <c r="O197">
        <v>9755</v>
      </c>
      <c r="P197" t="s">
        <v>745</v>
      </c>
      <c r="R197" t="s">
        <v>750</v>
      </c>
      <c r="T197" t="s">
        <v>747</v>
      </c>
      <c r="U197" s="2">
        <v>41228</v>
      </c>
      <c r="V197">
        <v>15</v>
      </c>
      <c r="W197">
        <v>11</v>
      </c>
      <c r="X197">
        <v>2012</v>
      </c>
      <c r="Y197">
        <f>-0.87355/-78.6070833333</f>
        <v>1.111286620693051E-2</v>
      </c>
      <c r="Z197" t="s">
        <v>72</v>
      </c>
      <c r="AA197">
        <v>-0.87355000000000005</v>
      </c>
      <c r="AB197">
        <v>-78.607083333299997</v>
      </c>
      <c r="AD197" t="s">
        <v>96</v>
      </c>
      <c r="AE197" t="s">
        <v>74</v>
      </c>
      <c r="AI197" t="s">
        <v>75</v>
      </c>
      <c r="AO197" t="s">
        <v>77</v>
      </c>
      <c r="AP197" s="20" t="str">
        <f t="shared" si="24"/>
        <v>12</v>
      </c>
      <c r="AU197" t="s">
        <v>121</v>
      </c>
      <c r="AV197" s="20" t="str">
        <f t="shared" si="25"/>
        <v>18</v>
      </c>
      <c r="BD197" t="s">
        <v>759</v>
      </c>
      <c r="BH197" t="s">
        <v>83</v>
      </c>
      <c r="BL197" t="s">
        <v>520</v>
      </c>
      <c r="BM197" s="20" t="str">
        <f t="shared" si="21"/>
        <v>93</v>
      </c>
      <c r="BN197" t="s">
        <v>192</v>
      </c>
      <c r="BO197" s="20" t="str">
        <f t="shared" si="22"/>
        <v>177</v>
      </c>
      <c r="BQ197" t="s">
        <v>728</v>
      </c>
      <c r="BR197" s="20" t="str">
        <f t="shared" si="26"/>
        <v>13.25</v>
      </c>
      <c r="BS197" s="21">
        <f t="shared" si="23"/>
        <v>84</v>
      </c>
    </row>
    <row r="198" spans="1:72" x14ac:dyDescent="0.2">
      <c r="A198" s="13" t="s">
        <v>63</v>
      </c>
      <c r="B198" s="13"/>
      <c r="C198" s="13" t="s">
        <v>775</v>
      </c>
      <c r="D198" s="13" t="s">
        <v>64</v>
      </c>
      <c r="E198" s="13" t="s">
        <v>65</v>
      </c>
      <c r="F198" s="13" t="s">
        <v>64</v>
      </c>
      <c r="G198" s="13" t="s">
        <v>211</v>
      </c>
      <c r="H198" s="13" t="s">
        <v>212</v>
      </c>
      <c r="I198" s="13" t="s">
        <v>701</v>
      </c>
      <c r="J198" s="13" t="s">
        <v>702</v>
      </c>
      <c r="K198" s="13"/>
      <c r="L198" s="13">
        <v>2363</v>
      </c>
      <c r="M198" s="13">
        <v>2363</v>
      </c>
      <c r="N198" s="13">
        <v>7753</v>
      </c>
      <c r="O198" s="13">
        <v>7753</v>
      </c>
      <c r="P198" s="13" t="s">
        <v>776</v>
      </c>
      <c r="Q198" s="13"/>
      <c r="R198" s="13" t="s">
        <v>777</v>
      </c>
      <c r="S198" s="13"/>
      <c r="T198" s="13" t="s">
        <v>778</v>
      </c>
      <c r="U198" s="15">
        <v>41219</v>
      </c>
      <c r="V198" s="13">
        <v>6</v>
      </c>
      <c r="W198" s="13">
        <v>11</v>
      </c>
      <c r="X198" s="13">
        <v>2012</v>
      </c>
      <c r="Y198" s="13">
        <f>-0.19745/-78.3941166667</f>
        <v>2.5186839063379889E-3</v>
      </c>
      <c r="Z198" s="13" t="s">
        <v>72</v>
      </c>
      <c r="AA198" s="13">
        <v>-0.19744999999999999</v>
      </c>
      <c r="AB198" s="13">
        <v>-78.3941166667</v>
      </c>
      <c r="AC198" s="13"/>
      <c r="AD198" s="13" t="s">
        <v>96</v>
      </c>
      <c r="AE198" s="13" t="s">
        <v>74</v>
      </c>
      <c r="AF198" s="13"/>
      <c r="AG198" s="13"/>
      <c r="AH198" s="13"/>
      <c r="AI198" s="13" t="s">
        <v>75</v>
      </c>
      <c r="AJ198" s="13"/>
      <c r="AK198" s="13"/>
      <c r="AL198" s="13"/>
      <c r="AM198" s="13"/>
      <c r="AN198" s="13"/>
      <c r="AO198" s="13" t="s">
        <v>236</v>
      </c>
      <c r="AP198" s="20" t="str">
        <f t="shared" si="24"/>
        <v>11</v>
      </c>
      <c r="AQ198" s="13"/>
      <c r="AR198" s="13"/>
      <c r="AS198" s="13"/>
      <c r="AT198" s="13"/>
      <c r="AU198" s="13" t="s">
        <v>121</v>
      </c>
      <c r="AV198" s="20" t="str">
        <f t="shared" si="25"/>
        <v>18</v>
      </c>
      <c r="AW198" s="13"/>
      <c r="AX198" s="13"/>
      <c r="AY198" s="13"/>
      <c r="AZ198" s="13"/>
      <c r="BA198" s="13"/>
      <c r="BB198" s="13"/>
      <c r="BC198" s="13"/>
      <c r="BD198" s="13" t="s">
        <v>779</v>
      </c>
      <c r="BF198" s="13"/>
      <c r="BG198" s="13"/>
      <c r="BH198" s="13" t="s">
        <v>83</v>
      </c>
      <c r="BI198" s="13"/>
      <c r="BJ198" s="13"/>
      <c r="BK198" s="13"/>
      <c r="BL198" s="13" t="s">
        <v>147</v>
      </c>
      <c r="BM198" s="20" t="str">
        <f t="shared" si="21"/>
        <v>84</v>
      </c>
      <c r="BN198" s="13" t="s">
        <v>324</v>
      </c>
      <c r="BO198" s="20" t="str">
        <f t="shared" si="22"/>
        <v>168</v>
      </c>
      <c r="BP198" s="13"/>
      <c r="BQ198" s="13" t="s">
        <v>340</v>
      </c>
      <c r="BR198" s="20" t="str">
        <f t="shared" si="26"/>
        <v>15</v>
      </c>
      <c r="BS198" s="21">
        <f t="shared" si="23"/>
        <v>84</v>
      </c>
    </row>
    <row r="199" spans="1:72" x14ac:dyDescent="0.2">
      <c r="A199" s="10" t="s">
        <v>63</v>
      </c>
      <c r="B199" s="10" t="s">
        <v>2259</v>
      </c>
      <c r="C199" s="10" t="s">
        <v>556</v>
      </c>
      <c r="D199" s="10" t="s">
        <v>64</v>
      </c>
      <c r="E199" s="10" t="s">
        <v>65</v>
      </c>
      <c r="F199" s="10" t="s">
        <v>64</v>
      </c>
      <c r="G199" s="10" t="s">
        <v>211</v>
      </c>
      <c r="H199" s="10" t="s">
        <v>212</v>
      </c>
      <c r="I199" s="10" t="s">
        <v>383</v>
      </c>
      <c r="J199" s="10" t="s">
        <v>551</v>
      </c>
      <c r="K199" s="10"/>
      <c r="L199" s="10">
        <v>555</v>
      </c>
      <c r="M199" s="10">
        <v>555</v>
      </c>
      <c r="N199" s="10">
        <v>1820</v>
      </c>
      <c r="O199" s="10">
        <v>1820</v>
      </c>
      <c r="P199" s="10" t="s">
        <v>557</v>
      </c>
      <c r="Q199" s="10"/>
      <c r="R199" s="10" t="s">
        <v>553</v>
      </c>
      <c r="S199" s="10" t="s">
        <v>558</v>
      </c>
      <c r="T199" s="10" t="s">
        <v>559</v>
      </c>
      <c r="U199" s="11">
        <v>41414</v>
      </c>
      <c r="V199" s="10">
        <v>20</v>
      </c>
      <c r="W199" s="10">
        <v>5</v>
      </c>
      <c r="X199" s="10">
        <v>2013</v>
      </c>
      <c r="Y199" s="10">
        <f>-23.457/-51.9925</f>
        <v>0.4511612251767082</v>
      </c>
      <c r="Z199" s="10" t="s">
        <v>72</v>
      </c>
      <c r="AA199" s="10">
        <v>-23.457000000000001</v>
      </c>
      <c r="AB199" s="10">
        <v>-51.9925</v>
      </c>
      <c r="AC199" s="10"/>
      <c r="AD199" s="10" t="s">
        <v>73</v>
      </c>
      <c r="AE199" s="10" t="s">
        <v>74</v>
      </c>
      <c r="AF199" s="10"/>
      <c r="AG199" s="10"/>
      <c r="AH199" s="10"/>
      <c r="AI199" s="10"/>
      <c r="AJ199" s="10"/>
      <c r="AK199" s="10"/>
      <c r="AL199" s="10"/>
      <c r="AM199" s="10"/>
      <c r="AN199" s="10"/>
      <c r="AO199" s="10" t="s">
        <v>82</v>
      </c>
      <c r="AP199" s="20" t="str">
        <f t="shared" si="24"/>
        <v>17</v>
      </c>
      <c r="AQ199" s="10"/>
      <c r="AR199" s="10"/>
      <c r="AS199" s="10"/>
      <c r="AT199" s="10"/>
      <c r="AU199" s="10" t="s">
        <v>82</v>
      </c>
      <c r="AV199" s="20" t="str">
        <f t="shared" si="25"/>
        <v>17</v>
      </c>
      <c r="AW199" s="10"/>
      <c r="AX199" s="10"/>
      <c r="AY199" s="10"/>
      <c r="AZ199" s="10"/>
      <c r="BA199" s="10"/>
      <c r="BB199" s="10"/>
      <c r="BC199" s="10"/>
      <c r="BD199" s="10" t="s">
        <v>560</v>
      </c>
      <c r="BF199" s="10"/>
      <c r="BG199" s="10"/>
      <c r="BH199" s="10" t="s">
        <v>83</v>
      </c>
      <c r="BI199" s="10"/>
      <c r="BJ199" s="10"/>
      <c r="BK199" s="10"/>
      <c r="BL199" s="10" t="s">
        <v>84</v>
      </c>
      <c r="BM199" s="20" t="str">
        <f t="shared" si="21"/>
        <v>78</v>
      </c>
      <c r="BN199" s="10" t="s">
        <v>407</v>
      </c>
      <c r="BO199" s="20" t="str">
        <f t="shared" si="22"/>
        <v>162</v>
      </c>
      <c r="BP199" s="10"/>
      <c r="BQ199" s="10" t="s">
        <v>255</v>
      </c>
      <c r="BR199" s="20" t="str">
        <f t="shared" si="26"/>
        <v>11.5</v>
      </c>
      <c r="BS199" s="21">
        <f t="shared" si="23"/>
        <v>84</v>
      </c>
    </row>
    <row r="200" spans="1:72" x14ac:dyDescent="0.2">
      <c r="A200" s="10" t="s">
        <v>63</v>
      </c>
      <c r="B200" s="10" t="s">
        <v>2260</v>
      </c>
      <c r="C200" s="10" t="s">
        <v>561</v>
      </c>
      <c r="D200" s="10" t="s">
        <v>64</v>
      </c>
      <c r="E200" s="10" t="s">
        <v>65</v>
      </c>
      <c r="F200" s="10" t="s">
        <v>64</v>
      </c>
      <c r="G200" s="10" t="s">
        <v>211</v>
      </c>
      <c r="H200" s="10" t="s">
        <v>212</v>
      </c>
      <c r="I200" s="10" t="s">
        <v>383</v>
      </c>
      <c r="J200" s="10" t="s">
        <v>551</v>
      </c>
      <c r="K200" s="10"/>
      <c r="L200" s="10">
        <v>555</v>
      </c>
      <c r="M200" s="10">
        <v>555</v>
      </c>
      <c r="N200" s="10">
        <v>1820</v>
      </c>
      <c r="O200" s="10">
        <v>1820</v>
      </c>
      <c r="P200" s="10" t="s">
        <v>557</v>
      </c>
      <c r="Q200" s="10"/>
      <c r="R200" s="10" t="s">
        <v>553</v>
      </c>
      <c r="S200" s="10" t="s">
        <v>558</v>
      </c>
      <c r="T200" s="10" t="s">
        <v>562</v>
      </c>
      <c r="U200" s="11">
        <v>41414</v>
      </c>
      <c r="V200" s="10">
        <v>20</v>
      </c>
      <c r="W200" s="10">
        <v>5</v>
      </c>
      <c r="X200" s="10">
        <v>2013</v>
      </c>
      <c r="Y200" s="10">
        <f>-23.457/-51.9925</f>
        <v>0.4511612251767082</v>
      </c>
      <c r="Z200" s="10" t="s">
        <v>72</v>
      </c>
      <c r="AA200" s="10">
        <v>-23.457000000000001</v>
      </c>
      <c r="AB200" s="10">
        <v>-51.9925</v>
      </c>
      <c r="AC200" s="10"/>
      <c r="AD200" s="10" t="s">
        <v>73</v>
      </c>
      <c r="AE200" s="10" t="s">
        <v>74</v>
      </c>
      <c r="AF200" s="10"/>
      <c r="AG200" s="10"/>
      <c r="AH200" s="10"/>
      <c r="AI200" s="10"/>
      <c r="AJ200" s="10"/>
      <c r="AK200" s="10"/>
      <c r="AL200" s="10"/>
      <c r="AM200" s="10"/>
      <c r="AN200" s="10"/>
      <c r="AO200" s="10" t="s">
        <v>87</v>
      </c>
      <c r="AP200" s="20" t="str">
        <f t="shared" si="24"/>
        <v>14</v>
      </c>
      <c r="AQ200" s="10"/>
      <c r="AR200" s="10"/>
      <c r="AS200" s="10"/>
      <c r="AT200" s="10"/>
      <c r="AU200" s="10" t="s">
        <v>121</v>
      </c>
      <c r="AV200" s="20" t="str">
        <f t="shared" si="25"/>
        <v>18</v>
      </c>
      <c r="AW200" s="10"/>
      <c r="AX200" s="10"/>
      <c r="AY200" s="10"/>
      <c r="AZ200" s="10"/>
      <c r="BA200" s="10"/>
      <c r="BB200" s="10"/>
      <c r="BC200" s="10"/>
      <c r="BD200" s="10" t="s">
        <v>560</v>
      </c>
      <c r="BF200" s="10"/>
      <c r="BG200" s="10"/>
      <c r="BH200" s="10" t="s">
        <v>83</v>
      </c>
      <c r="BI200" s="10"/>
      <c r="BJ200" s="10"/>
      <c r="BK200" s="10"/>
      <c r="BL200" s="10" t="s">
        <v>351</v>
      </c>
      <c r="BM200" s="20" t="str">
        <f t="shared" si="21"/>
        <v>77</v>
      </c>
      <c r="BN200" s="10" t="s">
        <v>563</v>
      </c>
      <c r="BO200" s="20" t="str">
        <f t="shared" si="22"/>
        <v>161</v>
      </c>
      <c r="BP200" s="10"/>
      <c r="BQ200" s="10" t="s">
        <v>512</v>
      </c>
      <c r="BR200" s="20" t="str">
        <f t="shared" si="26"/>
        <v>13.5</v>
      </c>
      <c r="BS200" s="21">
        <f t="shared" si="23"/>
        <v>84</v>
      </c>
    </row>
    <row r="201" spans="1:72" x14ac:dyDescent="0.2">
      <c r="A201" s="10" t="s">
        <v>63</v>
      </c>
      <c r="B201" s="10" t="s">
        <v>2262</v>
      </c>
      <c r="C201" s="10" t="s">
        <v>572</v>
      </c>
      <c r="D201" s="10" t="s">
        <v>64</v>
      </c>
      <c r="E201" s="10" t="s">
        <v>65</v>
      </c>
      <c r="F201" s="10" t="s">
        <v>64</v>
      </c>
      <c r="G201" s="10" t="s">
        <v>211</v>
      </c>
      <c r="H201" s="10" t="s">
        <v>212</v>
      </c>
      <c r="I201" s="10" t="s">
        <v>383</v>
      </c>
      <c r="J201" s="10" t="s">
        <v>551</v>
      </c>
      <c r="K201" s="10"/>
      <c r="L201" s="10">
        <v>547</v>
      </c>
      <c r="M201" s="10">
        <v>547</v>
      </c>
      <c r="N201" s="10">
        <v>1793</v>
      </c>
      <c r="O201" s="10">
        <v>1793</v>
      </c>
      <c r="P201" s="10" t="s">
        <v>573</v>
      </c>
      <c r="Q201" s="10"/>
      <c r="R201" s="10" t="s">
        <v>553</v>
      </c>
      <c r="S201" s="10" t="s">
        <v>574</v>
      </c>
      <c r="T201" s="10" t="s">
        <v>575</v>
      </c>
      <c r="U201" s="11">
        <v>41415</v>
      </c>
      <c r="V201" s="10">
        <v>21</v>
      </c>
      <c r="W201" s="10">
        <v>5</v>
      </c>
      <c r="X201" s="10">
        <v>2013</v>
      </c>
      <c r="Y201" s="10">
        <f>-23.457/-51.9925</f>
        <v>0.4511612251767082</v>
      </c>
      <c r="Z201" s="10" t="s">
        <v>72</v>
      </c>
      <c r="AA201" s="10">
        <v>-23.457000000000001</v>
      </c>
      <c r="AB201" s="10">
        <v>-51.9925</v>
      </c>
      <c r="AC201" s="10"/>
      <c r="AD201" s="10" t="s">
        <v>73</v>
      </c>
      <c r="AE201" s="10" t="s">
        <v>74</v>
      </c>
      <c r="AF201" s="10"/>
      <c r="AG201" s="10"/>
      <c r="AH201" s="10"/>
      <c r="AI201" s="10"/>
      <c r="AJ201" s="10"/>
      <c r="AK201" s="10"/>
      <c r="AL201" s="10"/>
      <c r="AM201" s="10"/>
      <c r="AN201" s="10"/>
      <c r="AO201" s="10" t="s">
        <v>87</v>
      </c>
      <c r="AP201" s="20" t="str">
        <f t="shared" si="24"/>
        <v>14</v>
      </c>
      <c r="AQ201" s="10"/>
      <c r="AR201" s="10"/>
      <c r="AS201" s="10"/>
      <c r="AT201" s="10"/>
      <c r="AU201" s="10" t="s">
        <v>344</v>
      </c>
      <c r="AV201" s="20" t="str">
        <f t="shared" si="25"/>
        <v>16</v>
      </c>
      <c r="AW201" s="10"/>
      <c r="AX201" s="10"/>
      <c r="AY201" s="10"/>
      <c r="AZ201" s="10"/>
      <c r="BA201" s="10"/>
      <c r="BB201" s="10"/>
      <c r="BC201" s="10"/>
      <c r="BD201" s="10" t="s">
        <v>447</v>
      </c>
      <c r="BF201" s="10"/>
      <c r="BG201" s="10"/>
      <c r="BH201" s="10" t="s">
        <v>83</v>
      </c>
      <c r="BI201" s="10"/>
      <c r="BJ201" s="10"/>
      <c r="BK201" s="10"/>
      <c r="BL201" s="10" t="s">
        <v>208</v>
      </c>
      <c r="BM201" s="20" t="str">
        <f t="shared" si="21"/>
        <v>80</v>
      </c>
      <c r="BN201" s="10" t="s">
        <v>99</v>
      </c>
      <c r="BO201" s="20" t="str">
        <f t="shared" si="22"/>
        <v>164</v>
      </c>
      <c r="BP201" s="10"/>
      <c r="BQ201" s="10" t="s">
        <v>390</v>
      </c>
      <c r="BR201" s="20" t="str">
        <f t="shared" si="26"/>
        <v>14.5</v>
      </c>
      <c r="BS201" s="21">
        <f t="shared" si="23"/>
        <v>84</v>
      </c>
    </row>
    <row r="202" spans="1:72" x14ac:dyDescent="0.2">
      <c r="A202" s="7" t="s">
        <v>63</v>
      </c>
      <c r="B202" s="7" t="s">
        <v>2204</v>
      </c>
      <c r="C202" s="7" t="s">
        <v>1147</v>
      </c>
      <c r="D202" s="7" t="s">
        <v>64</v>
      </c>
      <c r="E202" s="7" t="s">
        <v>65</v>
      </c>
      <c r="F202" s="7" t="s">
        <v>64</v>
      </c>
      <c r="G202" s="7" t="s">
        <v>615</v>
      </c>
      <c r="H202" s="7" t="s">
        <v>67</v>
      </c>
      <c r="I202" s="7" t="s">
        <v>68</v>
      </c>
      <c r="J202" s="7" t="s">
        <v>1136</v>
      </c>
      <c r="K202" s="7" t="s">
        <v>1137</v>
      </c>
      <c r="L202" s="7">
        <v>1389</v>
      </c>
      <c r="M202" s="7">
        <v>1389</v>
      </c>
      <c r="N202" s="7">
        <v>4558</v>
      </c>
      <c r="O202" s="7">
        <v>4558</v>
      </c>
      <c r="P202" s="7" t="s">
        <v>1148</v>
      </c>
      <c r="Q202" s="7"/>
      <c r="R202" s="7" t="s">
        <v>1149</v>
      </c>
      <c r="S202" s="7" t="s">
        <v>250</v>
      </c>
      <c r="T202" s="7" t="s">
        <v>1150</v>
      </c>
      <c r="U202" s="9">
        <v>41075</v>
      </c>
      <c r="V202" s="7">
        <v>15</v>
      </c>
      <c r="W202" s="7">
        <v>6</v>
      </c>
      <c r="X202" s="7">
        <v>2012</v>
      </c>
      <c r="Y202" s="7" t="s">
        <v>1151</v>
      </c>
      <c r="Z202" s="7" t="s">
        <v>72</v>
      </c>
      <c r="AA202" s="7">
        <v>40.058533333299998</v>
      </c>
      <c r="AB202" s="7">
        <v>-111.7325333333</v>
      </c>
      <c r="AC202" s="7"/>
      <c r="AD202" s="7" t="s">
        <v>73</v>
      </c>
      <c r="AE202" s="7" t="s">
        <v>74</v>
      </c>
      <c r="AF202" s="7"/>
      <c r="AG202" s="7"/>
      <c r="AH202" s="7"/>
      <c r="AI202" s="7" t="s">
        <v>75</v>
      </c>
      <c r="AJ202" s="7"/>
      <c r="AK202" s="7"/>
      <c r="AL202" s="7"/>
      <c r="AM202" s="7"/>
      <c r="AN202" s="7"/>
      <c r="AO202" s="7" t="s">
        <v>843</v>
      </c>
      <c r="AP202" s="20" t="str">
        <f t="shared" si="24"/>
        <v>14.2</v>
      </c>
      <c r="AQ202" s="7"/>
      <c r="AR202" s="7"/>
      <c r="AS202" s="7"/>
      <c r="AT202" s="7"/>
      <c r="AU202" s="7" t="s">
        <v>914</v>
      </c>
      <c r="AV202" s="20" t="str">
        <f t="shared" si="25"/>
        <v>18.1</v>
      </c>
      <c r="AW202" s="7"/>
      <c r="AX202" s="7"/>
      <c r="AY202" s="7"/>
      <c r="AZ202" s="7"/>
      <c r="BA202" s="7"/>
      <c r="BB202" s="7"/>
      <c r="BC202" s="7"/>
      <c r="BD202" s="7" t="s">
        <v>1152</v>
      </c>
      <c r="BE202" s="20" t="s">
        <v>241</v>
      </c>
      <c r="BF202" s="7"/>
      <c r="BG202" s="7"/>
      <c r="BH202" s="7" t="s">
        <v>78</v>
      </c>
      <c r="BI202" s="7"/>
      <c r="BJ202" s="7"/>
      <c r="BK202" s="7"/>
      <c r="BL202" s="7" t="s">
        <v>346</v>
      </c>
      <c r="BM202" s="20" t="str">
        <f t="shared" si="21"/>
        <v>87</v>
      </c>
      <c r="BN202" s="7" t="s">
        <v>965</v>
      </c>
      <c r="BO202" s="20" t="str">
        <f t="shared" si="22"/>
        <v>171.5</v>
      </c>
      <c r="BP202" s="7"/>
      <c r="BQ202" s="7" t="s">
        <v>1153</v>
      </c>
      <c r="BR202" s="20" t="str">
        <f t="shared" si="26"/>
        <v>15.2</v>
      </c>
      <c r="BS202" s="21">
        <f t="shared" si="23"/>
        <v>84.5</v>
      </c>
    </row>
    <row r="203" spans="1:72" x14ac:dyDescent="0.2">
      <c r="A203" t="s">
        <v>63</v>
      </c>
      <c r="B203" t="s">
        <v>2401</v>
      </c>
      <c r="C203" t="s">
        <v>1277</v>
      </c>
      <c r="D203" t="s">
        <v>64</v>
      </c>
      <c r="E203" t="s">
        <v>65</v>
      </c>
      <c r="F203" t="s">
        <v>64</v>
      </c>
      <c r="G203" t="s">
        <v>615</v>
      </c>
      <c r="H203" t="s">
        <v>67</v>
      </c>
      <c r="I203" t="s">
        <v>68</v>
      </c>
      <c r="J203" t="s">
        <v>1136</v>
      </c>
      <c r="K203" t="s">
        <v>1210</v>
      </c>
      <c r="L203">
        <v>860</v>
      </c>
      <c r="M203">
        <v>860</v>
      </c>
      <c r="N203">
        <v>2823</v>
      </c>
      <c r="O203">
        <v>2823</v>
      </c>
      <c r="P203" t="s">
        <v>1268</v>
      </c>
      <c r="R203" t="s">
        <v>1269</v>
      </c>
      <c r="S203" t="s">
        <v>924</v>
      </c>
      <c r="T203" t="s">
        <v>1270</v>
      </c>
      <c r="U203" s="2">
        <v>41072</v>
      </c>
      <c r="V203">
        <v>12</v>
      </c>
      <c r="W203">
        <v>6</v>
      </c>
      <c r="X203">
        <v>2012</v>
      </c>
      <c r="Y203" t="s">
        <v>1271</v>
      </c>
      <c r="Z203" t="s">
        <v>72</v>
      </c>
      <c r="AA203">
        <v>37.127883333299998</v>
      </c>
      <c r="AB203">
        <v>-113.60665</v>
      </c>
      <c r="AD203" t="s">
        <v>73</v>
      </c>
      <c r="AE203" t="s">
        <v>74</v>
      </c>
      <c r="AI203" t="s">
        <v>75</v>
      </c>
      <c r="AO203" t="s">
        <v>680</v>
      </c>
      <c r="AP203" s="20" t="str">
        <f t="shared" si="24"/>
        <v>14.8</v>
      </c>
      <c r="AU203" t="s">
        <v>639</v>
      </c>
      <c r="AV203" s="20" t="str">
        <f t="shared" si="25"/>
        <v>19.3</v>
      </c>
      <c r="BD203" t="s">
        <v>1278</v>
      </c>
      <c r="BH203" t="s">
        <v>83</v>
      </c>
      <c r="BL203" t="s">
        <v>649</v>
      </c>
      <c r="BM203" s="20" t="str">
        <f t="shared" si="21"/>
        <v>90.5</v>
      </c>
      <c r="BN203" t="s">
        <v>132</v>
      </c>
      <c r="BO203" s="20" t="str">
        <f t="shared" si="22"/>
        <v>175</v>
      </c>
      <c r="BQ203" t="s">
        <v>948</v>
      </c>
      <c r="BR203" s="20" t="str">
        <f t="shared" si="26"/>
        <v>12.6</v>
      </c>
      <c r="BS203" s="21">
        <f t="shared" si="23"/>
        <v>84.5</v>
      </c>
    </row>
    <row r="204" spans="1:72" x14ac:dyDescent="0.2">
      <c r="A204" s="4" t="s">
        <v>63</v>
      </c>
      <c r="B204" s="4" t="s">
        <v>2138</v>
      </c>
      <c r="C204" s="4" t="s">
        <v>1728</v>
      </c>
      <c r="D204" s="4" t="s">
        <v>64</v>
      </c>
      <c r="E204" s="4" t="s">
        <v>65</v>
      </c>
      <c r="F204" s="4" t="s">
        <v>64</v>
      </c>
      <c r="G204" s="4" t="s">
        <v>134</v>
      </c>
      <c r="H204" s="4" t="s">
        <v>67</v>
      </c>
      <c r="I204" s="4" t="s">
        <v>68</v>
      </c>
      <c r="J204" s="4" t="s">
        <v>1590</v>
      </c>
      <c r="K204" s="4" t="s">
        <v>1729</v>
      </c>
      <c r="L204" s="4">
        <v>251</v>
      </c>
      <c r="M204" s="4">
        <v>251</v>
      </c>
      <c r="N204" s="4">
        <v>251</v>
      </c>
      <c r="O204" s="4">
        <v>251</v>
      </c>
      <c r="P204" s="4" t="s">
        <v>1730</v>
      </c>
      <c r="Q204" s="4"/>
      <c r="R204" s="4" t="s">
        <v>1731</v>
      </c>
      <c r="S204" s="4"/>
      <c r="T204" s="4" t="s">
        <v>1732</v>
      </c>
      <c r="U204" s="5">
        <v>41060</v>
      </c>
      <c r="V204" s="4">
        <v>31</v>
      </c>
      <c r="W204" s="4">
        <v>5</v>
      </c>
      <c r="X204" s="4">
        <v>2012</v>
      </c>
      <c r="Y204" s="4" t="s">
        <v>1733</v>
      </c>
      <c r="Z204" s="4" t="s">
        <v>72</v>
      </c>
      <c r="AA204" s="4">
        <v>34.0989</v>
      </c>
      <c r="AB204" s="4">
        <v>-83.345399999999998</v>
      </c>
      <c r="AC204" s="4"/>
      <c r="AD204" s="4" t="s">
        <v>73</v>
      </c>
      <c r="AE204" s="4" t="s">
        <v>74</v>
      </c>
      <c r="AF204" s="4"/>
      <c r="AG204" s="4"/>
      <c r="AH204" s="4"/>
      <c r="AI204" s="4"/>
      <c r="AJ204" s="4"/>
      <c r="AK204" s="4"/>
      <c r="AL204" s="4"/>
      <c r="AM204" s="4"/>
      <c r="AN204" s="4"/>
      <c r="AO204" s="4" t="s">
        <v>76</v>
      </c>
      <c r="AP204" s="20" t="str">
        <f t="shared" si="24"/>
        <v>13</v>
      </c>
      <c r="AQ204" s="4"/>
      <c r="AR204" s="4"/>
      <c r="AS204" s="4"/>
      <c r="AT204" s="4"/>
      <c r="AU204" s="4" t="s">
        <v>82</v>
      </c>
      <c r="AV204" s="20" t="str">
        <f t="shared" si="25"/>
        <v>17</v>
      </c>
      <c r="AW204" s="4"/>
      <c r="AX204" s="4"/>
      <c r="AY204" s="4"/>
      <c r="AZ204" s="4"/>
      <c r="BA204" s="4"/>
      <c r="BB204" s="4"/>
      <c r="BC204" s="4"/>
      <c r="BD204" s="4" t="s">
        <v>1734</v>
      </c>
      <c r="BE204" s="20" t="s">
        <v>241</v>
      </c>
      <c r="BF204" s="4"/>
      <c r="BG204" s="4"/>
      <c r="BH204" s="4" t="s">
        <v>78</v>
      </c>
      <c r="BI204" s="4"/>
      <c r="BJ204" s="4"/>
      <c r="BK204" s="4"/>
      <c r="BL204" s="4" t="s">
        <v>712</v>
      </c>
      <c r="BM204" s="20" t="str">
        <f t="shared" si="21"/>
        <v>71</v>
      </c>
      <c r="BN204" s="4" t="s">
        <v>695</v>
      </c>
      <c r="BO204" s="20" t="str">
        <f t="shared" si="22"/>
        <v>156</v>
      </c>
      <c r="BP204" s="4"/>
      <c r="BQ204" s="4" t="s">
        <v>1735</v>
      </c>
      <c r="BR204" s="20" t="str">
        <f t="shared" si="26"/>
        <v>16.13</v>
      </c>
      <c r="BS204" s="21">
        <f t="shared" si="23"/>
        <v>85</v>
      </c>
      <c r="BT204" s="10"/>
    </row>
    <row r="205" spans="1:72" x14ac:dyDescent="0.2">
      <c r="A205" s="10" t="s">
        <v>63</v>
      </c>
      <c r="B205" s="10" t="s">
        <v>2267</v>
      </c>
      <c r="C205" s="10" t="s">
        <v>596</v>
      </c>
      <c r="D205" s="10" t="s">
        <v>64</v>
      </c>
      <c r="E205" s="10" t="s">
        <v>65</v>
      </c>
      <c r="F205" s="10" t="s">
        <v>64</v>
      </c>
      <c r="G205" s="10" t="s">
        <v>211</v>
      </c>
      <c r="H205" s="10" t="s">
        <v>212</v>
      </c>
      <c r="I205" s="10" t="s">
        <v>383</v>
      </c>
      <c r="J205" s="10" t="s">
        <v>551</v>
      </c>
      <c r="K205" s="10"/>
      <c r="L205" s="10">
        <v>554</v>
      </c>
      <c r="M205" s="10">
        <v>554</v>
      </c>
      <c r="N205" s="10">
        <v>1817</v>
      </c>
      <c r="O205" s="10">
        <v>1817</v>
      </c>
      <c r="P205" s="10" t="s">
        <v>597</v>
      </c>
      <c r="Q205" s="10"/>
      <c r="R205" s="10" t="s">
        <v>553</v>
      </c>
      <c r="S205" s="10" t="s">
        <v>598</v>
      </c>
      <c r="T205" s="10" t="s">
        <v>599</v>
      </c>
      <c r="U205" s="11">
        <v>41417</v>
      </c>
      <c r="V205" s="10">
        <v>23</v>
      </c>
      <c r="W205" s="10">
        <v>5</v>
      </c>
      <c r="X205" s="10">
        <v>2013</v>
      </c>
      <c r="Y205" s="10">
        <f>-23.452/-51.9073333333</f>
        <v>0.45180513992913773</v>
      </c>
      <c r="Z205" s="10" t="s">
        <v>72</v>
      </c>
      <c r="AA205" s="10">
        <v>-23.452000000000002</v>
      </c>
      <c r="AB205" s="10">
        <v>-51.907333333300002</v>
      </c>
      <c r="AC205" s="10"/>
      <c r="AD205" s="10" t="s">
        <v>73</v>
      </c>
      <c r="AE205" s="10" t="s">
        <v>74</v>
      </c>
      <c r="AF205" s="10"/>
      <c r="AG205" s="10"/>
      <c r="AH205" s="10"/>
      <c r="AI205" s="10" t="s">
        <v>226</v>
      </c>
      <c r="AJ205" s="10"/>
      <c r="AK205" s="10"/>
      <c r="AL205" s="10"/>
      <c r="AM205" s="10"/>
      <c r="AN205" s="10"/>
      <c r="AO205" s="10" t="s">
        <v>77</v>
      </c>
      <c r="AP205" s="20" t="str">
        <f t="shared" si="24"/>
        <v>12</v>
      </c>
      <c r="AQ205" s="10"/>
      <c r="AR205" s="10"/>
      <c r="AS205" s="10"/>
      <c r="AT205" s="10"/>
      <c r="AU205" s="10" t="s">
        <v>344</v>
      </c>
      <c r="AV205" s="20" t="str">
        <f t="shared" si="25"/>
        <v>16</v>
      </c>
      <c r="AW205" s="10"/>
      <c r="AX205" s="10"/>
      <c r="AY205" s="10"/>
      <c r="AZ205" s="10"/>
      <c r="BA205" s="10"/>
      <c r="BB205" s="10"/>
      <c r="BC205" s="10"/>
      <c r="BD205" s="10" t="s">
        <v>258</v>
      </c>
      <c r="BF205" s="10"/>
      <c r="BG205" s="10"/>
      <c r="BH205" s="10" t="s">
        <v>78</v>
      </c>
      <c r="BI205" s="10"/>
      <c r="BJ205" s="10"/>
      <c r="BK205" s="10"/>
      <c r="BL205" s="10" t="s">
        <v>403</v>
      </c>
      <c r="BM205" s="20" t="str">
        <f t="shared" si="21"/>
        <v>67</v>
      </c>
      <c r="BN205" s="10" t="s">
        <v>326</v>
      </c>
      <c r="BO205" s="20" t="str">
        <f t="shared" si="22"/>
        <v>152</v>
      </c>
      <c r="BP205" s="10"/>
      <c r="BQ205" s="10" t="s">
        <v>291</v>
      </c>
      <c r="BR205" s="20" t="str">
        <f t="shared" si="26"/>
        <v>8</v>
      </c>
      <c r="BS205" s="21">
        <f t="shared" si="23"/>
        <v>85</v>
      </c>
    </row>
    <row r="206" spans="1:72" x14ac:dyDescent="0.2">
      <c r="A206" t="s">
        <v>63</v>
      </c>
      <c r="B206" s="20" t="s">
        <v>2369</v>
      </c>
      <c r="C206" t="s">
        <v>467</v>
      </c>
      <c r="D206" t="s">
        <v>64</v>
      </c>
      <c r="E206" t="s">
        <v>65</v>
      </c>
      <c r="F206" t="s">
        <v>64</v>
      </c>
      <c r="G206" t="s">
        <v>211</v>
      </c>
      <c r="H206" t="s">
        <v>212</v>
      </c>
      <c r="I206" t="s">
        <v>383</v>
      </c>
      <c r="J206" t="s">
        <v>443</v>
      </c>
      <c r="L206">
        <v>82</v>
      </c>
      <c r="M206">
        <v>82</v>
      </c>
      <c r="N206">
        <v>269</v>
      </c>
      <c r="O206">
        <v>269</v>
      </c>
      <c r="P206" t="s">
        <v>463</v>
      </c>
      <c r="R206" t="s">
        <v>445</v>
      </c>
      <c r="S206" t="s">
        <v>464</v>
      </c>
      <c r="T206" t="s">
        <v>465</v>
      </c>
      <c r="U206" s="2">
        <v>41429</v>
      </c>
      <c r="V206">
        <v>4</v>
      </c>
      <c r="W206">
        <v>6</v>
      </c>
      <c r="X206">
        <v>2013</v>
      </c>
      <c r="Y206">
        <f>-29.885/-57.1851666667</f>
        <v>0.52260055783666359</v>
      </c>
      <c r="Z206" t="s">
        <v>72</v>
      </c>
      <c r="AA206">
        <v>-29.885000000000002</v>
      </c>
      <c r="AB206">
        <v>-57.185166666699999</v>
      </c>
      <c r="AD206" t="s">
        <v>73</v>
      </c>
      <c r="AE206" t="s">
        <v>74</v>
      </c>
      <c r="AF206" t="s">
        <v>468</v>
      </c>
      <c r="AO206" t="s">
        <v>87</v>
      </c>
      <c r="AP206" s="20" t="str">
        <f t="shared" si="24"/>
        <v>14</v>
      </c>
      <c r="AU206" t="s">
        <v>82</v>
      </c>
      <c r="AV206" s="20" t="str">
        <f t="shared" si="25"/>
        <v>17</v>
      </c>
      <c r="BD206" t="s">
        <v>152</v>
      </c>
      <c r="BH206" t="s">
        <v>78</v>
      </c>
      <c r="BL206" t="s">
        <v>208</v>
      </c>
      <c r="BM206" s="20" t="str">
        <f t="shared" si="21"/>
        <v>80</v>
      </c>
      <c r="BN206" t="s">
        <v>89</v>
      </c>
      <c r="BO206" s="20" t="str">
        <f t="shared" si="22"/>
        <v>165</v>
      </c>
      <c r="BQ206" t="s">
        <v>133</v>
      </c>
      <c r="BR206" s="20" t="str">
        <f t="shared" si="26"/>
        <v>14</v>
      </c>
      <c r="BS206" s="21">
        <f t="shared" si="23"/>
        <v>85</v>
      </c>
      <c r="BT206" s="13"/>
    </row>
    <row r="207" spans="1:72" x14ac:dyDescent="0.2">
      <c r="A207" s="13" t="s">
        <v>63</v>
      </c>
      <c r="B207" s="13" t="s">
        <v>2370</v>
      </c>
      <c r="C207" s="13" t="s">
        <v>2018</v>
      </c>
      <c r="D207" s="13" t="s">
        <v>64</v>
      </c>
      <c r="E207" s="13" t="s">
        <v>65</v>
      </c>
      <c r="F207" s="13" t="s">
        <v>64</v>
      </c>
      <c r="G207" s="13" t="s">
        <v>1886</v>
      </c>
      <c r="H207" s="13" t="s">
        <v>212</v>
      </c>
      <c r="I207" s="13" t="s">
        <v>1887</v>
      </c>
      <c r="J207" s="13" t="s">
        <v>2009</v>
      </c>
      <c r="K207" s="13"/>
      <c r="L207" s="13">
        <v>198</v>
      </c>
      <c r="M207" s="13">
        <v>282</v>
      </c>
      <c r="N207" s="13">
        <v>198</v>
      </c>
      <c r="O207" s="13">
        <v>282</v>
      </c>
      <c r="P207" s="13" t="s">
        <v>2019</v>
      </c>
      <c r="Q207" s="13"/>
      <c r="R207" s="13" t="s">
        <v>2020</v>
      </c>
      <c r="S207" s="13"/>
      <c r="T207" s="13" t="s">
        <v>2021</v>
      </c>
      <c r="U207" s="14">
        <v>41880</v>
      </c>
      <c r="V207" s="13">
        <v>29</v>
      </c>
      <c r="W207" s="13">
        <v>8</v>
      </c>
      <c r="X207" s="13">
        <v>2014</v>
      </c>
      <c r="Y207" s="13">
        <f>-17.32675/-63.2570833333</f>
        <v>0.2739100364255776</v>
      </c>
      <c r="Z207" s="13" t="s">
        <v>72</v>
      </c>
      <c r="AA207" s="13">
        <v>-17.326750000000001</v>
      </c>
      <c r="AB207" s="13">
        <v>-63.257083333300002</v>
      </c>
      <c r="AC207" s="13">
        <v>100</v>
      </c>
      <c r="AD207" s="13" t="s">
        <v>73</v>
      </c>
      <c r="AE207" s="13" t="s">
        <v>74</v>
      </c>
      <c r="AF207" s="13"/>
      <c r="AG207" s="13"/>
      <c r="AH207" s="13"/>
      <c r="AI207" s="13"/>
      <c r="AJ207" s="13"/>
      <c r="AK207" s="13"/>
      <c r="AL207" s="13"/>
      <c r="AM207" s="13"/>
      <c r="AN207" s="13"/>
      <c r="AO207" s="13" t="s">
        <v>843</v>
      </c>
      <c r="AP207" s="20" t="str">
        <f t="shared" si="24"/>
        <v>14.2</v>
      </c>
      <c r="AQ207" s="13"/>
      <c r="AR207" s="13"/>
      <c r="AS207" s="13"/>
      <c r="AT207" s="13"/>
      <c r="AU207" s="13" t="s">
        <v>141</v>
      </c>
      <c r="AV207" s="20" t="str">
        <f t="shared" si="25"/>
        <v>18.5</v>
      </c>
      <c r="AW207" s="13"/>
      <c r="AX207" s="13"/>
      <c r="AY207" s="13"/>
      <c r="AZ207" s="13"/>
      <c r="BA207" s="13"/>
      <c r="BB207" s="13"/>
      <c r="BC207" s="13"/>
      <c r="BD207" s="13" t="s">
        <v>152</v>
      </c>
      <c r="BF207" s="13"/>
      <c r="BG207" s="13"/>
      <c r="BH207" s="13" t="s">
        <v>78</v>
      </c>
      <c r="BI207" s="13"/>
      <c r="BJ207" s="13"/>
      <c r="BK207" s="13"/>
      <c r="BL207" s="13" t="s">
        <v>346</v>
      </c>
      <c r="BM207" s="20" t="str">
        <f t="shared" si="21"/>
        <v>87</v>
      </c>
      <c r="BN207" s="13" t="s">
        <v>114</v>
      </c>
      <c r="BO207" s="20" t="str">
        <f t="shared" si="22"/>
        <v>172</v>
      </c>
      <c r="BP207" s="13"/>
      <c r="BQ207" s="13" t="s">
        <v>209</v>
      </c>
      <c r="BR207" s="20" t="str">
        <f t="shared" si="26"/>
        <v>13.8</v>
      </c>
      <c r="BS207" s="21">
        <f t="shared" si="23"/>
        <v>85</v>
      </c>
    </row>
    <row r="208" spans="1:72" x14ac:dyDescent="0.2">
      <c r="A208" s="10" t="s">
        <v>63</v>
      </c>
      <c r="B208" s="10" t="s">
        <v>2287</v>
      </c>
      <c r="C208" s="10" t="s">
        <v>525</v>
      </c>
      <c r="D208" s="10" t="s">
        <v>64</v>
      </c>
      <c r="E208" s="10" t="s">
        <v>65</v>
      </c>
      <c r="F208" s="10" t="s">
        <v>64</v>
      </c>
      <c r="G208" s="10" t="s">
        <v>211</v>
      </c>
      <c r="H208" s="10" t="s">
        <v>212</v>
      </c>
      <c r="I208" s="10" t="s">
        <v>383</v>
      </c>
      <c r="J208" s="10" t="s">
        <v>492</v>
      </c>
      <c r="K208" s="10"/>
      <c r="L208" s="10">
        <v>88</v>
      </c>
      <c r="M208" s="10">
        <v>88</v>
      </c>
      <c r="N208" s="10">
        <v>288</v>
      </c>
      <c r="O208" s="10">
        <v>288</v>
      </c>
      <c r="P208" s="10" t="s">
        <v>510</v>
      </c>
      <c r="Q208" s="10"/>
      <c r="R208" s="10" t="s">
        <v>505</v>
      </c>
      <c r="S208" s="10" t="s">
        <v>526</v>
      </c>
      <c r="T208" s="10" t="s">
        <v>527</v>
      </c>
      <c r="U208" s="11">
        <v>41535</v>
      </c>
      <c r="V208" s="10">
        <v>18</v>
      </c>
      <c r="W208" s="10">
        <v>9</v>
      </c>
      <c r="X208" s="10">
        <v>2013</v>
      </c>
      <c r="Y208" s="10">
        <f>-8.7838333333/-63.8018333333</f>
        <v>0.13767368231275365</v>
      </c>
      <c r="Z208" s="10" t="s">
        <v>72</v>
      </c>
      <c r="AA208" s="10">
        <v>-8.7838333333000005</v>
      </c>
      <c r="AB208" s="10">
        <v>-63.801833333300003</v>
      </c>
      <c r="AC208" s="10"/>
      <c r="AD208" s="10" t="s">
        <v>73</v>
      </c>
      <c r="AE208" s="10" t="s">
        <v>74</v>
      </c>
      <c r="AF208" s="10"/>
      <c r="AG208" s="10"/>
      <c r="AH208" s="10"/>
      <c r="AI208" s="10"/>
      <c r="AJ208" s="10"/>
      <c r="AK208" s="10"/>
      <c r="AL208" s="10"/>
      <c r="AM208" s="10"/>
      <c r="AN208" s="10"/>
      <c r="AO208" s="10" t="s">
        <v>87</v>
      </c>
      <c r="AP208" s="20" t="str">
        <f t="shared" si="24"/>
        <v>14</v>
      </c>
      <c r="AQ208" s="10"/>
      <c r="AR208" s="10"/>
      <c r="AS208" s="10"/>
      <c r="AT208" s="10"/>
      <c r="AU208" s="10" t="s">
        <v>82</v>
      </c>
      <c r="AV208" s="20" t="str">
        <f t="shared" si="25"/>
        <v>17</v>
      </c>
      <c r="AW208" s="10"/>
      <c r="AX208" s="10"/>
      <c r="AY208" s="10"/>
      <c r="AZ208" s="10"/>
      <c r="BA208" s="10"/>
      <c r="BB208" s="10"/>
      <c r="BC208" s="10"/>
      <c r="BD208" s="10" t="s">
        <v>152</v>
      </c>
      <c r="BF208" s="10"/>
      <c r="BG208" s="10"/>
      <c r="BH208" s="10" t="s">
        <v>78</v>
      </c>
      <c r="BI208" s="10"/>
      <c r="BJ208" s="10"/>
      <c r="BK208" s="10"/>
      <c r="BL208" s="10" t="s">
        <v>79</v>
      </c>
      <c r="BM208" s="20" t="str">
        <f t="shared" si="21"/>
        <v>85</v>
      </c>
      <c r="BN208" s="10" t="s">
        <v>154</v>
      </c>
      <c r="BO208" s="20" t="str">
        <f t="shared" si="22"/>
        <v>170</v>
      </c>
      <c r="BP208" s="10"/>
      <c r="BQ208" s="10" t="s">
        <v>199</v>
      </c>
      <c r="BR208" s="20" t="str">
        <f t="shared" si="26"/>
        <v>13</v>
      </c>
      <c r="BS208" s="21">
        <f t="shared" si="23"/>
        <v>85</v>
      </c>
    </row>
    <row r="209" spans="1:72" x14ac:dyDescent="0.2">
      <c r="A209" s="13" t="s">
        <v>63</v>
      </c>
      <c r="B209" s="13"/>
      <c r="C209" s="13" t="s">
        <v>1954</v>
      </c>
      <c r="D209" s="13" t="s">
        <v>64</v>
      </c>
      <c r="E209" s="13" t="s">
        <v>65</v>
      </c>
      <c r="F209" s="13" t="s">
        <v>64</v>
      </c>
      <c r="G209" s="13" t="s">
        <v>1886</v>
      </c>
      <c r="H209" s="13" t="s">
        <v>212</v>
      </c>
      <c r="I209" s="13" t="s">
        <v>1887</v>
      </c>
      <c r="J209" s="13" t="s">
        <v>1949</v>
      </c>
      <c r="K209" s="13"/>
      <c r="L209" s="13">
        <v>2569</v>
      </c>
      <c r="M209" s="13">
        <v>2569</v>
      </c>
      <c r="N209" s="13">
        <v>2569</v>
      </c>
      <c r="O209" s="13">
        <v>2569</v>
      </c>
      <c r="P209" s="13" t="s">
        <v>1955</v>
      </c>
      <c r="Q209" s="13"/>
      <c r="R209" s="13" t="s">
        <v>1956</v>
      </c>
      <c r="S209" s="13"/>
      <c r="T209" s="13" t="s">
        <v>1957</v>
      </c>
      <c r="U209" s="14">
        <v>41870</v>
      </c>
      <c r="V209" s="13">
        <v>19</v>
      </c>
      <c r="W209" s="13">
        <v>8</v>
      </c>
      <c r="X209" s="13">
        <v>2014</v>
      </c>
      <c r="Y209" s="13">
        <f>-17.39105/-66.2303</f>
        <v>0.26258449682396123</v>
      </c>
      <c r="Z209" s="13" t="s">
        <v>72</v>
      </c>
      <c r="AA209" s="13">
        <v>-17.39105</v>
      </c>
      <c r="AB209" s="13">
        <v>-66.2303</v>
      </c>
      <c r="AC209" s="13">
        <v>100</v>
      </c>
      <c r="AD209" s="13" t="s">
        <v>73</v>
      </c>
      <c r="AE209" s="13" t="s">
        <v>74</v>
      </c>
      <c r="AF209" s="13"/>
      <c r="AG209" s="13"/>
      <c r="AH209" s="13"/>
      <c r="AI209" s="13"/>
      <c r="AJ209" s="13"/>
      <c r="AK209" s="13"/>
      <c r="AL209" s="13"/>
      <c r="AM209" s="13"/>
      <c r="AN209" s="13"/>
      <c r="AO209" s="13" t="s">
        <v>76</v>
      </c>
      <c r="AP209" s="20" t="str">
        <f t="shared" si="24"/>
        <v>13</v>
      </c>
      <c r="AQ209" s="13"/>
      <c r="AR209" s="13"/>
      <c r="AS209" s="13"/>
      <c r="AT209" s="13"/>
      <c r="AU209" s="13" t="s">
        <v>820</v>
      </c>
      <c r="AV209" s="20" t="str">
        <f t="shared" si="25"/>
        <v>18.4</v>
      </c>
      <c r="AW209" s="13"/>
      <c r="AX209" s="13"/>
      <c r="AY209" s="13"/>
      <c r="AZ209" s="13"/>
      <c r="BA209" s="13"/>
      <c r="BB209" s="13"/>
      <c r="BC209" s="13"/>
      <c r="BD209" s="13" t="s">
        <v>1958</v>
      </c>
      <c r="BE209" s="20" t="s">
        <v>241</v>
      </c>
      <c r="BF209" s="13"/>
      <c r="BG209" s="13"/>
      <c r="BH209" s="13" t="s">
        <v>78</v>
      </c>
      <c r="BI209" s="13"/>
      <c r="BJ209" s="13"/>
      <c r="BK209" s="13"/>
      <c r="BL209" s="13" t="s">
        <v>189</v>
      </c>
      <c r="BM209" s="20" t="str">
        <f t="shared" si="21"/>
        <v>82</v>
      </c>
      <c r="BN209" s="13" t="s">
        <v>80</v>
      </c>
      <c r="BO209" s="20" t="str">
        <f t="shared" si="22"/>
        <v>167</v>
      </c>
      <c r="BP209" s="13"/>
      <c r="BQ209" s="13" t="s">
        <v>1153</v>
      </c>
      <c r="BR209" s="20" t="str">
        <f t="shared" si="26"/>
        <v>15.2</v>
      </c>
      <c r="BS209" s="21">
        <f t="shared" si="23"/>
        <v>85</v>
      </c>
    </row>
    <row r="210" spans="1:72" x14ac:dyDescent="0.2">
      <c r="A210" s="7" t="s">
        <v>63</v>
      </c>
      <c r="B210" s="7" t="s">
        <v>2194</v>
      </c>
      <c r="C210" s="7" t="s">
        <v>1243</v>
      </c>
      <c r="D210" s="7" t="s">
        <v>64</v>
      </c>
      <c r="E210" s="7" t="s">
        <v>65</v>
      </c>
      <c r="F210" s="7" t="s">
        <v>64</v>
      </c>
      <c r="G210" s="7" t="s">
        <v>615</v>
      </c>
      <c r="H210" s="7" t="s">
        <v>67</v>
      </c>
      <c r="I210" s="7" t="s">
        <v>68</v>
      </c>
      <c r="J210" s="7" t="s">
        <v>1136</v>
      </c>
      <c r="K210" s="7" t="s">
        <v>1210</v>
      </c>
      <c r="L210" s="7">
        <v>807</v>
      </c>
      <c r="M210" s="7">
        <v>807</v>
      </c>
      <c r="N210" s="7">
        <v>2649</v>
      </c>
      <c r="O210" s="7">
        <v>2649</v>
      </c>
      <c r="P210" s="7" t="s">
        <v>1244</v>
      </c>
      <c r="Q210" s="7"/>
      <c r="R210" s="7" t="s">
        <v>1245</v>
      </c>
      <c r="S210" s="7" t="s">
        <v>1246</v>
      </c>
      <c r="T210" s="7" t="s">
        <v>1247</v>
      </c>
      <c r="U210" s="9">
        <v>41069</v>
      </c>
      <c r="V210" s="7">
        <v>9</v>
      </c>
      <c r="W210" s="7">
        <v>6</v>
      </c>
      <c r="X210" s="7">
        <v>2012</v>
      </c>
      <c r="Y210" s="7" t="s">
        <v>1248</v>
      </c>
      <c r="Z210" s="7" t="s">
        <v>72</v>
      </c>
      <c r="AA210" s="7">
        <v>37.085266666700001</v>
      </c>
      <c r="AB210" s="7">
        <v>-113.4999166667</v>
      </c>
      <c r="AC210" s="7"/>
      <c r="AD210" s="7" t="s">
        <v>73</v>
      </c>
      <c r="AE210" s="7" t="s">
        <v>74</v>
      </c>
      <c r="AF210" s="7"/>
      <c r="AG210" s="7"/>
      <c r="AH210" s="7"/>
      <c r="AI210" s="7" t="s">
        <v>75</v>
      </c>
      <c r="AJ210" s="7"/>
      <c r="AK210" s="7"/>
      <c r="AL210" s="7"/>
      <c r="AM210" s="7"/>
      <c r="AN210" s="7"/>
      <c r="AO210" s="7" t="s">
        <v>186</v>
      </c>
      <c r="AP210" s="20" t="str">
        <f t="shared" si="24"/>
        <v>14.5</v>
      </c>
      <c r="AQ210" s="7"/>
      <c r="AR210" s="7"/>
      <c r="AS210" s="7"/>
      <c r="AT210" s="7"/>
      <c r="AU210" s="7" t="s">
        <v>130</v>
      </c>
      <c r="AV210" s="20" t="str">
        <f t="shared" si="25"/>
        <v>19</v>
      </c>
      <c r="AW210" s="7"/>
      <c r="AX210" s="7"/>
      <c r="AY210" s="7"/>
      <c r="AZ210" s="7"/>
      <c r="BA210" s="7"/>
      <c r="BB210" s="7"/>
      <c r="BC210" s="7"/>
      <c r="BD210" s="7" t="s">
        <v>1249</v>
      </c>
      <c r="BF210" s="7"/>
      <c r="BG210" s="7"/>
      <c r="BH210" s="7" t="s">
        <v>83</v>
      </c>
      <c r="BI210" s="7"/>
      <c r="BJ210" s="7"/>
      <c r="BK210" s="7"/>
      <c r="BL210" s="7" t="s">
        <v>313</v>
      </c>
      <c r="BM210" s="20" t="str">
        <f t="shared" si="21"/>
        <v>89</v>
      </c>
      <c r="BN210" s="7" t="s">
        <v>629</v>
      </c>
      <c r="BO210" s="20" t="str">
        <f t="shared" si="22"/>
        <v>174</v>
      </c>
      <c r="BP210" s="7"/>
      <c r="BQ210" s="7" t="s">
        <v>199</v>
      </c>
      <c r="BR210" s="20" t="str">
        <f t="shared" si="26"/>
        <v>13</v>
      </c>
      <c r="BS210" s="21">
        <f t="shared" si="23"/>
        <v>85</v>
      </c>
    </row>
    <row r="211" spans="1:72" x14ac:dyDescent="0.2">
      <c r="A211" t="s">
        <v>63</v>
      </c>
      <c r="C211" t="s">
        <v>744</v>
      </c>
      <c r="D211" t="s">
        <v>64</v>
      </c>
      <c r="E211" t="s">
        <v>65</v>
      </c>
      <c r="F211" t="s">
        <v>64</v>
      </c>
      <c r="G211" t="s">
        <v>211</v>
      </c>
      <c r="H211" t="s">
        <v>212</v>
      </c>
      <c r="I211" t="s">
        <v>701</v>
      </c>
      <c r="J211" t="s">
        <v>734</v>
      </c>
      <c r="L211">
        <v>2973</v>
      </c>
      <c r="M211">
        <v>2973</v>
      </c>
      <c r="N211">
        <v>9755</v>
      </c>
      <c r="O211">
        <v>9755</v>
      </c>
      <c r="P211" t="s">
        <v>745</v>
      </c>
      <c r="R211" t="s">
        <v>746</v>
      </c>
      <c r="T211" t="s">
        <v>747</v>
      </c>
      <c r="U211" s="2">
        <v>41228</v>
      </c>
      <c r="V211">
        <v>15</v>
      </c>
      <c r="W211">
        <v>11</v>
      </c>
      <c r="X211">
        <v>2012</v>
      </c>
      <c r="Y211">
        <f>-0.87355/-78.6070833333</f>
        <v>1.111286620693051E-2</v>
      </c>
      <c r="Z211" t="s">
        <v>72</v>
      </c>
      <c r="AA211">
        <v>-0.87355000000000005</v>
      </c>
      <c r="AB211">
        <v>-78.607083333299997</v>
      </c>
      <c r="AD211" t="s">
        <v>96</v>
      </c>
      <c r="AE211" t="s">
        <v>74</v>
      </c>
      <c r="AI211" t="s">
        <v>75</v>
      </c>
      <c r="AO211" t="s">
        <v>87</v>
      </c>
      <c r="AP211" s="20" t="str">
        <f t="shared" si="24"/>
        <v>14</v>
      </c>
      <c r="AU211" t="s">
        <v>88</v>
      </c>
      <c r="AV211" s="20" t="str">
        <f t="shared" si="25"/>
        <v>15</v>
      </c>
      <c r="BD211" t="s">
        <v>748</v>
      </c>
      <c r="BH211" t="s">
        <v>83</v>
      </c>
      <c r="BL211" t="s">
        <v>208</v>
      </c>
      <c r="BM211" s="20" t="str">
        <f t="shared" si="21"/>
        <v>80</v>
      </c>
      <c r="BN211" t="s">
        <v>89</v>
      </c>
      <c r="BO211" s="20" t="str">
        <f t="shared" si="22"/>
        <v>165</v>
      </c>
      <c r="BQ211" t="s">
        <v>195</v>
      </c>
      <c r="BR211" s="20" t="str">
        <f t="shared" si="26"/>
        <v>17</v>
      </c>
      <c r="BS211" s="21">
        <f t="shared" si="23"/>
        <v>85</v>
      </c>
    </row>
    <row r="212" spans="1:72" x14ac:dyDescent="0.2">
      <c r="A212" t="s">
        <v>63</v>
      </c>
      <c r="C212" t="s">
        <v>733</v>
      </c>
      <c r="D212" t="s">
        <v>64</v>
      </c>
      <c r="E212" t="s">
        <v>65</v>
      </c>
      <c r="F212" t="s">
        <v>64</v>
      </c>
      <c r="G212" t="s">
        <v>211</v>
      </c>
      <c r="H212" t="s">
        <v>212</v>
      </c>
      <c r="I212" t="s">
        <v>701</v>
      </c>
      <c r="J212" t="s">
        <v>734</v>
      </c>
      <c r="L212">
        <v>2875</v>
      </c>
      <c r="M212">
        <v>2875</v>
      </c>
      <c r="N212">
        <v>9434</v>
      </c>
      <c r="O212">
        <v>9434</v>
      </c>
      <c r="P212" t="s">
        <v>735</v>
      </c>
      <c r="R212" t="s">
        <v>736</v>
      </c>
      <c r="T212" t="s">
        <v>737</v>
      </c>
      <c r="U212" s="2">
        <v>41227</v>
      </c>
      <c r="V212">
        <v>14</v>
      </c>
      <c r="W212">
        <v>11</v>
      </c>
      <c r="X212">
        <v>2012</v>
      </c>
      <c r="Y212">
        <f>-0.8549833333/-78.6090833333</f>
        <v>1.0876393630935727E-2</v>
      </c>
      <c r="Z212" t="s">
        <v>72</v>
      </c>
      <c r="AA212">
        <v>-0.85498333329999998</v>
      </c>
      <c r="AB212">
        <v>-78.609083333300006</v>
      </c>
      <c r="AD212" t="s">
        <v>96</v>
      </c>
      <c r="AE212" t="s">
        <v>74</v>
      </c>
      <c r="AI212" t="s">
        <v>75</v>
      </c>
      <c r="AO212" t="s">
        <v>344</v>
      </c>
      <c r="AP212" s="20" t="str">
        <f t="shared" si="24"/>
        <v>16</v>
      </c>
      <c r="AU212" t="s">
        <v>111</v>
      </c>
      <c r="AV212" s="20" t="str">
        <f t="shared" si="25"/>
        <v>20</v>
      </c>
      <c r="BD212" t="s">
        <v>738</v>
      </c>
      <c r="BH212" t="s">
        <v>83</v>
      </c>
      <c r="BL212" t="s">
        <v>113</v>
      </c>
      <c r="BM212" s="20" t="str">
        <f t="shared" si="21"/>
        <v>90</v>
      </c>
      <c r="BN212" t="s">
        <v>132</v>
      </c>
      <c r="BO212" s="20" t="str">
        <f t="shared" si="22"/>
        <v>175</v>
      </c>
      <c r="BQ212" t="s">
        <v>512</v>
      </c>
      <c r="BR212" s="20" t="str">
        <f t="shared" si="26"/>
        <v>13.5</v>
      </c>
      <c r="BS212" s="21">
        <f t="shared" si="23"/>
        <v>85</v>
      </c>
    </row>
    <row r="213" spans="1:72" x14ac:dyDescent="0.2">
      <c r="A213" t="s">
        <v>63</v>
      </c>
      <c r="B213" t="s">
        <v>2332</v>
      </c>
      <c r="C213" t="s">
        <v>125</v>
      </c>
      <c r="D213" t="s">
        <v>64</v>
      </c>
      <c r="E213" t="s">
        <v>65</v>
      </c>
      <c r="F213" t="s">
        <v>64</v>
      </c>
      <c r="G213" t="s">
        <v>66</v>
      </c>
      <c r="H213" t="s">
        <v>67</v>
      </c>
      <c r="I213" t="s">
        <v>68</v>
      </c>
      <c r="J213" t="s">
        <v>69</v>
      </c>
      <c r="K213" t="s">
        <v>70</v>
      </c>
      <c r="L213">
        <v>841</v>
      </c>
      <c r="M213">
        <v>841</v>
      </c>
      <c r="N213">
        <v>841</v>
      </c>
      <c r="O213">
        <v>841</v>
      </c>
      <c r="P213" t="s">
        <v>126</v>
      </c>
      <c r="R213" t="s">
        <v>127</v>
      </c>
      <c r="T213" t="s">
        <v>128</v>
      </c>
      <c r="U213" s="1">
        <v>41060</v>
      </c>
      <c r="V213">
        <v>31</v>
      </c>
      <c r="W213">
        <v>5</v>
      </c>
      <c r="X213">
        <v>2012</v>
      </c>
      <c r="Y213" t="s">
        <v>129</v>
      </c>
      <c r="Z213" t="s">
        <v>72</v>
      </c>
      <c r="AA213">
        <v>32.172409999999999</v>
      </c>
      <c r="AB213">
        <v>-110.78789</v>
      </c>
      <c r="AD213" t="s">
        <v>96</v>
      </c>
      <c r="AE213" t="s">
        <v>74</v>
      </c>
      <c r="AO213" t="s">
        <v>130</v>
      </c>
      <c r="AP213" s="20" t="str">
        <f t="shared" si="24"/>
        <v>19</v>
      </c>
      <c r="AU213" t="s">
        <v>121</v>
      </c>
      <c r="AV213" s="20" t="str">
        <f t="shared" si="25"/>
        <v>18</v>
      </c>
      <c r="BD213" t="s">
        <v>131</v>
      </c>
      <c r="BH213" t="s">
        <v>83</v>
      </c>
      <c r="BL213" t="s">
        <v>113</v>
      </c>
      <c r="BM213" s="20" t="str">
        <f t="shared" si="21"/>
        <v>90</v>
      </c>
      <c r="BN213" t="s">
        <v>132</v>
      </c>
      <c r="BO213" s="20" t="str">
        <f t="shared" si="22"/>
        <v>175</v>
      </c>
      <c r="BQ213" t="s">
        <v>133</v>
      </c>
      <c r="BR213" s="20" t="str">
        <f t="shared" si="26"/>
        <v>14</v>
      </c>
      <c r="BS213" s="21">
        <f t="shared" si="23"/>
        <v>85</v>
      </c>
    </row>
    <row r="214" spans="1:72" x14ac:dyDescent="0.2">
      <c r="A214" t="s">
        <v>63</v>
      </c>
      <c r="C214" t="s">
        <v>304</v>
      </c>
      <c r="D214" t="s">
        <v>64</v>
      </c>
      <c r="E214" t="s">
        <v>65</v>
      </c>
      <c r="F214" t="s">
        <v>64</v>
      </c>
      <c r="G214" t="s">
        <v>211</v>
      </c>
      <c r="H214" t="s">
        <v>212</v>
      </c>
      <c r="I214" t="s">
        <v>213</v>
      </c>
      <c r="J214" t="s">
        <v>293</v>
      </c>
      <c r="L214">
        <v>9</v>
      </c>
      <c r="M214">
        <v>9</v>
      </c>
      <c r="N214">
        <v>30</v>
      </c>
      <c r="O214">
        <v>30</v>
      </c>
      <c r="P214" s="3">
        <v>44448</v>
      </c>
      <c r="R214" t="s">
        <v>294</v>
      </c>
      <c r="S214" t="s">
        <v>305</v>
      </c>
      <c r="T214" t="s">
        <v>306</v>
      </c>
      <c r="U214" s="2">
        <v>41338</v>
      </c>
      <c r="V214">
        <v>5</v>
      </c>
      <c r="W214">
        <v>3</v>
      </c>
      <c r="X214">
        <v>2013</v>
      </c>
      <c r="Y214">
        <f>-43.3071666667/-65.5243333333</f>
        <v>0.66093257975493114</v>
      </c>
      <c r="Z214" t="s">
        <v>72</v>
      </c>
      <c r="AA214">
        <v>-43.307166666699999</v>
      </c>
      <c r="AB214">
        <v>-65.524333333300007</v>
      </c>
      <c r="AD214" t="s">
        <v>73</v>
      </c>
      <c r="AE214" t="s">
        <v>74</v>
      </c>
      <c r="AI214" t="s">
        <v>226</v>
      </c>
      <c r="AO214" t="s">
        <v>77</v>
      </c>
      <c r="AP214" s="20" t="str">
        <f t="shared" si="24"/>
        <v>12</v>
      </c>
      <c r="AU214" t="s">
        <v>121</v>
      </c>
      <c r="AV214" s="20" t="str">
        <f t="shared" si="25"/>
        <v>18</v>
      </c>
      <c r="BD214" t="s">
        <v>307</v>
      </c>
      <c r="BH214" t="s">
        <v>83</v>
      </c>
      <c r="BL214" t="s">
        <v>289</v>
      </c>
      <c r="BM214" s="20" t="str">
        <f t="shared" si="21"/>
        <v>69</v>
      </c>
      <c r="BN214" t="s">
        <v>254</v>
      </c>
      <c r="BO214" s="20" t="str">
        <f t="shared" si="22"/>
        <v>154</v>
      </c>
      <c r="BQ214" t="s">
        <v>308</v>
      </c>
      <c r="BR214" s="20" t="str">
        <f t="shared" si="26"/>
        <v>10.75</v>
      </c>
      <c r="BS214" s="21">
        <f t="shared" si="23"/>
        <v>85</v>
      </c>
    </row>
    <row r="215" spans="1:72" x14ac:dyDescent="0.2">
      <c r="A215" s="10" t="s">
        <v>63</v>
      </c>
      <c r="B215" s="10" t="s">
        <v>2244</v>
      </c>
      <c r="C215" s="10" t="s">
        <v>365</v>
      </c>
      <c r="D215" s="10" t="s">
        <v>64</v>
      </c>
      <c r="E215" s="10" t="s">
        <v>65</v>
      </c>
      <c r="F215" s="10" t="s">
        <v>64</v>
      </c>
      <c r="G215" s="10" t="s">
        <v>211</v>
      </c>
      <c r="H215" s="10" t="s">
        <v>212</v>
      </c>
      <c r="I215" s="10" t="s">
        <v>213</v>
      </c>
      <c r="J215" s="10" t="s">
        <v>354</v>
      </c>
      <c r="K215" s="10"/>
      <c r="L215" s="10">
        <v>95</v>
      </c>
      <c r="M215" s="10">
        <v>95</v>
      </c>
      <c r="N215" s="10">
        <v>313</v>
      </c>
      <c r="O215" s="10">
        <v>313</v>
      </c>
      <c r="P215" s="10" t="s">
        <v>355</v>
      </c>
      <c r="Q215" s="10"/>
      <c r="R215" s="10" t="s">
        <v>356</v>
      </c>
      <c r="S215" s="10" t="s">
        <v>357</v>
      </c>
      <c r="T215" s="10" t="s">
        <v>358</v>
      </c>
      <c r="U215" s="11">
        <v>41329</v>
      </c>
      <c r="V215" s="10">
        <v>24</v>
      </c>
      <c r="W215" s="10">
        <v>2</v>
      </c>
      <c r="X215" s="10">
        <v>2013</v>
      </c>
      <c r="Y215" s="10">
        <f>-54.7858833333/-68.2755666667</f>
        <v>0.80242297512882721</v>
      </c>
      <c r="Z215" s="10" t="s">
        <v>72</v>
      </c>
      <c r="AA215" s="10">
        <v>-54.785883333299999</v>
      </c>
      <c r="AB215" s="10">
        <v>-68.275566666700001</v>
      </c>
      <c r="AC215" s="10"/>
      <c r="AD215" s="10" t="s">
        <v>73</v>
      </c>
      <c r="AE215" s="10" t="s">
        <v>74</v>
      </c>
      <c r="AF215" s="10"/>
      <c r="AG215" s="10"/>
      <c r="AH215" s="10"/>
      <c r="AI215" s="10"/>
      <c r="AJ215" s="10"/>
      <c r="AK215" s="10"/>
      <c r="AL215" s="10"/>
      <c r="AM215" s="10"/>
      <c r="AN215" s="10"/>
      <c r="AO215" s="10" t="s">
        <v>88</v>
      </c>
      <c r="AP215" s="20" t="str">
        <f t="shared" si="24"/>
        <v>15</v>
      </c>
      <c r="AQ215" s="10"/>
      <c r="AR215" s="10"/>
      <c r="AS215" s="10"/>
      <c r="AT215" s="10"/>
      <c r="AU215" s="10" t="s">
        <v>121</v>
      </c>
      <c r="AV215" s="20" t="str">
        <f t="shared" si="25"/>
        <v>18</v>
      </c>
      <c r="AW215" s="10"/>
      <c r="AX215" s="10"/>
      <c r="AY215" s="10"/>
      <c r="AZ215" s="10"/>
      <c r="BA215" s="10"/>
      <c r="BB215" s="10"/>
      <c r="BC215" s="10"/>
      <c r="BD215" s="10" t="s">
        <v>366</v>
      </c>
      <c r="BF215" s="10"/>
      <c r="BG215" s="10"/>
      <c r="BH215" s="10" t="s">
        <v>83</v>
      </c>
      <c r="BI215" s="10"/>
      <c r="BJ215" s="10"/>
      <c r="BK215" s="10"/>
      <c r="BL215" s="10" t="s">
        <v>147</v>
      </c>
      <c r="BM215" s="20" t="str">
        <f t="shared" si="21"/>
        <v>84</v>
      </c>
      <c r="BN215" s="10" t="s">
        <v>367</v>
      </c>
      <c r="BO215" s="20" t="str">
        <f t="shared" si="22"/>
        <v>169</v>
      </c>
      <c r="BP215" s="10"/>
      <c r="BQ215" s="10" t="s">
        <v>199</v>
      </c>
      <c r="BR215" s="20" t="str">
        <f t="shared" si="26"/>
        <v>13</v>
      </c>
      <c r="BS215" s="21">
        <f t="shared" si="23"/>
        <v>85</v>
      </c>
    </row>
    <row r="216" spans="1:72" x14ac:dyDescent="0.2">
      <c r="A216" t="s">
        <v>63</v>
      </c>
      <c r="B216" s="20" t="s">
        <v>2396</v>
      </c>
      <c r="C216" t="s">
        <v>550</v>
      </c>
      <c r="D216" t="s">
        <v>64</v>
      </c>
      <c r="E216" t="s">
        <v>65</v>
      </c>
      <c r="F216" t="s">
        <v>64</v>
      </c>
      <c r="G216" t="s">
        <v>211</v>
      </c>
      <c r="H216" t="s">
        <v>212</v>
      </c>
      <c r="I216" t="s">
        <v>383</v>
      </c>
      <c r="J216" t="s">
        <v>551</v>
      </c>
      <c r="L216">
        <v>522</v>
      </c>
      <c r="M216">
        <v>522</v>
      </c>
      <c r="N216">
        <v>1712</v>
      </c>
      <c r="O216">
        <v>1712</v>
      </c>
      <c r="P216" t="s">
        <v>552</v>
      </c>
      <c r="R216" t="s">
        <v>553</v>
      </c>
      <c r="S216" t="s">
        <v>554</v>
      </c>
      <c r="T216" t="s">
        <v>555</v>
      </c>
      <c r="U216" s="2">
        <v>41415</v>
      </c>
      <c r="V216">
        <v>21</v>
      </c>
      <c r="W216">
        <v>5</v>
      </c>
      <c r="X216">
        <v>2013</v>
      </c>
      <c r="Y216">
        <f>-23.4431666667/-52.023</f>
        <v>0.45063081073179173</v>
      </c>
      <c r="Z216" t="s">
        <v>72</v>
      </c>
      <c r="AA216">
        <v>-23.443166666700002</v>
      </c>
      <c r="AB216">
        <v>-52.023000000000003</v>
      </c>
      <c r="AD216" t="s">
        <v>73</v>
      </c>
      <c r="AE216" t="s">
        <v>74</v>
      </c>
      <c r="AO216" t="s">
        <v>87</v>
      </c>
      <c r="AP216" s="20" t="str">
        <f t="shared" si="24"/>
        <v>14</v>
      </c>
      <c r="AU216" t="s">
        <v>130</v>
      </c>
      <c r="AV216" s="20" t="str">
        <f t="shared" si="25"/>
        <v>19</v>
      </c>
      <c r="BD216" t="s">
        <v>423</v>
      </c>
      <c r="BH216" t="s">
        <v>83</v>
      </c>
      <c r="BL216" t="s">
        <v>194</v>
      </c>
      <c r="BM216" s="20" t="str">
        <f t="shared" si="21"/>
        <v>79</v>
      </c>
      <c r="BN216" t="s">
        <v>99</v>
      </c>
      <c r="BO216" s="20" t="str">
        <f t="shared" si="22"/>
        <v>164</v>
      </c>
      <c r="BQ216" t="s">
        <v>408</v>
      </c>
      <c r="BR216" s="20" t="str">
        <f t="shared" si="26"/>
        <v>12</v>
      </c>
      <c r="BS216" s="21">
        <f t="shared" si="23"/>
        <v>85</v>
      </c>
    </row>
    <row r="217" spans="1:72" x14ac:dyDescent="0.2">
      <c r="A217" t="s">
        <v>63</v>
      </c>
      <c r="B217" t="s">
        <v>2399</v>
      </c>
      <c r="C217" t="s">
        <v>1144</v>
      </c>
      <c r="D217" t="s">
        <v>64</v>
      </c>
      <c r="E217" t="s">
        <v>65</v>
      </c>
      <c r="F217" t="s">
        <v>64</v>
      </c>
      <c r="G217" t="s">
        <v>615</v>
      </c>
      <c r="H217" t="s">
        <v>67</v>
      </c>
      <c r="I217" t="s">
        <v>68</v>
      </c>
      <c r="J217" t="s">
        <v>1136</v>
      </c>
      <c r="K217" t="s">
        <v>1137</v>
      </c>
      <c r="L217">
        <v>1383</v>
      </c>
      <c r="M217">
        <v>1383</v>
      </c>
      <c r="N217">
        <v>4538</v>
      </c>
      <c r="O217">
        <v>4538</v>
      </c>
      <c r="P217" t="s">
        <v>1138</v>
      </c>
      <c r="R217" t="s">
        <v>1139</v>
      </c>
      <c r="S217" t="s">
        <v>924</v>
      </c>
      <c r="T217" t="s">
        <v>1140</v>
      </c>
      <c r="U217" s="2">
        <v>41078</v>
      </c>
      <c r="V217">
        <v>18</v>
      </c>
      <c r="W217">
        <v>6</v>
      </c>
      <c r="X217">
        <v>2012</v>
      </c>
      <c r="Y217" t="s">
        <v>1141</v>
      </c>
      <c r="Z217" t="s">
        <v>72</v>
      </c>
      <c r="AA217">
        <v>40.374650000000003</v>
      </c>
      <c r="AB217">
        <v>-111.8774333333</v>
      </c>
      <c r="AD217" t="s">
        <v>73</v>
      </c>
      <c r="AE217" t="s">
        <v>74</v>
      </c>
      <c r="AI217" t="s">
        <v>75</v>
      </c>
      <c r="AO217" t="s">
        <v>207</v>
      </c>
      <c r="AP217" s="20" t="str">
        <f t="shared" si="24"/>
        <v>13.5</v>
      </c>
      <c r="AU217" t="s">
        <v>675</v>
      </c>
      <c r="AV217" s="20" t="str">
        <f t="shared" si="25"/>
        <v>19.4</v>
      </c>
      <c r="BD217" t="s">
        <v>1145</v>
      </c>
      <c r="BH217" t="s">
        <v>83</v>
      </c>
      <c r="BL217" t="s">
        <v>153</v>
      </c>
      <c r="BM217" s="20" t="str">
        <f t="shared" si="21"/>
        <v>81</v>
      </c>
      <c r="BN217" t="s">
        <v>148</v>
      </c>
      <c r="BO217" s="20" t="str">
        <f t="shared" si="22"/>
        <v>166</v>
      </c>
      <c r="BQ217" t="s">
        <v>1146</v>
      </c>
      <c r="BR217" s="20" t="str">
        <f t="shared" si="26"/>
        <v>13.1</v>
      </c>
      <c r="BS217" s="21">
        <f t="shared" si="23"/>
        <v>85</v>
      </c>
    </row>
    <row r="218" spans="1:72" x14ac:dyDescent="0.2">
      <c r="A218" t="s">
        <v>63</v>
      </c>
      <c r="C218" t="s">
        <v>1453</v>
      </c>
      <c r="D218" t="s">
        <v>64</v>
      </c>
      <c r="E218" t="s">
        <v>65</v>
      </c>
      <c r="F218" t="s">
        <v>64</v>
      </c>
      <c r="G218" t="s">
        <v>211</v>
      </c>
      <c r="H218" t="s">
        <v>212</v>
      </c>
      <c r="I218" t="s">
        <v>701</v>
      </c>
      <c r="J218" t="s">
        <v>702</v>
      </c>
      <c r="L218">
        <v>1768</v>
      </c>
      <c r="M218">
        <v>1768</v>
      </c>
      <c r="N218">
        <v>5799</v>
      </c>
      <c r="O218">
        <v>5799</v>
      </c>
      <c r="P218" t="s">
        <v>1454</v>
      </c>
      <c r="R218" t="s">
        <v>1455</v>
      </c>
      <c r="T218" t="s">
        <v>1456</v>
      </c>
      <c r="U218" s="2">
        <v>41250</v>
      </c>
      <c r="V218">
        <v>7</v>
      </c>
      <c r="W218">
        <v>12</v>
      </c>
      <c r="X218">
        <v>2012</v>
      </c>
      <c r="Y218" t="s">
        <v>1457</v>
      </c>
      <c r="Z218" t="s">
        <v>72</v>
      </c>
      <c r="AA218">
        <v>7.2566666700000004E-2</v>
      </c>
      <c r="AB218">
        <v>-78.695816666699997</v>
      </c>
      <c r="AD218" t="s">
        <v>96</v>
      </c>
      <c r="AE218" t="s">
        <v>74</v>
      </c>
      <c r="AI218" t="s">
        <v>75</v>
      </c>
      <c r="AO218" t="s">
        <v>87</v>
      </c>
      <c r="AP218" s="20" t="str">
        <f t="shared" si="24"/>
        <v>14</v>
      </c>
      <c r="AU218" t="s">
        <v>130</v>
      </c>
      <c r="AV218" s="20" t="str">
        <f t="shared" si="25"/>
        <v>19</v>
      </c>
      <c r="BD218" t="s">
        <v>1458</v>
      </c>
      <c r="BH218" t="s">
        <v>83</v>
      </c>
      <c r="BL218" t="s">
        <v>153</v>
      </c>
      <c r="BM218" s="20" t="str">
        <f t="shared" si="21"/>
        <v>81</v>
      </c>
      <c r="BN218" t="s">
        <v>148</v>
      </c>
      <c r="BO218" s="20" t="str">
        <f t="shared" si="22"/>
        <v>166</v>
      </c>
      <c r="BQ218" t="s">
        <v>340</v>
      </c>
      <c r="BR218" s="20" t="str">
        <f t="shared" si="26"/>
        <v>15</v>
      </c>
      <c r="BS218" s="21">
        <f t="shared" si="23"/>
        <v>85</v>
      </c>
    </row>
    <row r="219" spans="1:72" x14ac:dyDescent="0.2">
      <c r="A219" s="13" t="s">
        <v>63</v>
      </c>
      <c r="B219" s="13"/>
      <c r="C219" s="13" t="s">
        <v>2046</v>
      </c>
      <c r="D219" s="13" t="s">
        <v>64</v>
      </c>
      <c r="E219" s="13" t="s">
        <v>65</v>
      </c>
      <c r="F219" s="13" t="s">
        <v>64</v>
      </c>
      <c r="G219" s="13" t="s">
        <v>1886</v>
      </c>
      <c r="H219" s="13" t="s">
        <v>212</v>
      </c>
      <c r="I219" s="13" t="s">
        <v>1887</v>
      </c>
      <c r="J219" s="13" t="s">
        <v>1888</v>
      </c>
      <c r="K219" s="13"/>
      <c r="L219" s="13">
        <v>3845</v>
      </c>
      <c r="M219" s="13">
        <v>3845</v>
      </c>
      <c r="N219" s="13">
        <v>3845</v>
      </c>
      <c r="O219" s="13">
        <v>3845</v>
      </c>
      <c r="P219" s="13" t="s">
        <v>2047</v>
      </c>
      <c r="Q219" s="13"/>
      <c r="R219" s="13" t="s">
        <v>2048</v>
      </c>
      <c r="S219" s="13"/>
      <c r="T219" s="13" t="s">
        <v>2049</v>
      </c>
      <c r="U219" s="15">
        <v>41886</v>
      </c>
      <c r="V219" s="13">
        <v>4</v>
      </c>
      <c r="W219" s="13">
        <v>9</v>
      </c>
      <c r="X219" s="13">
        <v>2014</v>
      </c>
      <c r="Y219" s="13">
        <f>-16.3326166667/-68.8249833333</f>
        <v>0.23730651103256709</v>
      </c>
      <c r="Z219" s="13" t="s">
        <v>72</v>
      </c>
      <c r="AA219" s="13">
        <v>-16.332616666700002</v>
      </c>
      <c r="AB219" s="13">
        <v>-68.824983333299997</v>
      </c>
      <c r="AC219" s="13">
        <v>100</v>
      </c>
      <c r="AD219" s="13" t="s">
        <v>73</v>
      </c>
      <c r="AE219" s="13" t="s">
        <v>74</v>
      </c>
      <c r="AF219" s="13"/>
      <c r="AG219" s="13"/>
      <c r="AH219" s="13"/>
      <c r="AI219" s="13"/>
      <c r="AJ219" s="13"/>
      <c r="AK219" s="13"/>
      <c r="AL219" s="13"/>
      <c r="AM219" s="13"/>
      <c r="AN219" s="13"/>
      <c r="AO219" s="13" t="s">
        <v>2050</v>
      </c>
      <c r="AP219" s="20" t="str">
        <f t="shared" si="24"/>
        <v>12.8</v>
      </c>
      <c r="AQ219" s="13"/>
      <c r="AR219" s="13"/>
      <c r="AS219" s="13"/>
      <c r="AT219" s="13"/>
      <c r="AU219" s="13" t="s">
        <v>2051</v>
      </c>
      <c r="AV219" s="20" t="str">
        <f t="shared" si="25"/>
        <v>17.7</v>
      </c>
      <c r="AW219" s="13"/>
      <c r="AX219" s="13"/>
      <c r="AY219" s="13"/>
      <c r="AZ219" s="13"/>
      <c r="BA219" s="13"/>
      <c r="BB219" s="13"/>
      <c r="BC219" s="13"/>
      <c r="BD219" s="13" t="s">
        <v>2052</v>
      </c>
      <c r="BF219" s="13"/>
      <c r="BG219" s="13"/>
      <c r="BH219" s="13" t="s">
        <v>83</v>
      </c>
      <c r="BI219" s="13"/>
      <c r="BJ219" s="13"/>
      <c r="BK219" s="13"/>
      <c r="BL219" s="13" t="s">
        <v>84</v>
      </c>
      <c r="BM219" s="20" t="str">
        <f t="shared" si="21"/>
        <v>78</v>
      </c>
      <c r="BN219" s="13" t="s">
        <v>654</v>
      </c>
      <c r="BO219" s="20" t="str">
        <f t="shared" si="22"/>
        <v>163</v>
      </c>
      <c r="BP219" s="13"/>
      <c r="BQ219" s="13" t="s">
        <v>209</v>
      </c>
      <c r="BR219" s="20" t="str">
        <f t="shared" si="26"/>
        <v>13.8</v>
      </c>
      <c r="BS219" s="21">
        <f t="shared" si="23"/>
        <v>85</v>
      </c>
    </row>
    <row r="220" spans="1:72" x14ac:dyDescent="0.2">
      <c r="A220" s="7" t="s">
        <v>63</v>
      </c>
      <c r="B220" s="7" t="s">
        <v>2198</v>
      </c>
      <c r="C220" s="7" t="s">
        <v>1267</v>
      </c>
      <c r="D220" s="7" t="s">
        <v>64</v>
      </c>
      <c r="E220" s="7" t="s">
        <v>65</v>
      </c>
      <c r="F220" s="7" t="s">
        <v>64</v>
      </c>
      <c r="G220" s="7" t="s">
        <v>615</v>
      </c>
      <c r="H220" s="7" t="s">
        <v>67</v>
      </c>
      <c r="I220" s="7" t="s">
        <v>68</v>
      </c>
      <c r="J220" s="7" t="s">
        <v>1136</v>
      </c>
      <c r="K220" s="7" t="s">
        <v>1210</v>
      </c>
      <c r="L220" s="7">
        <v>860</v>
      </c>
      <c r="M220" s="7">
        <v>860</v>
      </c>
      <c r="N220" s="7">
        <v>2823</v>
      </c>
      <c r="O220" s="7">
        <v>2823</v>
      </c>
      <c r="P220" s="7" t="s">
        <v>1268</v>
      </c>
      <c r="Q220" s="7"/>
      <c r="R220" s="7" t="s">
        <v>1269</v>
      </c>
      <c r="S220" s="7" t="s">
        <v>924</v>
      </c>
      <c r="T220" s="7" t="s">
        <v>1270</v>
      </c>
      <c r="U220" s="9">
        <v>41072</v>
      </c>
      <c r="V220" s="7">
        <v>12</v>
      </c>
      <c r="W220" s="7">
        <v>6</v>
      </c>
      <c r="X220" s="7">
        <v>2012</v>
      </c>
      <c r="Y220" s="7" t="s">
        <v>1271</v>
      </c>
      <c r="Z220" s="7" t="s">
        <v>72</v>
      </c>
      <c r="AA220" s="7">
        <v>37.127883333299998</v>
      </c>
      <c r="AB220" s="7">
        <v>-113.60665</v>
      </c>
      <c r="AC220" s="7"/>
      <c r="AD220" s="7" t="s">
        <v>73</v>
      </c>
      <c r="AE220" s="7" t="s">
        <v>74</v>
      </c>
      <c r="AF220" s="7"/>
      <c r="AG220" s="7"/>
      <c r="AH220" s="7"/>
      <c r="AI220" s="7" t="s">
        <v>75</v>
      </c>
      <c r="AJ220" s="7"/>
      <c r="AK220" s="7"/>
      <c r="AL220" s="7"/>
      <c r="AM220" s="7"/>
      <c r="AN220" s="7"/>
      <c r="AO220" s="7" t="s">
        <v>87</v>
      </c>
      <c r="AP220" s="20" t="str">
        <f t="shared" si="24"/>
        <v>14</v>
      </c>
      <c r="AQ220" s="7"/>
      <c r="AR220" s="7"/>
      <c r="AS220" s="7"/>
      <c r="AT220" s="7"/>
      <c r="AU220" s="7" t="s">
        <v>121</v>
      </c>
      <c r="AV220" s="20" t="str">
        <f t="shared" si="25"/>
        <v>18</v>
      </c>
      <c r="AW220" s="7"/>
      <c r="AX220" s="7"/>
      <c r="AY220" s="7"/>
      <c r="AZ220" s="7"/>
      <c r="BA220" s="7"/>
      <c r="BB220" s="7"/>
      <c r="BC220" s="7"/>
      <c r="BD220" s="7" t="s">
        <v>1272</v>
      </c>
      <c r="BE220" s="20" t="s">
        <v>241</v>
      </c>
      <c r="BF220" s="7"/>
      <c r="BG220" s="7"/>
      <c r="BH220" s="7" t="s">
        <v>78</v>
      </c>
      <c r="BI220" s="7"/>
      <c r="BJ220" s="7"/>
      <c r="BK220" s="7"/>
      <c r="BL220" s="7" t="s">
        <v>84</v>
      </c>
      <c r="BM220" s="20" t="str">
        <f t="shared" si="21"/>
        <v>78</v>
      </c>
      <c r="BN220" s="7" t="s">
        <v>1273</v>
      </c>
      <c r="BO220" s="20" t="str">
        <f t="shared" si="22"/>
        <v>163.5</v>
      </c>
      <c r="BP220" s="7"/>
      <c r="BQ220" s="7" t="s">
        <v>1235</v>
      </c>
      <c r="BR220" s="20" t="str">
        <f t="shared" si="26"/>
        <v>16.8</v>
      </c>
      <c r="BS220" s="21">
        <f t="shared" si="23"/>
        <v>85.5</v>
      </c>
    </row>
    <row r="221" spans="1:72" x14ac:dyDescent="0.2">
      <c r="A221" t="s">
        <v>63</v>
      </c>
      <c r="B221" t="s">
        <v>2347</v>
      </c>
      <c r="C221" t="s">
        <v>1087</v>
      </c>
      <c r="D221" t="s">
        <v>64</v>
      </c>
      <c r="E221" t="s">
        <v>65</v>
      </c>
      <c r="F221" t="s">
        <v>64</v>
      </c>
      <c r="G221" t="s">
        <v>615</v>
      </c>
      <c r="H221" t="s">
        <v>67</v>
      </c>
      <c r="I221" t="s">
        <v>68</v>
      </c>
      <c r="J221" t="s">
        <v>69</v>
      </c>
      <c r="K221" t="s">
        <v>70</v>
      </c>
      <c r="L221">
        <v>680</v>
      </c>
      <c r="M221">
        <v>680</v>
      </c>
      <c r="N221">
        <v>2232</v>
      </c>
      <c r="O221">
        <v>2232</v>
      </c>
      <c r="P221" t="s">
        <v>1014</v>
      </c>
      <c r="R221" t="s">
        <v>1015</v>
      </c>
      <c r="S221" t="s">
        <v>1016</v>
      </c>
      <c r="T221" t="s">
        <v>1088</v>
      </c>
      <c r="U221" s="2">
        <v>41171</v>
      </c>
      <c r="V221">
        <v>19</v>
      </c>
      <c r="W221">
        <v>9</v>
      </c>
      <c r="X221">
        <v>2012</v>
      </c>
      <c r="Y221" t="s">
        <v>1018</v>
      </c>
      <c r="Z221" t="s">
        <v>72</v>
      </c>
      <c r="AA221">
        <v>32.292516666700003</v>
      </c>
      <c r="AB221">
        <v>-111.02630000000001</v>
      </c>
      <c r="AD221" t="s">
        <v>73</v>
      </c>
      <c r="AE221" t="s">
        <v>74</v>
      </c>
      <c r="AI221" t="s">
        <v>203</v>
      </c>
      <c r="AO221" t="s">
        <v>87</v>
      </c>
      <c r="AP221" s="20" t="str">
        <f t="shared" si="24"/>
        <v>14</v>
      </c>
      <c r="AU221" t="s">
        <v>130</v>
      </c>
      <c r="AV221" s="20" t="str">
        <f t="shared" si="25"/>
        <v>19</v>
      </c>
      <c r="BD221" t="s">
        <v>1089</v>
      </c>
      <c r="BH221" t="s">
        <v>83</v>
      </c>
      <c r="BL221" t="s">
        <v>79</v>
      </c>
      <c r="BM221" s="20" t="str">
        <f t="shared" si="21"/>
        <v>85</v>
      </c>
      <c r="BN221" t="s">
        <v>817</v>
      </c>
      <c r="BO221" s="20" t="str">
        <f t="shared" si="22"/>
        <v>170.5</v>
      </c>
      <c r="BQ221" t="s">
        <v>1090</v>
      </c>
      <c r="BR221" s="20" t="str">
        <f t="shared" si="26"/>
        <v>11.4</v>
      </c>
      <c r="BS221" s="21">
        <f t="shared" si="23"/>
        <v>85.5</v>
      </c>
    </row>
    <row r="222" spans="1:72" x14ac:dyDescent="0.2">
      <c r="A222" s="7" t="s">
        <v>63</v>
      </c>
      <c r="B222" s="7" t="s">
        <v>2219</v>
      </c>
      <c r="C222" s="7" t="s">
        <v>1078</v>
      </c>
      <c r="D222" s="7" t="s">
        <v>64</v>
      </c>
      <c r="E222" s="7" t="s">
        <v>65</v>
      </c>
      <c r="F222" s="7" t="s">
        <v>64</v>
      </c>
      <c r="G222" s="7" t="s">
        <v>615</v>
      </c>
      <c r="H222" s="7" t="s">
        <v>67</v>
      </c>
      <c r="I222" s="7" t="s">
        <v>68</v>
      </c>
      <c r="J222" s="7" t="s">
        <v>1053</v>
      </c>
      <c r="K222" s="7" t="s">
        <v>1070</v>
      </c>
      <c r="L222" s="7">
        <v>886</v>
      </c>
      <c r="M222" s="7">
        <v>886</v>
      </c>
      <c r="N222" s="7">
        <v>2906</v>
      </c>
      <c r="O222" s="7">
        <v>2906</v>
      </c>
      <c r="P222" s="7" t="s">
        <v>1071</v>
      </c>
      <c r="Q222" s="7"/>
      <c r="R222" s="7" t="s">
        <v>1079</v>
      </c>
      <c r="S222" s="7" t="s">
        <v>924</v>
      </c>
      <c r="T222" s="7" t="s">
        <v>1080</v>
      </c>
      <c r="U222" s="9">
        <v>41092</v>
      </c>
      <c r="V222" s="7">
        <v>2</v>
      </c>
      <c r="W222" s="7">
        <v>7</v>
      </c>
      <c r="X222" s="7">
        <v>2012</v>
      </c>
      <c r="Y222" s="7" t="s">
        <v>1081</v>
      </c>
      <c r="Z222" s="7" t="s">
        <v>72</v>
      </c>
      <c r="AA222" s="7">
        <v>46.971400000000003</v>
      </c>
      <c r="AB222" s="7">
        <v>-114.1268833333</v>
      </c>
      <c r="AC222" s="7"/>
      <c r="AD222" s="7" t="s">
        <v>73</v>
      </c>
      <c r="AE222" s="7" t="s">
        <v>74</v>
      </c>
      <c r="AF222" s="7"/>
      <c r="AG222" s="7"/>
      <c r="AH222" s="7"/>
      <c r="AI222" s="7" t="s">
        <v>75</v>
      </c>
      <c r="AJ222" s="7"/>
      <c r="AK222" s="7"/>
      <c r="AL222" s="7"/>
      <c r="AM222" s="7"/>
      <c r="AN222" s="7"/>
      <c r="AO222" s="7" t="s">
        <v>858</v>
      </c>
      <c r="AP222" s="20" t="str">
        <f t="shared" si="24"/>
        <v>14.6</v>
      </c>
      <c r="AQ222" s="7"/>
      <c r="AR222" s="7"/>
      <c r="AS222" s="7"/>
      <c r="AT222" s="7"/>
      <c r="AU222" s="7" t="s">
        <v>111</v>
      </c>
      <c r="AV222" s="20" t="str">
        <f t="shared" si="25"/>
        <v>20</v>
      </c>
      <c r="AW222" s="7"/>
      <c r="AX222" s="7"/>
      <c r="AY222" s="7"/>
      <c r="AZ222" s="7"/>
      <c r="BA222" s="7"/>
      <c r="BB222" s="7"/>
      <c r="BC222" s="7"/>
      <c r="BD222" s="7" t="s">
        <v>1082</v>
      </c>
      <c r="BF222" s="7"/>
      <c r="BG222" s="7"/>
      <c r="BH222" s="7" t="s">
        <v>83</v>
      </c>
      <c r="BI222" s="7"/>
      <c r="BJ222" s="7"/>
      <c r="BK222" s="7"/>
      <c r="BL222" s="7" t="s">
        <v>676</v>
      </c>
      <c r="BM222" s="20" t="str">
        <f t="shared" si="21"/>
        <v>88.5</v>
      </c>
      <c r="BN222" s="7" t="s">
        <v>629</v>
      </c>
      <c r="BO222" s="20" t="str">
        <f t="shared" si="22"/>
        <v>174</v>
      </c>
      <c r="BP222" s="7"/>
      <c r="BQ222" s="7" t="s">
        <v>133</v>
      </c>
      <c r="BR222" s="20" t="str">
        <f t="shared" si="26"/>
        <v>14</v>
      </c>
      <c r="BS222" s="21">
        <f t="shared" si="23"/>
        <v>85.5</v>
      </c>
    </row>
    <row r="223" spans="1:72" x14ac:dyDescent="0.2">
      <c r="A223" s="7" t="s">
        <v>63</v>
      </c>
      <c r="B223" s="7" t="s">
        <v>2218</v>
      </c>
      <c r="C223" s="7" t="s">
        <v>1069</v>
      </c>
      <c r="D223" s="7" t="s">
        <v>64</v>
      </c>
      <c r="E223" s="7" t="s">
        <v>65</v>
      </c>
      <c r="F223" s="7" t="s">
        <v>64</v>
      </c>
      <c r="G223" s="7" t="s">
        <v>615</v>
      </c>
      <c r="H223" s="7" t="s">
        <v>67</v>
      </c>
      <c r="I223" s="7" t="s">
        <v>68</v>
      </c>
      <c r="J223" s="7" t="s">
        <v>1053</v>
      </c>
      <c r="K223" s="7" t="s">
        <v>1070</v>
      </c>
      <c r="L223" s="7">
        <v>886</v>
      </c>
      <c r="M223" s="7">
        <v>886</v>
      </c>
      <c r="N223" s="7">
        <v>2906</v>
      </c>
      <c r="O223" s="7">
        <v>2906</v>
      </c>
      <c r="P223" s="7" t="s">
        <v>1071</v>
      </c>
      <c r="Q223" s="7"/>
      <c r="R223" s="7" t="s">
        <v>1072</v>
      </c>
      <c r="S223" s="7" t="s">
        <v>1073</v>
      </c>
      <c r="T223" s="7" t="s">
        <v>1074</v>
      </c>
      <c r="U223" s="9">
        <v>41087</v>
      </c>
      <c r="V223" s="7">
        <v>27</v>
      </c>
      <c r="W223" s="7">
        <v>6</v>
      </c>
      <c r="X223" s="7">
        <v>2012</v>
      </c>
      <c r="Y223" s="7" t="s">
        <v>1075</v>
      </c>
      <c r="Z223" s="7" t="s">
        <v>72</v>
      </c>
      <c r="AA223" s="7">
        <v>47.529933333300001</v>
      </c>
      <c r="AB223" s="7">
        <v>-114.1182333333</v>
      </c>
      <c r="AC223" s="7"/>
      <c r="AD223" s="7" t="s">
        <v>73</v>
      </c>
      <c r="AE223" s="7" t="s">
        <v>74</v>
      </c>
      <c r="AF223" s="7"/>
      <c r="AG223" s="7"/>
      <c r="AH223" s="7"/>
      <c r="AI223" s="7" t="s">
        <v>75</v>
      </c>
      <c r="AJ223" s="7"/>
      <c r="AK223" s="7"/>
      <c r="AL223" s="7"/>
      <c r="AM223" s="7"/>
      <c r="AN223" s="7"/>
      <c r="AO223" s="7" t="s">
        <v>204</v>
      </c>
      <c r="AP223" s="20" t="str">
        <f t="shared" si="24"/>
        <v>15.5</v>
      </c>
      <c r="AQ223" s="7"/>
      <c r="AR223" s="7"/>
      <c r="AS223" s="7"/>
      <c r="AT223" s="7"/>
      <c r="AU223" s="7" t="s">
        <v>1076</v>
      </c>
      <c r="AV223" s="20" t="str">
        <f t="shared" si="25"/>
        <v>18.2</v>
      </c>
      <c r="AW223" s="7"/>
      <c r="AX223" s="7"/>
      <c r="AY223" s="7"/>
      <c r="AZ223" s="7"/>
      <c r="BA223" s="7"/>
      <c r="BB223" s="7"/>
      <c r="BC223" s="7"/>
      <c r="BD223" s="7" t="s">
        <v>258</v>
      </c>
      <c r="BF223" s="7"/>
      <c r="BG223" s="7"/>
      <c r="BH223" s="7" t="s">
        <v>78</v>
      </c>
      <c r="BI223" s="7"/>
      <c r="BJ223" s="7"/>
      <c r="BK223" s="7"/>
      <c r="BL223" s="7" t="s">
        <v>1044</v>
      </c>
      <c r="BM223" s="20" t="str">
        <f t="shared" si="21"/>
        <v>71.5</v>
      </c>
      <c r="BN223" s="7" t="s">
        <v>1077</v>
      </c>
      <c r="BO223" s="20" t="str">
        <f t="shared" si="22"/>
        <v>157.5</v>
      </c>
      <c r="BP223" s="7"/>
      <c r="BQ223" s="7" t="s">
        <v>138</v>
      </c>
      <c r="BR223" s="20" t="str">
        <f t="shared" si="26"/>
        <v>15.5</v>
      </c>
      <c r="BS223" s="21">
        <f t="shared" si="23"/>
        <v>86</v>
      </c>
    </row>
    <row r="224" spans="1:72" x14ac:dyDescent="0.2">
      <c r="A224" s="13" t="s">
        <v>63</v>
      </c>
      <c r="B224" s="13"/>
      <c r="C224" s="13" t="s">
        <v>1939</v>
      </c>
      <c r="D224" s="13" t="s">
        <v>64</v>
      </c>
      <c r="E224" s="13" t="s">
        <v>65</v>
      </c>
      <c r="F224" s="13" t="s">
        <v>64</v>
      </c>
      <c r="G224" s="13" t="s">
        <v>1886</v>
      </c>
      <c r="H224" s="13" t="s">
        <v>212</v>
      </c>
      <c r="I224" s="13" t="s">
        <v>1887</v>
      </c>
      <c r="J224" s="13" t="s">
        <v>1888</v>
      </c>
      <c r="K224" s="13"/>
      <c r="L224" s="13">
        <v>3607</v>
      </c>
      <c r="M224" s="13">
        <v>3607</v>
      </c>
      <c r="N224" s="13">
        <v>3607</v>
      </c>
      <c r="O224" s="13">
        <v>3607</v>
      </c>
      <c r="P224" s="13" t="s">
        <v>1940</v>
      </c>
      <c r="Q224" s="13"/>
      <c r="R224" s="13" t="s">
        <v>1941</v>
      </c>
      <c r="S224" s="13"/>
      <c r="T224" s="13" t="s">
        <v>1942</v>
      </c>
      <c r="U224" s="14">
        <v>41866</v>
      </c>
      <c r="V224" s="13">
        <v>15</v>
      </c>
      <c r="W224" s="13">
        <v>8</v>
      </c>
      <c r="X224" s="13">
        <v>2014</v>
      </c>
      <c r="Y224" s="13">
        <f>-16.58405/-68.1307833333</f>
        <v>0.2434149321147506</v>
      </c>
      <c r="Z224" s="13" t="s">
        <v>72</v>
      </c>
      <c r="AA224" s="13">
        <v>-16.584050000000001</v>
      </c>
      <c r="AB224" s="13">
        <v>-68.130783333300002</v>
      </c>
      <c r="AC224" s="13">
        <v>100</v>
      </c>
      <c r="AD224" s="13" t="s">
        <v>73</v>
      </c>
      <c r="AE224" s="13" t="s">
        <v>74</v>
      </c>
      <c r="AF224" s="13"/>
      <c r="AG224" s="13"/>
      <c r="AH224" s="13"/>
      <c r="AI224" s="13"/>
      <c r="AJ224" s="13"/>
      <c r="AK224" s="13"/>
      <c r="AL224" s="13"/>
      <c r="AM224" s="13"/>
      <c r="AN224" s="13"/>
      <c r="AO224" s="13" t="s">
        <v>186</v>
      </c>
      <c r="AP224" s="20" t="str">
        <f t="shared" si="24"/>
        <v>14.5</v>
      </c>
      <c r="AQ224" s="13"/>
      <c r="AR224" s="13"/>
      <c r="AS224" s="13"/>
      <c r="AT224" s="13"/>
      <c r="AU224" s="13" t="s">
        <v>130</v>
      </c>
      <c r="AV224" s="20" t="str">
        <f t="shared" si="25"/>
        <v>19</v>
      </c>
      <c r="AW224" s="13"/>
      <c r="AX224" s="13"/>
      <c r="AY224" s="13"/>
      <c r="AZ224" s="13"/>
      <c r="BA224" s="13"/>
      <c r="BB224" s="13"/>
      <c r="BC224" s="13"/>
      <c r="BD224" s="13" t="s">
        <v>152</v>
      </c>
      <c r="BF224" s="13"/>
      <c r="BG224" s="13"/>
      <c r="BH224" s="13" t="s">
        <v>78</v>
      </c>
      <c r="BI224" s="13"/>
      <c r="BJ224" s="13"/>
      <c r="BK224" s="13"/>
      <c r="BL224" s="13" t="s">
        <v>160</v>
      </c>
      <c r="BM224" s="20" t="str">
        <f t="shared" si="21"/>
        <v>86</v>
      </c>
      <c r="BN224" s="13" t="s">
        <v>114</v>
      </c>
      <c r="BO224" s="20" t="str">
        <f t="shared" si="22"/>
        <v>172</v>
      </c>
      <c r="BP224" s="13"/>
      <c r="BQ224" s="13" t="s">
        <v>655</v>
      </c>
      <c r="BR224" s="20" t="str">
        <f t="shared" si="26"/>
        <v>16.3</v>
      </c>
      <c r="BS224" s="21">
        <f t="shared" si="23"/>
        <v>86</v>
      </c>
      <c r="BT224" s="13"/>
    </row>
    <row r="225" spans="1:72" x14ac:dyDescent="0.2">
      <c r="A225" t="s">
        <v>63</v>
      </c>
      <c r="B225" t="s">
        <v>2373</v>
      </c>
      <c r="C225" t="s">
        <v>545</v>
      </c>
      <c r="D225" t="s">
        <v>64</v>
      </c>
      <c r="E225" t="s">
        <v>65</v>
      </c>
      <c r="F225" t="s">
        <v>64</v>
      </c>
      <c r="G225" t="s">
        <v>211</v>
      </c>
      <c r="H225" t="s">
        <v>212</v>
      </c>
      <c r="I225" t="s">
        <v>383</v>
      </c>
      <c r="J225" t="s">
        <v>384</v>
      </c>
      <c r="L225">
        <v>1264</v>
      </c>
      <c r="M225">
        <v>1264</v>
      </c>
      <c r="N225">
        <v>4147</v>
      </c>
      <c r="O225">
        <v>4147</v>
      </c>
      <c r="P225" t="s">
        <v>546</v>
      </c>
      <c r="R225" t="s">
        <v>386</v>
      </c>
      <c r="S225" t="s">
        <v>305</v>
      </c>
      <c r="T225" t="s">
        <v>547</v>
      </c>
      <c r="U225" s="2">
        <v>41539</v>
      </c>
      <c r="V225">
        <v>22</v>
      </c>
      <c r="W225">
        <v>9</v>
      </c>
      <c r="X225">
        <v>2013</v>
      </c>
      <c r="Y225">
        <f>-15.6391666667/-47.9095</f>
        <v>0.3264314314843611</v>
      </c>
      <c r="Z225" t="s">
        <v>72</v>
      </c>
      <c r="AA225">
        <v>-15.6391666667</v>
      </c>
      <c r="AB225">
        <v>-47.909500000000001</v>
      </c>
      <c r="AD225" t="s">
        <v>73</v>
      </c>
      <c r="AE225" t="s">
        <v>74</v>
      </c>
      <c r="AO225" t="s">
        <v>77</v>
      </c>
      <c r="AP225" s="20" t="str">
        <f t="shared" si="24"/>
        <v>12</v>
      </c>
      <c r="AU225" t="s">
        <v>121</v>
      </c>
      <c r="AV225" s="20" t="str">
        <f t="shared" si="25"/>
        <v>18</v>
      </c>
      <c r="BD225" t="s">
        <v>152</v>
      </c>
      <c r="BH225" t="s">
        <v>78</v>
      </c>
      <c r="BL225" t="s">
        <v>375</v>
      </c>
      <c r="BM225" s="20" t="str">
        <f t="shared" si="21"/>
        <v>73</v>
      </c>
      <c r="BN225" t="s">
        <v>85</v>
      </c>
      <c r="BO225" s="20" t="str">
        <f t="shared" si="22"/>
        <v>159</v>
      </c>
      <c r="BQ225" t="s">
        <v>133</v>
      </c>
      <c r="BR225" s="20" t="str">
        <f t="shared" si="26"/>
        <v>14</v>
      </c>
      <c r="BS225" s="21">
        <f t="shared" si="23"/>
        <v>86</v>
      </c>
    </row>
    <row r="226" spans="1:72" x14ac:dyDescent="0.2">
      <c r="A226" s="4" t="s">
        <v>63</v>
      </c>
      <c r="B226" s="4" t="s">
        <v>2165</v>
      </c>
      <c r="C226" s="4" t="s">
        <v>1844</v>
      </c>
      <c r="D226" s="4" t="s">
        <v>64</v>
      </c>
      <c r="E226" s="4" t="s">
        <v>65</v>
      </c>
      <c r="F226" s="4" t="s">
        <v>64</v>
      </c>
      <c r="G226" s="4" t="s">
        <v>134</v>
      </c>
      <c r="H226" s="4" t="s">
        <v>67</v>
      </c>
      <c r="I226" s="4" t="s">
        <v>68</v>
      </c>
      <c r="J226" s="4" t="s">
        <v>1651</v>
      </c>
      <c r="K226" s="4" t="s">
        <v>1845</v>
      </c>
      <c r="L226" s="4">
        <v>64</v>
      </c>
      <c r="M226" s="4">
        <v>64</v>
      </c>
      <c r="N226" s="4">
        <v>64</v>
      </c>
      <c r="O226" s="4">
        <v>64</v>
      </c>
      <c r="P226" s="4" t="s">
        <v>1846</v>
      </c>
      <c r="Q226" s="4"/>
      <c r="R226" s="4" t="s">
        <v>1847</v>
      </c>
      <c r="S226" s="4"/>
      <c r="T226" s="4" t="s">
        <v>1848</v>
      </c>
      <c r="U226" s="5">
        <v>41118</v>
      </c>
      <c r="V226" s="4">
        <v>28</v>
      </c>
      <c r="W226" s="4">
        <v>7</v>
      </c>
      <c r="X226" s="4">
        <v>2012</v>
      </c>
      <c r="Y226" s="4" t="s">
        <v>1849</v>
      </c>
      <c r="Z226" s="4" t="s">
        <v>72</v>
      </c>
      <c r="AA226" s="4">
        <v>40.618763000000001</v>
      </c>
      <c r="AB226" s="4">
        <v>-75.363619999999997</v>
      </c>
      <c r="AC226" s="4"/>
      <c r="AD226" s="4" t="s">
        <v>73</v>
      </c>
      <c r="AE226" s="4" t="s">
        <v>74</v>
      </c>
      <c r="AF226" s="4"/>
      <c r="AG226" s="4"/>
      <c r="AH226" s="4"/>
      <c r="AI226" s="4"/>
      <c r="AJ226" s="4"/>
      <c r="AK226" s="4"/>
      <c r="AL226" s="4"/>
      <c r="AM226" s="4"/>
      <c r="AN226" s="4"/>
      <c r="AO226" s="4" t="s">
        <v>88</v>
      </c>
      <c r="AP226" s="20" t="str">
        <f t="shared" si="24"/>
        <v>15</v>
      </c>
      <c r="AQ226" s="4"/>
      <c r="AR226" s="4"/>
      <c r="AS226" s="4"/>
      <c r="AT226" s="4"/>
      <c r="AU226" s="4" t="s">
        <v>130</v>
      </c>
      <c r="AV226" s="20" t="str">
        <f t="shared" si="25"/>
        <v>19</v>
      </c>
      <c r="AW226" s="4"/>
      <c r="AX226" s="4"/>
      <c r="AY226" s="4"/>
      <c r="AZ226" s="4"/>
      <c r="BA226" s="4"/>
      <c r="BB226" s="4"/>
      <c r="BC226" s="4"/>
      <c r="BD226" s="4" t="s">
        <v>152</v>
      </c>
      <c r="BF226" s="4"/>
      <c r="BG226" s="4"/>
      <c r="BH226" s="4" t="s">
        <v>78</v>
      </c>
      <c r="BI226" s="4"/>
      <c r="BJ226" s="4"/>
      <c r="BK226" s="4"/>
      <c r="BL226" s="4" t="s">
        <v>351</v>
      </c>
      <c r="BM226" s="20" t="str">
        <f t="shared" si="21"/>
        <v>77</v>
      </c>
      <c r="BN226" s="4" t="s">
        <v>654</v>
      </c>
      <c r="BO226" s="20" t="str">
        <f t="shared" si="22"/>
        <v>163</v>
      </c>
      <c r="BP226" s="4"/>
      <c r="BQ226" s="4" t="s">
        <v>1850</v>
      </c>
      <c r="BR226" s="20" t="str">
        <f t="shared" si="26"/>
        <v>13.13</v>
      </c>
      <c r="BS226" s="21">
        <f t="shared" si="23"/>
        <v>86</v>
      </c>
    </row>
    <row r="227" spans="1:72" x14ac:dyDescent="0.2">
      <c r="A227" t="s">
        <v>63</v>
      </c>
      <c r="B227" t="s">
        <v>2382</v>
      </c>
      <c r="C227" t="s">
        <v>1274</v>
      </c>
      <c r="D227" t="s">
        <v>64</v>
      </c>
      <c r="E227" t="s">
        <v>65</v>
      </c>
      <c r="F227" t="s">
        <v>64</v>
      </c>
      <c r="G227" t="s">
        <v>615</v>
      </c>
      <c r="H227" t="s">
        <v>67</v>
      </c>
      <c r="I227" t="s">
        <v>68</v>
      </c>
      <c r="J227" t="s">
        <v>1136</v>
      </c>
      <c r="K227" t="s">
        <v>1210</v>
      </c>
      <c r="L227">
        <v>860</v>
      </c>
      <c r="M227">
        <v>860</v>
      </c>
      <c r="N227">
        <v>2823</v>
      </c>
      <c r="O227">
        <v>2823</v>
      </c>
      <c r="P227" t="s">
        <v>1268</v>
      </c>
      <c r="R227" t="s">
        <v>1269</v>
      </c>
      <c r="S227" t="s">
        <v>924</v>
      </c>
      <c r="T227" t="s">
        <v>1270</v>
      </c>
      <c r="U227" s="2">
        <v>41072</v>
      </c>
      <c r="V227">
        <v>12</v>
      </c>
      <c r="W227">
        <v>6</v>
      </c>
      <c r="X227">
        <v>2012</v>
      </c>
      <c r="Y227" t="s">
        <v>1271</v>
      </c>
      <c r="Z227" t="s">
        <v>72</v>
      </c>
      <c r="AA227">
        <v>37.127883333299998</v>
      </c>
      <c r="AB227">
        <v>-113.60665</v>
      </c>
      <c r="AD227" t="s">
        <v>73</v>
      </c>
      <c r="AE227" t="s">
        <v>74</v>
      </c>
      <c r="AI227" t="s">
        <v>75</v>
      </c>
      <c r="AO227" t="s">
        <v>186</v>
      </c>
      <c r="AP227" s="20" t="str">
        <f t="shared" si="24"/>
        <v>14.5</v>
      </c>
      <c r="AU227" t="s">
        <v>121</v>
      </c>
      <c r="AV227" s="20" t="str">
        <f t="shared" si="25"/>
        <v>18</v>
      </c>
      <c r="BD227" t="s">
        <v>1275</v>
      </c>
      <c r="BH227" t="s">
        <v>78</v>
      </c>
      <c r="BL227" t="s">
        <v>194</v>
      </c>
      <c r="BM227" s="20" t="str">
        <f t="shared" si="21"/>
        <v>79</v>
      </c>
      <c r="BN227" t="s">
        <v>89</v>
      </c>
      <c r="BO227" s="20" t="str">
        <f t="shared" si="22"/>
        <v>165</v>
      </c>
      <c r="BQ227" t="s">
        <v>1276</v>
      </c>
      <c r="BR227" s="20" t="str">
        <f t="shared" si="26"/>
        <v>14.3</v>
      </c>
      <c r="BS227" s="21">
        <f t="shared" si="23"/>
        <v>86</v>
      </c>
    </row>
    <row r="228" spans="1:72" x14ac:dyDescent="0.2">
      <c r="A228" s="7" t="s">
        <v>63</v>
      </c>
      <c r="B228" s="7" t="s">
        <v>2208</v>
      </c>
      <c r="C228" s="7" t="s">
        <v>1135</v>
      </c>
      <c r="D228" s="7" t="s">
        <v>64</v>
      </c>
      <c r="E228" s="7" t="s">
        <v>65</v>
      </c>
      <c r="F228" s="7" t="s">
        <v>64</v>
      </c>
      <c r="G228" s="7" t="s">
        <v>615</v>
      </c>
      <c r="H228" s="7" t="s">
        <v>67</v>
      </c>
      <c r="I228" s="7" t="s">
        <v>68</v>
      </c>
      <c r="J228" s="7" t="s">
        <v>1136</v>
      </c>
      <c r="K228" s="7" t="s">
        <v>1137</v>
      </c>
      <c r="L228" s="7">
        <v>1383</v>
      </c>
      <c r="M228" s="7">
        <v>1383</v>
      </c>
      <c r="N228" s="7">
        <v>4538</v>
      </c>
      <c r="O228" s="7">
        <v>4538</v>
      </c>
      <c r="P228" s="7" t="s">
        <v>1138</v>
      </c>
      <c r="Q228" s="7"/>
      <c r="R228" s="7" t="s">
        <v>1139</v>
      </c>
      <c r="S228" s="7" t="s">
        <v>924</v>
      </c>
      <c r="T228" s="7" t="s">
        <v>1140</v>
      </c>
      <c r="U228" s="9">
        <v>41078</v>
      </c>
      <c r="V228" s="7">
        <v>18</v>
      </c>
      <c r="W228" s="7">
        <v>6</v>
      </c>
      <c r="X228" s="7">
        <v>2012</v>
      </c>
      <c r="Y228" s="7" t="s">
        <v>1141</v>
      </c>
      <c r="Z228" s="7" t="s">
        <v>72</v>
      </c>
      <c r="AA228" s="7">
        <v>40.374650000000003</v>
      </c>
      <c r="AB228" s="7">
        <v>-111.8774333333</v>
      </c>
      <c r="AC228" s="7"/>
      <c r="AD228" s="7" t="s">
        <v>73</v>
      </c>
      <c r="AE228" s="7" t="s">
        <v>74</v>
      </c>
      <c r="AF228" s="7"/>
      <c r="AG228" s="7"/>
      <c r="AH228" s="7"/>
      <c r="AI228" s="7" t="s">
        <v>75</v>
      </c>
      <c r="AJ228" s="7"/>
      <c r="AK228" s="7"/>
      <c r="AL228" s="7"/>
      <c r="AM228" s="7"/>
      <c r="AN228" s="7"/>
      <c r="AO228" s="7" t="s">
        <v>790</v>
      </c>
      <c r="AP228" s="20" t="str">
        <f t="shared" si="24"/>
        <v>13.6</v>
      </c>
      <c r="AQ228" s="7"/>
      <c r="AR228" s="7"/>
      <c r="AS228" s="7"/>
      <c r="AT228" s="7"/>
      <c r="AU228" s="7" t="s">
        <v>141</v>
      </c>
      <c r="AV228" s="20" t="str">
        <f t="shared" si="25"/>
        <v>18.5</v>
      </c>
      <c r="AW228" s="7"/>
      <c r="AX228" s="7"/>
      <c r="AY228" s="7"/>
      <c r="AZ228" s="7"/>
      <c r="BA228" s="7"/>
      <c r="BB228" s="7"/>
      <c r="BC228" s="7"/>
      <c r="BD228" s="7" t="s">
        <v>1142</v>
      </c>
      <c r="BF228" s="7"/>
      <c r="BG228" s="7"/>
      <c r="BH228" s="7" t="s">
        <v>78</v>
      </c>
      <c r="BI228" s="7"/>
      <c r="BJ228" s="7"/>
      <c r="BK228" s="7"/>
      <c r="BL228" s="7" t="s">
        <v>160</v>
      </c>
      <c r="BM228" s="20" t="str">
        <f t="shared" si="21"/>
        <v>86</v>
      </c>
      <c r="BN228" s="7" t="s">
        <v>114</v>
      </c>
      <c r="BO228" s="20" t="str">
        <f t="shared" si="22"/>
        <v>172</v>
      </c>
      <c r="BP228" s="7"/>
      <c r="BQ228" s="7" t="s">
        <v>1143</v>
      </c>
      <c r="BR228" s="20" t="str">
        <f t="shared" si="26"/>
        <v>16.6</v>
      </c>
      <c r="BS228" s="21">
        <f t="shared" si="23"/>
        <v>86</v>
      </c>
    </row>
    <row r="229" spans="1:72" x14ac:dyDescent="0.2">
      <c r="A229" s="13" t="s">
        <v>63</v>
      </c>
      <c r="B229" s="13" t="s">
        <v>2383</v>
      </c>
      <c r="C229" s="13" t="s">
        <v>2015</v>
      </c>
      <c r="D229" s="13" t="s">
        <v>64</v>
      </c>
      <c r="E229" s="13" t="s">
        <v>65</v>
      </c>
      <c r="F229" s="13" t="s">
        <v>64</v>
      </c>
      <c r="G229" s="13" t="s">
        <v>1886</v>
      </c>
      <c r="H229" s="13" t="s">
        <v>212</v>
      </c>
      <c r="I229" s="13" t="s">
        <v>1887</v>
      </c>
      <c r="J229" s="13" t="s">
        <v>2009</v>
      </c>
      <c r="K229" s="13"/>
      <c r="L229" s="13">
        <v>409</v>
      </c>
      <c r="M229" s="13">
        <v>409</v>
      </c>
      <c r="N229" s="13">
        <v>409</v>
      </c>
      <c r="O229" s="13">
        <v>409</v>
      </c>
      <c r="P229" s="13" t="s">
        <v>2010</v>
      </c>
      <c r="Q229" s="13"/>
      <c r="R229" s="13" t="s">
        <v>2011</v>
      </c>
      <c r="S229" s="13"/>
      <c r="T229" s="13" t="s">
        <v>2012</v>
      </c>
      <c r="U229" s="14">
        <v>41877</v>
      </c>
      <c r="V229" s="13">
        <v>26</v>
      </c>
      <c r="W229" s="13">
        <v>8</v>
      </c>
      <c r="X229" s="13">
        <v>2014</v>
      </c>
      <c r="Y229" s="13">
        <f>-17.7348333333/-63.1696</f>
        <v>0.28074949553741035</v>
      </c>
      <c r="Z229" s="13" t="s">
        <v>72</v>
      </c>
      <c r="AA229" s="13">
        <v>-17.734833333299999</v>
      </c>
      <c r="AB229" s="13">
        <v>-63.169600000000003</v>
      </c>
      <c r="AC229" s="13">
        <v>100</v>
      </c>
      <c r="AD229" s="13" t="s">
        <v>73</v>
      </c>
      <c r="AE229" s="13" t="s">
        <v>74</v>
      </c>
      <c r="AF229" s="13"/>
      <c r="AG229" s="13"/>
      <c r="AH229" s="13"/>
      <c r="AI229" s="13"/>
      <c r="AJ229" s="13"/>
      <c r="AK229" s="13"/>
      <c r="AL229" s="13"/>
      <c r="AM229" s="13"/>
      <c r="AN229" s="13"/>
      <c r="AO229" s="13" t="s">
        <v>196</v>
      </c>
      <c r="AP229" s="20" t="str">
        <f t="shared" si="24"/>
        <v>12.5</v>
      </c>
      <c r="AQ229" s="13"/>
      <c r="AR229" s="13"/>
      <c r="AS229" s="13"/>
      <c r="AT229" s="13"/>
      <c r="AU229" s="13" t="s">
        <v>820</v>
      </c>
      <c r="AV229" s="20" t="str">
        <f t="shared" si="25"/>
        <v>18.4</v>
      </c>
      <c r="AW229" s="13"/>
      <c r="AX229" s="13"/>
      <c r="AY229" s="13"/>
      <c r="AZ229" s="13"/>
      <c r="BA229" s="13"/>
      <c r="BB229" s="13"/>
      <c r="BC229" s="13"/>
      <c r="BD229" s="13" t="s">
        <v>2016</v>
      </c>
      <c r="BF229" s="13"/>
      <c r="BG229" s="13"/>
      <c r="BH229" s="13" t="s">
        <v>78</v>
      </c>
      <c r="BI229" s="13"/>
      <c r="BJ229" s="13"/>
      <c r="BK229" s="13"/>
      <c r="BL229" s="13" t="s">
        <v>189</v>
      </c>
      <c r="BM229" s="20" t="str">
        <f t="shared" si="21"/>
        <v>82</v>
      </c>
      <c r="BN229" s="13" t="s">
        <v>324</v>
      </c>
      <c r="BO229" s="20" t="str">
        <f t="shared" si="22"/>
        <v>168</v>
      </c>
      <c r="BP229" s="13"/>
      <c r="BQ229" s="13" t="s">
        <v>2017</v>
      </c>
      <c r="BR229" s="20" t="str">
        <f t="shared" si="26"/>
        <v>14.2</v>
      </c>
      <c r="BS229" s="21">
        <f t="shared" si="23"/>
        <v>86</v>
      </c>
    </row>
    <row r="230" spans="1:72" x14ac:dyDescent="0.2">
      <c r="A230" t="s">
        <v>63</v>
      </c>
      <c r="C230" t="s">
        <v>1983</v>
      </c>
      <c r="D230" t="s">
        <v>64</v>
      </c>
      <c r="E230" t="s">
        <v>65</v>
      </c>
      <c r="F230" t="s">
        <v>64</v>
      </c>
      <c r="G230" t="s">
        <v>1886</v>
      </c>
      <c r="H230" t="s">
        <v>212</v>
      </c>
      <c r="I230" t="s">
        <v>1887</v>
      </c>
      <c r="J230" t="s">
        <v>1949</v>
      </c>
      <c r="L230">
        <v>2753</v>
      </c>
      <c r="M230">
        <v>2753</v>
      </c>
      <c r="N230">
        <v>2753</v>
      </c>
      <c r="O230">
        <v>2753</v>
      </c>
      <c r="P230" t="s">
        <v>1984</v>
      </c>
      <c r="R230" t="s">
        <v>1985</v>
      </c>
      <c r="T230" t="s">
        <v>1986</v>
      </c>
      <c r="U230" s="2">
        <v>41873</v>
      </c>
      <c r="V230">
        <v>22</v>
      </c>
      <c r="W230">
        <v>8</v>
      </c>
      <c r="X230">
        <v>2014</v>
      </c>
      <c r="Y230">
        <f>-17.5784833333/-66.0668833333</f>
        <v>0.26607102448920628</v>
      </c>
      <c r="Z230" t="s">
        <v>72</v>
      </c>
      <c r="AA230">
        <v>-17.578483333299999</v>
      </c>
      <c r="AB230">
        <v>-66.066883333299998</v>
      </c>
      <c r="AC230">
        <v>100</v>
      </c>
      <c r="AD230" t="s">
        <v>73</v>
      </c>
      <c r="AE230" t="s">
        <v>74</v>
      </c>
      <c r="AO230" t="s">
        <v>88</v>
      </c>
      <c r="AP230" s="20" t="str">
        <f t="shared" si="24"/>
        <v>15</v>
      </c>
      <c r="AU230" t="s">
        <v>141</v>
      </c>
      <c r="AV230" s="20" t="str">
        <f t="shared" si="25"/>
        <v>18.5</v>
      </c>
      <c r="BD230" t="s">
        <v>241</v>
      </c>
      <c r="BE230" s="20" t="s">
        <v>241</v>
      </c>
      <c r="BH230" t="s">
        <v>78</v>
      </c>
      <c r="BL230" t="s">
        <v>160</v>
      </c>
      <c r="BM230" s="20" t="str">
        <f t="shared" si="21"/>
        <v>86</v>
      </c>
      <c r="BN230" t="s">
        <v>114</v>
      </c>
      <c r="BO230" s="20" t="str">
        <f t="shared" si="22"/>
        <v>172</v>
      </c>
      <c r="BQ230" t="s">
        <v>867</v>
      </c>
      <c r="BR230" s="20" t="str">
        <f t="shared" si="26"/>
        <v>15.8</v>
      </c>
      <c r="BS230" s="21">
        <f t="shared" si="23"/>
        <v>86</v>
      </c>
    </row>
    <row r="231" spans="1:72" x14ac:dyDescent="0.2">
      <c r="A231" s="13" t="s">
        <v>63</v>
      </c>
      <c r="B231" s="13"/>
      <c r="C231" s="13" t="s">
        <v>769</v>
      </c>
      <c r="D231" s="13" t="s">
        <v>64</v>
      </c>
      <c r="E231" s="13" t="s">
        <v>65</v>
      </c>
      <c r="F231" s="13" t="s">
        <v>64</v>
      </c>
      <c r="G231" s="13" t="s">
        <v>211</v>
      </c>
      <c r="H231" s="13" t="s">
        <v>212</v>
      </c>
      <c r="I231" s="13" t="s">
        <v>701</v>
      </c>
      <c r="J231" s="13" t="s">
        <v>734</v>
      </c>
      <c r="K231" s="13"/>
      <c r="L231" s="13">
        <v>2867</v>
      </c>
      <c r="M231" s="13">
        <v>2867</v>
      </c>
      <c r="N231" s="13">
        <v>9405</v>
      </c>
      <c r="O231" s="13">
        <v>9405</v>
      </c>
      <c r="P231" s="13" t="s">
        <v>765</v>
      </c>
      <c r="Q231" s="13"/>
      <c r="R231" s="13" t="s">
        <v>766</v>
      </c>
      <c r="S231" s="13"/>
      <c r="T231" s="13" t="s">
        <v>767</v>
      </c>
      <c r="U231" s="14">
        <v>41228</v>
      </c>
      <c r="V231" s="13">
        <v>15</v>
      </c>
      <c r="W231" s="13">
        <v>11</v>
      </c>
      <c r="X231" s="13">
        <v>2012</v>
      </c>
      <c r="Y231" s="13">
        <f>-0.8633166667/-78.6119</f>
        <v>1.098200993361056E-2</v>
      </c>
      <c r="Z231" s="13" t="s">
        <v>72</v>
      </c>
      <c r="AA231" s="13">
        <v>-0.86331666669999996</v>
      </c>
      <c r="AB231" s="13">
        <v>-78.611900000000006</v>
      </c>
      <c r="AC231" s="13"/>
      <c r="AD231" s="13" t="s">
        <v>96</v>
      </c>
      <c r="AE231" s="13" t="s">
        <v>74</v>
      </c>
      <c r="AF231" s="13"/>
      <c r="AG231" s="13"/>
      <c r="AH231" s="13"/>
      <c r="AI231" s="13" t="s">
        <v>75</v>
      </c>
      <c r="AJ231" s="13"/>
      <c r="AK231" s="13"/>
      <c r="AL231" s="13"/>
      <c r="AM231" s="13"/>
      <c r="AN231" s="13"/>
      <c r="AO231" s="13" t="s">
        <v>227</v>
      </c>
      <c r="AP231" s="20" t="str">
        <f t="shared" si="24"/>
        <v>10</v>
      </c>
      <c r="AQ231" s="13"/>
      <c r="AR231" s="13"/>
      <c r="AS231" s="13"/>
      <c r="AT231" s="13"/>
      <c r="AU231" s="13" t="s">
        <v>121</v>
      </c>
      <c r="AV231" s="20" t="str">
        <f t="shared" si="25"/>
        <v>18</v>
      </c>
      <c r="AW231" s="13"/>
      <c r="AX231" s="13"/>
      <c r="AY231" s="13"/>
      <c r="AZ231" s="13"/>
      <c r="BA231" s="13"/>
      <c r="BB231" s="13"/>
      <c r="BC231" s="13"/>
      <c r="BD231" s="13" t="s">
        <v>770</v>
      </c>
      <c r="BE231" s="20" t="s">
        <v>241</v>
      </c>
      <c r="BF231" s="13"/>
      <c r="BG231" s="13"/>
      <c r="BH231" s="13" t="s">
        <v>78</v>
      </c>
      <c r="BI231" s="13"/>
      <c r="BJ231" s="13"/>
      <c r="BK231" s="13"/>
      <c r="BL231" s="13" t="s">
        <v>189</v>
      </c>
      <c r="BM231" s="20" t="str">
        <f t="shared" si="21"/>
        <v>82</v>
      </c>
      <c r="BN231" s="13" t="s">
        <v>324</v>
      </c>
      <c r="BO231" s="20" t="str">
        <f t="shared" si="22"/>
        <v>168</v>
      </c>
      <c r="BP231" s="13"/>
      <c r="BQ231" s="13" t="s">
        <v>512</v>
      </c>
      <c r="BR231" s="20" t="str">
        <f t="shared" si="26"/>
        <v>13.5</v>
      </c>
      <c r="BS231" s="21">
        <f t="shared" si="23"/>
        <v>86</v>
      </c>
    </row>
    <row r="232" spans="1:72" x14ac:dyDescent="0.2">
      <c r="A232" s="10" t="s">
        <v>63</v>
      </c>
      <c r="B232" s="10" t="s">
        <v>2250</v>
      </c>
      <c r="C232" s="10" t="s">
        <v>339</v>
      </c>
      <c r="D232" s="10" t="s">
        <v>64</v>
      </c>
      <c r="E232" s="10" t="s">
        <v>65</v>
      </c>
      <c r="F232" s="10" t="s">
        <v>64</v>
      </c>
      <c r="G232" s="10" t="s">
        <v>211</v>
      </c>
      <c r="H232" s="10" t="s">
        <v>212</v>
      </c>
      <c r="I232" s="10" t="s">
        <v>213</v>
      </c>
      <c r="J232" s="10" t="s">
        <v>293</v>
      </c>
      <c r="K232" s="10"/>
      <c r="L232" s="10">
        <v>4</v>
      </c>
      <c r="M232" s="10">
        <v>4</v>
      </c>
      <c r="N232" s="10">
        <v>13</v>
      </c>
      <c r="O232" s="10">
        <v>13</v>
      </c>
      <c r="P232" s="12">
        <v>44290</v>
      </c>
      <c r="Q232" s="10"/>
      <c r="R232" s="10" t="s">
        <v>294</v>
      </c>
      <c r="S232" s="10" t="s">
        <v>329</v>
      </c>
      <c r="T232" s="10" t="s">
        <v>330</v>
      </c>
      <c r="U232" s="11">
        <v>41339</v>
      </c>
      <c r="V232" s="10">
        <v>6</v>
      </c>
      <c r="W232" s="10">
        <v>3</v>
      </c>
      <c r="X232" s="10">
        <v>2013</v>
      </c>
      <c r="Y232" s="10">
        <f>-43.3261666667/-65.4713333333</f>
        <v>0.66175781767168418</v>
      </c>
      <c r="Z232" s="10" t="s">
        <v>72</v>
      </c>
      <c r="AA232" s="10">
        <v>-43.326166666699997</v>
      </c>
      <c r="AB232" s="10">
        <v>-65.471333333299995</v>
      </c>
      <c r="AC232" s="10"/>
      <c r="AD232" s="10" t="s">
        <v>73</v>
      </c>
      <c r="AE232" s="10" t="s">
        <v>74</v>
      </c>
      <c r="AF232" s="10"/>
      <c r="AG232" s="10"/>
      <c r="AH232" s="10"/>
      <c r="AI232" s="10"/>
      <c r="AJ232" s="10"/>
      <c r="AK232" s="10"/>
      <c r="AL232" s="10"/>
      <c r="AM232" s="10"/>
      <c r="AN232" s="10"/>
      <c r="AO232" s="10" t="s">
        <v>88</v>
      </c>
      <c r="AP232" s="20" t="str">
        <f t="shared" si="24"/>
        <v>15</v>
      </c>
      <c r="AQ232" s="10"/>
      <c r="AR232" s="10"/>
      <c r="AS232" s="10"/>
      <c r="AT232" s="10"/>
      <c r="AU232" s="10" t="s">
        <v>121</v>
      </c>
      <c r="AV232" s="20" t="str">
        <f t="shared" si="25"/>
        <v>18</v>
      </c>
      <c r="AW232" s="10"/>
      <c r="AX232" s="10"/>
      <c r="AY232" s="10"/>
      <c r="AZ232" s="10"/>
      <c r="BA232" s="10"/>
      <c r="BB232" s="10"/>
      <c r="BC232" s="10"/>
      <c r="BD232" s="10" t="s">
        <v>274</v>
      </c>
      <c r="BF232" s="10"/>
      <c r="BG232" s="10"/>
      <c r="BH232" s="10" t="s">
        <v>83</v>
      </c>
      <c r="BI232" s="10"/>
      <c r="BJ232" s="10"/>
      <c r="BK232" s="10"/>
      <c r="BL232" s="10" t="s">
        <v>147</v>
      </c>
      <c r="BM232" s="20" t="str">
        <f t="shared" si="21"/>
        <v>84</v>
      </c>
      <c r="BN232" s="10" t="s">
        <v>154</v>
      </c>
      <c r="BO232" s="20" t="str">
        <f t="shared" si="22"/>
        <v>170</v>
      </c>
      <c r="BP232" s="10"/>
      <c r="BQ232" s="10" t="s">
        <v>340</v>
      </c>
      <c r="BR232" s="20" t="str">
        <f t="shared" si="26"/>
        <v>15</v>
      </c>
      <c r="BS232" s="21">
        <f t="shared" si="23"/>
        <v>86</v>
      </c>
      <c r="BT232" s="10"/>
    </row>
    <row r="233" spans="1:72" x14ac:dyDescent="0.2">
      <c r="A233" t="s">
        <v>63</v>
      </c>
      <c r="B233" t="s">
        <v>2390</v>
      </c>
      <c r="C233" t="s">
        <v>1383</v>
      </c>
      <c r="D233" t="s">
        <v>64</v>
      </c>
      <c r="E233" t="s">
        <v>65</v>
      </c>
      <c r="F233" t="s">
        <v>64</v>
      </c>
      <c r="G233" t="s">
        <v>211</v>
      </c>
      <c r="H233" t="s">
        <v>212</v>
      </c>
      <c r="I233" t="s">
        <v>701</v>
      </c>
      <c r="J233" t="s">
        <v>1342</v>
      </c>
      <c r="L233">
        <v>4</v>
      </c>
      <c r="M233">
        <v>4</v>
      </c>
      <c r="N233">
        <v>13</v>
      </c>
      <c r="O233">
        <v>13</v>
      </c>
      <c r="P233" s="3">
        <v>44290</v>
      </c>
      <c r="R233" t="s">
        <v>1364</v>
      </c>
      <c r="T233" t="s">
        <v>1384</v>
      </c>
      <c r="U233" s="2">
        <v>41243</v>
      </c>
      <c r="V233">
        <v>30</v>
      </c>
      <c r="W233">
        <v>11</v>
      </c>
      <c r="X233">
        <v>2012</v>
      </c>
      <c r="Y233">
        <f>-0.84985/-80.1563666667</f>
        <v>1.0602401722295879E-2</v>
      </c>
      <c r="Z233" t="s">
        <v>72</v>
      </c>
      <c r="AA233">
        <v>-0.84984999999999999</v>
      </c>
      <c r="AB233">
        <v>-80.156366666699995</v>
      </c>
      <c r="AD233" t="s">
        <v>96</v>
      </c>
      <c r="AE233" t="s">
        <v>74</v>
      </c>
      <c r="AI233" t="s">
        <v>75</v>
      </c>
      <c r="AO233" t="s">
        <v>77</v>
      </c>
      <c r="AP233" s="20" t="str">
        <f t="shared" si="24"/>
        <v>12</v>
      </c>
      <c r="AU233" t="s">
        <v>82</v>
      </c>
      <c r="AV233" s="20" t="str">
        <f t="shared" si="25"/>
        <v>17</v>
      </c>
      <c r="BD233" t="s">
        <v>1385</v>
      </c>
      <c r="BH233" t="s">
        <v>83</v>
      </c>
      <c r="BL233" t="s">
        <v>253</v>
      </c>
      <c r="BM233" s="20" t="str">
        <f t="shared" si="21"/>
        <v>70</v>
      </c>
      <c r="BN233" t="s">
        <v>695</v>
      </c>
      <c r="BO233" s="20" t="str">
        <f t="shared" si="22"/>
        <v>156</v>
      </c>
      <c r="BQ233" t="s">
        <v>262</v>
      </c>
      <c r="BR233" s="20" t="str">
        <f t="shared" si="26"/>
        <v>12.5</v>
      </c>
      <c r="BS233" s="21">
        <f t="shared" si="23"/>
        <v>86</v>
      </c>
    </row>
    <row r="234" spans="1:72" x14ac:dyDescent="0.2">
      <c r="A234" s="4" t="s">
        <v>63</v>
      </c>
      <c r="B234" s="4" t="s">
        <v>2169</v>
      </c>
      <c r="C234" s="4" t="s">
        <v>1857</v>
      </c>
      <c r="D234" s="4" t="s">
        <v>64</v>
      </c>
      <c r="E234" s="4" t="s">
        <v>65</v>
      </c>
      <c r="F234" s="4" t="s">
        <v>64</v>
      </c>
      <c r="G234" s="4" t="s">
        <v>134</v>
      </c>
      <c r="H234" s="4" t="s">
        <v>67</v>
      </c>
      <c r="I234" s="4" t="s">
        <v>68</v>
      </c>
      <c r="J234" s="4" t="s">
        <v>1858</v>
      </c>
      <c r="K234" s="4" t="s">
        <v>1859</v>
      </c>
      <c r="L234" s="4">
        <v>156</v>
      </c>
      <c r="M234" s="4">
        <v>156</v>
      </c>
      <c r="N234" s="4">
        <v>156</v>
      </c>
      <c r="O234" s="4">
        <v>156</v>
      </c>
      <c r="P234" s="4" t="s">
        <v>1860</v>
      </c>
      <c r="Q234" s="4"/>
      <c r="R234" s="4" t="s">
        <v>1861</v>
      </c>
      <c r="S234" s="4"/>
      <c r="T234" s="4" t="s">
        <v>1862</v>
      </c>
      <c r="U234" s="5">
        <v>41115</v>
      </c>
      <c r="V234" s="4">
        <v>25</v>
      </c>
      <c r="W234" s="4">
        <v>7</v>
      </c>
      <c r="X234" s="4">
        <v>2012</v>
      </c>
      <c r="Y234" s="4" t="s">
        <v>1863</v>
      </c>
      <c r="Z234" s="4" t="s">
        <v>72</v>
      </c>
      <c r="AA234" s="4">
        <v>43.950749999999999</v>
      </c>
      <c r="AB234" s="4">
        <v>-72.123009999999994</v>
      </c>
      <c r="AC234" s="4">
        <v>100</v>
      </c>
      <c r="AD234" s="4" t="s">
        <v>73</v>
      </c>
      <c r="AE234" s="4" t="s">
        <v>74</v>
      </c>
      <c r="AF234" s="4"/>
      <c r="AG234" s="4"/>
      <c r="AH234" s="4"/>
      <c r="AI234" s="4"/>
      <c r="AJ234" s="4"/>
      <c r="AK234" s="4"/>
      <c r="AL234" s="4"/>
      <c r="AM234" s="4"/>
      <c r="AN234" s="4"/>
      <c r="AO234" s="4" t="s">
        <v>87</v>
      </c>
      <c r="AP234" s="20" t="str">
        <f t="shared" si="24"/>
        <v>14</v>
      </c>
      <c r="AQ234" s="4"/>
      <c r="AR234" s="4"/>
      <c r="AS234" s="4"/>
      <c r="AT234" s="4"/>
      <c r="AU234" s="4" t="s">
        <v>121</v>
      </c>
      <c r="AV234" s="20" t="str">
        <f t="shared" si="25"/>
        <v>18</v>
      </c>
      <c r="AW234" s="4"/>
      <c r="AX234" s="4"/>
      <c r="AY234" s="4"/>
      <c r="AZ234" s="4"/>
      <c r="BA234" s="4"/>
      <c r="BB234" s="4"/>
      <c r="BC234" s="4"/>
      <c r="BD234" s="4" t="s">
        <v>1864</v>
      </c>
      <c r="BF234" s="4"/>
      <c r="BG234" s="4"/>
      <c r="BH234" s="4" t="s">
        <v>83</v>
      </c>
      <c r="BI234" s="4"/>
      <c r="BJ234" s="4"/>
      <c r="BK234" s="4"/>
      <c r="BL234" s="4" t="s">
        <v>336</v>
      </c>
      <c r="BM234" s="20" t="str">
        <f t="shared" si="21"/>
        <v>60</v>
      </c>
      <c r="BN234" s="4" t="s">
        <v>419</v>
      </c>
      <c r="BO234" s="20" t="str">
        <f t="shared" si="22"/>
        <v>146</v>
      </c>
      <c r="BP234" s="4"/>
      <c r="BQ234" s="4" t="s">
        <v>626</v>
      </c>
      <c r="BR234" s="20" t="str">
        <f t="shared" si="26"/>
        <v>19.5</v>
      </c>
      <c r="BS234" s="21">
        <f t="shared" si="23"/>
        <v>86</v>
      </c>
    </row>
    <row r="235" spans="1:72" x14ac:dyDescent="0.2">
      <c r="A235" s="4" t="s">
        <v>63</v>
      </c>
      <c r="B235" s="4" t="s">
        <v>2143</v>
      </c>
      <c r="C235" s="4" t="s">
        <v>1826</v>
      </c>
      <c r="D235" s="4" t="s">
        <v>64</v>
      </c>
      <c r="E235" s="4" t="s">
        <v>65</v>
      </c>
      <c r="F235" s="4" t="s">
        <v>64</v>
      </c>
      <c r="G235" s="4" t="s">
        <v>134</v>
      </c>
      <c r="H235" s="4" t="s">
        <v>67</v>
      </c>
      <c r="I235" s="4" t="s">
        <v>68</v>
      </c>
      <c r="J235" s="4" t="s">
        <v>1778</v>
      </c>
      <c r="K235" s="4" t="s">
        <v>1806</v>
      </c>
      <c r="L235" s="4">
        <v>47</v>
      </c>
      <c r="M235" s="4">
        <v>47</v>
      </c>
      <c r="N235" s="4">
        <v>47</v>
      </c>
      <c r="O235" s="4">
        <v>47</v>
      </c>
      <c r="P235" s="4" t="s">
        <v>1827</v>
      </c>
      <c r="Q235" s="4"/>
      <c r="R235" s="4" t="s">
        <v>1828</v>
      </c>
      <c r="S235" s="4"/>
      <c r="T235" s="4" t="s">
        <v>1829</v>
      </c>
      <c r="U235" s="5">
        <v>41132</v>
      </c>
      <c r="V235" s="4">
        <v>11</v>
      </c>
      <c r="W235" s="4">
        <v>8</v>
      </c>
      <c r="X235" s="4">
        <v>2012</v>
      </c>
      <c r="Y235" s="4" t="s">
        <v>1830</v>
      </c>
      <c r="Z235" s="4" t="s">
        <v>72</v>
      </c>
      <c r="AA235" s="4">
        <v>37.487630000000003</v>
      </c>
      <c r="AB235" s="4">
        <v>-77.402079999999998</v>
      </c>
      <c r="AC235" s="4"/>
      <c r="AD235" s="4" t="s">
        <v>73</v>
      </c>
      <c r="AE235" s="4" t="s">
        <v>74</v>
      </c>
      <c r="AF235" s="4"/>
      <c r="AG235" s="4"/>
      <c r="AH235" s="4"/>
      <c r="AI235" s="4"/>
      <c r="AJ235" s="4"/>
      <c r="AK235" s="4"/>
      <c r="AL235" s="4"/>
      <c r="AM235" s="4"/>
      <c r="AN235" s="4"/>
      <c r="AO235" s="4" t="s">
        <v>87</v>
      </c>
      <c r="AP235" s="20" t="str">
        <f t="shared" si="24"/>
        <v>14</v>
      </c>
      <c r="AQ235" s="4"/>
      <c r="AR235" s="4"/>
      <c r="AS235" s="4"/>
      <c r="AT235" s="4"/>
      <c r="AU235" s="4" t="s">
        <v>130</v>
      </c>
      <c r="AV235" s="20" t="str">
        <f t="shared" si="25"/>
        <v>19</v>
      </c>
      <c r="AW235" s="4"/>
      <c r="AX235" s="4"/>
      <c r="AY235" s="4"/>
      <c r="AZ235" s="4"/>
      <c r="BA235" s="4"/>
      <c r="BB235" s="4"/>
      <c r="BC235" s="4"/>
      <c r="BD235" s="4" t="s">
        <v>1712</v>
      </c>
      <c r="BF235" s="4"/>
      <c r="BG235" s="4"/>
      <c r="BH235" s="4" t="s">
        <v>83</v>
      </c>
      <c r="BI235" s="4"/>
      <c r="BJ235" s="4"/>
      <c r="BK235" s="4"/>
      <c r="BL235" s="4" t="s">
        <v>103</v>
      </c>
      <c r="BM235" s="20" t="str">
        <f t="shared" ref="BM235:BM298" si="27">LEFT(BL235,FIND("^^",SUBSTITUTE(BL235," ","^^",LEN(BL235)-LEN(SUBSTITUTE(BL235," ",""))))-1)</f>
        <v>91</v>
      </c>
      <c r="BN235" s="4" t="s">
        <v>192</v>
      </c>
      <c r="BO235" s="20" t="str">
        <f t="shared" ref="BO235:BO298" si="28">LEFT(BN235,FIND("^^",SUBSTITUTE(BN235," ","^^",LEN(BN235)-LEN(SUBSTITUTE(BN235," ",""))))-1)</f>
        <v>177</v>
      </c>
      <c r="BP235" s="4"/>
      <c r="BQ235" s="4" t="s">
        <v>115</v>
      </c>
      <c r="BR235" s="20" t="str">
        <f t="shared" si="26"/>
        <v>17.25</v>
      </c>
      <c r="BS235" s="21">
        <f t="shared" ref="BS235:BS298" si="29">(BO235-BM235)</f>
        <v>86</v>
      </c>
    </row>
    <row r="236" spans="1:72" x14ac:dyDescent="0.2">
      <c r="A236" s="4" t="s">
        <v>63</v>
      </c>
      <c r="B236" s="4" t="s">
        <v>2172</v>
      </c>
      <c r="C236" s="4" t="s">
        <v>1709</v>
      </c>
      <c r="D236" s="4" t="s">
        <v>64</v>
      </c>
      <c r="E236" s="4" t="s">
        <v>65</v>
      </c>
      <c r="F236" s="4" t="s">
        <v>64</v>
      </c>
      <c r="G236" s="4" t="s">
        <v>134</v>
      </c>
      <c r="H236" s="4" t="s">
        <v>67</v>
      </c>
      <c r="I236" s="4" t="s">
        <v>68</v>
      </c>
      <c r="J236" s="4" t="s">
        <v>1618</v>
      </c>
      <c r="K236" s="4" t="s">
        <v>1619</v>
      </c>
      <c r="L236" s="4">
        <v>175</v>
      </c>
      <c r="M236" s="4">
        <v>175</v>
      </c>
      <c r="N236" s="4">
        <v>175</v>
      </c>
      <c r="O236" s="4">
        <v>175</v>
      </c>
      <c r="P236" s="4" t="s">
        <v>1710</v>
      </c>
      <c r="Q236" s="4"/>
      <c r="R236" s="4" t="s">
        <v>1701</v>
      </c>
      <c r="S236" s="4"/>
      <c r="T236" s="4" t="s">
        <v>1702</v>
      </c>
      <c r="U236" s="5">
        <v>41108</v>
      </c>
      <c r="V236" s="4">
        <v>18</v>
      </c>
      <c r="W236" s="4">
        <v>7</v>
      </c>
      <c r="X236" s="4">
        <v>2012</v>
      </c>
      <c r="Y236" s="4" t="s">
        <v>1711</v>
      </c>
      <c r="Z236" s="4" t="s">
        <v>72</v>
      </c>
      <c r="AA236" s="4">
        <v>43.971919999999997</v>
      </c>
      <c r="AB236" s="4">
        <v>-72.084630000000004</v>
      </c>
      <c r="AC236" s="4"/>
      <c r="AD236" s="4" t="s">
        <v>73</v>
      </c>
      <c r="AE236" s="4" t="s">
        <v>74</v>
      </c>
      <c r="AF236" s="4"/>
      <c r="AG236" s="4"/>
      <c r="AH236" s="4"/>
      <c r="AI236" s="4"/>
      <c r="AJ236" s="4"/>
      <c r="AK236" s="4"/>
      <c r="AL236" s="4"/>
      <c r="AM236" s="4"/>
      <c r="AN236" s="4"/>
      <c r="AO236" s="4" t="s">
        <v>186</v>
      </c>
      <c r="AP236" s="20" t="str">
        <f t="shared" si="24"/>
        <v>14.5</v>
      </c>
      <c r="AQ236" s="4"/>
      <c r="AR236" s="4"/>
      <c r="AS236" s="4"/>
      <c r="AT236" s="4"/>
      <c r="AU236" s="4" t="s">
        <v>141</v>
      </c>
      <c r="AV236" s="20" t="str">
        <f t="shared" si="25"/>
        <v>18.5</v>
      </c>
      <c r="AW236" s="4"/>
      <c r="AX236" s="4"/>
      <c r="AY236" s="4"/>
      <c r="AZ236" s="4"/>
      <c r="BA236" s="4"/>
      <c r="BB236" s="4"/>
      <c r="BC236" s="4"/>
      <c r="BD236" s="4" t="s">
        <v>1712</v>
      </c>
      <c r="BF236" s="4"/>
      <c r="BG236" s="4"/>
      <c r="BH236" s="4" t="s">
        <v>83</v>
      </c>
      <c r="BI236" s="4"/>
      <c r="BJ236" s="4"/>
      <c r="BK236" s="4"/>
      <c r="BL236" s="4" t="s">
        <v>189</v>
      </c>
      <c r="BM236" s="20" t="str">
        <f t="shared" si="27"/>
        <v>82</v>
      </c>
      <c r="BN236" s="4" t="s">
        <v>324</v>
      </c>
      <c r="BO236" s="20" t="str">
        <f t="shared" si="28"/>
        <v>168</v>
      </c>
      <c r="BP236" s="4"/>
      <c r="BQ236" s="4" t="s">
        <v>315</v>
      </c>
      <c r="BR236" s="20" t="str">
        <f t="shared" si="26"/>
        <v>14.75</v>
      </c>
      <c r="BS236" s="21">
        <f t="shared" si="29"/>
        <v>86</v>
      </c>
    </row>
    <row r="237" spans="1:72" x14ac:dyDescent="0.2">
      <c r="A237" s="10" t="s">
        <v>63</v>
      </c>
      <c r="B237" s="10" t="s">
        <v>2264</v>
      </c>
      <c r="C237" s="10" t="s">
        <v>582</v>
      </c>
      <c r="D237" s="10" t="s">
        <v>64</v>
      </c>
      <c r="E237" s="10" t="s">
        <v>65</v>
      </c>
      <c r="F237" s="10" t="s">
        <v>64</v>
      </c>
      <c r="G237" s="10" t="s">
        <v>211</v>
      </c>
      <c r="H237" s="10" t="s">
        <v>212</v>
      </c>
      <c r="I237" s="10" t="s">
        <v>383</v>
      </c>
      <c r="J237" s="10" t="s">
        <v>551</v>
      </c>
      <c r="K237" s="10"/>
      <c r="L237" s="10">
        <v>585</v>
      </c>
      <c r="M237" s="10">
        <v>585</v>
      </c>
      <c r="N237" s="10">
        <v>1918</v>
      </c>
      <c r="O237" s="10">
        <v>1918</v>
      </c>
      <c r="P237" s="10" t="s">
        <v>583</v>
      </c>
      <c r="Q237" s="10"/>
      <c r="R237" s="10" t="s">
        <v>553</v>
      </c>
      <c r="S237" s="10" t="s">
        <v>584</v>
      </c>
      <c r="T237" s="10" t="s">
        <v>585</v>
      </c>
      <c r="U237" s="11">
        <v>41416</v>
      </c>
      <c r="V237" s="10">
        <v>22</v>
      </c>
      <c r="W237" s="10">
        <v>5</v>
      </c>
      <c r="X237" s="10">
        <v>2013</v>
      </c>
      <c r="Y237" s="10">
        <f>-23.4251666667/-51.9696666667</f>
        <v>0.45074691005685963</v>
      </c>
      <c r="Z237" s="10" t="s">
        <v>72</v>
      </c>
      <c r="AA237" s="10">
        <v>-23.425166666700001</v>
      </c>
      <c r="AB237" s="10">
        <v>-51.9696666667</v>
      </c>
      <c r="AC237" s="10"/>
      <c r="AD237" s="10" t="s">
        <v>73</v>
      </c>
      <c r="AE237" s="10" t="s">
        <v>74</v>
      </c>
      <c r="AF237" s="10"/>
      <c r="AG237" s="10"/>
      <c r="AH237" s="10"/>
      <c r="AI237" s="10"/>
      <c r="AJ237" s="10"/>
      <c r="AK237" s="10"/>
      <c r="AL237" s="10"/>
      <c r="AM237" s="10"/>
      <c r="AN237" s="10"/>
      <c r="AO237" s="10" t="s">
        <v>76</v>
      </c>
      <c r="AP237" s="20" t="str">
        <f t="shared" si="24"/>
        <v>13</v>
      </c>
      <c r="AQ237" s="10"/>
      <c r="AR237" s="10"/>
      <c r="AS237" s="10"/>
      <c r="AT237" s="10"/>
      <c r="AU237" s="10" t="s">
        <v>121</v>
      </c>
      <c r="AV237" s="20" t="str">
        <f t="shared" si="25"/>
        <v>18</v>
      </c>
      <c r="AW237" s="10"/>
      <c r="AX237" s="10"/>
      <c r="AY237" s="10"/>
      <c r="AZ237" s="10"/>
      <c r="BA237" s="10"/>
      <c r="BB237" s="10"/>
      <c r="BC237" s="10"/>
      <c r="BD237" s="10" t="s">
        <v>560</v>
      </c>
      <c r="BF237" s="10"/>
      <c r="BG237" s="10"/>
      <c r="BH237" s="10" t="s">
        <v>83</v>
      </c>
      <c r="BI237" s="10"/>
      <c r="BJ237" s="10"/>
      <c r="BK237" s="10"/>
      <c r="BL237" s="10" t="s">
        <v>147</v>
      </c>
      <c r="BM237" s="20" t="str">
        <f t="shared" si="27"/>
        <v>84</v>
      </c>
      <c r="BN237" s="10" t="s">
        <v>154</v>
      </c>
      <c r="BO237" s="20" t="str">
        <f t="shared" si="28"/>
        <v>170</v>
      </c>
      <c r="BP237" s="10"/>
      <c r="BQ237" s="10" t="s">
        <v>315</v>
      </c>
      <c r="BR237" s="20" t="str">
        <f t="shared" si="26"/>
        <v>14.75</v>
      </c>
      <c r="BS237" s="21">
        <f t="shared" si="29"/>
        <v>86</v>
      </c>
    </row>
    <row r="238" spans="1:72" x14ac:dyDescent="0.2">
      <c r="A238" s="17" t="s">
        <v>63</v>
      </c>
      <c r="B238" s="17" t="s">
        <v>2342</v>
      </c>
      <c r="C238" s="17" t="s">
        <v>979</v>
      </c>
      <c r="D238" s="17" t="s">
        <v>64</v>
      </c>
      <c r="E238" s="17" t="s">
        <v>65</v>
      </c>
      <c r="F238" s="17" t="s">
        <v>64</v>
      </c>
      <c r="G238" s="17" t="s">
        <v>615</v>
      </c>
      <c r="H238" s="17" t="s">
        <v>67</v>
      </c>
      <c r="I238" s="17" t="s">
        <v>68</v>
      </c>
      <c r="J238" s="17" t="s">
        <v>69</v>
      </c>
      <c r="K238" s="17" t="s">
        <v>70</v>
      </c>
      <c r="L238" s="17">
        <v>690</v>
      </c>
      <c r="M238" s="17">
        <v>690</v>
      </c>
      <c r="N238" s="17">
        <v>2264</v>
      </c>
      <c r="O238" s="17">
        <v>2264</v>
      </c>
      <c r="P238" s="17" t="s">
        <v>980</v>
      </c>
      <c r="Q238" s="17"/>
      <c r="R238" s="17" t="s">
        <v>981</v>
      </c>
      <c r="S238" s="17" t="s">
        <v>982</v>
      </c>
      <c r="T238" s="17" t="s">
        <v>983</v>
      </c>
      <c r="U238" s="18">
        <v>41171</v>
      </c>
      <c r="V238" s="17">
        <v>19</v>
      </c>
      <c r="W238" s="17">
        <v>9</v>
      </c>
      <c r="X238" s="17">
        <v>2012</v>
      </c>
      <c r="Y238" s="17" t="s">
        <v>984</v>
      </c>
      <c r="Z238" s="17" t="s">
        <v>72</v>
      </c>
      <c r="AA238" s="17">
        <v>32.290550000000003</v>
      </c>
      <c r="AB238" s="17">
        <v>-111.02079999999999</v>
      </c>
      <c r="AC238" s="17"/>
      <c r="AD238" s="17" t="s">
        <v>73</v>
      </c>
      <c r="AE238" s="17" t="s">
        <v>74</v>
      </c>
      <c r="AF238" s="17"/>
      <c r="AG238" s="17"/>
      <c r="AH238" s="17"/>
      <c r="AI238" s="17" t="s">
        <v>75</v>
      </c>
      <c r="AJ238" s="17"/>
      <c r="AK238" s="17"/>
      <c r="AL238" s="17"/>
      <c r="AM238" s="17"/>
      <c r="AN238" s="17"/>
      <c r="AO238" s="17" t="s">
        <v>985</v>
      </c>
      <c r="AP238" s="20" t="str">
        <f t="shared" si="24"/>
        <v>14.4</v>
      </c>
      <c r="AQ238" s="17"/>
      <c r="AR238" s="17"/>
      <c r="AS238" s="17"/>
      <c r="AT238" s="17"/>
      <c r="AU238" s="17" t="s">
        <v>820</v>
      </c>
      <c r="AV238" s="20" t="str">
        <f t="shared" si="25"/>
        <v>18.4</v>
      </c>
      <c r="AW238" s="17"/>
      <c r="AX238" s="17"/>
      <c r="AY238" s="17"/>
      <c r="AZ238" s="17"/>
      <c r="BA238" s="17"/>
      <c r="BB238" s="17"/>
      <c r="BC238" s="17"/>
      <c r="BD238" s="17" t="s">
        <v>986</v>
      </c>
      <c r="BF238" s="17"/>
      <c r="BG238" s="17"/>
      <c r="BH238" s="17" t="s">
        <v>83</v>
      </c>
      <c r="BI238" s="17"/>
      <c r="BJ238" s="17"/>
      <c r="BK238" s="17"/>
      <c r="BL238" s="17" t="s">
        <v>313</v>
      </c>
      <c r="BM238" s="20" t="str">
        <f t="shared" si="27"/>
        <v>89</v>
      </c>
      <c r="BN238" s="17" t="s">
        <v>987</v>
      </c>
      <c r="BO238" s="20" t="str">
        <f t="shared" si="28"/>
        <v>175.1</v>
      </c>
      <c r="BP238" s="17"/>
      <c r="BQ238" s="17" t="s">
        <v>988</v>
      </c>
      <c r="BR238" s="20" t="str">
        <f t="shared" si="26"/>
        <v>14.4</v>
      </c>
      <c r="BS238" s="21">
        <f t="shared" si="29"/>
        <v>86.1</v>
      </c>
    </row>
    <row r="239" spans="1:72" x14ac:dyDescent="0.2">
      <c r="A239" t="s">
        <v>63</v>
      </c>
      <c r="B239" t="s">
        <v>2314</v>
      </c>
      <c r="C239" t="s">
        <v>816</v>
      </c>
      <c r="D239" t="s">
        <v>64</v>
      </c>
      <c r="E239" t="s">
        <v>65</v>
      </c>
      <c r="F239" t="s">
        <v>64</v>
      </c>
      <c r="G239" t="s">
        <v>615</v>
      </c>
      <c r="H239" t="s">
        <v>67</v>
      </c>
      <c r="I239" t="s">
        <v>788</v>
      </c>
      <c r="J239" t="s">
        <v>789</v>
      </c>
      <c r="K239" t="s">
        <v>803</v>
      </c>
      <c r="L239">
        <v>699</v>
      </c>
      <c r="M239">
        <v>699</v>
      </c>
      <c r="N239">
        <v>2294</v>
      </c>
      <c r="O239">
        <v>2294</v>
      </c>
      <c r="P239" t="s">
        <v>811</v>
      </c>
      <c r="R239" t="s">
        <v>812</v>
      </c>
      <c r="S239" t="s">
        <v>813</v>
      </c>
      <c r="T239" t="s">
        <v>814</v>
      </c>
      <c r="U239" s="2">
        <v>41109</v>
      </c>
      <c r="V239">
        <v>19</v>
      </c>
      <c r="W239">
        <v>7</v>
      </c>
      <c r="X239">
        <v>2012</v>
      </c>
      <c r="Y239" t="s">
        <v>815</v>
      </c>
      <c r="Z239" t="s">
        <v>72</v>
      </c>
      <c r="AA239">
        <v>53.379816666700002</v>
      </c>
      <c r="AB239">
        <v>-113.5273666667</v>
      </c>
      <c r="AD239" t="s">
        <v>73</v>
      </c>
      <c r="AE239" t="s">
        <v>74</v>
      </c>
      <c r="AI239" t="s">
        <v>75</v>
      </c>
      <c r="AO239" t="s">
        <v>790</v>
      </c>
      <c r="AP239" s="20" t="str">
        <f t="shared" si="24"/>
        <v>13.6</v>
      </c>
      <c r="AU239" t="s">
        <v>644</v>
      </c>
      <c r="AV239" s="20" t="str">
        <f t="shared" si="25"/>
        <v>20.5</v>
      </c>
      <c r="BD239" t="s">
        <v>258</v>
      </c>
      <c r="BH239" t="s">
        <v>78</v>
      </c>
      <c r="BL239" t="s">
        <v>147</v>
      </c>
      <c r="BM239" s="20" t="str">
        <f t="shared" si="27"/>
        <v>84</v>
      </c>
      <c r="BN239" t="s">
        <v>817</v>
      </c>
      <c r="BO239" s="20" t="str">
        <f t="shared" si="28"/>
        <v>170.5</v>
      </c>
      <c r="BQ239" t="s">
        <v>818</v>
      </c>
      <c r="BR239" s="20" t="str">
        <f t="shared" si="26"/>
        <v>13.6</v>
      </c>
      <c r="BS239" s="21">
        <f t="shared" si="29"/>
        <v>86.5</v>
      </c>
      <c r="BT239" s="13"/>
    </row>
    <row r="240" spans="1:72" x14ac:dyDescent="0.2">
      <c r="A240" s="13" t="s">
        <v>63</v>
      </c>
      <c r="B240" s="13"/>
      <c r="C240" s="13" t="s">
        <v>1885</v>
      </c>
      <c r="D240" s="13" t="s">
        <v>64</v>
      </c>
      <c r="E240" s="13" t="s">
        <v>65</v>
      </c>
      <c r="F240" s="13" t="s">
        <v>64</v>
      </c>
      <c r="G240" s="13" t="s">
        <v>1886</v>
      </c>
      <c r="H240" s="13" t="s">
        <v>212</v>
      </c>
      <c r="I240" s="13" t="s">
        <v>1887</v>
      </c>
      <c r="J240" s="13" t="s">
        <v>1888</v>
      </c>
      <c r="K240" s="13"/>
      <c r="L240" s="13">
        <v>3388</v>
      </c>
      <c r="M240" s="13">
        <v>3388</v>
      </c>
      <c r="N240" s="13">
        <v>3388</v>
      </c>
      <c r="O240" s="13">
        <v>3388</v>
      </c>
      <c r="P240" s="13" t="s">
        <v>1889</v>
      </c>
      <c r="Q240" s="13"/>
      <c r="R240" s="13" t="s">
        <v>1890</v>
      </c>
      <c r="S240" s="13"/>
      <c r="T240" s="13" t="s">
        <v>1891</v>
      </c>
      <c r="U240" s="14">
        <v>41861</v>
      </c>
      <c r="V240" s="13">
        <v>10</v>
      </c>
      <c r="W240" s="13">
        <v>8</v>
      </c>
      <c r="X240" s="13">
        <v>2014</v>
      </c>
      <c r="Y240" s="13">
        <f>-16.53905/68.071</f>
        <v>-0.24296763673223545</v>
      </c>
      <c r="Z240" s="13" t="s">
        <v>72</v>
      </c>
      <c r="AA240" s="13">
        <v>-16.53905</v>
      </c>
      <c r="AB240" s="13">
        <v>-68.070999999999998</v>
      </c>
      <c r="AC240" s="13">
        <v>100</v>
      </c>
      <c r="AD240" s="13" t="s">
        <v>73</v>
      </c>
      <c r="AE240" s="13" t="s">
        <v>74</v>
      </c>
      <c r="AF240" s="13"/>
      <c r="AG240" s="13"/>
      <c r="AH240" s="13"/>
      <c r="AI240" s="13" t="s">
        <v>75</v>
      </c>
      <c r="AJ240" s="13"/>
      <c r="AK240" s="13"/>
      <c r="AL240" s="13"/>
      <c r="AM240" s="13"/>
      <c r="AN240" s="13"/>
      <c r="AO240" s="13" t="s">
        <v>186</v>
      </c>
      <c r="AP240" s="20" t="str">
        <f t="shared" si="24"/>
        <v>14.5</v>
      </c>
      <c r="AQ240" s="13"/>
      <c r="AR240" s="13"/>
      <c r="AS240" s="13"/>
      <c r="AT240" s="13"/>
      <c r="AU240" s="13" t="s">
        <v>675</v>
      </c>
      <c r="AV240" s="20" t="str">
        <f t="shared" si="25"/>
        <v>19.4</v>
      </c>
      <c r="AW240" s="13"/>
      <c r="AX240" s="13"/>
      <c r="AY240" s="13"/>
      <c r="AZ240" s="13"/>
      <c r="BA240" s="13"/>
      <c r="BB240" s="13"/>
      <c r="BC240" s="13"/>
      <c r="BD240" s="13"/>
      <c r="BF240" s="13"/>
      <c r="BG240" s="13"/>
      <c r="BH240" s="13" t="s">
        <v>78</v>
      </c>
      <c r="BI240" s="13"/>
      <c r="BJ240" s="13"/>
      <c r="BK240" s="13"/>
      <c r="BL240" s="13" t="s">
        <v>659</v>
      </c>
      <c r="BM240" s="20" t="str">
        <f t="shared" si="27"/>
        <v>89.5</v>
      </c>
      <c r="BN240" s="13" t="s">
        <v>268</v>
      </c>
      <c r="BO240" s="20" t="str">
        <f t="shared" si="28"/>
        <v>176</v>
      </c>
      <c r="BP240" s="13"/>
      <c r="BQ240" s="13" t="s">
        <v>195</v>
      </c>
      <c r="BR240" s="20" t="str">
        <f t="shared" si="26"/>
        <v>17</v>
      </c>
      <c r="BS240" s="21">
        <f t="shared" si="29"/>
        <v>86.5</v>
      </c>
    </row>
    <row r="241" spans="1:72" x14ac:dyDescent="0.2">
      <c r="A241" t="s">
        <v>63</v>
      </c>
      <c r="B241" t="s">
        <v>2320</v>
      </c>
      <c r="C241" t="s">
        <v>865</v>
      </c>
      <c r="D241" t="s">
        <v>64</v>
      </c>
      <c r="E241" t="s">
        <v>65</v>
      </c>
      <c r="F241" t="s">
        <v>64</v>
      </c>
      <c r="G241" t="s">
        <v>615</v>
      </c>
      <c r="H241" t="s">
        <v>67</v>
      </c>
      <c r="I241" t="s">
        <v>788</v>
      </c>
      <c r="J241" t="s">
        <v>789</v>
      </c>
      <c r="K241" t="s">
        <v>822</v>
      </c>
      <c r="L241">
        <v>708</v>
      </c>
      <c r="M241">
        <v>708</v>
      </c>
      <c r="N241">
        <v>2323</v>
      </c>
      <c r="O241">
        <v>2323</v>
      </c>
      <c r="P241" t="s">
        <v>850</v>
      </c>
      <c r="R241" t="s">
        <v>851</v>
      </c>
      <c r="S241" t="s">
        <v>852</v>
      </c>
      <c r="T241" t="s">
        <v>853</v>
      </c>
      <c r="U241" s="2">
        <v>41123</v>
      </c>
      <c r="V241">
        <v>2</v>
      </c>
      <c r="W241">
        <v>8</v>
      </c>
      <c r="X241">
        <v>2012</v>
      </c>
      <c r="Y241" t="s">
        <v>854</v>
      </c>
      <c r="Z241" t="s">
        <v>72</v>
      </c>
      <c r="AA241">
        <v>53.399516666700002</v>
      </c>
      <c r="AB241">
        <v>-113.95965</v>
      </c>
      <c r="AD241" t="s">
        <v>73</v>
      </c>
      <c r="AE241" t="s">
        <v>74</v>
      </c>
      <c r="AI241" t="s">
        <v>75</v>
      </c>
      <c r="AO241" t="s">
        <v>87</v>
      </c>
      <c r="AP241" s="20" t="str">
        <f t="shared" si="24"/>
        <v>14</v>
      </c>
      <c r="AU241" t="s">
        <v>630</v>
      </c>
      <c r="AV241" s="20" t="str">
        <f t="shared" si="25"/>
        <v>19.5</v>
      </c>
      <c r="BH241" t="s">
        <v>78</v>
      </c>
      <c r="BL241" t="s">
        <v>153</v>
      </c>
      <c r="BM241" s="20" t="str">
        <f t="shared" si="27"/>
        <v>81</v>
      </c>
      <c r="BN241" t="s">
        <v>866</v>
      </c>
      <c r="BO241" s="20" t="str">
        <f t="shared" si="28"/>
        <v>167.5</v>
      </c>
      <c r="BQ241" t="s">
        <v>867</v>
      </c>
      <c r="BR241" s="20" t="str">
        <f t="shared" si="26"/>
        <v>15.8</v>
      </c>
      <c r="BS241" s="21">
        <f t="shared" si="29"/>
        <v>86.5</v>
      </c>
    </row>
    <row r="242" spans="1:72" x14ac:dyDescent="0.2">
      <c r="A242" s="13" t="s">
        <v>63</v>
      </c>
      <c r="B242" s="13"/>
      <c r="C242" s="13" t="s">
        <v>2041</v>
      </c>
      <c r="D242" s="13" t="s">
        <v>64</v>
      </c>
      <c r="E242" s="13" t="s">
        <v>65</v>
      </c>
      <c r="F242" s="13" t="s">
        <v>64</v>
      </c>
      <c r="G242" s="13" t="s">
        <v>1886</v>
      </c>
      <c r="H242" s="13" t="s">
        <v>212</v>
      </c>
      <c r="I242" s="13" t="s">
        <v>1887</v>
      </c>
      <c r="J242" s="13" t="s">
        <v>1888</v>
      </c>
      <c r="K242" s="13"/>
      <c r="L242" s="13">
        <v>3855</v>
      </c>
      <c r="M242" s="13">
        <v>3855</v>
      </c>
      <c r="N242" s="13">
        <v>3855</v>
      </c>
      <c r="O242" s="13">
        <v>3855</v>
      </c>
      <c r="P242" s="13" t="s">
        <v>2042</v>
      </c>
      <c r="Q242" s="13"/>
      <c r="R242" s="13" t="s">
        <v>2043</v>
      </c>
      <c r="S242" s="13"/>
      <c r="T242" s="13" t="s">
        <v>2044</v>
      </c>
      <c r="U242" s="15">
        <v>41886</v>
      </c>
      <c r="V242" s="13">
        <v>4</v>
      </c>
      <c r="W242" s="13">
        <v>9</v>
      </c>
      <c r="X242" s="13">
        <v>2014</v>
      </c>
      <c r="Y242" s="13">
        <f>-16.1716/-68.82835</f>
        <v>0.23495550888551014</v>
      </c>
      <c r="Z242" s="13" t="s">
        <v>72</v>
      </c>
      <c r="AA242" s="13">
        <v>-16.171600000000002</v>
      </c>
      <c r="AB242" s="13">
        <v>-68.82835</v>
      </c>
      <c r="AC242" s="13">
        <v>100</v>
      </c>
      <c r="AD242" s="13" t="s">
        <v>73</v>
      </c>
      <c r="AE242" s="13" t="s">
        <v>74</v>
      </c>
      <c r="AF242" s="13"/>
      <c r="AG242" s="13"/>
      <c r="AH242" s="13"/>
      <c r="AI242" s="13"/>
      <c r="AJ242" s="13"/>
      <c r="AK242" s="13"/>
      <c r="AL242" s="13"/>
      <c r="AM242" s="13"/>
      <c r="AN242" s="13"/>
      <c r="AO242" s="13" t="s">
        <v>643</v>
      </c>
      <c r="AP242" s="20" t="str">
        <f t="shared" si="24"/>
        <v>14.3</v>
      </c>
      <c r="AQ242" s="13"/>
      <c r="AR242" s="13"/>
      <c r="AS242" s="13"/>
      <c r="AT242" s="13"/>
      <c r="AU242" s="13" t="s">
        <v>121</v>
      </c>
      <c r="AV242" s="20" t="str">
        <f t="shared" si="25"/>
        <v>18</v>
      </c>
      <c r="AW242" s="13"/>
      <c r="AX242" s="13"/>
      <c r="AY242" s="13"/>
      <c r="AZ242" s="13"/>
      <c r="BA242" s="13"/>
      <c r="BB242" s="13"/>
      <c r="BC242" s="13"/>
      <c r="BD242" s="13" t="s">
        <v>2045</v>
      </c>
      <c r="BE242" s="20" t="s">
        <v>241</v>
      </c>
      <c r="BF242" s="13"/>
      <c r="BG242" s="13"/>
      <c r="BH242" s="13" t="s">
        <v>78</v>
      </c>
      <c r="BI242" s="13"/>
      <c r="BJ242" s="13"/>
      <c r="BK242" s="13"/>
      <c r="BL242" s="13" t="s">
        <v>79</v>
      </c>
      <c r="BM242" s="20" t="str">
        <f t="shared" si="27"/>
        <v>85</v>
      </c>
      <c r="BN242" s="13" t="s">
        <v>114</v>
      </c>
      <c r="BO242" s="20" t="str">
        <f t="shared" si="28"/>
        <v>172</v>
      </c>
      <c r="BP242" s="13"/>
      <c r="BQ242" s="13" t="s">
        <v>867</v>
      </c>
      <c r="BR242" s="20" t="str">
        <f t="shared" si="26"/>
        <v>15.8</v>
      </c>
      <c r="BS242" s="21">
        <f t="shared" si="29"/>
        <v>87</v>
      </c>
    </row>
    <row r="243" spans="1:72" x14ac:dyDescent="0.2">
      <c r="A243" s="10" t="s">
        <v>63</v>
      </c>
      <c r="B243" s="10" t="s">
        <v>2297</v>
      </c>
      <c r="C243" s="10" t="s">
        <v>428</v>
      </c>
      <c r="D243" s="10" t="s">
        <v>64</v>
      </c>
      <c r="E243" s="10" t="s">
        <v>65</v>
      </c>
      <c r="F243" s="10" t="s">
        <v>64</v>
      </c>
      <c r="G243" s="10" t="s">
        <v>211</v>
      </c>
      <c r="H243" s="10" t="s">
        <v>212</v>
      </c>
      <c r="I243" s="10" t="s">
        <v>383</v>
      </c>
      <c r="J243" s="10" t="s">
        <v>384</v>
      </c>
      <c r="K243" s="10"/>
      <c r="L243" s="10">
        <v>1229</v>
      </c>
      <c r="M243" s="10">
        <v>1229</v>
      </c>
      <c r="N243" s="10">
        <v>4032</v>
      </c>
      <c r="O243" s="10">
        <v>4032</v>
      </c>
      <c r="P243" s="10" t="s">
        <v>429</v>
      </c>
      <c r="Q243" s="10"/>
      <c r="R243" s="10" t="s">
        <v>386</v>
      </c>
      <c r="S243" s="10" t="s">
        <v>430</v>
      </c>
      <c r="T243" s="10" t="s">
        <v>431</v>
      </c>
      <c r="U243" s="11">
        <v>41541</v>
      </c>
      <c r="V243" s="10">
        <v>24</v>
      </c>
      <c r="W243" s="10">
        <v>9</v>
      </c>
      <c r="X243" s="10">
        <v>2013</v>
      </c>
      <c r="Y243" s="10" t="s">
        <v>432</v>
      </c>
      <c r="Z243" s="10" t="s">
        <v>72</v>
      </c>
      <c r="AA243" s="10">
        <v>-15.602499999999999</v>
      </c>
      <c r="AB243" s="10">
        <v>-47.968000000000004</v>
      </c>
      <c r="AC243" s="10"/>
      <c r="AD243" s="10" t="s">
        <v>73</v>
      </c>
      <c r="AE243" s="10" t="s">
        <v>74</v>
      </c>
      <c r="AF243" s="10"/>
      <c r="AG243" s="10"/>
      <c r="AH243" s="10"/>
      <c r="AI243" s="10"/>
      <c r="AJ243" s="10"/>
      <c r="AK243" s="10"/>
      <c r="AL243" s="10"/>
      <c r="AM243" s="10"/>
      <c r="AN243" s="10"/>
      <c r="AO243" s="10" t="s">
        <v>88</v>
      </c>
      <c r="AP243" s="20" t="str">
        <f t="shared" si="24"/>
        <v>15</v>
      </c>
      <c r="AQ243" s="10"/>
      <c r="AR243" s="10"/>
      <c r="AS243" s="10"/>
      <c r="AT243" s="10"/>
      <c r="AU243" s="10" t="s">
        <v>344</v>
      </c>
      <c r="AV243" s="20" t="str">
        <f t="shared" si="25"/>
        <v>16</v>
      </c>
      <c r="AW243" s="10"/>
      <c r="AX243" s="10"/>
      <c r="AY243" s="10"/>
      <c r="AZ243" s="10"/>
      <c r="BA243" s="10"/>
      <c r="BB243" s="10"/>
      <c r="BC243" s="10"/>
      <c r="BD243" s="10" t="s">
        <v>152</v>
      </c>
      <c r="BF243" s="10"/>
      <c r="BG243" s="10"/>
      <c r="BH243" s="10" t="s">
        <v>78</v>
      </c>
      <c r="BI243" s="10"/>
      <c r="BJ243" s="10"/>
      <c r="BK243" s="10"/>
      <c r="BL243" s="10" t="s">
        <v>433</v>
      </c>
      <c r="BM243" s="20" t="str">
        <f t="shared" si="27"/>
        <v>65</v>
      </c>
      <c r="BN243" s="10" t="s">
        <v>326</v>
      </c>
      <c r="BO243" s="20" t="str">
        <f t="shared" si="28"/>
        <v>152</v>
      </c>
      <c r="BP243" s="10"/>
      <c r="BQ243" s="10" t="s">
        <v>434</v>
      </c>
      <c r="BR243" s="20" t="str">
        <f t="shared" si="26"/>
        <v>10.5</v>
      </c>
      <c r="BS243" s="21">
        <f t="shared" si="29"/>
        <v>87</v>
      </c>
    </row>
    <row r="244" spans="1:72" x14ac:dyDescent="0.2">
      <c r="A244" s="10" t="s">
        <v>63</v>
      </c>
      <c r="B244" s="10" t="s">
        <v>2284</v>
      </c>
      <c r="C244" s="10" t="s">
        <v>501</v>
      </c>
      <c r="D244" s="10" t="s">
        <v>64</v>
      </c>
      <c r="E244" s="10" t="s">
        <v>65</v>
      </c>
      <c r="F244" s="10" t="s">
        <v>64</v>
      </c>
      <c r="G244" s="10" t="s">
        <v>211</v>
      </c>
      <c r="H244" s="10" t="s">
        <v>212</v>
      </c>
      <c r="I244" s="10" t="s">
        <v>383</v>
      </c>
      <c r="J244" s="10" t="s">
        <v>492</v>
      </c>
      <c r="K244" s="10"/>
      <c r="L244" s="10">
        <v>77</v>
      </c>
      <c r="M244" s="10">
        <v>77</v>
      </c>
      <c r="N244" s="10">
        <v>253</v>
      </c>
      <c r="O244" s="10">
        <v>253</v>
      </c>
      <c r="P244" s="10" t="s">
        <v>459</v>
      </c>
      <c r="Q244" s="10"/>
      <c r="R244" s="10" t="s">
        <v>494</v>
      </c>
      <c r="S244" s="10" t="s">
        <v>495</v>
      </c>
      <c r="T244" s="10" t="s">
        <v>502</v>
      </c>
      <c r="U244" s="11">
        <v>41534</v>
      </c>
      <c r="V244" s="10">
        <v>17</v>
      </c>
      <c r="W244" s="10">
        <v>9</v>
      </c>
      <c r="X244" s="10">
        <v>2013</v>
      </c>
      <c r="Y244" s="10">
        <f>-8.7586666667/-63.8371666667</f>
        <v>0.13720324889150928</v>
      </c>
      <c r="Z244" s="10" t="s">
        <v>72</v>
      </c>
      <c r="AA244" s="10">
        <v>-8.7645</v>
      </c>
      <c r="AB244" s="10">
        <v>-63.839722219999999</v>
      </c>
      <c r="AC244" s="10"/>
      <c r="AD244" s="10" t="s">
        <v>73</v>
      </c>
      <c r="AE244" s="10" t="s">
        <v>74</v>
      </c>
      <c r="AF244" s="10"/>
      <c r="AG244" s="10"/>
      <c r="AH244" s="10"/>
      <c r="AI244" s="10"/>
      <c r="AJ244" s="10"/>
      <c r="AK244" s="10"/>
      <c r="AL244" s="10"/>
      <c r="AM244" s="10"/>
      <c r="AN244" s="10"/>
      <c r="AO244" s="10" t="s">
        <v>344</v>
      </c>
      <c r="AP244" s="20" t="str">
        <f t="shared" si="24"/>
        <v>16</v>
      </c>
      <c r="AQ244" s="10"/>
      <c r="AR244" s="10"/>
      <c r="AS244" s="10"/>
      <c r="AT244" s="10"/>
      <c r="AU244" s="10" t="s">
        <v>82</v>
      </c>
      <c r="AV244" s="20" t="str">
        <f t="shared" si="25"/>
        <v>17</v>
      </c>
      <c r="AW244" s="10"/>
      <c r="AX244" s="10"/>
      <c r="AY244" s="10"/>
      <c r="AZ244" s="10"/>
      <c r="BA244" s="10"/>
      <c r="BB244" s="10"/>
      <c r="BC244" s="10"/>
      <c r="BD244" s="10" t="s">
        <v>152</v>
      </c>
      <c r="BF244" s="10"/>
      <c r="BG244" s="10"/>
      <c r="BH244" s="10" t="s">
        <v>78</v>
      </c>
      <c r="BI244" s="10"/>
      <c r="BJ244" s="10"/>
      <c r="BK244" s="10"/>
      <c r="BL244" s="10" t="s">
        <v>147</v>
      </c>
      <c r="BM244" s="20" t="str">
        <f t="shared" si="27"/>
        <v>84</v>
      </c>
      <c r="BN244" s="10" t="s">
        <v>302</v>
      </c>
      <c r="BO244" s="20" t="str">
        <f t="shared" si="28"/>
        <v>171</v>
      </c>
      <c r="BP244" s="10"/>
      <c r="BQ244" s="10" t="s">
        <v>206</v>
      </c>
      <c r="BR244" s="20" t="str">
        <f t="shared" si="26"/>
        <v>12.25</v>
      </c>
      <c r="BS244" s="21">
        <f t="shared" si="29"/>
        <v>87</v>
      </c>
    </row>
    <row r="245" spans="1:72" x14ac:dyDescent="0.2">
      <c r="A245" s="7" t="s">
        <v>63</v>
      </c>
      <c r="B245" s="7" t="s">
        <v>2183</v>
      </c>
      <c r="C245" s="7" t="s">
        <v>155</v>
      </c>
      <c r="D245" s="7" t="s">
        <v>64</v>
      </c>
      <c r="E245" s="7" t="s">
        <v>65</v>
      </c>
      <c r="F245" s="7" t="s">
        <v>64</v>
      </c>
      <c r="G245" s="7" t="s">
        <v>134</v>
      </c>
      <c r="H245" s="7" t="s">
        <v>67</v>
      </c>
      <c r="I245" s="7" t="s">
        <v>68</v>
      </c>
      <c r="J245" s="7" t="s">
        <v>69</v>
      </c>
      <c r="K245" s="7" t="s">
        <v>70</v>
      </c>
      <c r="L245" s="7">
        <v>642</v>
      </c>
      <c r="M245" s="7">
        <v>642</v>
      </c>
      <c r="N245" s="7">
        <v>642</v>
      </c>
      <c r="O245" s="7">
        <v>642</v>
      </c>
      <c r="P245" s="7" t="s">
        <v>156</v>
      </c>
      <c r="Q245" s="7"/>
      <c r="R245" s="7" t="s">
        <v>157</v>
      </c>
      <c r="S245" s="7"/>
      <c r="T245" s="7" t="s">
        <v>158</v>
      </c>
      <c r="U245" s="8">
        <v>41128</v>
      </c>
      <c r="V245" s="7">
        <v>7</v>
      </c>
      <c r="W245" s="7">
        <v>8</v>
      </c>
      <c r="X245" s="7">
        <v>2012</v>
      </c>
      <c r="Y245" s="7" t="s">
        <v>159</v>
      </c>
      <c r="Z245" s="7" t="s">
        <v>72</v>
      </c>
      <c r="AA245" s="7">
        <v>32.292149999999999</v>
      </c>
      <c r="AB245" s="7">
        <v>-111.02631100000001</v>
      </c>
      <c r="AC245" s="7"/>
      <c r="AD245" s="7" t="s">
        <v>96</v>
      </c>
      <c r="AE245" s="7" t="s">
        <v>74</v>
      </c>
      <c r="AF245" s="7"/>
      <c r="AG245" s="7"/>
      <c r="AH245" s="7"/>
      <c r="AI245" s="7"/>
      <c r="AJ245" s="7"/>
      <c r="AK245" s="7"/>
      <c r="AL245" s="7"/>
      <c r="AM245" s="7"/>
      <c r="AN245" s="7"/>
      <c r="AO245" s="7" t="s">
        <v>87</v>
      </c>
      <c r="AP245" s="20" t="str">
        <f t="shared" si="24"/>
        <v>14</v>
      </c>
      <c r="AQ245" s="7"/>
      <c r="AR245" s="7"/>
      <c r="AS245" s="7"/>
      <c r="AT245" s="7"/>
      <c r="AU245" s="7" t="s">
        <v>141</v>
      </c>
      <c r="AV245" s="20" t="str">
        <f t="shared" si="25"/>
        <v>18.5</v>
      </c>
      <c r="AW245" s="7"/>
      <c r="AX245" s="7"/>
      <c r="AY245" s="7"/>
      <c r="AZ245" s="7"/>
      <c r="BA245" s="7"/>
      <c r="BB245" s="7"/>
      <c r="BC245" s="7"/>
      <c r="BD245" s="7" t="s">
        <v>152</v>
      </c>
      <c r="BF245" s="7"/>
      <c r="BG245" s="7"/>
      <c r="BH245" s="7" t="s">
        <v>78</v>
      </c>
      <c r="BI245" s="7"/>
      <c r="BJ245" s="7"/>
      <c r="BK245" s="7"/>
      <c r="BL245" s="7" t="s">
        <v>160</v>
      </c>
      <c r="BM245" s="20" t="str">
        <f t="shared" si="27"/>
        <v>86</v>
      </c>
      <c r="BN245" s="7" t="s">
        <v>161</v>
      </c>
      <c r="BO245" s="20" t="str">
        <f t="shared" si="28"/>
        <v>173</v>
      </c>
      <c r="BP245" s="7"/>
      <c r="BQ245" s="7" t="s">
        <v>115</v>
      </c>
      <c r="BR245" s="20" t="str">
        <f t="shared" si="26"/>
        <v>17.25</v>
      </c>
      <c r="BS245" s="21">
        <f t="shared" si="29"/>
        <v>87</v>
      </c>
    </row>
    <row r="246" spans="1:72" x14ac:dyDescent="0.2">
      <c r="A246" s="10" t="s">
        <v>63</v>
      </c>
      <c r="B246" s="10" t="s">
        <v>2245</v>
      </c>
      <c r="C246" s="10" t="s">
        <v>368</v>
      </c>
      <c r="D246" s="10" t="s">
        <v>64</v>
      </c>
      <c r="E246" s="10" t="s">
        <v>65</v>
      </c>
      <c r="F246" s="10" t="s">
        <v>64</v>
      </c>
      <c r="G246" s="10" t="s">
        <v>211</v>
      </c>
      <c r="H246" s="10" t="s">
        <v>212</v>
      </c>
      <c r="I246" s="10" t="s">
        <v>213</v>
      </c>
      <c r="J246" s="10" t="s">
        <v>354</v>
      </c>
      <c r="K246" s="10"/>
      <c r="L246" s="10">
        <v>26</v>
      </c>
      <c r="M246" s="10">
        <v>26</v>
      </c>
      <c r="N246" s="10">
        <v>85</v>
      </c>
      <c r="O246" s="10">
        <v>85</v>
      </c>
      <c r="P246" s="10" t="s">
        <v>369</v>
      </c>
      <c r="Q246" s="10"/>
      <c r="R246" s="10" t="s">
        <v>370</v>
      </c>
      <c r="S246" s="10" t="s">
        <v>371</v>
      </c>
      <c r="T246" s="10" t="s">
        <v>372</v>
      </c>
      <c r="U246" s="11">
        <v>41330</v>
      </c>
      <c r="V246" s="10">
        <v>25</v>
      </c>
      <c r="W246" s="10">
        <v>2</v>
      </c>
      <c r="X246" s="10">
        <v>2013</v>
      </c>
      <c r="Y246" s="10">
        <f>-54.7972333333/-68.2292666667</f>
        <v>0.80313384578768099</v>
      </c>
      <c r="Z246" s="10" t="s">
        <v>72</v>
      </c>
      <c r="AA246" s="10">
        <v>-54.797233333299999</v>
      </c>
      <c r="AB246" s="10">
        <v>-68.229266666699999</v>
      </c>
      <c r="AC246" s="10"/>
      <c r="AD246" s="10" t="s">
        <v>73</v>
      </c>
      <c r="AE246" s="10" t="s">
        <v>74</v>
      </c>
      <c r="AF246" s="10"/>
      <c r="AG246" s="10"/>
      <c r="AH246" s="10"/>
      <c r="AI246" s="10"/>
      <c r="AJ246" s="10"/>
      <c r="AK246" s="10"/>
      <c r="AL246" s="10"/>
      <c r="AM246" s="10"/>
      <c r="AN246" s="10"/>
      <c r="AO246" s="10" t="s">
        <v>87</v>
      </c>
      <c r="AP246" s="20" t="str">
        <f t="shared" si="24"/>
        <v>14</v>
      </c>
      <c r="AQ246" s="10"/>
      <c r="AR246" s="10"/>
      <c r="AS246" s="10"/>
      <c r="AT246" s="10"/>
      <c r="AU246" s="10" t="s">
        <v>130</v>
      </c>
      <c r="AV246" s="20" t="str">
        <f t="shared" si="25"/>
        <v>19</v>
      </c>
      <c r="AW246" s="10"/>
      <c r="AX246" s="10"/>
      <c r="AY246" s="10"/>
      <c r="AZ246" s="10"/>
      <c r="BA246" s="10"/>
      <c r="BB246" s="10"/>
      <c r="BC246" s="10"/>
      <c r="BD246" s="10" t="s">
        <v>373</v>
      </c>
      <c r="BE246" s="20" t="s">
        <v>241</v>
      </c>
      <c r="BF246" s="10"/>
      <c r="BG246" s="10"/>
      <c r="BH246" s="10" t="s">
        <v>78</v>
      </c>
      <c r="BI246" s="10"/>
      <c r="BJ246" s="10"/>
      <c r="BK246" s="10"/>
      <c r="BL246" s="10" t="s">
        <v>208</v>
      </c>
      <c r="BM246" s="20" t="str">
        <f t="shared" si="27"/>
        <v>80</v>
      </c>
      <c r="BN246" s="10" t="s">
        <v>80</v>
      </c>
      <c r="BO246" s="20" t="str">
        <f t="shared" si="28"/>
        <v>167</v>
      </c>
      <c r="BP246" s="10"/>
      <c r="BQ246" s="10" t="s">
        <v>199</v>
      </c>
      <c r="BR246" s="20" t="str">
        <f t="shared" si="26"/>
        <v>13</v>
      </c>
      <c r="BS246" s="21">
        <f t="shared" si="29"/>
        <v>87</v>
      </c>
    </row>
    <row r="247" spans="1:72" x14ac:dyDescent="0.2">
      <c r="A247" t="s">
        <v>63</v>
      </c>
      <c r="C247" t="s">
        <v>1083</v>
      </c>
      <c r="D247" t="s">
        <v>64</v>
      </c>
      <c r="E247" t="s">
        <v>65</v>
      </c>
      <c r="F247" t="s">
        <v>64</v>
      </c>
      <c r="G247" t="s">
        <v>615</v>
      </c>
      <c r="H247" t="s">
        <v>67</v>
      </c>
      <c r="I247" t="s">
        <v>68</v>
      </c>
      <c r="J247" t="s">
        <v>1053</v>
      </c>
      <c r="K247" t="s">
        <v>1070</v>
      </c>
      <c r="L247">
        <v>886</v>
      </c>
      <c r="M247">
        <v>886</v>
      </c>
      <c r="N247">
        <v>2906</v>
      </c>
      <c r="O247">
        <v>2906</v>
      </c>
      <c r="P247" t="s">
        <v>1071</v>
      </c>
      <c r="R247" t="s">
        <v>1079</v>
      </c>
      <c r="S247" t="s">
        <v>924</v>
      </c>
      <c r="T247" t="s">
        <v>1080</v>
      </c>
      <c r="U247" s="2">
        <v>41092</v>
      </c>
      <c r="V247">
        <v>2</v>
      </c>
      <c r="W247">
        <v>7</v>
      </c>
      <c r="X247">
        <v>2012</v>
      </c>
      <c r="Y247" t="s">
        <v>1081</v>
      </c>
      <c r="Z247" t="s">
        <v>72</v>
      </c>
      <c r="AA247">
        <v>46.971400000000003</v>
      </c>
      <c r="AB247">
        <v>-114.1268833333</v>
      </c>
      <c r="AD247" t="s">
        <v>73</v>
      </c>
      <c r="AE247" t="s">
        <v>74</v>
      </c>
      <c r="AI247" t="s">
        <v>75</v>
      </c>
      <c r="AO247" t="s">
        <v>634</v>
      </c>
      <c r="AP247" s="20" t="str">
        <f t="shared" si="24"/>
        <v>15.2</v>
      </c>
      <c r="AU247" t="s">
        <v>1084</v>
      </c>
      <c r="AV247" s="20" t="str">
        <f t="shared" si="25"/>
        <v>19.2</v>
      </c>
      <c r="BD247" t="s">
        <v>1085</v>
      </c>
      <c r="BE247" s="20" t="s">
        <v>241</v>
      </c>
      <c r="BH247" t="s">
        <v>78</v>
      </c>
      <c r="BL247" t="s">
        <v>79</v>
      </c>
      <c r="BM247" s="20" t="str">
        <f t="shared" si="27"/>
        <v>85</v>
      </c>
      <c r="BN247" t="s">
        <v>114</v>
      </c>
      <c r="BO247" s="20" t="str">
        <f t="shared" si="28"/>
        <v>172</v>
      </c>
      <c r="BQ247" t="s">
        <v>1086</v>
      </c>
      <c r="BR247" s="20" t="str">
        <f t="shared" si="26"/>
        <v>15.6</v>
      </c>
      <c r="BS247" s="21">
        <f t="shared" si="29"/>
        <v>87</v>
      </c>
    </row>
    <row r="248" spans="1:72" x14ac:dyDescent="0.2">
      <c r="A248" t="s">
        <v>63</v>
      </c>
      <c r="B248" t="s">
        <v>2319</v>
      </c>
      <c r="C248" t="s">
        <v>861</v>
      </c>
      <c r="D248" t="s">
        <v>64</v>
      </c>
      <c r="E248" t="s">
        <v>65</v>
      </c>
      <c r="F248" t="s">
        <v>64</v>
      </c>
      <c r="G248" t="s">
        <v>615</v>
      </c>
      <c r="H248" t="s">
        <v>67</v>
      </c>
      <c r="I248" t="s">
        <v>788</v>
      </c>
      <c r="J248" t="s">
        <v>789</v>
      </c>
      <c r="K248" t="s">
        <v>822</v>
      </c>
      <c r="L248">
        <v>708</v>
      </c>
      <c r="M248">
        <v>708</v>
      </c>
      <c r="N248">
        <v>2323</v>
      </c>
      <c r="O248">
        <v>2323</v>
      </c>
      <c r="P248" t="s">
        <v>850</v>
      </c>
      <c r="R248" t="s">
        <v>851</v>
      </c>
      <c r="S248" t="s">
        <v>852</v>
      </c>
      <c r="T248" t="s">
        <v>853</v>
      </c>
      <c r="U248" s="2">
        <v>41124</v>
      </c>
      <c r="V248">
        <v>3</v>
      </c>
      <c r="W248">
        <v>8</v>
      </c>
      <c r="X248">
        <v>2012</v>
      </c>
      <c r="Y248" t="s">
        <v>854</v>
      </c>
      <c r="Z248" t="s">
        <v>72</v>
      </c>
      <c r="AA248">
        <v>53.399516666700002</v>
      </c>
      <c r="AB248">
        <v>-113.95965</v>
      </c>
      <c r="AD248" t="s">
        <v>73</v>
      </c>
      <c r="AE248" t="s">
        <v>74</v>
      </c>
      <c r="AI248" t="s">
        <v>75</v>
      </c>
      <c r="AO248" t="s">
        <v>680</v>
      </c>
      <c r="AP248" s="20" t="str">
        <f t="shared" si="24"/>
        <v>14.8</v>
      </c>
      <c r="AU248" t="s">
        <v>140</v>
      </c>
      <c r="AV248" s="20" t="str">
        <f t="shared" si="25"/>
        <v>19.1</v>
      </c>
      <c r="BH248" t="s">
        <v>78</v>
      </c>
      <c r="BL248" t="s">
        <v>153</v>
      </c>
      <c r="BM248" s="20" t="str">
        <f t="shared" si="27"/>
        <v>81</v>
      </c>
      <c r="BN248" t="s">
        <v>324</v>
      </c>
      <c r="BO248" s="20" t="str">
        <f t="shared" si="28"/>
        <v>168</v>
      </c>
      <c r="BQ248" t="s">
        <v>195</v>
      </c>
      <c r="BR248" s="20" t="str">
        <f t="shared" si="26"/>
        <v>17</v>
      </c>
      <c r="BS248" s="21">
        <f t="shared" si="29"/>
        <v>87</v>
      </c>
    </row>
    <row r="249" spans="1:72" x14ac:dyDescent="0.2">
      <c r="A249" t="s">
        <v>63</v>
      </c>
      <c r="B249" t="s">
        <v>2311</v>
      </c>
      <c r="C249" t="s">
        <v>802</v>
      </c>
      <c r="D249" t="s">
        <v>64</v>
      </c>
      <c r="E249" t="s">
        <v>65</v>
      </c>
      <c r="F249" t="s">
        <v>64</v>
      </c>
      <c r="G249" t="s">
        <v>615</v>
      </c>
      <c r="H249" t="s">
        <v>67</v>
      </c>
      <c r="I249" t="s">
        <v>788</v>
      </c>
      <c r="J249" t="s">
        <v>789</v>
      </c>
      <c r="K249" t="s">
        <v>803</v>
      </c>
      <c r="L249">
        <v>732</v>
      </c>
      <c r="M249">
        <v>732</v>
      </c>
      <c r="N249">
        <v>2403</v>
      </c>
      <c r="O249">
        <v>2403</v>
      </c>
      <c r="P249" t="s">
        <v>804</v>
      </c>
      <c r="R249" t="s">
        <v>805</v>
      </c>
      <c r="T249" t="s">
        <v>806</v>
      </c>
      <c r="U249" s="2">
        <v>41109</v>
      </c>
      <c r="V249">
        <v>19</v>
      </c>
      <c r="W249">
        <v>7</v>
      </c>
      <c r="X249">
        <v>2012</v>
      </c>
      <c r="Y249" t="s">
        <v>807</v>
      </c>
      <c r="Z249" t="s">
        <v>72</v>
      </c>
      <c r="AA249">
        <v>53.424433333300001</v>
      </c>
      <c r="AB249">
        <v>-113.4043166667</v>
      </c>
      <c r="AD249" t="s">
        <v>73</v>
      </c>
      <c r="AE249" t="s">
        <v>74</v>
      </c>
      <c r="AI249" t="s">
        <v>75</v>
      </c>
      <c r="AO249" t="s">
        <v>141</v>
      </c>
      <c r="AP249" s="20" t="str">
        <f t="shared" si="24"/>
        <v>18.5</v>
      </c>
      <c r="AU249" t="s">
        <v>344</v>
      </c>
      <c r="AV249" s="20" t="str">
        <f t="shared" si="25"/>
        <v>16</v>
      </c>
      <c r="BH249" t="s">
        <v>78</v>
      </c>
      <c r="BL249" t="s">
        <v>289</v>
      </c>
      <c r="BM249" s="20" t="str">
        <f t="shared" si="27"/>
        <v>69</v>
      </c>
      <c r="BN249" t="s">
        <v>695</v>
      </c>
      <c r="BO249" s="20" t="str">
        <f t="shared" si="28"/>
        <v>156</v>
      </c>
      <c r="BQ249" t="s">
        <v>808</v>
      </c>
      <c r="BR249" s="20" t="str">
        <f t="shared" si="26"/>
        <v>21.0</v>
      </c>
      <c r="BS249" s="21">
        <f t="shared" si="29"/>
        <v>87</v>
      </c>
    </row>
    <row r="250" spans="1:72" x14ac:dyDescent="0.2">
      <c r="A250" s="4" t="s">
        <v>63</v>
      </c>
      <c r="B250" s="4" t="s">
        <v>2158</v>
      </c>
      <c r="C250" s="4" t="s">
        <v>1668</v>
      </c>
      <c r="D250" s="4" t="s">
        <v>64</v>
      </c>
      <c r="E250" s="4" t="s">
        <v>65</v>
      </c>
      <c r="F250" s="4" t="s">
        <v>64</v>
      </c>
      <c r="G250" s="4" t="s">
        <v>134</v>
      </c>
      <c r="H250" s="4" t="s">
        <v>67</v>
      </c>
      <c r="I250" s="4" t="s">
        <v>68</v>
      </c>
      <c r="J250" s="4" t="s">
        <v>1651</v>
      </c>
      <c r="K250" s="4" t="s">
        <v>1669</v>
      </c>
      <c r="L250" s="4">
        <v>115</v>
      </c>
      <c r="M250" s="4">
        <v>115</v>
      </c>
      <c r="N250" s="4">
        <v>115</v>
      </c>
      <c r="O250" s="4">
        <v>115</v>
      </c>
      <c r="P250" s="4" t="s">
        <v>1670</v>
      </c>
      <c r="Q250" s="4"/>
      <c r="R250" s="4" t="s">
        <v>1671</v>
      </c>
      <c r="S250" s="4"/>
      <c r="T250" s="4" t="s">
        <v>1672</v>
      </c>
      <c r="U250" s="5">
        <v>41120</v>
      </c>
      <c r="V250" s="4">
        <v>30</v>
      </c>
      <c r="W250" s="4">
        <v>7</v>
      </c>
      <c r="X250" s="4">
        <v>2012</v>
      </c>
      <c r="Y250" s="4" t="s">
        <v>1673</v>
      </c>
      <c r="Z250" s="4" t="s">
        <v>72</v>
      </c>
      <c r="AA250" s="4">
        <v>40.503189999999996</v>
      </c>
      <c r="AB250" s="4">
        <v>-75.317400000000006</v>
      </c>
      <c r="AC250" s="4"/>
      <c r="AD250" s="4" t="s">
        <v>73</v>
      </c>
      <c r="AE250" s="4" t="s">
        <v>74</v>
      </c>
      <c r="AF250" s="4"/>
      <c r="AG250" s="4"/>
      <c r="AH250" s="4"/>
      <c r="AI250" s="4"/>
      <c r="AJ250" s="4"/>
      <c r="AK250" s="4"/>
      <c r="AL250" s="4"/>
      <c r="AM250" s="4"/>
      <c r="AN250" s="4"/>
      <c r="AO250" s="4" t="s">
        <v>87</v>
      </c>
      <c r="AP250" s="20" t="str">
        <f t="shared" si="24"/>
        <v>14</v>
      </c>
      <c r="AQ250" s="4"/>
      <c r="AR250" s="4"/>
      <c r="AS250" s="4"/>
      <c r="AT250" s="4"/>
      <c r="AU250" s="4" t="s">
        <v>130</v>
      </c>
      <c r="AV250" s="20" t="str">
        <f t="shared" si="25"/>
        <v>19</v>
      </c>
      <c r="AW250" s="4"/>
      <c r="AX250" s="4"/>
      <c r="AY250" s="4"/>
      <c r="AZ250" s="4"/>
      <c r="BA250" s="4"/>
      <c r="BB250" s="4"/>
      <c r="BC250" s="4"/>
      <c r="BD250" s="4" t="s">
        <v>1639</v>
      </c>
      <c r="BF250" s="4"/>
      <c r="BG250" s="4"/>
      <c r="BH250" s="4" t="s">
        <v>83</v>
      </c>
      <c r="BI250" s="4"/>
      <c r="BJ250" s="4"/>
      <c r="BK250" s="4"/>
      <c r="BL250" s="4" t="s">
        <v>79</v>
      </c>
      <c r="BM250" s="20" t="str">
        <f t="shared" si="27"/>
        <v>85</v>
      </c>
      <c r="BN250" s="4" t="s">
        <v>114</v>
      </c>
      <c r="BO250" s="20" t="str">
        <f t="shared" si="28"/>
        <v>172</v>
      </c>
      <c r="BP250" s="4"/>
      <c r="BQ250" s="4" t="s">
        <v>243</v>
      </c>
      <c r="BR250" s="20" t="str">
        <f t="shared" si="26"/>
        <v>16</v>
      </c>
      <c r="BS250" s="21">
        <f t="shared" si="29"/>
        <v>87</v>
      </c>
    </row>
    <row r="251" spans="1:72" x14ac:dyDescent="0.2">
      <c r="A251" s="13" t="s">
        <v>63</v>
      </c>
      <c r="B251" s="13"/>
      <c r="C251" s="13" t="s">
        <v>1892</v>
      </c>
      <c r="D251" s="13" t="s">
        <v>64</v>
      </c>
      <c r="E251" s="13" t="s">
        <v>65</v>
      </c>
      <c r="F251" s="13" t="s">
        <v>64</v>
      </c>
      <c r="G251" s="13" t="s">
        <v>1886</v>
      </c>
      <c r="H251" s="13" t="s">
        <v>212</v>
      </c>
      <c r="I251" s="13" t="s">
        <v>1887</v>
      </c>
      <c r="J251" s="13" t="s">
        <v>1888</v>
      </c>
      <c r="K251" s="13"/>
      <c r="L251" s="13">
        <v>3866</v>
      </c>
      <c r="M251" s="13">
        <v>3866</v>
      </c>
      <c r="N251" s="13">
        <v>3866</v>
      </c>
      <c r="O251" s="13">
        <v>3866</v>
      </c>
      <c r="P251" s="13" t="s">
        <v>1893</v>
      </c>
      <c r="Q251" s="13"/>
      <c r="R251" s="13" t="s">
        <v>1894</v>
      </c>
      <c r="S251" s="13" t="s">
        <v>1895</v>
      </c>
      <c r="T251" s="13" t="s">
        <v>1896</v>
      </c>
      <c r="U251" s="14">
        <v>41863</v>
      </c>
      <c r="V251" s="13">
        <v>12</v>
      </c>
      <c r="W251" s="13">
        <v>8</v>
      </c>
      <c r="X251" s="13">
        <v>2014</v>
      </c>
      <c r="Y251" s="13">
        <f>-16.5476833333/-68.0251166667</f>
        <v>0.24325843371027259</v>
      </c>
      <c r="Z251" s="13" t="s">
        <v>72</v>
      </c>
      <c r="AA251" s="13">
        <v>-16.5476833333</v>
      </c>
      <c r="AB251" s="13">
        <v>-68.025116666700001</v>
      </c>
      <c r="AC251" s="13">
        <v>100</v>
      </c>
      <c r="AD251" s="13" t="s">
        <v>73</v>
      </c>
      <c r="AE251" s="13" t="s">
        <v>74</v>
      </c>
      <c r="AF251" s="13"/>
      <c r="AG251" s="13"/>
      <c r="AH251" s="13"/>
      <c r="AI251" s="13" t="s">
        <v>75</v>
      </c>
      <c r="AJ251" s="13"/>
      <c r="AK251" s="13"/>
      <c r="AL251" s="13"/>
      <c r="AM251" s="13"/>
      <c r="AN251" s="13"/>
      <c r="AO251" s="13" t="s">
        <v>87</v>
      </c>
      <c r="AP251" s="20" t="str">
        <f t="shared" si="24"/>
        <v>14</v>
      </c>
      <c r="AQ251" s="13"/>
      <c r="AR251" s="13"/>
      <c r="AS251" s="13"/>
      <c r="AT251" s="13"/>
      <c r="AU251" s="13" t="s">
        <v>140</v>
      </c>
      <c r="AV251" s="20" t="str">
        <f t="shared" si="25"/>
        <v>19.1</v>
      </c>
      <c r="AW251" s="13"/>
      <c r="AX251" s="13"/>
      <c r="AY251" s="13"/>
      <c r="AZ251" s="13"/>
      <c r="BA251" s="13"/>
      <c r="BB251" s="13"/>
      <c r="BC251" s="13"/>
      <c r="BD251" s="13" t="s">
        <v>1897</v>
      </c>
      <c r="BF251" s="13"/>
      <c r="BG251" s="13"/>
      <c r="BH251" s="13" t="s">
        <v>83</v>
      </c>
      <c r="BI251" s="13"/>
      <c r="BJ251" s="13"/>
      <c r="BK251" s="13"/>
      <c r="BL251" s="13" t="s">
        <v>313</v>
      </c>
      <c r="BM251" s="20" t="str">
        <f t="shared" si="27"/>
        <v>89</v>
      </c>
      <c r="BN251" s="13" t="s">
        <v>268</v>
      </c>
      <c r="BO251" s="20" t="str">
        <f t="shared" si="28"/>
        <v>176</v>
      </c>
      <c r="BP251" s="13"/>
      <c r="BQ251" s="13" t="s">
        <v>1132</v>
      </c>
      <c r="BR251" s="20" t="str">
        <f t="shared" si="26"/>
        <v>14.6</v>
      </c>
      <c r="BS251" s="21">
        <f t="shared" si="29"/>
        <v>87</v>
      </c>
    </row>
    <row r="252" spans="1:72" x14ac:dyDescent="0.2">
      <c r="A252" s="17" t="s">
        <v>63</v>
      </c>
      <c r="B252" s="17" t="s">
        <v>2327</v>
      </c>
      <c r="C252" s="17" t="s">
        <v>1003</v>
      </c>
      <c r="D252" s="17" t="s">
        <v>64</v>
      </c>
      <c r="E252" s="17" t="s">
        <v>65</v>
      </c>
      <c r="F252" s="17" t="s">
        <v>64</v>
      </c>
      <c r="G252" s="17" t="s">
        <v>615</v>
      </c>
      <c r="H252" s="17" t="s">
        <v>67</v>
      </c>
      <c r="I252" s="17" t="s">
        <v>68</v>
      </c>
      <c r="J252" s="17" t="s">
        <v>69</v>
      </c>
      <c r="K252" s="17" t="s">
        <v>70</v>
      </c>
      <c r="L252" s="17">
        <v>802</v>
      </c>
      <c r="M252" s="17">
        <v>802</v>
      </c>
      <c r="N252" s="17">
        <v>2632</v>
      </c>
      <c r="O252" s="17">
        <v>2632</v>
      </c>
      <c r="P252" s="17" t="s">
        <v>1004</v>
      </c>
      <c r="Q252" s="17"/>
      <c r="R252" s="17" t="s">
        <v>1005</v>
      </c>
      <c r="S252" s="17" t="s">
        <v>1006</v>
      </c>
      <c r="T252" s="17" t="s">
        <v>1007</v>
      </c>
      <c r="U252" s="18">
        <v>41171</v>
      </c>
      <c r="V252" s="17">
        <v>19</v>
      </c>
      <c r="W252" s="17">
        <v>9</v>
      </c>
      <c r="X252" s="17">
        <v>2012</v>
      </c>
      <c r="Y252" s="17" t="s">
        <v>1008</v>
      </c>
      <c r="Z252" s="17" t="s">
        <v>72</v>
      </c>
      <c r="AA252" s="17">
        <v>32.132583333299998</v>
      </c>
      <c r="AB252" s="17">
        <v>-111.06153333330001</v>
      </c>
      <c r="AC252" s="17"/>
      <c r="AD252" s="17" t="s">
        <v>73</v>
      </c>
      <c r="AE252" s="17" t="s">
        <v>74</v>
      </c>
      <c r="AF252" s="17"/>
      <c r="AG252" s="17"/>
      <c r="AH252" s="17"/>
      <c r="AI252" s="17" t="s">
        <v>75</v>
      </c>
      <c r="AJ252" s="17"/>
      <c r="AK252" s="17"/>
      <c r="AL252" s="17"/>
      <c r="AM252" s="17"/>
      <c r="AN252" s="17"/>
      <c r="AO252" s="17" t="s">
        <v>640</v>
      </c>
      <c r="AP252" s="20" t="str">
        <f t="shared" si="24"/>
        <v>14.7</v>
      </c>
      <c r="AQ252" s="17"/>
      <c r="AR252" s="17"/>
      <c r="AS252" s="17"/>
      <c r="AT252" s="17"/>
      <c r="AU252" s="17" t="s">
        <v>820</v>
      </c>
      <c r="AV252" s="20" t="str">
        <f t="shared" si="25"/>
        <v>18.4</v>
      </c>
      <c r="AW252" s="17"/>
      <c r="AX252" s="17"/>
      <c r="AY252" s="17"/>
      <c r="AZ252" s="17"/>
      <c r="BA252" s="17"/>
      <c r="BB252" s="17"/>
      <c r="BC252" s="17"/>
      <c r="BD252" s="17" t="s">
        <v>1009</v>
      </c>
      <c r="BF252" s="17"/>
      <c r="BG252" s="17"/>
      <c r="BH252" s="17" t="s">
        <v>78</v>
      </c>
      <c r="BI252" s="17"/>
      <c r="BJ252" s="17"/>
      <c r="BK252" s="17"/>
      <c r="BL252" s="17" t="s">
        <v>123</v>
      </c>
      <c r="BM252" s="20" t="str">
        <f t="shared" si="27"/>
        <v>88</v>
      </c>
      <c r="BN252" s="17" t="s">
        <v>678</v>
      </c>
      <c r="BO252" s="20" t="str">
        <f t="shared" si="28"/>
        <v>175.5</v>
      </c>
      <c r="BP252" s="17"/>
      <c r="BQ252" s="17" t="s">
        <v>1010</v>
      </c>
      <c r="BR252" s="20" t="str">
        <f t="shared" si="26"/>
        <v>15.9</v>
      </c>
      <c r="BS252" s="21">
        <f t="shared" si="29"/>
        <v>87.5</v>
      </c>
    </row>
    <row r="253" spans="1:72" x14ac:dyDescent="0.2">
      <c r="A253" s="7" t="s">
        <v>63</v>
      </c>
      <c r="B253" s="7" t="s">
        <v>2215</v>
      </c>
      <c r="C253" s="7" t="s">
        <v>1566</v>
      </c>
      <c r="D253" s="7" t="s">
        <v>64</v>
      </c>
      <c r="E253" s="7" t="s">
        <v>65</v>
      </c>
      <c r="F253" s="7" t="s">
        <v>64</v>
      </c>
      <c r="G253" s="7" t="s">
        <v>615</v>
      </c>
      <c r="H253" s="7" t="s">
        <v>67</v>
      </c>
      <c r="I253" s="7" t="s">
        <v>68</v>
      </c>
      <c r="J253" s="7" t="s">
        <v>1053</v>
      </c>
      <c r="K253" s="7" t="s">
        <v>1070</v>
      </c>
      <c r="L253" s="7">
        <v>986</v>
      </c>
      <c r="M253" s="7">
        <v>986</v>
      </c>
      <c r="N253" s="7">
        <v>3234</v>
      </c>
      <c r="O253" s="7">
        <v>3234</v>
      </c>
      <c r="P253" s="7" t="s">
        <v>1567</v>
      </c>
      <c r="Q253" s="7"/>
      <c r="R253" s="7" t="s">
        <v>1568</v>
      </c>
      <c r="S253" s="7" t="s">
        <v>1569</v>
      </c>
      <c r="T253" s="7" t="s">
        <v>1570</v>
      </c>
      <c r="U253" s="9">
        <v>41086</v>
      </c>
      <c r="V253" s="7">
        <v>26</v>
      </c>
      <c r="W253" s="7">
        <v>6</v>
      </c>
      <c r="X253" s="7">
        <v>2012</v>
      </c>
      <c r="Y253" s="7" t="s">
        <v>1571</v>
      </c>
      <c r="Z253" s="7" t="s">
        <v>72</v>
      </c>
      <c r="AA253" s="7">
        <v>46.8577166667</v>
      </c>
      <c r="AB253" s="7">
        <v>-113.9860833333</v>
      </c>
      <c r="AC253" s="7"/>
      <c r="AD253" s="7" t="s">
        <v>73</v>
      </c>
      <c r="AE253" s="7" t="s">
        <v>74</v>
      </c>
      <c r="AF253" s="7"/>
      <c r="AG253" s="7"/>
      <c r="AH253" s="7"/>
      <c r="AI253" s="7" t="s">
        <v>75</v>
      </c>
      <c r="AJ253" s="7"/>
      <c r="AK253" s="7"/>
      <c r="AL253" s="7"/>
      <c r="AM253" s="7"/>
      <c r="AN253" s="7"/>
      <c r="AO253" s="7" t="s">
        <v>207</v>
      </c>
      <c r="AP253" s="20" t="str">
        <f t="shared" si="24"/>
        <v>13.5</v>
      </c>
      <c r="AQ253" s="7"/>
      <c r="AR253" s="7"/>
      <c r="AS253" s="7"/>
      <c r="AT253" s="7"/>
      <c r="AU253" s="7" t="s">
        <v>141</v>
      </c>
      <c r="AV253" s="20" t="str">
        <f t="shared" si="25"/>
        <v>18.5</v>
      </c>
      <c r="AW253" s="7"/>
      <c r="AX253" s="7"/>
      <c r="AY253" s="7"/>
      <c r="AZ253" s="7"/>
      <c r="BA253" s="7"/>
      <c r="BB253" s="7"/>
      <c r="BC253" s="7"/>
      <c r="BD253" s="7" t="s">
        <v>1572</v>
      </c>
      <c r="BF253" s="7"/>
      <c r="BG253" s="7"/>
      <c r="BH253" s="7" t="s">
        <v>83</v>
      </c>
      <c r="BI253" s="7"/>
      <c r="BJ253" s="7"/>
      <c r="BK253" s="7"/>
      <c r="BL253" s="7" t="s">
        <v>194</v>
      </c>
      <c r="BM253" s="20" t="str">
        <f t="shared" si="27"/>
        <v>79</v>
      </c>
      <c r="BN253" s="7" t="s">
        <v>137</v>
      </c>
      <c r="BO253" s="20" t="str">
        <f t="shared" si="28"/>
        <v>166.5</v>
      </c>
      <c r="BP253" s="7"/>
      <c r="BQ253" s="7" t="s">
        <v>623</v>
      </c>
      <c r="BR253" s="20" t="str">
        <f t="shared" si="26"/>
        <v>18.5</v>
      </c>
      <c r="BS253" s="21">
        <f t="shared" si="29"/>
        <v>87.5</v>
      </c>
    </row>
    <row r="254" spans="1:72" x14ac:dyDescent="0.2">
      <c r="A254" s="4" t="s">
        <v>63</v>
      </c>
      <c r="B254" s="4" t="s">
        <v>2177</v>
      </c>
      <c r="C254" s="4" t="s">
        <v>1874</v>
      </c>
      <c r="D254" s="4" t="s">
        <v>64</v>
      </c>
      <c r="E254" s="4" t="s">
        <v>65</v>
      </c>
      <c r="F254" s="4" t="s">
        <v>64</v>
      </c>
      <c r="G254" s="4" t="s">
        <v>134</v>
      </c>
      <c r="H254" s="4" t="s">
        <v>67</v>
      </c>
      <c r="I254" s="4" t="s">
        <v>68</v>
      </c>
      <c r="J254" s="4" t="s">
        <v>1858</v>
      </c>
      <c r="K254" s="4" t="s">
        <v>1859</v>
      </c>
      <c r="L254" s="4">
        <v>120</v>
      </c>
      <c r="M254" s="4">
        <v>120</v>
      </c>
      <c r="N254" s="4">
        <v>120</v>
      </c>
      <c r="O254" s="4">
        <v>120</v>
      </c>
      <c r="P254" s="4" t="s">
        <v>1875</v>
      </c>
      <c r="Q254" s="4"/>
      <c r="R254" s="4" t="s">
        <v>1876</v>
      </c>
      <c r="S254" s="4"/>
      <c r="T254" s="4" t="s">
        <v>1877</v>
      </c>
      <c r="U254" s="5">
        <v>41116</v>
      </c>
      <c r="V254" s="4">
        <v>26</v>
      </c>
      <c r="W254" s="4">
        <v>7</v>
      </c>
      <c r="X254" s="4">
        <v>2012</v>
      </c>
      <c r="Y254" s="4" t="s">
        <v>1878</v>
      </c>
      <c r="Z254" s="4" t="s">
        <v>72</v>
      </c>
      <c r="AA254" s="4">
        <v>44.128059999999998</v>
      </c>
      <c r="AB254" s="4">
        <v>-72.043279999999996</v>
      </c>
      <c r="AC254" s="4"/>
      <c r="AD254" s="4" t="s">
        <v>73</v>
      </c>
      <c r="AE254" s="4" t="s">
        <v>74</v>
      </c>
      <c r="AF254" s="4"/>
      <c r="AG254" s="4"/>
      <c r="AH254" s="4"/>
      <c r="AI254" s="4"/>
      <c r="AJ254" s="4"/>
      <c r="AK254" s="4"/>
      <c r="AL254" s="4"/>
      <c r="AM254" s="4"/>
      <c r="AN254" s="4"/>
      <c r="AO254" s="4" t="s">
        <v>87</v>
      </c>
      <c r="AP254" s="20" t="str">
        <f t="shared" si="24"/>
        <v>14</v>
      </c>
      <c r="AQ254" s="4"/>
      <c r="AR254" s="4"/>
      <c r="AS254" s="4"/>
      <c r="AT254" s="4"/>
      <c r="AU254" s="4" t="s">
        <v>141</v>
      </c>
      <c r="AV254" s="20" t="str">
        <f t="shared" si="25"/>
        <v>18.5</v>
      </c>
      <c r="AW254" s="4"/>
      <c r="AX254" s="4"/>
      <c r="AY254" s="4"/>
      <c r="AZ254" s="4"/>
      <c r="BA254" s="4"/>
      <c r="BB254" s="4"/>
      <c r="BC254" s="4"/>
      <c r="BD254" s="4" t="s">
        <v>1879</v>
      </c>
      <c r="BF254" s="4"/>
      <c r="BG254" s="4"/>
      <c r="BH254" s="4" t="s">
        <v>83</v>
      </c>
      <c r="BI254" s="4"/>
      <c r="BJ254" s="4"/>
      <c r="BK254" s="4"/>
      <c r="BL254" s="4" t="s">
        <v>899</v>
      </c>
      <c r="BM254" s="20" t="str">
        <f t="shared" si="27"/>
        <v>82.5</v>
      </c>
      <c r="BN254" s="4" t="s">
        <v>154</v>
      </c>
      <c r="BO254" s="20" t="str">
        <f t="shared" si="28"/>
        <v>170</v>
      </c>
      <c r="BP254" s="4"/>
      <c r="BQ254" s="4" t="s">
        <v>688</v>
      </c>
      <c r="BR254" s="20" t="str">
        <f t="shared" si="26"/>
        <v>18.25</v>
      </c>
      <c r="BS254" s="21">
        <f t="shared" si="29"/>
        <v>87.5</v>
      </c>
    </row>
    <row r="255" spans="1:72" x14ac:dyDescent="0.2">
      <c r="A255" s="10" t="s">
        <v>63</v>
      </c>
      <c r="B255" s="10" t="s">
        <v>2242</v>
      </c>
      <c r="C255" s="10" t="s">
        <v>361</v>
      </c>
      <c r="D255" s="10" t="s">
        <v>64</v>
      </c>
      <c r="E255" s="10" t="s">
        <v>65</v>
      </c>
      <c r="F255" s="10" t="s">
        <v>64</v>
      </c>
      <c r="G255" s="10" t="s">
        <v>211</v>
      </c>
      <c r="H255" s="10" t="s">
        <v>212</v>
      </c>
      <c r="I255" s="10" t="s">
        <v>213</v>
      </c>
      <c r="J255" s="10" t="s">
        <v>354</v>
      </c>
      <c r="K255" s="10"/>
      <c r="L255" s="10">
        <v>95</v>
      </c>
      <c r="M255" s="10">
        <v>95</v>
      </c>
      <c r="N255" s="10">
        <v>313</v>
      </c>
      <c r="O255" s="10">
        <v>313</v>
      </c>
      <c r="P255" s="10" t="s">
        <v>355</v>
      </c>
      <c r="Q255" s="10"/>
      <c r="R255" s="10" t="s">
        <v>356</v>
      </c>
      <c r="S255" s="10" t="s">
        <v>357</v>
      </c>
      <c r="T255" s="10" t="s">
        <v>358</v>
      </c>
      <c r="U255" s="11">
        <v>41319</v>
      </c>
      <c r="V255" s="10">
        <v>14</v>
      </c>
      <c r="W255" s="10">
        <v>2</v>
      </c>
      <c r="X255" s="10">
        <v>2013</v>
      </c>
      <c r="Y255" s="10">
        <f>-54.7858833333/-68.2755666667</f>
        <v>0.80242297512882721</v>
      </c>
      <c r="Z255" s="10" t="s">
        <v>72</v>
      </c>
      <c r="AA255" s="10">
        <v>-54.785883333299999</v>
      </c>
      <c r="AB255" s="10">
        <v>-68.275566666700001</v>
      </c>
      <c r="AC255" s="10"/>
      <c r="AD255" s="10" t="s">
        <v>73</v>
      </c>
      <c r="AE255" s="10" t="s">
        <v>74</v>
      </c>
      <c r="AF255" s="10"/>
      <c r="AG255" s="10"/>
      <c r="AH255" s="10"/>
      <c r="AI255" s="10"/>
      <c r="AJ255" s="10"/>
      <c r="AK255" s="10"/>
      <c r="AL255" s="10"/>
      <c r="AM255" s="10"/>
      <c r="AN255" s="10"/>
      <c r="AO255" s="10" t="s">
        <v>77</v>
      </c>
      <c r="AP255" s="20" t="str">
        <f t="shared" si="24"/>
        <v>12</v>
      </c>
      <c r="AQ255" s="10"/>
      <c r="AR255" s="10"/>
      <c r="AS255" s="10"/>
      <c r="AT255" s="10"/>
      <c r="AU255" s="10" t="s">
        <v>82</v>
      </c>
      <c r="AV255" s="20" t="str">
        <f t="shared" si="25"/>
        <v>17</v>
      </c>
      <c r="AW255" s="10"/>
      <c r="AX255" s="10"/>
      <c r="AY255" s="10"/>
      <c r="AZ255" s="10"/>
      <c r="BA255" s="10"/>
      <c r="BB255" s="10"/>
      <c r="BC255" s="10"/>
      <c r="BD255" s="10" t="s">
        <v>258</v>
      </c>
      <c r="BF255" s="10"/>
      <c r="BG255" s="10"/>
      <c r="BH255" s="10" t="s">
        <v>78</v>
      </c>
      <c r="BI255" s="10"/>
      <c r="BJ255" s="10"/>
      <c r="BK255" s="10"/>
      <c r="BL255" s="10" t="s">
        <v>351</v>
      </c>
      <c r="BM255" s="20" t="str">
        <f t="shared" si="27"/>
        <v>77</v>
      </c>
      <c r="BN255" s="10" t="s">
        <v>89</v>
      </c>
      <c r="BO255" s="20" t="str">
        <f t="shared" si="28"/>
        <v>165</v>
      </c>
      <c r="BP255" s="10"/>
      <c r="BQ255" s="10" t="s">
        <v>206</v>
      </c>
      <c r="BR255" s="20" t="str">
        <f t="shared" si="26"/>
        <v>12.25</v>
      </c>
      <c r="BS255" s="21">
        <f t="shared" si="29"/>
        <v>88</v>
      </c>
      <c r="BT255" s="10"/>
    </row>
    <row r="256" spans="1:72" x14ac:dyDescent="0.2">
      <c r="A256" s="10" t="s">
        <v>63</v>
      </c>
      <c r="B256" s="10" t="s">
        <v>2252</v>
      </c>
      <c r="C256" s="10" t="s">
        <v>322</v>
      </c>
      <c r="D256" s="10" t="s">
        <v>64</v>
      </c>
      <c r="E256" s="10" t="s">
        <v>65</v>
      </c>
      <c r="F256" s="10" t="s">
        <v>64</v>
      </c>
      <c r="G256" s="10" t="s">
        <v>211</v>
      </c>
      <c r="H256" s="10" t="s">
        <v>212</v>
      </c>
      <c r="I256" s="10" t="s">
        <v>213</v>
      </c>
      <c r="J256" s="10" t="s">
        <v>293</v>
      </c>
      <c r="K256" s="10"/>
      <c r="L256" s="10">
        <v>3</v>
      </c>
      <c r="M256" s="10">
        <v>3</v>
      </c>
      <c r="N256" s="10">
        <v>10</v>
      </c>
      <c r="O256" s="10">
        <v>10</v>
      </c>
      <c r="P256" s="12">
        <v>44258</v>
      </c>
      <c r="Q256" s="10"/>
      <c r="R256" s="10" t="s">
        <v>294</v>
      </c>
      <c r="S256" s="10" t="s">
        <v>299</v>
      </c>
      <c r="T256" s="10" t="s">
        <v>323</v>
      </c>
      <c r="U256" s="11">
        <v>41341</v>
      </c>
      <c r="V256" s="10">
        <v>8</v>
      </c>
      <c r="W256" s="10">
        <v>3</v>
      </c>
      <c r="X256" s="10">
        <v>2013</v>
      </c>
      <c r="Y256" s="10">
        <f>-43.3251666667/-65.4763333333</f>
        <v>0.66169201085464036</v>
      </c>
      <c r="Z256" s="10" t="s">
        <v>72</v>
      </c>
      <c r="AA256" s="10">
        <v>-43.325166666699999</v>
      </c>
      <c r="AB256" s="10">
        <v>-65.476333333300005</v>
      </c>
      <c r="AC256" s="10"/>
      <c r="AD256" s="10" t="s">
        <v>73</v>
      </c>
      <c r="AE256" s="10" t="s">
        <v>74</v>
      </c>
      <c r="AF256" s="10"/>
      <c r="AG256" s="10"/>
      <c r="AH256" s="10"/>
      <c r="AI256" s="10"/>
      <c r="AJ256" s="10"/>
      <c r="AK256" s="10"/>
      <c r="AL256" s="10"/>
      <c r="AM256" s="10"/>
      <c r="AN256" s="10"/>
      <c r="AO256" s="10" t="s">
        <v>87</v>
      </c>
      <c r="AP256" s="20" t="str">
        <f t="shared" si="24"/>
        <v>14</v>
      </c>
      <c r="AQ256" s="10"/>
      <c r="AR256" s="10"/>
      <c r="AS256" s="10"/>
      <c r="AT256" s="10"/>
      <c r="AU256" s="10" t="s">
        <v>82</v>
      </c>
      <c r="AV256" s="20" t="str">
        <f t="shared" si="25"/>
        <v>17</v>
      </c>
      <c r="AW256" s="10"/>
      <c r="AX256" s="10"/>
      <c r="AY256" s="10"/>
      <c r="AZ256" s="10"/>
      <c r="BA256" s="10"/>
      <c r="BB256" s="10"/>
      <c r="BC256" s="10"/>
      <c r="BD256" s="10" t="s">
        <v>152</v>
      </c>
      <c r="BF256" s="10"/>
      <c r="BG256" s="10"/>
      <c r="BH256" s="10" t="s">
        <v>78</v>
      </c>
      <c r="BI256" s="10"/>
      <c r="BJ256" s="10"/>
      <c r="BK256" s="10"/>
      <c r="BL256" s="10" t="s">
        <v>208</v>
      </c>
      <c r="BM256" s="20" t="str">
        <f t="shared" si="27"/>
        <v>80</v>
      </c>
      <c r="BN256" s="10" t="s">
        <v>324</v>
      </c>
      <c r="BO256" s="20" t="str">
        <f t="shared" si="28"/>
        <v>168</v>
      </c>
      <c r="BP256" s="10"/>
      <c r="BQ256" s="10" t="s">
        <v>224</v>
      </c>
      <c r="BR256" s="20" t="str">
        <f t="shared" si="26"/>
        <v>14.25</v>
      </c>
      <c r="BS256" s="21">
        <f t="shared" si="29"/>
        <v>88</v>
      </c>
    </row>
    <row r="257" spans="1:71" x14ac:dyDescent="0.2">
      <c r="A257" t="s">
        <v>63</v>
      </c>
      <c r="B257" s="20" t="s">
        <v>2374</v>
      </c>
      <c r="C257" t="s">
        <v>435</v>
      </c>
      <c r="D257" t="s">
        <v>64</v>
      </c>
      <c r="E257" t="s">
        <v>65</v>
      </c>
      <c r="F257" t="s">
        <v>64</v>
      </c>
      <c r="G257" t="s">
        <v>211</v>
      </c>
      <c r="H257" t="s">
        <v>212</v>
      </c>
      <c r="I257" t="s">
        <v>383</v>
      </c>
      <c r="J257" t="s">
        <v>384</v>
      </c>
      <c r="L257">
        <v>1263</v>
      </c>
      <c r="M257">
        <v>1263</v>
      </c>
      <c r="N257">
        <v>4145</v>
      </c>
      <c r="O257">
        <v>4145</v>
      </c>
      <c r="P257" t="s">
        <v>436</v>
      </c>
      <c r="R257" t="s">
        <v>386</v>
      </c>
      <c r="S257" t="s">
        <v>250</v>
      </c>
      <c r="T257" t="s">
        <v>437</v>
      </c>
      <c r="U257" s="2">
        <v>41541</v>
      </c>
      <c r="V257">
        <v>24</v>
      </c>
      <c r="W257">
        <v>9</v>
      </c>
      <c r="X257">
        <v>2013</v>
      </c>
      <c r="Y257">
        <f>-15.575/-48.0173333333</f>
        <v>0.32436203593169433</v>
      </c>
      <c r="Z257" t="s">
        <v>72</v>
      </c>
      <c r="AA257">
        <v>-15.574999999999999</v>
      </c>
      <c r="AB257">
        <v>-48.017333333300002</v>
      </c>
      <c r="AD257" t="s">
        <v>73</v>
      </c>
      <c r="AE257" t="s">
        <v>74</v>
      </c>
      <c r="AO257" t="s">
        <v>87</v>
      </c>
      <c r="AP257" s="20" t="str">
        <f t="shared" si="24"/>
        <v>14</v>
      </c>
      <c r="AU257" t="s">
        <v>344</v>
      </c>
      <c r="AV257" s="20" t="str">
        <f t="shared" si="25"/>
        <v>16</v>
      </c>
      <c r="BD257" t="s">
        <v>152</v>
      </c>
      <c r="BH257" t="s">
        <v>78</v>
      </c>
      <c r="BL257" t="s">
        <v>147</v>
      </c>
      <c r="BM257" s="20" t="str">
        <f t="shared" si="27"/>
        <v>84</v>
      </c>
      <c r="BN257" t="s">
        <v>114</v>
      </c>
      <c r="BO257" s="20" t="str">
        <f t="shared" si="28"/>
        <v>172</v>
      </c>
      <c r="BQ257" t="s">
        <v>438</v>
      </c>
      <c r="BR257" s="20" t="str">
        <f t="shared" si="26"/>
        <v>11.25</v>
      </c>
      <c r="BS257" s="21">
        <f t="shared" si="29"/>
        <v>88</v>
      </c>
    </row>
    <row r="258" spans="1:71" x14ac:dyDescent="0.2">
      <c r="A258" s="4" t="s">
        <v>63</v>
      </c>
      <c r="B258" s="4" t="s">
        <v>2163</v>
      </c>
      <c r="C258" s="4" t="s">
        <v>1722</v>
      </c>
      <c r="D258" s="4" t="s">
        <v>64</v>
      </c>
      <c r="E258" s="4" t="s">
        <v>65</v>
      </c>
      <c r="F258" s="4" t="s">
        <v>64</v>
      </c>
      <c r="G258" s="4" t="s">
        <v>134</v>
      </c>
      <c r="H258" s="4" t="s">
        <v>67</v>
      </c>
      <c r="I258" s="4" t="s">
        <v>68</v>
      </c>
      <c r="J258" s="4" t="s">
        <v>1651</v>
      </c>
      <c r="K258" s="4" t="s">
        <v>1717</v>
      </c>
      <c r="L258" s="4">
        <v>182</v>
      </c>
      <c r="M258" s="4">
        <v>182</v>
      </c>
      <c r="N258" s="4">
        <v>182</v>
      </c>
      <c r="O258" s="4">
        <v>182</v>
      </c>
      <c r="P258" s="4" t="s">
        <v>1723</v>
      </c>
      <c r="Q258" s="4"/>
      <c r="R258" s="4" t="s">
        <v>1724</v>
      </c>
      <c r="S258" s="4"/>
      <c r="T258" s="4" t="s">
        <v>1725</v>
      </c>
      <c r="U258" s="5">
        <v>41121</v>
      </c>
      <c r="V258" s="4">
        <v>31</v>
      </c>
      <c r="W258" s="4">
        <v>7</v>
      </c>
      <c r="X258" s="4">
        <v>2012</v>
      </c>
      <c r="Y258" s="4" t="s">
        <v>1726</v>
      </c>
      <c r="Z258" s="4" t="s">
        <v>72</v>
      </c>
      <c r="AA258" s="4">
        <v>40.595709999999997</v>
      </c>
      <c r="AB258" s="4">
        <v>-75.658910000000006</v>
      </c>
      <c r="AC258" s="4"/>
      <c r="AD258" s="4" t="s">
        <v>73</v>
      </c>
      <c r="AE258" s="4" t="s">
        <v>74</v>
      </c>
      <c r="AF258" s="4"/>
      <c r="AG258" s="4"/>
      <c r="AH258" s="4"/>
      <c r="AI258" s="4"/>
      <c r="AJ258" s="4"/>
      <c r="AK258" s="4"/>
      <c r="AL258" s="4"/>
      <c r="AM258" s="4"/>
      <c r="AN258" s="4"/>
      <c r="AO258" s="4" t="s">
        <v>87</v>
      </c>
      <c r="AP258" s="20" t="str">
        <f t="shared" ref="AP258:AP321" si="30">LEFT(AO258,FIND("^^",SUBSTITUTE(AO258," ","^^",LEN(AO258)-LEN(SUBSTITUTE(AO258," ",""))))-1)</f>
        <v>14</v>
      </c>
      <c r="AQ258" s="4"/>
      <c r="AR258" s="4"/>
      <c r="AS258" s="4"/>
      <c r="AT258" s="4"/>
      <c r="AU258" s="4" t="s">
        <v>130</v>
      </c>
      <c r="AV258" s="20" t="str">
        <f t="shared" ref="AV258:AV321" si="31">LEFT(AU258,FIND("^^",SUBSTITUTE(AU258," ","^^",LEN(AU258)-LEN(SUBSTITUTE(AU258," ",""))))-1)</f>
        <v>19</v>
      </c>
      <c r="AW258" s="4"/>
      <c r="AX258" s="4"/>
      <c r="AY258" s="4"/>
      <c r="AZ258" s="4"/>
      <c r="BA258" s="4"/>
      <c r="BB258" s="4"/>
      <c r="BC258" s="4"/>
      <c r="BD258" s="4" t="s">
        <v>1727</v>
      </c>
      <c r="BE258" s="20" t="s">
        <v>241</v>
      </c>
      <c r="BF258" s="4"/>
      <c r="BG258" s="4"/>
      <c r="BH258" s="4" t="s">
        <v>78</v>
      </c>
      <c r="BI258" s="4"/>
      <c r="BJ258" s="4"/>
      <c r="BK258" s="4"/>
      <c r="BL258" s="4" t="s">
        <v>697</v>
      </c>
      <c r="BM258" s="20" t="str">
        <f t="shared" si="27"/>
        <v>48</v>
      </c>
      <c r="BN258" s="4" t="s">
        <v>404</v>
      </c>
      <c r="BO258" s="20" t="str">
        <f t="shared" si="28"/>
        <v>136</v>
      </c>
      <c r="BP258" s="4"/>
      <c r="BQ258" s="4" t="s">
        <v>688</v>
      </c>
      <c r="BR258" s="20" t="str">
        <f t="shared" ref="BR258:BR321" si="32">LEFT(BQ258,FIND("^^",SUBSTITUTE(BQ258," ","^^",LEN(BQ258)-LEN(SUBSTITUTE(BQ258," ",""))))-1)</f>
        <v>18.25</v>
      </c>
      <c r="BS258" s="21">
        <f t="shared" si="29"/>
        <v>88</v>
      </c>
    </row>
    <row r="259" spans="1:71" x14ac:dyDescent="0.2">
      <c r="A259" t="s">
        <v>63</v>
      </c>
      <c r="C259" t="s">
        <v>1555</v>
      </c>
      <c r="D259" t="s">
        <v>64</v>
      </c>
      <c r="E259" t="s">
        <v>65</v>
      </c>
      <c r="F259" t="s">
        <v>64</v>
      </c>
      <c r="G259" t="s">
        <v>211</v>
      </c>
      <c r="H259" t="s">
        <v>212</v>
      </c>
      <c r="I259" t="s">
        <v>701</v>
      </c>
      <c r="J259" t="s">
        <v>702</v>
      </c>
      <c r="L259">
        <v>3090</v>
      </c>
      <c r="M259">
        <v>3090</v>
      </c>
      <c r="N259">
        <v>10138</v>
      </c>
      <c r="O259">
        <v>10138</v>
      </c>
      <c r="P259" t="s">
        <v>1548</v>
      </c>
      <c r="R259" t="s">
        <v>1549</v>
      </c>
      <c r="T259" t="s">
        <v>1550</v>
      </c>
      <c r="U259" s="2">
        <v>41237</v>
      </c>
      <c r="V259">
        <v>24</v>
      </c>
      <c r="W259">
        <v>11</v>
      </c>
      <c r="X259">
        <v>2012</v>
      </c>
      <c r="Y259">
        <f>-0.4464833333/-78.4224833333</f>
        <v>5.6933077648462184E-3</v>
      </c>
      <c r="Z259" t="s">
        <v>72</v>
      </c>
      <c r="AA259">
        <v>-0.44648333330000001</v>
      </c>
      <c r="AB259">
        <v>-78.422483333299994</v>
      </c>
      <c r="AD259" t="s">
        <v>96</v>
      </c>
      <c r="AE259" t="s">
        <v>74</v>
      </c>
      <c r="AI259" t="s">
        <v>75</v>
      </c>
      <c r="AO259" t="s">
        <v>88</v>
      </c>
      <c r="AP259" s="20" t="str">
        <f t="shared" si="30"/>
        <v>15</v>
      </c>
      <c r="AU259" t="s">
        <v>672</v>
      </c>
      <c r="AV259" s="20" t="str">
        <f t="shared" si="31"/>
        <v>22</v>
      </c>
      <c r="BD259" t="s">
        <v>1417</v>
      </c>
      <c r="BE259" s="20" t="s">
        <v>241</v>
      </c>
      <c r="BH259" t="s">
        <v>78</v>
      </c>
      <c r="BL259" t="s">
        <v>208</v>
      </c>
      <c r="BM259" s="20" t="str">
        <f t="shared" si="27"/>
        <v>80</v>
      </c>
      <c r="BN259" t="s">
        <v>324</v>
      </c>
      <c r="BO259" s="20" t="str">
        <f t="shared" si="28"/>
        <v>168</v>
      </c>
      <c r="BQ259" t="s">
        <v>616</v>
      </c>
      <c r="BR259" s="20" t="str">
        <f t="shared" si="32"/>
        <v>21</v>
      </c>
      <c r="BS259" s="21">
        <f t="shared" si="29"/>
        <v>88</v>
      </c>
    </row>
    <row r="260" spans="1:71" x14ac:dyDescent="0.2">
      <c r="A260" t="s">
        <v>63</v>
      </c>
      <c r="C260" t="s">
        <v>1959</v>
      </c>
      <c r="D260" t="s">
        <v>64</v>
      </c>
      <c r="E260" t="s">
        <v>65</v>
      </c>
      <c r="F260" t="s">
        <v>64</v>
      </c>
      <c r="G260" t="s">
        <v>1886</v>
      </c>
      <c r="H260" t="s">
        <v>212</v>
      </c>
      <c r="I260" t="s">
        <v>1887</v>
      </c>
      <c r="J260" t="s">
        <v>1949</v>
      </c>
      <c r="L260">
        <v>2530</v>
      </c>
      <c r="M260">
        <v>2530</v>
      </c>
      <c r="N260">
        <v>2530</v>
      </c>
      <c r="O260">
        <v>2530</v>
      </c>
      <c r="P260" t="s">
        <v>1960</v>
      </c>
      <c r="R260" t="s">
        <v>1961</v>
      </c>
      <c r="T260" t="s">
        <v>1962</v>
      </c>
      <c r="U260" s="2">
        <v>41871</v>
      </c>
      <c r="V260">
        <v>20</v>
      </c>
      <c r="W260">
        <v>8</v>
      </c>
      <c r="X260">
        <v>2014</v>
      </c>
      <c r="Y260">
        <f>-17.4704666667/-66.3413166667</f>
        <v>0.26334217565309936</v>
      </c>
      <c r="Z260" t="s">
        <v>72</v>
      </c>
      <c r="AA260">
        <v>-17.470466666699998</v>
      </c>
      <c r="AB260">
        <v>-66.341316666699996</v>
      </c>
      <c r="AC260">
        <v>100</v>
      </c>
      <c r="AD260" t="s">
        <v>73</v>
      </c>
      <c r="AE260" t="s">
        <v>74</v>
      </c>
      <c r="AI260" t="s">
        <v>203</v>
      </c>
      <c r="AO260" t="s">
        <v>87</v>
      </c>
      <c r="AP260" s="20" t="str">
        <f t="shared" si="30"/>
        <v>14</v>
      </c>
      <c r="AU260" t="s">
        <v>121</v>
      </c>
      <c r="AV260" s="20" t="str">
        <f t="shared" si="31"/>
        <v>18</v>
      </c>
      <c r="BH260" t="s">
        <v>78</v>
      </c>
      <c r="BL260" t="s">
        <v>136</v>
      </c>
      <c r="BM260" s="20" t="str">
        <f t="shared" si="27"/>
        <v>75</v>
      </c>
      <c r="BN260" t="s">
        <v>654</v>
      </c>
      <c r="BO260" s="20" t="str">
        <f t="shared" si="28"/>
        <v>163</v>
      </c>
      <c r="BQ260" t="s">
        <v>199</v>
      </c>
      <c r="BR260" s="20" t="str">
        <f t="shared" si="32"/>
        <v>13</v>
      </c>
      <c r="BS260" s="21">
        <f t="shared" si="29"/>
        <v>88</v>
      </c>
    </row>
    <row r="261" spans="1:71" x14ac:dyDescent="0.2">
      <c r="A261" s="7" t="s">
        <v>63</v>
      </c>
      <c r="B261" s="7" t="s">
        <v>2222</v>
      </c>
      <c r="C261" s="7" t="s">
        <v>1307</v>
      </c>
      <c r="D261" s="7" t="s">
        <v>64</v>
      </c>
      <c r="E261" s="7" t="s">
        <v>65</v>
      </c>
      <c r="F261" s="7" t="s">
        <v>64</v>
      </c>
      <c r="G261" s="7" t="s">
        <v>615</v>
      </c>
      <c r="H261" s="7" t="s">
        <v>67</v>
      </c>
      <c r="I261" s="7" t="s">
        <v>788</v>
      </c>
      <c r="J261" s="7" t="s">
        <v>789</v>
      </c>
      <c r="K261" s="7" t="s">
        <v>925</v>
      </c>
      <c r="L261" s="7">
        <v>651</v>
      </c>
      <c r="M261" s="7">
        <v>651</v>
      </c>
      <c r="N261" s="7">
        <v>2136</v>
      </c>
      <c r="O261" s="7">
        <v>2136</v>
      </c>
      <c r="P261" s="7" t="s">
        <v>926</v>
      </c>
      <c r="Q261" s="7"/>
      <c r="R261" s="7" t="s">
        <v>927</v>
      </c>
      <c r="S261" s="7" t="s">
        <v>928</v>
      </c>
      <c r="T261" s="7" t="s">
        <v>929</v>
      </c>
      <c r="U261" s="9">
        <v>41116</v>
      </c>
      <c r="V261" s="7">
        <v>26</v>
      </c>
      <c r="W261" s="7">
        <v>7</v>
      </c>
      <c r="X261" s="7">
        <v>2012</v>
      </c>
      <c r="Y261" s="7" t="s">
        <v>930</v>
      </c>
      <c r="Z261" s="7" t="s">
        <v>72</v>
      </c>
      <c r="AA261" s="7">
        <v>53.861516666699998</v>
      </c>
      <c r="AB261" s="7">
        <v>-113.3027333333</v>
      </c>
      <c r="AC261" s="7"/>
      <c r="AD261" s="7" t="s">
        <v>73</v>
      </c>
      <c r="AE261" s="7" t="s">
        <v>74</v>
      </c>
      <c r="AF261" s="7"/>
      <c r="AG261" s="7"/>
      <c r="AH261" s="7"/>
      <c r="AI261" s="7" t="s">
        <v>75</v>
      </c>
      <c r="AJ261" s="7"/>
      <c r="AK261" s="7"/>
      <c r="AL261" s="7"/>
      <c r="AM261" s="7"/>
      <c r="AN261" s="7"/>
      <c r="AO261" s="7" t="s">
        <v>204</v>
      </c>
      <c r="AP261" s="20" t="str">
        <f t="shared" si="30"/>
        <v>15.5</v>
      </c>
      <c r="AQ261" s="7"/>
      <c r="AR261" s="7"/>
      <c r="AS261" s="7"/>
      <c r="AT261" s="7"/>
      <c r="AU261" s="7" t="s">
        <v>141</v>
      </c>
      <c r="AV261" s="20" t="str">
        <f t="shared" si="31"/>
        <v>18.5</v>
      </c>
      <c r="AW261" s="7"/>
      <c r="AX261" s="7"/>
      <c r="AY261" s="7"/>
      <c r="AZ261" s="7"/>
      <c r="BA261" s="7"/>
      <c r="BB261" s="7"/>
      <c r="BC261" s="7"/>
      <c r="BD261" s="7" t="s">
        <v>1308</v>
      </c>
      <c r="BF261" s="7"/>
      <c r="BG261" s="7"/>
      <c r="BH261" s="7" t="s">
        <v>83</v>
      </c>
      <c r="BI261" s="7"/>
      <c r="BJ261" s="7"/>
      <c r="BK261" s="7"/>
      <c r="BL261" s="7" t="s">
        <v>174</v>
      </c>
      <c r="BM261" s="20" t="str">
        <f t="shared" si="27"/>
        <v>83</v>
      </c>
      <c r="BN261" s="7" t="s">
        <v>302</v>
      </c>
      <c r="BO261" s="20" t="str">
        <f t="shared" si="28"/>
        <v>171</v>
      </c>
      <c r="BP261" s="7"/>
      <c r="BQ261" s="7" t="s">
        <v>149</v>
      </c>
      <c r="BR261" s="20" t="str">
        <f t="shared" si="32"/>
        <v>16.5</v>
      </c>
      <c r="BS261" s="21">
        <f t="shared" si="29"/>
        <v>88</v>
      </c>
    </row>
    <row r="262" spans="1:71" x14ac:dyDescent="0.2">
      <c r="A262" s="7" t="s">
        <v>63</v>
      </c>
      <c r="B262" s="7" t="s">
        <v>2189</v>
      </c>
      <c r="C262" s="7" t="s">
        <v>967</v>
      </c>
      <c r="D262" s="7" t="s">
        <v>64</v>
      </c>
      <c r="E262" s="7" t="s">
        <v>65</v>
      </c>
      <c r="F262" s="7" t="s">
        <v>64</v>
      </c>
      <c r="G262" s="7" t="s">
        <v>615</v>
      </c>
      <c r="H262" s="7" t="s">
        <v>67</v>
      </c>
      <c r="I262" s="7" t="s">
        <v>68</v>
      </c>
      <c r="J262" s="7" t="s">
        <v>69</v>
      </c>
      <c r="K262" s="7" t="s">
        <v>70</v>
      </c>
      <c r="L262" s="7">
        <v>691</v>
      </c>
      <c r="M262" s="7">
        <v>691</v>
      </c>
      <c r="N262" s="7">
        <v>2267</v>
      </c>
      <c r="O262" s="7">
        <v>2267</v>
      </c>
      <c r="P262" s="7" t="s">
        <v>968</v>
      </c>
      <c r="Q262" s="7"/>
      <c r="R262" s="7" t="s">
        <v>969</v>
      </c>
      <c r="S262" s="7" t="s">
        <v>937</v>
      </c>
      <c r="T262" s="7" t="s">
        <v>970</v>
      </c>
      <c r="U262" s="9">
        <v>41165</v>
      </c>
      <c r="V262" s="7">
        <v>13</v>
      </c>
      <c r="W262" s="7">
        <v>5</v>
      </c>
      <c r="X262" s="7">
        <v>2012</v>
      </c>
      <c r="Y262" s="7" t="s">
        <v>971</v>
      </c>
      <c r="Z262" s="7" t="s">
        <v>72</v>
      </c>
      <c r="AA262" s="7">
        <v>32.146549999999998</v>
      </c>
      <c r="AB262" s="7">
        <v>-111.01108333329999</v>
      </c>
      <c r="AC262" s="7"/>
      <c r="AD262" s="7" t="s">
        <v>73</v>
      </c>
      <c r="AE262" s="7" t="s">
        <v>74</v>
      </c>
      <c r="AF262" s="7"/>
      <c r="AG262" s="7"/>
      <c r="AH262" s="7"/>
      <c r="AI262" s="7" t="s">
        <v>75</v>
      </c>
      <c r="AJ262" s="7"/>
      <c r="AK262" s="7"/>
      <c r="AL262" s="7"/>
      <c r="AM262" s="7"/>
      <c r="AN262" s="7"/>
      <c r="AO262" s="7" t="s">
        <v>972</v>
      </c>
      <c r="AP262" s="20" t="str">
        <f t="shared" si="30"/>
        <v>16.6</v>
      </c>
      <c r="AQ262" s="7"/>
      <c r="AR262" s="7"/>
      <c r="AS262" s="7"/>
      <c r="AT262" s="7"/>
      <c r="AU262" s="7" t="s">
        <v>639</v>
      </c>
      <c r="AV262" s="20" t="str">
        <f t="shared" si="31"/>
        <v>19.3</v>
      </c>
      <c r="AW262" s="7"/>
      <c r="AX262" s="7"/>
      <c r="AY262" s="7"/>
      <c r="AZ262" s="7"/>
      <c r="BA262" s="7"/>
      <c r="BB262" s="7"/>
      <c r="BC262" s="7"/>
      <c r="BD262" s="7" t="s">
        <v>973</v>
      </c>
      <c r="BF262" s="7"/>
      <c r="BG262" s="7"/>
      <c r="BH262" s="7" t="s">
        <v>83</v>
      </c>
      <c r="BI262" s="7"/>
      <c r="BJ262" s="7"/>
      <c r="BK262" s="7"/>
      <c r="BL262" s="7" t="s">
        <v>974</v>
      </c>
      <c r="BM262" s="20" t="str">
        <f t="shared" si="27"/>
        <v>100.5</v>
      </c>
      <c r="BN262" s="7" t="s">
        <v>975</v>
      </c>
      <c r="BO262" s="20" t="str">
        <f t="shared" si="28"/>
        <v>188.5</v>
      </c>
      <c r="BP262" s="7"/>
      <c r="BQ262" s="7" t="s">
        <v>681</v>
      </c>
      <c r="BR262" s="20" t="str">
        <f t="shared" si="32"/>
        <v>20.9</v>
      </c>
      <c r="BS262" s="21">
        <f t="shared" si="29"/>
        <v>88</v>
      </c>
    </row>
    <row r="263" spans="1:71" x14ac:dyDescent="0.2">
      <c r="A263" t="s">
        <v>63</v>
      </c>
      <c r="B263" s="20" t="s">
        <v>2403</v>
      </c>
      <c r="C263" t="s">
        <v>1305</v>
      </c>
      <c r="D263" t="s">
        <v>64</v>
      </c>
      <c r="E263" t="s">
        <v>65</v>
      </c>
      <c r="F263" t="s">
        <v>64</v>
      </c>
      <c r="G263" t="s">
        <v>615</v>
      </c>
      <c r="H263" t="s">
        <v>67</v>
      </c>
      <c r="I263" t="s">
        <v>68</v>
      </c>
      <c r="J263" t="s">
        <v>1136</v>
      </c>
      <c r="K263" t="s">
        <v>1210</v>
      </c>
      <c r="L263">
        <v>1176</v>
      </c>
      <c r="M263">
        <v>1176</v>
      </c>
      <c r="N263">
        <v>3857</v>
      </c>
      <c r="O263">
        <v>3857</v>
      </c>
      <c r="P263" t="s">
        <v>1296</v>
      </c>
      <c r="R263" t="s">
        <v>1297</v>
      </c>
      <c r="S263" t="s">
        <v>1298</v>
      </c>
      <c r="T263" t="s">
        <v>1299</v>
      </c>
      <c r="U263" s="2">
        <v>41072</v>
      </c>
      <c r="V263">
        <v>12</v>
      </c>
      <c r="W263">
        <v>6</v>
      </c>
      <c r="X263">
        <v>2012</v>
      </c>
      <c r="Y263" t="s">
        <v>1300</v>
      </c>
      <c r="Z263" t="s">
        <v>72</v>
      </c>
      <c r="AA263">
        <v>37.2069333333</v>
      </c>
      <c r="AB263">
        <v>-113.617</v>
      </c>
      <c r="AD263" t="s">
        <v>73</v>
      </c>
      <c r="AE263" t="s">
        <v>74</v>
      </c>
      <c r="AI263" t="s">
        <v>75</v>
      </c>
      <c r="AO263" t="s">
        <v>88</v>
      </c>
      <c r="AP263" s="20" t="str">
        <f t="shared" si="30"/>
        <v>15</v>
      </c>
      <c r="AU263" t="s">
        <v>792</v>
      </c>
      <c r="AV263" s="20" t="str">
        <f t="shared" si="31"/>
        <v>18.9</v>
      </c>
      <c r="BD263" t="s">
        <v>1041</v>
      </c>
      <c r="BH263" t="s">
        <v>83</v>
      </c>
      <c r="BL263" t="s">
        <v>79</v>
      </c>
      <c r="BM263" s="20" t="str">
        <f t="shared" si="27"/>
        <v>85</v>
      </c>
      <c r="BN263" t="s">
        <v>161</v>
      </c>
      <c r="BO263" s="20" t="str">
        <f t="shared" si="28"/>
        <v>173</v>
      </c>
      <c r="BQ263" t="s">
        <v>202</v>
      </c>
      <c r="BR263" s="20" t="str">
        <f t="shared" si="32"/>
        <v>19.3</v>
      </c>
      <c r="BS263" s="21">
        <f t="shared" si="29"/>
        <v>88</v>
      </c>
    </row>
    <row r="264" spans="1:71" x14ac:dyDescent="0.2">
      <c r="A264" s="7" t="s">
        <v>63</v>
      </c>
      <c r="B264" s="7" t="s">
        <v>2186</v>
      </c>
      <c r="C264" s="7" t="s">
        <v>1046</v>
      </c>
      <c r="D264" s="7" t="s">
        <v>64</v>
      </c>
      <c r="E264" s="7" t="s">
        <v>65</v>
      </c>
      <c r="F264" s="7" t="s">
        <v>64</v>
      </c>
      <c r="G264" s="7" t="s">
        <v>615</v>
      </c>
      <c r="H264" s="7" t="s">
        <v>67</v>
      </c>
      <c r="I264" s="7" t="s">
        <v>68</v>
      </c>
      <c r="J264" s="7" t="s">
        <v>69</v>
      </c>
      <c r="K264" s="7" t="s">
        <v>70</v>
      </c>
      <c r="L264" s="7">
        <v>700</v>
      </c>
      <c r="M264" s="7">
        <v>700</v>
      </c>
      <c r="N264" s="7">
        <v>2295</v>
      </c>
      <c r="O264" s="7">
        <v>2295</v>
      </c>
      <c r="P264" s="7" t="s">
        <v>71</v>
      </c>
      <c r="Q264" s="7"/>
      <c r="R264" s="7" t="s">
        <v>998</v>
      </c>
      <c r="S264" s="7" t="s">
        <v>999</v>
      </c>
      <c r="T264" s="7" t="s">
        <v>1000</v>
      </c>
      <c r="U264" s="9">
        <v>41156</v>
      </c>
      <c r="V264" s="7">
        <v>4</v>
      </c>
      <c r="W264" s="7">
        <v>9</v>
      </c>
      <c r="X264" s="7">
        <v>2012</v>
      </c>
      <c r="Y264" s="7" t="s">
        <v>1001</v>
      </c>
      <c r="Z264" s="7" t="s">
        <v>72</v>
      </c>
      <c r="AA264" s="7">
        <v>32.281350000000003</v>
      </c>
      <c r="AB264" s="7">
        <v>-110.94995</v>
      </c>
      <c r="AC264" s="7"/>
      <c r="AD264" s="7" t="s">
        <v>73</v>
      </c>
      <c r="AE264" s="7" t="s">
        <v>74</v>
      </c>
      <c r="AF264" s="7"/>
      <c r="AG264" s="7"/>
      <c r="AH264" s="7"/>
      <c r="AI264" s="7" t="s">
        <v>75</v>
      </c>
      <c r="AJ264" s="7"/>
      <c r="AK264" s="7"/>
      <c r="AL264" s="7"/>
      <c r="AM264" s="7"/>
      <c r="AN264" s="7"/>
      <c r="AO264" s="7" t="s">
        <v>344</v>
      </c>
      <c r="AP264" s="20" t="str">
        <f t="shared" si="30"/>
        <v>16</v>
      </c>
      <c r="AQ264" s="7"/>
      <c r="AR264" s="7"/>
      <c r="AS264" s="7"/>
      <c r="AT264" s="7"/>
      <c r="AU264" s="7" t="s">
        <v>130</v>
      </c>
      <c r="AV264" s="20" t="str">
        <f t="shared" si="31"/>
        <v>19</v>
      </c>
      <c r="AW264" s="7"/>
      <c r="AX264" s="7"/>
      <c r="AY264" s="7"/>
      <c r="AZ264" s="7"/>
      <c r="BA264" s="7"/>
      <c r="BB264" s="7"/>
      <c r="BC264" s="7"/>
      <c r="BD264" s="7" t="s">
        <v>1047</v>
      </c>
      <c r="BF264" s="7"/>
      <c r="BG264" s="7"/>
      <c r="BH264" s="7" t="s">
        <v>83</v>
      </c>
      <c r="BI264" s="7"/>
      <c r="BJ264" s="7"/>
      <c r="BK264" s="7"/>
      <c r="BL264" s="7" t="s">
        <v>646</v>
      </c>
      <c r="BM264" s="20" t="str">
        <f t="shared" si="27"/>
        <v>94.5</v>
      </c>
      <c r="BN264" s="7" t="s">
        <v>617</v>
      </c>
      <c r="BO264" s="20" t="str">
        <f t="shared" si="28"/>
        <v>182.5</v>
      </c>
      <c r="BP264" s="7"/>
      <c r="BQ264" s="7" t="s">
        <v>1048</v>
      </c>
      <c r="BR264" s="20" t="str">
        <f t="shared" si="32"/>
        <v>18.7</v>
      </c>
      <c r="BS264" s="21">
        <f t="shared" si="29"/>
        <v>88</v>
      </c>
    </row>
    <row r="265" spans="1:71" x14ac:dyDescent="0.2">
      <c r="A265" t="s">
        <v>63</v>
      </c>
      <c r="B265" t="s">
        <v>2339</v>
      </c>
      <c r="C265" t="s">
        <v>91</v>
      </c>
      <c r="D265" t="s">
        <v>64</v>
      </c>
      <c r="E265" t="s">
        <v>65</v>
      </c>
      <c r="F265" t="s">
        <v>64</v>
      </c>
      <c r="G265" t="s">
        <v>66</v>
      </c>
      <c r="H265" t="s">
        <v>67</v>
      </c>
      <c r="I265" t="s">
        <v>68</v>
      </c>
      <c r="J265" t="s">
        <v>69</v>
      </c>
      <c r="K265" t="s">
        <v>70</v>
      </c>
      <c r="L265">
        <v>657</v>
      </c>
      <c r="M265">
        <v>657</v>
      </c>
      <c r="N265">
        <v>657</v>
      </c>
      <c r="O265">
        <v>657</v>
      </c>
      <c r="P265" t="s">
        <v>92</v>
      </c>
      <c r="R265" t="s">
        <v>93</v>
      </c>
      <c r="T265" t="s">
        <v>94</v>
      </c>
      <c r="U265" s="1">
        <v>41032</v>
      </c>
      <c r="V265">
        <v>3</v>
      </c>
      <c r="W265">
        <v>5</v>
      </c>
      <c r="X265">
        <v>2012</v>
      </c>
      <c r="Y265" t="s">
        <v>95</v>
      </c>
      <c r="Z265" t="s">
        <v>72</v>
      </c>
      <c r="AA265">
        <v>32.287210000000002</v>
      </c>
      <c r="AB265">
        <v>-110.99599000000001</v>
      </c>
      <c r="AD265" t="s">
        <v>96</v>
      </c>
      <c r="AE265" t="s">
        <v>74</v>
      </c>
      <c r="AO265" t="s">
        <v>77</v>
      </c>
      <c r="AP265" s="20" t="str">
        <f t="shared" si="30"/>
        <v>12</v>
      </c>
      <c r="AU265" t="s">
        <v>88</v>
      </c>
      <c r="AV265" s="20" t="str">
        <f t="shared" si="31"/>
        <v>15</v>
      </c>
      <c r="BD265" t="s">
        <v>97</v>
      </c>
      <c r="BH265" t="s">
        <v>83</v>
      </c>
      <c r="BL265" t="s">
        <v>98</v>
      </c>
      <c r="BM265" s="20" t="str">
        <f t="shared" si="27"/>
        <v>76</v>
      </c>
      <c r="BN265" t="s">
        <v>99</v>
      </c>
      <c r="BO265" s="20" t="str">
        <f t="shared" si="28"/>
        <v>164</v>
      </c>
      <c r="BQ265" t="s">
        <v>100</v>
      </c>
      <c r="BR265" s="20" t="str">
        <f t="shared" si="32"/>
        <v>15.25</v>
      </c>
      <c r="BS265" s="21">
        <f t="shared" si="29"/>
        <v>88</v>
      </c>
    </row>
    <row r="266" spans="1:71" x14ac:dyDescent="0.2">
      <c r="A266" s="13" t="s">
        <v>63</v>
      </c>
      <c r="B266" s="13"/>
      <c r="C266" s="13" t="s">
        <v>1993</v>
      </c>
      <c r="D266" s="13" t="s">
        <v>64</v>
      </c>
      <c r="E266" s="13" t="s">
        <v>65</v>
      </c>
      <c r="F266" s="13" t="s">
        <v>64</v>
      </c>
      <c r="G266" s="13" t="s">
        <v>1886</v>
      </c>
      <c r="H266" s="13" t="s">
        <v>212</v>
      </c>
      <c r="I266" s="13" t="s">
        <v>1887</v>
      </c>
      <c r="J266" s="13" t="s">
        <v>1949</v>
      </c>
      <c r="K266" s="13"/>
      <c r="L266" s="13">
        <v>2783</v>
      </c>
      <c r="M266" s="13">
        <v>2783</v>
      </c>
      <c r="N266" s="13">
        <v>2783</v>
      </c>
      <c r="O266" s="13">
        <v>2783</v>
      </c>
      <c r="P266" s="13" t="s">
        <v>1994</v>
      </c>
      <c r="Q266" s="13"/>
      <c r="R266" s="13" t="s">
        <v>1985</v>
      </c>
      <c r="S266" s="13"/>
      <c r="T266" s="13" t="s">
        <v>1986</v>
      </c>
      <c r="U266" s="14">
        <v>41873</v>
      </c>
      <c r="V266" s="13">
        <v>22</v>
      </c>
      <c r="W266" s="13">
        <v>8</v>
      </c>
      <c r="X266" s="13">
        <v>2014</v>
      </c>
      <c r="Y266" s="13">
        <f>-17.6169833333/-66.0169</f>
        <v>0.26685565867679334</v>
      </c>
      <c r="Z266" s="13" t="s">
        <v>72</v>
      </c>
      <c r="AA266" s="13">
        <v>-17.616983333299999</v>
      </c>
      <c r="AB266" s="13">
        <v>-66.016900000000007</v>
      </c>
      <c r="AC266" s="13">
        <v>100</v>
      </c>
      <c r="AD266" s="13" t="s">
        <v>73</v>
      </c>
      <c r="AE266" s="13" t="s">
        <v>74</v>
      </c>
      <c r="AF266" s="13"/>
      <c r="AG266" s="13"/>
      <c r="AH266" s="13"/>
      <c r="AI266" s="13" t="s">
        <v>75</v>
      </c>
      <c r="AJ266" s="13"/>
      <c r="AK266" s="13"/>
      <c r="AL266" s="13"/>
      <c r="AM266" s="13"/>
      <c r="AN266" s="13"/>
      <c r="AO266" s="13" t="s">
        <v>88</v>
      </c>
      <c r="AP266" s="20" t="str">
        <f t="shared" si="30"/>
        <v>15</v>
      </c>
      <c r="AQ266" s="13"/>
      <c r="AR266" s="13"/>
      <c r="AS266" s="13"/>
      <c r="AT266" s="13"/>
      <c r="AU266" s="13" t="s">
        <v>1084</v>
      </c>
      <c r="AV266" s="20" t="str">
        <f t="shared" si="31"/>
        <v>19.2</v>
      </c>
      <c r="AW266" s="13"/>
      <c r="AX266" s="13"/>
      <c r="AY266" s="13"/>
      <c r="AZ266" s="13"/>
      <c r="BA266" s="13"/>
      <c r="BB266" s="13"/>
      <c r="BC266" s="13"/>
      <c r="BD266" s="13"/>
      <c r="BF266" s="13"/>
      <c r="BG266" s="13"/>
      <c r="BH266" s="13" t="s">
        <v>83</v>
      </c>
      <c r="BI266" s="13"/>
      <c r="BJ266" s="13"/>
      <c r="BK266" s="13"/>
      <c r="BL266" s="13" t="s">
        <v>103</v>
      </c>
      <c r="BM266" s="20" t="str">
        <f t="shared" si="27"/>
        <v>91</v>
      </c>
      <c r="BN266" s="13" t="s">
        <v>142</v>
      </c>
      <c r="BO266" s="20" t="str">
        <f t="shared" si="28"/>
        <v>179</v>
      </c>
      <c r="BP266" s="13"/>
      <c r="BQ266" s="13" t="s">
        <v>1086</v>
      </c>
      <c r="BR266" s="20" t="str">
        <f t="shared" si="32"/>
        <v>15.6</v>
      </c>
      <c r="BS266" s="21">
        <f t="shared" si="29"/>
        <v>88</v>
      </c>
    </row>
    <row r="267" spans="1:71" x14ac:dyDescent="0.2">
      <c r="A267" t="s">
        <v>63</v>
      </c>
      <c r="B267" t="s">
        <v>2400</v>
      </c>
      <c r="C267" t="s">
        <v>1303</v>
      </c>
      <c r="D267" t="s">
        <v>64</v>
      </c>
      <c r="E267" t="s">
        <v>65</v>
      </c>
      <c r="F267" t="s">
        <v>64</v>
      </c>
      <c r="G267" t="s">
        <v>615</v>
      </c>
      <c r="H267" t="s">
        <v>67</v>
      </c>
      <c r="I267" t="s">
        <v>68</v>
      </c>
      <c r="J267" t="s">
        <v>1136</v>
      </c>
      <c r="K267" t="s">
        <v>1210</v>
      </c>
      <c r="L267">
        <v>1176</v>
      </c>
      <c r="M267">
        <v>1176</v>
      </c>
      <c r="N267">
        <v>3857</v>
      </c>
      <c r="O267">
        <v>3857</v>
      </c>
      <c r="P267" t="s">
        <v>1296</v>
      </c>
      <c r="R267" t="s">
        <v>1297</v>
      </c>
      <c r="S267" t="s">
        <v>1298</v>
      </c>
      <c r="T267" t="s">
        <v>1299</v>
      </c>
      <c r="U267" s="2">
        <v>41072</v>
      </c>
      <c r="V267">
        <v>12</v>
      </c>
      <c r="W267">
        <v>6</v>
      </c>
      <c r="X267">
        <v>2012</v>
      </c>
      <c r="Y267" t="s">
        <v>1300</v>
      </c>
      <c r="Z267" t="s">
        <v>72</v>
      </c>
      <c r="AA267">
        <v>37.2069333333</v>
      </c>
      <c r="AB267">
        <v>-113.617</v>
      </c>
      <c r="AD267" t="s">
        <v>73</v>
      </c>
      <c r="AE267" t="s">
        <v>74</v>
      </c>
      <c r="AI267" t="s">
        <v>75</v>
      </c>
      <c r="AO267" t="s">
        <v>204</v>
      </c>
      <c r="AP267" s="20" t="str">
        <f t="shared" si="30"/>
        <v>15.5</v>
      </c>
      <c r="AU267" t="s">
        <v>1084</v>
      </c>
      <c r="AV267" s="20" t="str">
        <f t="shared" si="31"/>
        <v>19.2</v>
      </c>
      <c r="BD267" t="s">
        <v>964</v>
      </c>
      <c r="BH267" t="s">
        <v>83</v>
      </c>
      <c r="BL267" t="s">
        <v>1304</v>
      </c>
      <c r="BM267" s="20" t="str">
        <f t="shared" si="27"/>
        <v>93.5</v>
      </c>
      <c r="BN267" t="s">
        <v>658</v>
      </c>
      <c r="BO267" s="20" t="str">
        <f t="shared" si="28"/>
        <v>182</v>
      </c>
      <c r="BQ267" t="s">
        <v>1227</v>
      </c>
      <c r="BR267" s="20" t="str">
        <f t="shared" si="32"/>
        <v>18.1</v>
      </c>
      <c r="BS267" s="21">
        <f t="shared" si="29"/>
        <v>88.5</v>
      </c>
    </row>
    <row r="268" spans="1:71" x14ac:dyDescent="0.2">
      <c r="A268" s="13" t="s">
        <v>63</v>
      </c>
      <c r="B268" s="13"/>
      <c r="C268" s="13" t="s">
        <v>1979</v>
      </c>
      <c r="D268" s="13" t="s">
        <v>64</v>
      </c>
      <c r="E268" s="13" t="s">
        <v>65</v>
      </c>
      <c r="F268" s="13" t="s">
        <v>64</v>
      </c>
      <c r="G268" s="13" t="s">
        <v>1886</v>
      </c>
      <c r="H268" s="13" t="s">
        <v>212</v>
      </c>
      <c r="I268" s="13" t="s">
        <v>1887</v>
      </c>
      <c r="J268" s="13" t="s">
        <v>1949</v>
      </c>
      <c r="K268" s="13"/>
      <c r="L268" s="13">
        <v>2575</v>
      </c>
      <c r="M268" s="13">
        <v>2575</v>
      </c>
      <c r="N268" s="13">
        <v>2575</v>
      </c>
      <c r="O268" s="13">
        <v>2575</v>
      </c>
      <c r="P268" s="13" t="s">
        <v>1980</v>
      </c>
      <c r="Q268" s="13"/>
      <c r="R268" s="13" t="s">
        <v>1981</v>
      </c>
      <c r="S268" s="13"/>
      <c r="T268" s="13" t="s">
        <v>1982</v>
      </c>
      <c r="U268" s="14">
        <v>41872</v>
      </c>
      <c r="V268" s="13">
        <v>21</v>
      </c>
      <c r="W268" s="13">
        <v>8</v>
      </c>
      <c r="X268" s="13">
        <v>2014</v>
      </c>
      <c r="Y268" s="13">
        <f>-17.3794833333/-66.3066</f>
        <v>0.26210789473898527</v>
      </c>
      <c r="Z268" s="13" t="s">
        <v>72</v>
      </c>
      <c r="AA268" s="13">
        <v>-17.379483333300001</v>
      </c>
      <c r="AB268" s="13">
        <v>-66.306600000000003</v>
      </c>
      <c r="AC268" s="13">
        <v>100</v>
      </c>
      <c r="AD268" s="13" t="s">
        <v>73</v>
      </c>
      <c r="AE268" s="13" t="s">
        <v>74</v>
      </c>
      <c r="AF268" s="13"/>
      <c r="AG268" s="13"/>
      <c r="AH268" s="13"/>
      <c r="AI268" s="13"/>
      <c r="AJ268" s="13"/>
      <c r="AK268" s="13"/>
      <c r="AL268" s="13"/>
      <c r="AM268" s="13"/>
      <c r="AN268" s="13"/>
      <c r="AO268" s="13" t="s">
        <v>87</v>
      </c>
      <c r="AP268" s="20" t="str">
        <f t="shared" si="30"/>
        <v>14</v>
      </c>
      <c r="AQ268" s="13"/>
      <c r="AR268" s="13"/>
      <c r="AS268" s="13"/>
      <c r="AT268" s="13"/>
      <c r="AU268" s="13" t="s">
        <v>630</v>
      </c>
      <c r="AV268" s="20" t="str">
        <f t="shared" si="31"/>
        <v>19.5</v>
      </c>
      <c r="AW268" s="13"/>
      <c r="AX268" s="13"/>
      <c r="AY268" s="13"/>
      <c r="AZ268" s="13"/>
      <c r="BA268" s="13"/>
      <c r="BB268" s="13"/>
      <c r="BC268" s="13"/>
      <c r="BD268" s="13" t="s">
        <v>884</v>
      </c>
      <c r="BF268" s="13"/>
      <c r="BG268" s="13"/>
      <c r="BH268" s="13" t="s">
        <v>78</v>
      </c>
      <c r="BI268" s="13"/>
      <c r="BJ268" s="13"/>
      <c r="BK268" s="13"/>
      <c r="BL268" s="13" t="s">
        <v>79</v>
      </c>
      <c r="BM268" s="20" t="str">
        <f t="shared" si="27"/>
        <v>85</v>
      </c>
      <c r="BN268" s="13" t="s">
        <v>629</v>
      </c>
      <c r="BO268" s="20" t="str">
        <f t="shared" si="28"/>
        <v>174</v>
      </c>
      <c r="BP268" s="13"/>
      <c r="BQ268" s="13" t="s">
        <v>1086</v>
      </c>
      <c r="BR268" s="20" t="str">
        <f t="shared" si="32"/>
        <v>15.6</v>
      </c>
      <c r="BS268" s="21">
        <f t="shared" si="29"/>
        <v>89</v>
      </c>
    </row>
    <row r="269" spans="1:71" x14ac:dyDescent="0.2">
      <c r="A269" t="s">
        <v>63</v>
      </c>
      <c r="B269" t="s">
        <v>2309</v>
      </c>
      <c r="C269" t="s">
        <v>921</v>
      </c>
      <c r="D269" t="s">
        <v>64</v>
      </c>
      <c r="E269" t="s">
        <v>65</v>
      </c>
      <c r="F269" t="s">
        <v>64</v>
      </c>
      <c r="G269" t="s">
        <v>615</v>
      </c>
      <c r="H269" t="s">
        <v>67</v>
      </c>
      <c r="I269" t="s">
        <v>788</v>
      </c>
      <c r="J269" t="s">
        <v>789</v>
      </c>
      <c r="K269" t="s">
        <v>908</v>
      </c>
      <c r="L269">
        <v>747</v>
      </c>
      <c r="M269">
        <v>747</v>
      </c>
      <c r="N269">
        <v>2450</v>
      </c>
      <c r="O269">
        <v>2450</v>
      </c>
      <c r="P269" t="s">
        <v>916</v>
      </c>
      <c r="R269" t="s">
        <v>917</v>
      </c>
      <c r="S269" t="s">
        <v>918</v>
      </c>
      <c r="T269" t="s">
        <v>922</v>
      </c>
      <c r="U269" s="2">
        <v>41116</v>
      </c>
      <c r="V269">
        <v>26</v>
      </c>
      <c r="W269">
        <v>7</v>
      </c>
      <c r="X269">
        <v>2012</v>
      </c>
      <c r="Y269" t="s">
        <v>920</v>
      </c>
      <c r="Z269" t="s">
        <v>72</v>
      </c>
      <c r="AA269">
        <v>53.439766666700002</v>
      </c>
      <c r="AB269">
        <v>-113.06955000000001</v>
      </c>
      <c r="AD269" t="s">
        <v>73</v>
      </c>
      <c r="AE269" t="s">
        <v>74</v>
      </c>
      <c r="AI269" t="s">
        <v>75</v>
      </c>
      <c r="AO269" t="s">
        <v>87</v>
      </c>
      <c r="AP269" s="20" t="str">
        <f t="shared" si="30"/>
        <v>14</v>
      </c>
      <c r="AU269" t="s">
        <v>653</v>
      </c>
      <c r="AV269" s="20" t="str">
        <f t="shared" si="31"/>
        <v>17.5</v>
      </c>
      <c r="BD269" t="s">
        <v>258</v>
      </c>
      <c r="BH269" t="s">
        <v>78</v>
      </c>
      <c r="BL269" t="s">
        <v>153</v>
      </c>
      <c r="BM269" s="20" t="str">
        <f t="shared" si="27"/>
        <v>81</v>
      </c>
      <c r="BN269" t="s">
        <v>154</v>
      </c>
      <c r="BO269" s="20" t="str">
        <f t="shared" si="28"/>
        <v>170</v>
      </c>
      <c r="BQ269" t="s">
        <v>923</v>
      </c>
      <c r="BR269" s="20" t="str">
        <f t="shared" si="32"/>
        <v>12.8</v>
      </c>
      <c r="BS269" s="21">
        <f t="shared" si="29"/>
        <v>89</v>
      </c>
    </row>
    <row r="270" spans="1:71" x14ac:dyDescent="0.2">
      <c r="A270" s="10" t="s">
        <v>63</v>
      </c>
      <c r="B270" s="10" t="s">
        <v>2296</v>
      </c>
      <c r="C270" s="10" t="s">
        <v>409</v>
      </c>
      <c r="D270" s="10" t="s">
        <v>64</v>
      </c>
      <c r="E270" s="10" t="s">
        <v>65</v>
      </c>
      <c r="F270" s="10" t="s">
        <v>64</v>
      </c>
      <c r="G270" s="10" t="s">
        <v>211</v>
      </c>
      <c r="H270" s="10" t="s">
        <v>212</v>
      </c>
      <c r="I270" s="10" t="s">
        <v>383</v>
      </c>
      <c r="J270" s="10" t="s">
        <v>384</v>
      </c>
      <c r="K270" s="10"/>
      <c r="L270" s="10">
        <v>1059</v>
      </c>
      <c r="M270" s="10">
        <v>1059</v>
      </c>
      <c r="N270" s="10">
        <v>3474</v>
      </c>
      <c r="O270" s="10">
        <v>3474</v>
      </c>
      <c r="P270" s="10" t="s">
        <v>410</v>
      </c>
      <c r="Q270" s="10"/>
      <c r="R270" s="10" t="s">
        <v>386</v>
      </c>
      <c r="S270" s="10" t="s">
        <v>411</v>
      </c>
      <c r="T270" s="10" t="s">
        <v>412</v>
      </c>
      <c r="U270" s="11">
        <v>41540</v>
      </c>
      <c r="V270" s="10">
        <v>23</v>
      </c>
      <c r="W270" s="10">
        <v>9</v>
      </c>
      <c r="X270" s="10">
        <v>2013</v>
      </c>
      <c r="Y270" s="10">
        <f>-15.9373333333/-47.9376666667</f>
        <v>0.33245951339494173</v>
      </c>
      <c r="Z270" s="10" t="s">
        <v>72</v>
      </c>
      <c r="AA270" s="10">
        <v>-15.9373333333</v>
      </c>
      <c r="AB270" s="10">
        <v>-47.937666666699997</v>
      </c>
      <c r="AC270" s="10"/>
      <c r="AD270" s="10" t="s">
        <v>73</v>
      </c>
      <c r="AE270" s="10" t="s">
        <v>74</v>
      </c>
      <c r="AF270" s="10"/>
      <c r="AG270" s="10"/>
      <c r="AH270" s="10"/>
      <c r="AI270" s="10"/>
      <c r="AJ270" s="10"/>
      <c r="AK270" s="10"/>
      <c r="AL270" s="10"/>
      <c r="AM270" s="10"/>
      <c r="AN270" s="10"/>
      <c r="AO270" s="10" t="s">
        <v>87</v>
      </c>
      <c r="AP270" s="20" t="str">
        <f t="shared" si="30"/>
        <v>14</v>
      </c>
      <c r="AQ270" s="10"/>
      <c r="AR270" s="10"/>
      <c r="AS270" s="10"/>
      <c r="AT270" s="10"/>
      <c r="AU270" s="10" t="s">
        <v>121</v>
      </c>
      <c r="AV270" s="20" t="str">
        <f t="shared" si="31"/>
        <v>18</v>
      </c>
      <c r="AW270" s="10"/>
      <c r="AX270" s="10"/>
      <c r="AY270" s="10"/>
      <c r="AZ270" s="10"/>
      <c r="BA270" s="10"/>
      <c r="BB270" s="10"/>
      <c r="BC270" s="10"/>
      <c r="BD270" s="10" t="s">
        <v>152</v>
      </c>
      <c r="BF270" s="10"/>
      <c r="BG270" s="10"/>
      <c r="BH270" s="10" t="s">
        <v>78</v>
      </c>
      <c r="BI270" s="10"/>
      <c r="BJ270" s="10"/>
      <c r="BK270" s="10"/>
      <c r="BL270" s="10" t="s">
        <v>174</v>
      </c>
      <c r="BM270" s="20" t="str">
        <f t="shared" si="27"/>
        <v>83</v>
      </c>
      <c r="BN270" s="10" t="s">
        <v>114</v>
      </c>
      <c r="BO270" s="20" t="str">
        <f t="shared" si="28"/>
        <v>172</v>
      </c>
      <c r="BP270" s="10"/>
      <c r="BQ270" s="10" t="s">
        <v>408</v>
      </c>
      <c r="BR270" s="20" t="str">
        <f t="shared" si="32"/>
        <v>12</v>
      </c>
      <c r="BS270" s="21">
        <f t="shared" si="29"/>
        <v>89</v>
      </c>
    </row>
    <row r="271" spans="1:71" x14ac:dyDescent="0.2">
      <c r="A271" s="10" t="s">
        <v>63</v>
      </c>
      <c r="B271" s="10" t="s">
        <v>2280</v>
      </c>
      <c r="C271" s="10" t="s">
        <v>491</v>
      </c>
      <c r="D271" s="10" t="s">
        <v>64</v>
      </c>
      <c r="E271" s="10" t="s">
        <v>65</v>
      </c>
      <c r="F271" s="10" t="s">
        <v>64</v>
      </c>
      <c r="G271" s="10" t="s">
        <v>211</v>
      </c>
      <c r="H271" s="10" t="s">
        <v>212</v>
      </c>
      <c r="I271" s="10" t="s">
        <v>383</v>
      </c>
      <c r="J271" s="10" t="s">
        <v>492</v>
      </c>
      <c r="K271" s="10"/>
      <c r="L271" s="10">
        <v>94</v>
      </c>
      <c r="M271" s="10">
        <v>94</v>
      </c>
      <c r="N271" s="10">
        <v>308</v>
      </c>
      <c r="O271" s="10">
        <v>308</v>
      </c>
      <c r="P271" s="10" t="s">
        <v>493</v>
      </c>
      <c r="Q271" s="10"/>
      <c r="R271" s="10" t="s">
        <v>494</v>
      </c>
      <c r="S271" s="10" t="s">
        <v>495</v>
      </c>
      <c r="T271" s="10" t="s">
        <v>496</v>
      </c>
      <c r="U271" s="11">
        <v>41533</v>
      </c>
      <c r="V271" s="10">
        <v>16</v>
      </c>
      <c r="W271" s="10">
        <v>9</v>
      </c>
      <c r="X271" s="10">
        <v>2013</v>
      </c>
      <c r="Y271" s="10">
        <f>-8.7836666667/-63.8381666667</f>
        <v>0.13759271491237604</v>
      </c>
      <c r="Z271" s="10" t="s">
        <v>72</v>
      </c>
      <c r="AA271" s="10">
        <v>-8.7836666667000003</v>
      </c>
      <c r="AB271" s="10">
        <v>-63.841666670000002</v>
      </c>
      <c r="AC271" s="10"/>
      <c r="AD271" s="10" t="s">
        <v>73</v>
      </c>
      <c r="AE271" s="10" t="s">
        <v>74</v>
      </c>
      <c r="AF271" s="10"/>
      <c r="AG271" s="10"/>
      <c r="AH271" s="10"/>
      <c r="AI271" s="10"/>
      <c r="AJ271" s="10"/>
      <c r="AK271" s="10"/>
      <c r="AL271" s="10"/>
      <c r="AM271" s="10"/>
      <c r="AN271" s="10"/>
      <c r="AO271" s="10" t="s">
        <v>344</v>
      </c>
      <c r="AP271" s="20" t="str">
        <f t="shared" si="30"/>
        <v>16</v>
      </c>
      <c r="AQ271" s="10"/>
      <c r="AR271" s="10"/>
      <c r="AS271" s="10"/>
      <c r="AT271" s="10"/>
      <c r="AU271" s="10" t="s">
        <v>121</v>
      </c>
      <c r="AV271" s="20" t="str">
        <f t="shared" si="31"/>
        <v>18</v>
      </c>
      <c r="AW271" s="10"/>
      <c r="AX271" s="10"/>
      <c r="AY271" s="10"/>
      <c r="AZ271" s="10"/>
      <c r="BA271" s="10"/>
      <c r="BB271" s="10"/>
      <c r="BC271" s="10"/>
      <c r="BD271" s="10" t="s">
        <v>152</v>
      </c>
      <c r="BF271" s="10"/>
      <c r="BG271" s="10"/>
      <c r="BH271" s="10" t="s">
        <v>78</v>
      </c>
      <c r="BI271" s="10"/>
      <c r="BJ271" s="10"/>
      <c r="BK271" s="10"/>
      <c r="BL271" s="10" t="s">
        <v>98</v>
      </c>
      <c r="BM271" s="20" t="str">
        <f t="shared" si="27"/>
        <v>76</v>
      </c>
      <c r="BN271" s="10" t="s">
        <v>89</v>
      </c>
      <c r="BO271" s="20" t="str">
        <f t="shared" si="28"/>
        <v>165</v>
      </c>
      <c r="BP271" s="10"/>
      <c r="BQ271" s="10" t="s">
        <v>262</v>
      </c>
      <c r="BR271" s="20" t="str">
        <f t="shared" si="32"/>
        <v>12.5</v>
      </c>
      <c r="BS271" s="21">
        <f t="shared" si="29"/>
        <v>89</v>
      </c>
    </row>
    <row r="272" spans="1:71" x14ac:dyDescent="0.2">
      <c r="A272" s="7" t="s">
        <v>63</v>
      </c>
      <c r="B272" s="7" t="s">
        <v>2182</v>
      </c>
      <c r="C272" s="7" t="s">
        <v>150</v>
      </c>
      <c r="D272" s="7" t="s">
        <v>64</v>
      </c>
      <c r="E272" s="7" t="s">
        <v>65</v>
      </c>
      <c r="F272" s="7" t="s">
        <v>64</v>
      </c>
      <c r="G272" s="7" t="s">
        <v>134</v>
      </c>
      <c r="H272" s="7" t="s">
        <v>67</v>
      </c>
      <c r="I272" s="7" t="s">
        <v>68</v>
      </c>
      <c r="J272" s="7" t="s">
        <v>69</v>
      </c>
      <c r="K272" s="7" t="s">
        <v>70</v>
      </c>
      <c r="L272" s="7">
        <v>657</v>
      </c>
      <c r="M272" s="7">
        <v>657</v>
      </c>
      <c r="N272" s="7">
        <v>657</v>
      </c>
      <c r="O272" s="7">
        <v>657</v>
      </c>
      <c r="P272" s="7" t="s">
        <v>92</v>
      </c>
      <c r="Q272" s="7"/>
      <c r="R272" s="7" t="s">
        <v>93</v>
      </c>
      <c r="S272" s="7"/>
      <c r="T272" s="7" t="s">
        <v>151</v>
      </c>
      <c r="U272" s="8">
        <v>41128</v>
      </c>
      <c r="V272" s="7">
        <v>7</v>
      </c>
      <c r="W272" s="7">
        <v>8</v>
      </c>
      <c r="X272" s="7">
        <v>2012</v>
      </c>
      <c r="Y272" s="7" t="s">
        <v>145</v>
      </c>
      <c r="Z272" s="7" t="s">
        <v>72</v>
      </c>
      <c r="AA272" s="7">
        <v>32.287210000000002</v>
      </c>
      <c r="AB272" s="7">
        <v>-110.99599000000001</v>
      </c>
      <c r="AC272" s="7"/>
      <c r="AD272" s="7" t="s">
        <v>96</v>
      </c>
      <c r="AE272" s="7" t="s">
        <v>74</v>
      </c>
      <c r="AF272" s="7"/>
      <c r="AG272" s="7"/>
      <c r="AH272" s="7"/>
      <c r="AI272" s="7"/>
      <c r="AJ272" s="7"/>
      <c r="AK272" s="7"/>
      <c r="AL272" s="7"/>
      <c r="AM272" s="7"/>
      <c r="AN272" s="7"/>
      <c r="AO272" s="7" t="s">
        <v>76</v>
      </c>
      <c r="AP272" s="20" t="str">
        <f t="shared" si="30"/>
        <v>13</v>
      </c>
      <c r="AQ272" s="7"/>
      <c r="AR272" s="7"/>
      <c r="AS272" s="7"/>
      <c r="AT272" s="7"/>
      <c r="AU272" s="7" t="s">
        <v>121</v>
      </c>
      <c r="AV272" s="20" t="str">
        <f t="shared" si="31"/>
        <v>18</v>
      </c>
      <c r="AW272" s="7"/>
      <c r="AX272" s="7"/>
      <c r="AY272" s="7"/>
      <c r="AZ272" s="7"/>
      <c r="BA272" s="7"/>
      <c r="BB272" s="7"/>
      <c r="BC272" s="7"/>
      <c r="BD272" s="7" t="s">
        <v>152</v>
      </c>
      <c r="BF272" s="7"/>
      <c r="BG272" s="7"/>
      <c r="BH272" s="7" t="s">
        <v>78</v>
      </c>
      <c r="BI272" s="7"/>
      <c r="BJ272" s="7"/>
      <c r="BK272" s="7"/>
      <c r="BL272" s="7" t="s">
        <v>153</v>
      </c>
      <c r="BM272" s="20" t="str">
        <f t="shared" si="27"/>
        <v>81</v>
      </c>
      <c r="BN272" s="7" t="s">
        <v>154</v>
      </c>
      <c r="BO272" s="20" t="str">
        <f t="shared" si="28"/>
        <v>170</v>
      </c>
      <c r="BP272" s="7"/>
      <c r="BQ272" s="7" t="s">
        <v>138</v>
      </c>
      <c r="BR272" s="20" t="str">
        <f t="shared" si="32"/>
        <v>15.5</v>
      </c>
      <c r="BS272" s="21">
        <f t="shared" si="29"/>
        <v>89</v>
      </c>
    </row>
    <row r="273" spans="1:72" x14ac:dyDescent="0.2">
      <c r="A273" s="7" t="s">
        <v>63</v>
      </c>
      <c r="B273" s="7" t="s">
        <v>2195</v>
      </c>
      <c r="C273" s="7" t="s">
        <v>1279</v>
      </c>
      <c r="D273" s="7" t="s">
        <v>64</v>
      </c>
      <c r="E273" s="7" t="s">
        <v>65</v>
      </c>
      <c r="F273" s="7" t="s">
        <v>64</v>
      </c>
      <c r="G273" s="7" t="s">
        <v>615</v>
      </c>
      <c r="H273" s="7" t="s">
        <v>67</v>
      </c>
      <c r="I273" s="7" t="s">
        <v>68</v>
      </c>
      <c r="J273" s="7" t="s">
        <v>1136</v>
      </c>
      <c r="K273" s="7" t="s">
        <v>1210</v>
      </c>
      <c r="L273" s="7">
        <v>806</v>
      </c>
      <c r="M273" s="7">
        <v>806</v>
      </c>
      <c r="N273" s="7">
        <v>2645</v>
      </c>
      <c r="O273" s="7">
        <v>2645</v>
      </c>
      <c r="P273" s="7" t="s">
        <v>1280</v>
      </c>
      <c r="Q273" s="7"/>
      <c r="R273" s="7" t="s">
        <v>1281</v>
      </c>
      <c r="S273" s="7" t="s">
        <v>1282</v>
      </c>
      <c r="T273" s="7" t="s">
        <v>1283</v>
      </c>
      <c r="U273" s="9">
        <v>41071</v>
      </c>
      <c r="V273" s="7">
        <v>11</v>
      </c>
      <c r="W273" s="7">
        <v>6</v>
      </c>
      <c r="X273" s="7">
        <v>2012</v>
      </c>
      <c r="Y273" s="7" t="s">
        <v>1284</v>
      </c>
      <c r="Z273" s="7" t="s">
        <v>72</v>
      </c>
      <c r="AA273" s="7">
        <v>37.063749999999999</v>
      </c>
      <c r="AB273" s="7">
        <v>-113.5223333333</v>
      </c>
      <c r="AC273" s="7"/>
      <c r="AD273" s="7" t="s">
        <v>73</v>
      </c>
      <c r="AE273" s="7" t="s">
        <v>74</v>
      </c>
      <c r="AF273" s="7"/>
      <c r="AG273" s="7"/>
      <c r="AH273" s="7"/>
      <c r="AI273" s="7" t="s">
        <v>75</v>
      </c>
      <c r="AJ273" s="7"/>
      <c r="AK273" s="7"/>
      <c r="AL273" s="7"/>
      <c r="AM273" s="7"/>
      <c r="AN273" s="7"/>
      <c r="AO273" s="7" t="s">
        <v>76</v>
      </c>
      <c r="AP273" s="20" t="str">
        <f t="shared" si="30"/>
        <v>13</v>
      </c>
      <c r="AQ273" s="7"/>
      <c r="AR273" s="7"/>
      <c r="AS273" s="7"/>
      <c r="AT273" s="7"/>
      <c r="AU273" s="7" t="s">
        <v>141</v>
      </c>
      <c r="AV273" s="20" t="str">
        <f t="shared" si="31"/>
        <v>18.5</v>
      </c>
      <c r="AW273" s="7"/>
      <c r="AX273" s="7"/>
      <c r="AY273" s="7"/>
      <c r="AZ273" s="7"/>
      <c r="BA273" s="7"/>
      <c r="BB273" s="7"/>
      <c r="BC273" s="7"/>
      <c r="BD273" s="7" t="s">
        <v>1285</v>
      </c>
      <c r="BE273" s="20" t="s">
        <v>241</v>
      </c>
      <c r="BF273" s="7"/>
      <c r="BG273" s="7"/>
      <c r="BH273" s="7" t="s">
        <v>78</v>
      </c>
      <c r="BI273" s="7"/>
      <c r="BJ273" s="7"/>
      <c r="BK273" s="7"/>
      <c r="BL273" s="7" t="s">
        <v>1286</v>
      </c>
      <c r="BM273" s="20" t="str">
        <f t="shared" si="27"/>
        <v>84.5</v>
      </c>
      <c r="BN273" s="7" t="s">
        <v>1106</v>
      </c>
      <c r="BO273" s="20" t="str">
        <f t="shared" si="28"/>
        <v>173.5</v>
      </c>
      <c r="BP273" s="7"/>
      <c r="BQ273" s="7" t="s">
        <v>663</v>
      </c>
      <c r="BR273" s="20" t="str">
        <f t="shared" si="32"/>
        <v>17.3</v>
      </c>
      <c r="BS273" s="21">
        <f t="shared" si="29"/>
        <v>89</v>
      </c>
    </row>
    <row r="274" spans="1:72" x14ac:dyDescent="0.2">
      <c r="A274" t="s">
        <v>63</v>
      </c>
      <c r="C274" t="s">
        <v>1543</v>
      </c>
      <c r="D274" t="s">
        <v>64</v>
      </c>
      <c r="E274" t="s">
        <v>65</v>
      </c>
      <c r="F274" t="s">
        <v>64</v>
      </c>
      <c r="G274" t="s">
        <v>211</v>
      </c>
      <c r="H274" t="s">
        <v>212</v>
      </c>
      <c r="I274" t="s">
        <v>701</v>
      </c>
      <c r="J274" t="s">
        <v>702</v>
      </c>
      <c r="L274">
        <v>2557</v>
      </c>
      <c r="M274">
        <v>2557</v>
      </c>
      <c r="N274">
        <v>8389</v>
      </c>
      <c r="O274">
        <v>8389</v>
      </c>
      <c r="P274" t="s">
        <v>1538</v>
      </c>
      <c r="R274" t="s">
        <v>1539</v>
      </c>
      <c r="T274" t="s">
        <v>1540</v>
      </c>
      <c r="U274" s="2">
        <v>41235</v>
      </c>
      <c r="V274">
        <v>22</v>
      </c>
      <c r="W274">
        <v>11</v>
      </c>
      <c r="X274">
        <v>2012</v>
      </c>
      <c r="Y274">
        <f>-0.17635/-78.32885</f>
        <v>2.2514054527801699E-3</v>
      </c>
      <c r="Z274" t="s">
        <v>72</v>
      </c>
      <c r="AA274">
        <v>-0.17635000000000001</v>
      </c>
      <c r="AB274">
        <v>-78.328850000000003</v>
      </c>
      <c r="AD274" t="s">
        <v>96</v>
      </c>
      <c r="AE274" t="s">
        <v>74</v>
      </c>
      <c r="AI274" t="s">
        <v>75</v>
      </c>
      <c r="AO274" t="s">
        <v>130</v>
      </c>
      <c r="AP274" s="20" t="str">
        <f t="shared" si="30"/>
        <v>19</v>
      </c>
      <c r="AU274" t="s">
        <v>111</v>
      </c>
      <c r="AV274" s="20" t="str">
        <f t="shared" si="31"/>
        <v>20</v>
      </c>
      <c r="BD274" t="s">
        <v>1544</v>
      </c>
      <c r="BE274" s="20" t="s">
        <v>241</v>
      </c>
      <c r="BH274" t="s">
        <v>78</v>
      </c>
      <c r="BL274" t="s">
        <v>153</v>
      </c>
      <c r="BM274" s="20" t="str">
        <f t="shared" si="27"/>
        <v>81</v>
      </c>
      <c r="BN274" t="s">
        <v>154</v>
      </c>
      <c r="BO274" s="20" t="str">
        <f t="shared" si="28"/>
        <v>170</v>
      </c>
      <c r="BQ274" t="s">
        <v>616</v>
      </c>
      <c r="BR274" s="20" t="str">
        <f t="shared" si="32"/>
        <v>21</v>
      </c>
      <c r="BS274" s="21">
        <f t="shared" si="29"/>
        <v>89</v>
      </c>
    </row>
    <row r="275" spans="1:72" x14ac:dyDescent="0.2">
      <c r="A275" s="4" t="s">
        <v>63</v>
      </c>
      <c r="B275" s="4" t="s">
        <v>2137</v>
      </c>
      <c r="C275" s="4" t="s">
        <v>1589</v>
      </c>
      <c r="D275" s="4" t="s">
        <v>64</v>
      </c>
      <c r="E275" s="4" t="s">
        <v>65</v>
      </c>
      <c r="F275" s="4" t="s">
        <v>64</v>
      </c>
      <c r="G275" s="4" t="s">
        <v>134</v>
      </c>
      <c r="H275" s="4" t="s">
        <v>67</v>
      </c>
      <c r="I275" s="4" t="s">
        <v>68</v>
      </c>
      <c r="J275" s="4" t="s">
        <v>1590</v>
      </c>
      <c r="K275" s="4" t="s">
        <v>1591</v>
      </c>
      <c r="L275" s="4">
        <v>218</v>
      </c>
      <c r="M275" s="4">
        <v>218</v>
      </c>
      <c r="N275" s="4">
        <v>218</v>
      </c>
      <c r="O275" s="4">
        <v>218</v>
      </c>
      <c r="P275" s="4" t="s">
        <v>1592</v>
      </c>
      <c r="Q275" s="4"/>
      <c r="R275" s="4" t="s">
        <v>1593</v>
      </c>
      <c r="S275" s="4"/>
      <c r="T275" s="4" t="s">
        <v>1594</v>
      </c>
      <c r="U275" s="5">
        <v>41067</v>
      </c>
      <c r="V275" s="4">
        <v>7</v>
      </c>
      <c r="W275" s="4">
        <v>6</v>
      </c>
      <c r="X275" s="4">
        <v>2012</v>
      </c>
      <c r="Y275" s="4" t="s">
        <v>1595</v>
      </c>
      <c r="Z275" s="4" t="s">
        <v>72</v>
      </c>
      <c r="AA275" s="4">
        <v>33.946390000000001</v>
      </c>
      <c r="AB275" s="4">
        <v>-83.383840000000006</v>
      </c>
      <c r="AC275" s="4"/>
      <c r="AD275" s="4" t="s">
        <v>73</v>
      </c>
      <c r="AE275" s="4" t="s">
        <v>74</v>
      </c>
      <c r="AF275" s="4"/>
      <c r="AG275" s="4"/>
      <c r="AH275" s="4"/>
      <c r="AI275" s="4"/>
      <c r="AJ275" s="4"/>
      <c r="AK275" s="4"/>
      <c r="AL275" s="4"/>
      <c r="AM275" s="4"/>
      <c r="AN275" s="4"/>
      <c r="AO275" s="4" t="s">
        <v>87</v>
      </c>
      <c r="AP275" s="20" t="str">
        <f t="shared" si="30"/>
        <v>14</v>
      </c>
      <c r="AQ275" s="4"/>
      <c r="AR275" s="4"/>
      <c r="AS275" s="4"/>
      <c r="AT275" s="4"/>
      <c r="AU275" s="4" t="s">
        <v>653</v>
      </c>
      <c r="AV275" s="20" t="str">
        <f t="shared" si="31"/>
        <v>17.5</v>
      </c>
      <c r="AW275" s="4"/>
      <c r="AX275" s="4"/>
      <c r="AY275" s="4"/>
      <c r="AZ275" s="4"/>
      <c r="BA275" s="4"/>
      <c r="BB275" s="4"/>
      <c r="BC275" s="4"/>
      <c r="BD275" s="4" t="s">
        <v>1596</v>
      </c>
      <c r="BE275" s="20" t="s">
        <v>241</v>
      </c>
      <c r="BF275" s="4"/>
      <c r="BG275" s="4"/>
      <c r="BH275" s="4" t="s">
        <v>78</v>
      </c>
      <c r="BI275" s="4"/>
      <c r="BJ275" s="4"/>
      <c r="BK275" s="4"/>
      <c r="BL275" s="4" t="s">
        <v>174</v>
      </c>
      <c r="BM275" s="20" t="str">
        <f t="shared" si="27"/>
        <v>83</v>
      </c>
      <c r="BN275" s="4" t="s">
        <v>114</v>
      </c>
      <c r="BO275" s="20" t="str">
        <f t="shared" si="28"/>
        <v>172</v>
      </c>
      <c r="BP275" s="4"/>
      <c r="BQ275" s="4" t="s">
        <v>1597</v>
      </c>
      <c r="BR275" s="20" t="str">
        <f t="shared" si="32"/>
        <v>21.38</v>
      </c>
      <c r="BS275" s="21">
        <f t="shared" si="29"/>
        <v>89</v>
      </c>
    </row>
    <row r="276" spans="1:72" x14ac:dyDescent="0.2">
      <c r="A276" s="10" t="s">
        <v>63</v>
      </c>
      <c r="B276" s="10" t="s">
        <v>2268</v>
      </c>
      <c r="C276" s="10" t="s">
        <v>600</v>
      </c>
      <c r="D276" s="10" t="s">
        <v>64</v>
      </c>
      <c r="E276" s="10" t="s">
        <v>65</v>
      </c>
      <c r="F276" s="10" t="s">
        <v>64</v>
      </c>
      <c r="G276" s="10" t="s">
        <v>211</v>
      </c>
      <c r="H276" s="10" t="s">
        <v>212</v>
      </c>
      <c r="I276" s="10" t="s">
        <v>383</v>
      </c>
      <c r="J276" s="10" t="s">
        <v>551</v>
      </c>
      <c r="K276" s="10"/>
      <c r="L276" s="10">
        <v>508</v>
      </c>
      <c r="M276" s="10">
        <v>508</v>
      </c>
      <c r="N276" s="10">
        <v>1668</v>
      </c>
      <c r="O276" s="10">
        <v>1668</v>
      </c>
      <c r="P276" s="10" t="s">
        <v>601</v>
      </c>
      <c r="Q276" s="10"/>
      <c r="R276" s="10" t="s">
        <v>553</v>
      </c>
      <c r="S276" s="10" t="s">
        <v>602</v>
      </c>
      <c r="T276" s="10" t="s">
        <v>603</v>
      </c>
      <c r="U276" s="11">
        <v>41417</v>
      </c>
      <c r="V276" s="10">
        <v>23</v>
      </c>
      <c r="W276" s="10">
        <v>5</v>
      </c>
      <c r="X276" s="10">
        <v>2013</v>
      </c>
      <c r="Y276" s="10">
        <f>-23.3848333333/-51.9081666667</f>
        <v>0.45050393483270107</v>
      </c>
      <c r="Z276" s="10" t="s">
        <v>72</v>
      </c>
      <c r="AA276" s="10">
        <v>-23.384833333300001</v>
      </c>
      <c r="AB276" s="10">
        <v>-51.908166666699998</v>
      </c>
      <c r="AC276" s="10"/>
      <c r="AD276" s="10" t="s">
        <v>73</v>
      </c>
      <c r="AE276" s="10" t="s">
        <v>74</v>
      </c>
      <c r="AF276" s="10"/>
      <c r="AG276" s="10"/>
      <c r="AH276" s="10"/>
      <c r="AI276" s="10"/>
      <c r="AJ276" s="10"/>
      <c r="AK276" s="10"/>
      <c r="AL276" s="10"/>
      <c r="AM276" s="10"/>
      <c r="AN276" s="10"/>
      <c r="AO276" s="10" t="s">
        <v>87</v>
      </c>
      <c r="AP276" s="20" t="str">
        <f t="shared" si="30"/>
        <v>14</v>
      </c>
      <c r="AQ276" s="10"/>
      <c r="AR276" s="10"/>
      <c r="AS276" s="10"/>
      <c r="AT276" s="10"/>
      <c r="AU276" s="10" t="s">
        <v>82</v>
      </c>
      <c r="AV276" s="20" t="str">
        <f t="shared" si="31"/>
        <v>17</v>
      </c>
      <c r="AW276" s="10"/>
      <c r="AX276" s="10"/>
      <c r="AY276" s="10"/>
      <c r="AZ276" s="10"/>
      <c r="BA276" s="10"/>
      <c r="BB276" s="10"/>
      <c r="BC276" s="10"/>
      <c r="BD276" s="10" t="s">
        <v>604</v>
      </c>
      <c r="BE276" s="20" t="s">
        <v>241</v>
      </c>
      <c r="BF276" s="10"/>
      <c r="BG276" s="10"/>
      <c r="BH276" s="10" t="s">
        <v>78</v>
      </c>
      <c r="BI276" s="10"/>
      <c r="BJ276" s="10"/>
      <c r="BK276" s="10"/>
      <c r="BL276" s="10" t="s">
        <v>147</v>
      </c>
      <c r="BM276" s="20" t="str">
        <f t="shared" si="27"/>
        <v>84</v>
      </c>
      <c r="BN276" s="10" t="s">
        <v>161</v>
      </c>
      <c r="BO276" s="20" t="str">
        <f t="shared" si="28"/>
        <v>173</v>
      </c>
      <c r="BP276" s="10"/>
      <c r="BQ276" s="10" t="s">
        <v>340</v>
      </c>
      <c r="BR276" s="20" t="str">
        <f t="shared" si="32"/>
        <v>15</v>
      </c>
      <c r="BS276" s="21">
        <f t="shared" si="29"/>
        <v>89</v>
      </c>
    </row>
    <row r="277" spans="1:72" x14ac:dyDescent="0.2">
      <c r="A277" s="10" t="s">
        <v>63</v>
      </c>
      <c r="B277" s="10" t="s">
        <v>2265</v>
      </c>
      <c r="C277" s="10" t="s">
        <v>586</v>
      </c>
      <c r="D277" s="10" t="s">
        <v>64</v>
      </c>
      <c r="E277" s="10" t="s">
        <v>65</v>
      </c>
      <c r="F277" s="10" t="s">
        <v>64</v>
      </c>
      <c r="G277" s="10" t="s">
        <v>211</v>
      </c>
      <c r="H277" s="10" t="s">
        <v>212</v>
      </c>
      <c r="I277" s="10" t="s">
        <v>383</v>
      </c>
      <c r="J277" s="10" t="s">
        <v>551</v>
      </c>
      <c r="K277" s="10"/>
      <c r="L277" s="10">
        <v>556</v>
      </c>
      <c r="M277" s="10">
        <v>556</v>
      </c>
      <c r="N277" s="10">
        <v>1825</v>
      </c>
      <c r="O277" s="10">
        <v>1825</v>
      </c>
      <c r="P277" s="10" t="s">
        <v>587</v>
      </c>
      <c r="Q277" s="10"/>
      <c r="R277" s="10" t="s">
        <v>553</v>
      </c>
      <c r="S277" s="10" t="s">
        <v>588</v>
      </c>
      <c r="T277" s="10" t="s">
        <v>589</v>
      </c>
      <c r="U277" s="11">
        <v>41417</v>
      </c>
      <c r="V277" s="10">
        <v>23</v>
      </c>
      <c r="W277" s="10">
        <v>5</v>
      </c>
      <c r="X277" s="10">
        <v>2013</v>
      </c>
      <c r="Y277" s="10">
        <f>-23.419/-51.8595</f>
        <v>0.45158553399087925</v>
      </c>
      <c r="Z277" s="10" t="s">
        <v>72</v>
      </c>
      <c r="AA277" s="10">
        <v>-23.419</v>
      </c>
      <c r="AB277" s="10">
        <v>-51.859499999999997</v>
      </c>
      <c r="AC277" s="10"/>
      <c r="AD277" s="10" t="s">
        <v>73</v>
      </c>
      <c r="AE277" s="10" t="s">
        <v>74</v>
      </c>
      <c r="AF277" s="10"/>
      <c r="AG277" s="10"/>
      <c r="AH277" s="10"/>
      <c r="AI277" s="10"/>
      <c r="AJ277" s="10"/>
      <c r="AK277" s="10"/>
      <c r="AL277" s="10"/>
      <c r="AM277" s="10"/>
      <c r="AN277" s="10"/>
      <c r="AO277" s="10" t="s">
        <v>76</v>
      </c>
      <c r="AP277" s="20" t="str">
        <f t="shared" si="30"/>
        <v>13</v>
      </c>
      <c r="AQ277" s="10"/>
      <c r="AR277" s="10"/>
      <c r="AS277" s="10"/>
      <c r="AT277" s="10"/>
      <c r="AU277" s="10" t="s">
        <v>121</v>
      </c>
      <c r="AV277" s="20" t="str">
        <f t="shared" si="31"/>
        <v>18</v>
      </c>
      <c r="AW277" s="10"/>
      <c r="AX277" s="10"/>
      <c r="AY277" s="10"/>
      <c r="AZ277" s="10"/>
      <c r="BA277" s="10"/>
      <c r="BB277" s="10"/>
      <c r="BC277" s="10"/>
      <c r="BD277" s="10" t="s">
        <v>590</v>
      </c>
      <c r="BF277" s="10"/>
      <c r="BG277" s="10"/>
      <c r="BH277" s="10" t="s">
        <v>83</v>
      </c>
      <c r="BI277" s="10"/>
      <c r="BJ277" s="10"/>
      <c r="BK277" s="10"/>
      <c r="BL277" s="10" t="s">
        <v>103</v>
      </c>
      <c r="BM277" s="20" t="str">
        <f t="shared" si="27"/>
        <v>91</v>
      </c>
      <c r="BN277" s="10" t="s">
        <v>198</v>
      </c>
      <c r="BO277" s="20" t="str">
        <f t="shared" si="28"/>
        <v>180</v>
      </c>
      <c r="BP277" s="10"/>
      <c r="BQ277" s="10" t="s">
        <v>224</v>
      </c>
      <c r="BR277" s="20" t="str">
        <f t="shared" si="32"/>
        <v>14.25</v>
      </c>
      <c r="BS277" s="21">
        <f t="shared" si="29"/>
        <v>89</v>
      </c>
      <c r="BT277" s="10"/>
    </row>
    <row r="278" spans="1:72" x14ac:dyDescent="0.2">
      <c r="A278" s="13" t="s">
        <v>63</v>
      </c>
      <c r="B278" s="13" t="s">
        <v>2388</v>
      </c>
      <c r="C278" s="13" t="s">
        <v>1513</v>
      </c>
      <c r="D278" s="13" t="s">
        <v>64</v>
      </c>
      <c r="E278" s="13" t="s">
        <v>65</v>
      </c>
      <c r="F278" s="13" t="s">
        <v>64</v>
      </c>
      <c r="G278" s="13" t="s">
        <v>211</v>
      </c>
      <c r="H278" s="13" t="s">
        <v>212</v>
      </c>
      <c r="I278" s="13" t="s">
        <v>701</v>
      </c>
      <c r="J278" s="13" t="s">
        <v>1466</v>
      </c>
      <c r="K278" s="13"/>
      <c r="L278" s="13">
        <v>487</v>
      </c>
      <c r="M278" s="13">
        <v>487</v>
      </c>
      <c r="N278" s="13">
        <v>1599</v>
      </c>
      <c r="O278" s="13">
        <v>1599</v>
      </c>
      <c r="P278" s="13" t="s">
        <v>1514</v>
      </c>
      <c r="Q278" s="13"/>
      <c r="R278" s="13" t="s">
        <v>1515</v>
      </c>
      <c r="S278" s="13"/>
      <c r="T278" s="13" t="s">
        <v>1516</v>
      </c>
      <c r="U278" s="14">
        <v>41255</v>
      </c>
      <c r="V278" s="13">
        <v>12</v>
      </c>
      <c r="W278" s="13">
        <v>12</v>
      </c>
      <c r="X278" s="13">
        <v>2012</v>
      </c>
      <c r="Y278" s="13">
        <f>-0.27955/-79.2117833333</f>
        <v>3.5291466526354474E-3</v>
      </c>
      <c r="Z278" s="13" t="s">
        <v>72</v>
      </c>
      <c r="AA278" s="13">
        <v>-0.27955000000000002</v>
      </c>
      <c r="AB278" s="13">
        <v>-79.211783333300005</v>
      </c>
      <c r="AC278" s="13"/>
      <c r="AD278" s="13" t="s">
        <v>96</v>
      </c>
      <c r="AE278" s="13" t="s">
        <v>74</v>
      </c>
      <c r="AF278" s="13"/>
      <c r="AG278" s="13"/>
      <c r="AH278" s="13"/>
      <c r="AI278" s="13" t="s">
        <v>75</v>
      </c>
      <c r="AJ278" s="13"/>
      <c r="AK278" s="13"/>
      <c r="AL278" s="13"/>
      <c r="AM278" s="13"/>
      <c r="AN278" s="13"/>
      <c r="AO278" s="13" t="s">
        <v>87</v>
      </c>
      <c r="AP278" s="20" t="str">
        <f t="shared" si="30"/>
        <v>14</v>
      </c>
      <c r="AQ278" s="13"/>
      <c r="AR278" s="13"/>
      <c r="AS278" s="13"/>
      <c r="AT278" s="13"/>
      <c r="AU278" s="13" t="s">
        <v>111</v>
      </c>
      <c r="AV278" s="20" t="str">
        <f t="shared" si="31"/>
        <v>20</v>
      </c>
      <c r="AW278" s="13"/>
      <c r="AX278" s="13"/>
      <c r="AY278" s="13"/>
      <c r="AZ278" s="13"/>
      <c r="BA278" s="13"/>
      <c r="BB278" s="13"/>
      <c r="BC278" s="13"/>
      <c r="BD278" s="13" t="s">
        <v>1372</v>
      </c>
      <c r="BF278" s="13"/>
      <c r="BG278" s="13"/>
      <c r="BH278" s="13" t="s">
        <v>83</v>
      </c>
      <c r="BI278" s="13"/>
      <c r="BJ278" s="13"/>
      <c r="BK278" s="13"/>
      <c r="BL278" s="13" t="s">
        <v>147</v>
      </c>
      <c r="BM278" s="20" t="str">
        <f t="shared" si="27"/>
        <v>84</v>
      </c>
      <c r="BN278" s="13" t="s">
        <v>161</v>
      </c>
      <c r="BO278" s="20" t="str">
        <f t="shared" si="28"/>
        <v>173</v>
      </c>
      <c r="BP278" s="13"/>
      <c r="BQ278" s="13" t="s">
        <v>90</v>
      </c>
      <c r="BR278" s="20" t="str">
        <f t="shared" si="32"/>
        <v>12.75</v>
      </c>
      <c r="BS278" s="21">
        <f t="shared" si="29"/>
        <v>89</v>
      </c>
    </row>
    <row r="279" spans="1:72" x14ac:dyDescent="0.2">
      <c r="A279" t="s">
        <v>63</v>
      </c>
      <c r="C279" t="s">
        <v>700</v>
      </c>
      <c r="D279" t="s">
        <v>64</v>
      </c>
      <c r="E279" t="s">
        <v>65</v>
      </c>
      <c r="F279" t="s">
        <v>64</v>
      </c>
      <c r="G279" t="s">
        <v>211</v>
      </c>
      <c r="H279" t="s">
        <v>212</v>
      </c>
      <c r="I279" t="s">
        <v>701</v>
      </c>
      <c r="J279" t="s">
        <v>702</v>
      </c>
      <c r="L279">
        <v>2589</v>
      </c>
      <c r="M279">
        <v>2589</v>
      </c>
      <c r="N279">
        <v>8494</v>
      </c>
      <c r="O279">
        <v>8494</v>
      </c>
      <c r="P279" t="s">
        <v>703</v>
      </c>
      <c r="R279" t="s">
        <v>704</v>
      </c>
      <c r="T279" t="s">
        <v>705</v>
      </c>
      <c r="U279" s="2">
        <v>41219</v>
      </c>
      <c r="V279">
        <v>6</v>
      </c>
      <c r="W279">
        <v>11</v>
      </c>
      <c r="X279">
        <v>2012</v>
      </c>
      <c r="Y279">
        <f>-0.2479166667/-78.3570166667</f>
        <v>3.1639370313770393E-3</v>
      </c>
      <c r="Z279" t="s">
        <v>72</v>
      </c>
      <c r="AA279">
        <v>-0.24791666670000001</v>
      </c>
      <c r="AB279">
        <v>-78.357016666700005</v>
      </c>
      <c r="AD279" t="s">
        <v>96</v>
      </c>
      <c r="AE279" t="s">
        <v>74</v>
      </c>
      <c r="AI279" t="s">
        <v>75</v>
      </c>
      <c r="AO279" t="s">
        <v>88</v>
      </c>
      <c r="AP279" s="20" t="str">
        <f t="shared" si="30"/>
        <v>15</v>
      </c>
      <c r="AU279" t="s">
        <v>121</v>
      </c>
      <c r="AV279" s="20" t="str">
        <f t="shared" si="31"/>
        <v>18</v>
      </c>
      <c r="BD279" t="s">
        <v>706</v>
      </c>
      <c r="BH279" t="s">
        <v>83</v>
      </c>
      <c r="BL279" t="s">
        <v>136</v>
      </c>
      <c r="BM279" s="20" t="str">
        <f t="shared" si="27"/>
        <v>75</v>
      </c>
      <c r="BN279" t="s">
        <v>99</v>
      </c>
      <c r="BO279" s="20" t="str">
        <f t="shared" si="28"/>
        <v>164</v>
      </c>
      <c r="BQ279" t="s">
        <v>512</v>
      </c>
      <c r="BR279" s="20" t="str">
        <f t="shared" si="32"/>
        <v>13.5</v>
      </c>
      <c r="BS279" s="21">
        <f t="shared" si="29"/>
        <v>89</v>
      </c>
    </row>
    <row r="280" spans="1:72" x14ac:dyDescent="0.2">
      <c r="A280" t="s">
        <v>63</v>
      </c>
      <c r="C280" t="s">
        <v>1900</v>
      </c>
      <c r="D280" t="s">
        <v>64</v>
      </c>
      <c r="E280" t="s">
        <v>65</v>
      </c>
      <c r="F280" t="s">
        <v>64</v>
      </c>
      <c r="G280" t="s">
        <v>1886</v>
      </c>
      <c r="H280" t="s">
        <v>212</v>
      </c>
      <c r="I280" t="s">
        <v>1887</v>
      </c>
      <c r="J280" t="s">
        <v>1888</v>
      </c>
      <c r="L280">
        <v>3866</v>
      </c>
      <c r="M280">
        <v>3866</v>
      </c>
      <c r="N280">
        <v>3866</v>
      </c>
      <c r="O280">
        <v>3866</v>
      </c>
      <c r="P280" t="s">
        <v>1893</v>
      </c>
      <c r="R280" t="s">
        <v>1894</v>
      </c>
      <c r="S280" t="s">
        <v>1895</v>
      </c>
      <c r="T280" t="s">
        <v>1896</v>
      </c>
      <c r="U280" s="2">
        <v>41863</v>
      </c>
      <c r="V280">
        <v>12</v>
      </c>
      <c r="W280">
        <v>8</v>
      </c>
      <c r="X280">
        <v>2014</v>
      </c>
      <c r="Y280">
        <f>-16.5476833333/-68.0251166667</f>
        <v>0.24325843371027259</v>
      </c>
      <c r="Z280" t="s">
        <v>72</v>
      </c>
      <c r="AA280">
        <v>-16.5476833333</v>
      </c>
      <c r="AB280">
        <v>-68.025116666700001</v>
      </c>
      <c r="AC280">
        <v>100</v>
      </c>
      <c r="AD280" t="s">
        <v>73</v>
      </c>
      <c r="AE280" t="s">
        <v>74</v>
      </c>
      <c r="AI280" t="s">
        <v>75</v>
      </c>
      <c r="AO280" t="s">
        <v>76</v>
      </c>
      <c r="AP280" s="20" t="str">
        <f t="shared" si="30"/>
        <v>13</v>
      </c>
      <c r="AU280" t="s">
        <v>141</v>
      </c>
      <c r="AV280" s="20" t="str">
        <f t="shared" si="31"/>
        <v>18.5</v>
      </c>
      <c r="BD280" t="s">
        <v>1901</v>
      </c>
      <c r="BH280" t="s">
        <v>83</v>
      </c>
      <c r="BL280" t="s">
        <v>313</v>
      </c>
      <c r="BM280" s="20" t="str">
        <f t="shared" si="27"/>
        <v>89</v>
      </c>
      <c r="BN280" t="s">
        <v>347</v>
      </c>
      <c r="BO280" s="20" t="str">
        <f t="shared" si="28"/>
        <v>178</v>
      </c>
      <c r="BQ280" t="s">
        <v>966</v>
      </c>
      <c r="BR280" s="20" t="str">
        <f t="shared" si="32"/>
        <v>15.4</v>
      </c>
      <c r="BS280" s="21">
        <f t="shared" si="29"/>
        <v>89</v>
      </c>
    </row>
    <row r="281" spans="1:72" x14ac:dyDescent="0.2">
      <c r="A281" s="13" t="s">
        <v>63</v>
      </c>
      <c r="B281" s="13"/>
      <c r="C281" s="13" t="s">
        <v>2037</v>
      </c>
      <c r="D281" s="13" t="s">
        <v>64</v>
      </c>
      <c r="E281" s="13" t="s">
        <v>65</v>
      </c>
      <c r="F281" s="13" t="s">
        <v>64</v>
      </c>
      <c r="G281" s="13" t="s">
        <v>1886</v>
      </c>
      <c r="H281" s="13" t="s">
        <v>212</v>
      </c>
      <c r="I281" s="13" t="s">
        <v>1887</v>
      </c>
      <c r="J281" s="13" t="s">
        <v>2009</v>
      </c>
      <c r="K281" s="13"/>
      <c r="L281" s="13">
        <v>306</v>
      </c>
      <c r="M281" s="13">
        <v>306</v>
      </c>
      <c r="N281" s="13">
        <v>306</v>
      </c>
      <c r="O281" s="13">
        <v>306</v>
      </c>
      <c r="P281" s="13" t="s">
        <v>2038</v>
      </c>
      <c r="Q281" s="13"/>
      <c r="R281" s="13" t="s">
        <v>2027</v>
      </c>
      <c r="S281" s="13"/>
      <c r="T281" s="13" t="s">
        <v>2039</v>
      </c>
      <c r="U281" s="15">
        <v>41880</v>
      </c>
      <c r="V281" s="13">
        <v>29</v>
      </c>
      <c r="W281" s="13">
        <v>8</v>
      </c>
      <c r="X281" s="13">
        <v>2014</v>
      </c>
      <c r="Y281" s="13">
        <f>-17.33055/-63.2491</f>
        <v>0.27400468939478978</v>
      </c>
      <c r="Z281" s="13" t="s">
        <v>72</v>
      </c>
      <c r="AA281" s="13">
        <v>-17.330549999999999</v>
      </c>
      <c r="AB281" s="13">
        <v>-63.249099999999999</v>
      </c>
      <c r="AC281" s="13">
        <v>100</v>
      </c>
      <c r="AD281" s="13" t="s">
        <v>73</v>
      </c>
      <c r="AE281" s="13" t="s">
        <v>74</v>
      </c>
      <c r="AF281" s="13"/>
      <c r="AG281" s="13"/>
      <c r="AH281" s="13"/>
      <c r="AI281" s="13"/>
      <c r="AJ281" s="13"/>
      <c r="AK281" s="13"/>
      <c r="AL281" s="13"/>
      <c r="AM281" s="13"/>
      <c r="AN281" s="13"/>
      <c r="AO281" s="13" t="s">
        <v>1130</v>
      </c>
      <c r="AP281" s="20" t="str">
        <f t="shared" si="30"/>
        <v>13.8</v>
      </c>
      <c r="AQ281" s="13"/>
      <c r="AR281" s="13"/>
      <c r="AS281" s="13"/>
      <c r="AT281" s="13"/>
      <c r="AU281" s="13" t="s">
        <v>820</v>
      </c>
      <c r="AV281" s="20" t="str">
        <f t="shared" si="31"/>
        <v>18.4</v>
      </c>
      <c r="AW281" s="13"/>
      <c r="AX281" s="13"/>
      <c r="AY281" s="13"/>
      <c r="AZ281" s="13"/>
      <c r="BA281" s="13"/>
      <c r="BB281" s="13"/>
      <c r="BC281" s="13"/>
      <c r="BD281" s="13" t="s">
        <v>2040</v>
      </c>
      <c r="BE281" s="20" t="s">
        <v>241</v>
      </c>
      <c r="BF281" s="13"/>
      <c r="BG281" s="13"/>
      <c r="BH281" s="13" t="s">
        <v>78</v>
      </c>
      <c r="BI281" s="13"/>
      <c r="BJ281" s="13"/>
      <c r="BK281" s="13"/>
      <c r="BL281" s="13" t="s">
        <v>899</v>
      </c>
      <c r="BM281" s="20" t="str">
        <f t="shared" si="27"/>
        <v>82.5</v>
      </c>
      <c r="BN281" s="13" t="s">
        <v>114</v>
      </c>
      <c r="BO281" s="20" t="str">
        <f t="shared" si="28"/>
        <v>172</v>
      </c>
      <c r="BP281" s="13"/>
      <c r="BQ281" s="13" t="s">
        <v>390</v>
      </c>
      <c r="BR281" s="20" t="str">
        <f t="shared" si="32"/>
        <v>14.5</v>
      </c>
      <c r="BS281" s="21">
        <f t="shared" si="29"/>
        <v>89.5</v>
      </c>
      <c r="BT281" s="10"/>
    </row>
    <row r="282" spans="1:72" x14ac:dyDescent="0.2">
      <c r="A282" t="s">
        <v>63</v>
      </c>
      <c r="C282" t="s">
        <v>2030</v>
      </c>
      <c r="D282" t="s">
        <v>64</v>
      </c>
      <c r="E282" t="s">
        <v>65</v>
      </c>
      <c r="F282" t="s">
        <v>64</v>
      </c>
      <c r="G282" t="s">
        <v>211</v>
      </c>
      <c r="H282" t="s">
        <v>67</v>
      </c>
      <c r="I282" t="s">
        <v>68</v>
      </c>
      <c r="J282" t="s">
        <v>2031</v>
      </c>
      <c r="K282" t="s">
        <v>1054</v>
      </c>
      <c r="L282">
        <v>2914</v>
      </c>
      <c r="M282">
        <v>2914</v>
      </c>
      <c r="N282">
        <v>9559</v>
      </c>
      <c r="O282">
        <v>9559</v>
      </c>
      <c r="P282" t="s">
        <v>2032</v>
      </c>
      <c r="R282" t="s">
        <v>2033</v>
      </c>
      <c r="S282" t="s">
        <v>299</v>
      </c>
      <c r="T282" t="s">
        <v>2034</v>
      </c>
      <c r="U282" s="1">
        <v>41186</v>
      </c>
      <c r="V282">
        <v>4</v>
      </c>
      <c r="W282">
        <v>10</v>
      </c>
      <c r="X282">
        <v>2012</v>
      </c>
      <c r="Y282" t="s">
        <v>2035</v>
      </c>
      <c r="Z282" t="s">
        <v>72</v>
      </c>
      <c r="AA282">
        <v>39.222516666700002</v>
      </c>
      <c r="AB282">
        <v>-106.3546</v>
      </c>
      <c r="AC282">
        <v>100</v>
      </c>
      <c r="AD282" t="s">
        <v>96</v>
      </c>
      <c r="AE282" t="s">
        <v>74</v>
      </c>
      <c r="AO282" t="s">
        <v>207</v>
      </c>
      <c r="AP282" s="20" t="str">
        <f t="shared" si="30"/>
        <v>13.5</v>
      </c>
      <c r="AU282" t="s">
        <v>653</v>
      </c>
      <c r="AV282" s="20" t="str">
        <f t="shared" si="31"/>
        <v>17.5</v>
      </c>
      <c r="BD282" t="s">
        <v>258</v>
      </c>
      <c r="BH282" t="s">
        <v>78</v>
      </c>
      <c r="BL282" t="s">
        <v>1060</v>
      </c>
      <c r="BM282" s="20" t="str">
        <f t="shared" si="27"/>
        <v>83.5</v>
      </c>
      <c r="BN282" t="s">
        <v>161</v>
      </c>
      <c r="BO282" s="20" t="str">
        <f t="shared" si="28"/>
        <v>173</v>
      </c>
      <c r="BQ282" t="s">
        <v>2036</v>
      </c>
      <c r="BR282" s="20" t="str">
        <f t="shared" si="32"/>
        <v>17.75</v>
      </c>
      <c r="BS282" s="21">
        <f t="shared" si="29"/>
        <v>89.5</v>
      </c>
      <c r="BT282" s="19"/>
    </row>
    <row r="283" spans="1:72" x14ac:dyDescent="0.2">
      <c r="A283" s="17" t="s">
        <v>63</v>
      </c>
      <c r="B283" s="17" t="s">
        <v>2329</v>
      </c>
      <c r="C283" s="17" t="s">
        <v>1030</v>
      </c>
      <c r="D283" s="17" t="s">
        <v>64</v>
      </c>
      <c r="E283" s="17" t="s">
        <v>65</v>
      </c>
      <c r="F283" s="17" t="s">
        <v>64</v>
      </c>
      <c r="G283" s="17" t="s">
        <v>615</v>
      </c>
      <c r="H283" s="17" t="s">
        <v>67</v>
      </c>
      <c r="I283" s="17" t="s">
        <v>68</v>
      </c>
      <c r="J283" s="17" t="s">
        <v>69</v>
      </c>
      <c r="K283" s="17" t="s">
        <v>70</v>
      </c>
      <c r="L283" s="17">
        <v>719</v>
      </c>
      <c r="M283" s="17">
        <v>719</v>
      </c>
      <c r="N283" s="17">
        <v>2359</v>
      </c>
      <c r="O283" s="17">
        <v>2359</v>
      </c>
      <c r="P283" s="17" t="s">
        <v>823</v>
      </c>
      <c r="Q283" s="17"/>
      <c r="R283" s="17" t="s">
        <v>1024</v>
      </c>
      <c r="S283" s="17" t="s">
        <v>1025</v>
      </c>
      <c r="T283" s="17" t="s">
        <v>1026</v>
      </c>
      <c r="U283" s="18">
        <v>41171</v>
      </c>
      <c r="V283" s="17">
        <v>19</v>
      </c>
      <c r="W283" s="17">
        <v>9</v>
      </c>
      <c r="X283" s="17">
        <v>2012</v>
      </c>
      <c r="Y283" s="17" t="s">
        <v>1027</v>
      </c>
      <c r="Z283" s="17" t="s">
        <v>72</v>
      </c>
      <c r="AA283" s="17">
        <v>32.166966666699999</v>
      </c>
      <c r="AB283" s="17">
        <v>-111.0858833333</v>
      </c>
      <c r="AC283" s="17"/>
      <c r="AD283" s="17" t="s">
        <v>73</v>
      </c>
      <c r="AE283" s="17" t="s">
        <v>74</v>
      </c>
      <c r="AF283" s="17"/>
      <c r="AG283" s="17"/>
      <c r="AH283" s="17"/>
      <c r="AI283" s="17" t="s">
        <v>75</v>
      </c>
      <c r="AJ283" s="17"/>
      <c r="AK283" s="17"/>
      <c r="AL283" s="17"/>
      <c r="AM283" s="17"/>
      <c r="AN283" s="17"/>
      <c r="AO283" s="17" t="s">
        <v>204</v>
      </c>
      <c r="AP283" s="20" t="str">
        <f t="shared" si="30"/>
        <v>15.5</v>
      </c>
      <c r="AQ283" s="17"/>
      <c r="AR283" s="17"/>
      <c r="AS283" s="17"/>
      <c r="AT283" s="17"/>
      <c r="AU283" s="17" t="s">
        <v>111</v>
      </c>
      <c r="AV283" s="20" t="str">
        <f t="shared" si="31"/>
        <v>20</v>
      </c>
      <c r="AW283" s="17"/>
      <c r="AX283" s="17"/>
      <c r="AY283" s="17"/>
      <c r="AZ283" s="17"/>
      <c r="BA283" s="17"/>
      <c r="BB283" s="17"/>
      <c r="BC283" s="17"/>
      <c r="BD283" s="17" t="s">
        <v>1031</v>
      </c>
      <c r="BF283" s="17"/>
      <c r="BG283" s="17"/>
      <c r="BH283" s="17" t="s">
        <v>78</v>
      </c>
      <c r="BI283" s="17"/>
      <c r="BJ283" s="17"/>
      <c r="BK283" s="17"/>
      <c r="BL283" s="17" t="s">
        <v>633</v>
      </c>
      <c r="BM283" s="20" t="str">
        <f t="shared" si="27"/>
        <v>96</v>
      </c>
      <c r="BN283" s="17" t="s">
        <v>1032</v>
      </c>
      <c r="BO283" s="20" t="str">
        <f t="shared" si="28"/>
        <v>185.5</v>
      </c>
      <c r="BP283" s="17"/>
      <c r="BQ283" s="17" t="s">
        <v>663</v>
      </c>
      <c r="BR283" s="20" t="str">
        <f t="shared" si="32"/>
        <v>17.3</v>
      </c>
      <c r="BS283" s="21">
        <f t="shared" si="29"/>
        <v>89.5</v>
      </c>
    </row>
    <row r="284" spans="1:72" x14ac:dyDescent="0.2">
      <c r="A284" t="s">
        <v>63</v>
      </c>
      <c r="B284" t="s">
        <v>2350</v>
      </c>
      <c r="C284" t="s">
        <v>963</v>
      </c>
      <c r="D284" t="s">
        <v>64</v>
      </c>
      <c r="E284" t="s">
        <v>65</v>
      </c>
      <c r="F284" t="s">
        <v>64</v>
      </c>
      <c r="G284" t="s">
        <v>615</v>
      </c>
      <c r="H284" t="s">
        <v>67</v>
      </c>
      <c r="I284" t="s">
        <v>68</v>
      </c>
      <c r="J284" t="s">
        <v>69</v>
      </c>
      <c r="K284" t="s">
        <v>70</v>
      </c>
      <c r="L284">
        <v>657</v>
      </c>
      <c r="M284">
        <v>657</v>
      </c>
      <c r="N284">
        <v>657</v>
      </c>
      <c r="O284">
        <v>657</v>
      </c>
      <c r="P284" t="s">
        <v>92</v>
      </c>
      <c r="R284" t="s">
        <v>956</v>
      </c>
      <c r="S284" t="s">
        <v>957</v>
      </c>
      <c r="T284" t="s">
        <v>958</v>
      </c>
      <c r="U284" s="2">
        <v>41032</v>
      </c>
      <c r="V284">
        <v>3</v>
      </c>
      <c r="W284">
        <v>5</v>
      </c>
      <c r="X284">
        <v>2012</v>
      </c>
      <c r="Y284" t="s">
        <v>959</v>
      </c>
      <c r="Z284" t="s">
        <v>72</v>
      </c>
      <c r="AA284">
        <v>32.479100000000003</v>
      </c>
      <c r="AB284">
        <v>-111.6599333333</v>
      </c>
      <c r="AD284" t="s">
        <v>73</v>
      </c>
      <c r="AE284" t="s">
        <v>74</v>
      </c>
      <c r="AI284" t="s">
        <v>75</v>
      </c>
      <c r="AO284" t="s">
        <v>204</v>
      </c>
      <c r="AP284" s="20" t="str">
        <f t="shared" si="30"/>
        <v>15.5</v>
      </c>
      <c r="AU284" t="s">
        <v>792</v>
      </c>
      <c r="AV284" s="20" t="str">
        <f t="shared" si="31"/>
        <v>18.9</v>
      </c>
      <c r="BD284" t="s">
        <v>964</v>
      </c>
      <c r="BH284" t="s">
        <v>83</v>
      </c>
      <c r="BL284" t="s">
        <v>189</v>
      </c>
      <c r="BM284" s="20" t="str">
        <f t="shared" si="27"/>
        <v>82</v>
      </c>
      <c r="BN284" t="s">
        <v>965</v>
      </c>
      <c r="BO284" s="20" t="str">
        <f t="shared" si="28"/>
        <v>171.5</v>
      </c>
      <c r="BQ284" t="s">
        <v>966</v>
      </c>
      <c r="BR284" s="20" t="str">
        <f t="shared" si="32"/>
        <v>15.4</v>
      </c>
      <c r="BS284" s="21">
        <f t="shared" si="29"/>
        <v>89.5</v>
      </c>
    </row>
    <row r="285" spans="1:72" x14ac:dyDescent="0.2">
      <c r="A285" s="7" t="s">
        <v>63</v>
      </c>
      <c r="B285" s="7" t="s">
        <v>2203</v>
      </c>
      <c r="C285" s="7" t="s">
        <v>1176</v>
      </c>
      <c r="D285" s="7" t="s">
        <v>64</v>
      </c>
      <c r="E285" s="7" t="s">
        <v>65</v>
      </c>
      <c r="F285" s="7" t="s">
        <v>64</v>
      </c>
      <c r="G285" s="7" t="s">
        <v>615</v>
      </c>
      <c r="H285" s="7" t="s">
        <v>67</v>
      </c>
      <c r="I285" s="7" t="s">
        <v>68</v>
      </c>
      <c r="J285" s="7" t="s">
        <v>1136</v>
      </c>
      <c r="K285" s="7" t="s">
        <v>1137</v>
      </c>
      <c r="L285" s="7">
        <v>1373</v>
      </c>
      <c r="M285" s="7">
        <v>1373</v>
      </c>
      <c r="N285" s="7">
        <v>4504</v>
      </c>
      <c r="O285" s="7">
        <v>4504</v>
      </c>
      <c r="P285" s="7" t="s">
        <v>1177</v>
      </c>
      <c r="Q285" s="7"/>
      <c r="R285" s="7" t="s">
        <v>1178</v>
      </c>
      <c r="S285" s="7" t="s">
        <v>1179</v>
      </c>
      <c r="T285" s="7" t="s">
        <v>1180</v>
      </c>
      <c r="U285" s="9">
        <v>41075</v>
      </c>
      <c r="V285" s="7">
        <v>15</v>
      </c>
      <c r="W285" s="7">
        <v>6</v>
      </c>
      <c r="X285" s="7">
        <v>2012</v>
      </c>
      <c r="Y285" s="7" t="s">
        <v>1181</v>
      </c>
      <c r="Z285" s="7" t="s">
        <v>72</v>
      </c>
      <c r="AA285" s="7">
        <v>40.132683333300001</v>
      </c>
      <c r="AB285" s="7">
        <v>-111.7303833333</v>
      </c>
      <c r="AC285" s="7"/>
      <c r="AD285" s="7" t="s">
        <v>73</v>
      </c>
      <c r="AE285" s="7" t="s">
        <v>74</v>
      </c>
      <c r="AF285" s="7"/>
      <c r="AG285" s="7"/>
      <c r="AH285" s="7"/>
      <c r="AI285" s="7" t="s">
        <v>75</v>
      </c>
      <c r="AJ285" s="7"/>
      <c r="AK285" s="7"/>
      <c r="AL285" s="7"/>
      <c r="AM285" s="7"/>
      <c r="AN285" s="7"/>
      <c r="AO285" s="7" t="s">
        <v>186</v>
      </c>
      <c r="AP285" s="20" t="str">
        <f t="shared" si="30"/>
        <v>14.5</v>
      </c>
      <c r="AQ285" s="7"/>
      <c r="AR285" s="7"/>
      <c r="AS285" s="7"/>
      <c r="AT285" s="7"/>
      <c r="AU285" s="7" t="s">
        <v>135</v>
      </c>
      <c r="AV285" s="20" t="str">
        <f t="shared" si="31"/>
        <v>17.9</v>
      </c>
      <c r="AW285" s="7"/>
      <c r="AX285" s="7"/>
      <c r="AY285" s="7"/>
      <c r="AZ285" s="7"/>
      <c r="BA285" s="7"/>
      <c r="BB285" s="7"/>
      <c r="BC285" s="7"/>
      <c r="BD285" s="7" t="s">
        <v>1182</v>
      </c>
      <c r="BF285" s="7"/>
      <c r="BG285" s="7"/>
      <c r="BH285" s="7" t="s">
        <v>83</v>
      </c>
      <c r="BI285" s="7"/>
      <c r="BJ285" s="7"/>
      <c r="BK285" s="7"/>
      <c r="BL285" s="7" t="s">
        <v>79</v>
      </c>
      <c r="BM285" s="20" t="str">
        <f t="shared" si="27"/>
        <v>85</v>
      </c>
      <c r="BN285" s="7" t="s">
        <v>1183</v>
      </c>
      <c r="BO285" s="20" t="str">
        <f t="shared" si="28"/>
        <v>174.5</v>
      </c>
      <c r="BP285" s="7"/>
      <c r="BQ285" s="7" t="s">
        <v>693</v>
      </c>
      <c r="BR285" s="20" t="str">
        <f t="shared" si="32"/>
        <v>17.2</v>
      </c>
      <c r="BS285" s="21">
        <f t="shared" si="29"/>
        <v>89.5</v>
      </c>
    </row>
    <row r="286" spans="1:72" x14ac:dyDescent="0.2">
      <c r="A286" s="13" t="s">
        <v>63</v>
      </c>
      <c r="B286" s="13"/>
      <c r="C286" s="13" t="s">
        <v>2077</v>
      </c>
      <c r="D286" s="13" t="s">
        <v>64</v>
      </c>
      <c r="E286" s="13" t="s">
        <v>65</v>
      </c>
      <c r="F286" s="13" t="s">
        <v>64</v>
      </c>
      <c r="G286" s="13" t="s">
        <v>1886</v>
      </c>
      <c r="H286" s="13" t="s">
        <v>212</v>
      </c>
      <c r="I286" s="13" t="s">
        <v>1887</v>
      </c>
      <c r="J286" s="13" t="s">
        <v>1888</v>
      </c>
      <c r="K286" s="13"/>
      <c r="L286" s="13">
        <v>3835</v>
      </c>
      <c r="M286" s="13">
        <v>3835</v>
      </c>
      <c r="N286" s="13">
        <v>3835</v>
      </c>
      <c r="O286" s="13">
        <v>3835</v>
      </c>
      <c r="P286" s="13" t="s">
        <v>2064</v>
      </c>
      <c r="Q286" s="13"/>
      <c r="R286" s="13" t="s">
        <v>2043</v>
      </c>
      <c r="S286" s="13"/>
      <c r="T286" s="13" t="s">
        <v>2078</v>
      </c>
      <c r="U286" s="15">
        <v>41887</v>
      </c>
      <c r="V286" s="13">
        <v>5</v>
      </c>
      <c r="W286" s="13">
        <v>9</v>
      </c>
      <c r="X286" s="13">
        <v>2014</v>
      </c>
      <c r="Y286" s="13">
        <f>-16.1835833333/-68.7684</f>
        <v>0.23533459166274043</v>
      </c>
      <c r="Z286" s="13" t="s">
        <v>72</v>
      </c>
      <c r="AA286" s="13">
        <v>-16.1835833333</v>
      </c>
      <c r="AB286" s="13">
        <v>-68.7684</v>
      </c>
      <c r="AC286" s="13">
        <v>100</v>
      </c>
      <c r="AD286" s="13" t="s">
        <v>73</v>
      </c>
      <c r="AE286" s="13" t="s">
        <v>74</v>
      </c>
      <c r="AF286" s="13"/>
      <c r="AG286" s="13"/>
      <c r="AH286" s="13"/>
      <c r="AI286" s="13" t="s">
        <v>75</v>
      </c>
      <c r="AJ286" s="13"/>
      <c r="AK286" s="13"/>
      <c r="AL286" s="13"/>
      <c r="AM286" s="13"/>
      <c r="AN286" s="13"/>
      <c r="AO286" s="13" t="s">
        <v>87</v>
      </c>
      <c r="AP286" s="20" t="str">
        <f t="shared" si="30"/>
        <v>14</v>
      </c>
      <c r="AQ286" s="13"/>
      <c r="AR286" s="13"/>
      <c r="AS286" s="13"/>
      <c r="AT286" s="13"/>
      <c r="AU286" s="13" t="s">
        <v>820</v>
      </c>
      <c r="AV286" s="20" t="str">
        <f t="shared" si="31"/>
        <v>18.4</v>
      </c>
      <c r="AW286" s="13"/>
      <c r="AX286" s="13"/>
      <c r="AY286" s="13"/>
      <c r="AZ286" s="13"/>
      <c r="BA286" s="13"/>
      <c r="BB286" s="13"/>
      <c r="BC286" s="13"/>
      <c r="BD286" s="13" t="s">
        <v>2079</v>
      </c>
      <c r="BF286" s="13"/>
      <c r="BG286" s="13"/>
      <c r="BH286" s="13" t="s">
        <v>83</v>
      </c>
      <c r="BI286" s="13"/>
      <c r="BJ286" s="13"/>
      <c r="BK286" s="13"/>
      <c r="BL286" s="13" t="s">
        <v>839</v>
      </c>
      <c r="BM286" s="20" t="str">
        <f t="shared" si="27"/>
        <v>79.5</v>
      </c>
      <c r="BN286" s="13" t="s">
        <v>367</v>
      </c>
      <c r="BO286" s="20" t="str">
        <f t="shared" si="28"/>
        <v>169</v>
      </c>
      <c r="BP286" s="13"/>
      <c r="BQ286" s="13" t="s">
        <v>352</v>
      </c>
      <c r="BR286" s="20" t="str">
        <f t="shared" si="32"/>
        <v>17.5</v>
      </c>
      <c r="BS286" s="21">
        <f t="shared" si="29"/>
        <v>89.5</v>
      </c>
    </row>
    <row r="287" spans="1:72" x14ac:dyDescent="0.2">
      <c r="A287" s="4" t="s">
        <v>63</v>
      </c>
      <c r="B287" s="4" t="s">
        <v>2121</v>
      </c>
      <c r="C287" s="4" t="s">
        <v>1605</v>
      </c>
      <c r="D287" s="4" t="s">
        <v>64</v>
      </c>
      <c r="E287" s="4" t="s">
        <v>65</v>
      </c>
      <c r="F287" s="4" t="s">
        <v>64</v>
      </c>
      <c r="G287" s="4" t="s">
        <v>134</v>
      </c>
      <c r="H287" s="4" t="s">
        <v>67</v>
      </c>
      <c r="I287" s="4" t="s">
        <v>68</v>
      </c>
      <c r="J287" s="4" t="s">
        <v>183</v>
      </c>
      <c r="K287" s="4" t="s">
        <v>184</v>
      </c>
      <c r="L287" s="4">
        <v>2</v>
      </c>
      <c r="M287" s="4">
        <v>2</v>
      </c>
      <c r="N287" s="4">
        <v>2</v>
      </c>
      <c r="O287" s="4">
        <v>2</v>
      </c>
      <c r="P287" s="6">
        <v>44229</v>
      </c>
      <c r="Q287" s="4"/>
      <c r="R287" s="4" t="s">
        <v>1599</v>
      </c>
      <c r="S287" s="4"/>
      <c r="T287" s="4" t="s">
        <v>1600</v>
      </c>
      <c r="U287" s="5">
        <v>41048</v>
      </c>
      <c r="V287" s="4">
        <v>19</v>
      </c>
      <c r="W287" s="4">
        <v>5</v>
      </c>
      <c r="X287" s="4">
        <v>2012</v>
      </c>
      <c r="Y287" s="4" t="s">
        <v>1601</v>
      </c>
      <c r="Z287" s="4" t="s">
        <v>72</v>
      </c>
      <c r="AA287" s="4">
        <v>29.6233</v>
      </c>
      <c r="AB287" s="4">
        <v>-82.340333333000004</v>
      </c>
      <c r="AC287" s="4">
        <v>100</v>
      </c>
      <c r="AD287" s="4" t="s">
        <v>73</v>
      </c>
      <c r="AE287" s="4" t="s">
        <v>74</v>
      </c>
      <c r="AF287" s="4"/>
      <c r="AG287" s="4"/>
      <c r="AH287" s="4"/>
      <c r="AI287" s="4"/>
      <c r="AJ287" s="4"/>
      <c r="AK287" s="4"/>
      <c r="AL287" s="4"/>
      <c r="AM287" s="4"/>
      <c r="AN287" s="4"/>
      <c r="AO287" s="4" t="s">
        <v>87</v>
      </c>
      <c r="AP287" s="20" t="str">
        <f t="shared" si="30"/>
        <v>14</v>
      </c>
      <c r="AQ287" s="4"/>
      <c r="AR287" s="4"/>
      <c r="AS287" s="4"/>
      <c r="AT287" s="4"/>
      <c r="AU287" s="4" t="s">
        <v>121</v>
      </c>
      <c r="AV287" s="20" t="str">
        <f t="shared" si="31"/>
        <v>18</v>
      </c>
      <c r="AW287" s="4"/>
      <c r="AX287" s="4"/>
      <c r="AY287" s="4"/>
      <c r="AZ287" s="4"/>
      <c r="BA287" s="4"/>
      <c r="BB287" s="4"/>
      <c r="BC287" s="4"/>
      <c r="BD287" s="4" t="s">
        <v>1606</v>
      </c>
      <c r="BF287" s="4"/>
      <c r="BG287" s="4"/>
      <c r="BH287" s="4" t="s">
        <v>78</v>
      </c>
      <c r="BI287" s="4"/>
      <c r="BJ287" s="4"/>
      <c r="BK287" s="4"/>
      <c r="BL287" s="4" t="s">
        <v>136</v>
      </c>
      <c r="BM287" s="20" t="str">
        <f t="shared" si="27"/>
        <v>75</v>
      </c>
      <c r="BN287" s="4" t="s">
        <v>89</v>
      </c>
      <c r="BO287" s="20" t="str">
        <f t="shared" si="28"/>
        <v>165</v>
      </c>
      <c r="BP287" s="4"/>
      <c r="BQ287" s="4" t="s">
        <v>138</v>
      </c>
      <c r="BR287" s="20" t="str">
        <f t="shared" si="32"/>
        <v>15.5</v>
      </c>
      <c r="BS287" s="21">
        <f t="shared" si="29"/>
        <v>90</v>
      </c>
      <c r="BT287" s="10"/>
    </row>
    <row r="288" spans="1:72" x14ac:dyDescent="0.2">
      <c r="A288" s="7" t="s">
        <v>63</v>
      </c>
      <c r="B288" s="7" t="s">
        <v>2210</v>
      </c>
      <c r="C288" s="7" t="s">
        <v>1100</v>
      </c>
      <c r="D288" s="7" t="s">
        <v>64</v>
      </c>
      <c r="E288" s="7" t="s">
        <v>65</v>
      </c>
      <c r="F288" s="7" t="s">
        <v>64</v>
      </c>
      <c r="G288" s="7" t="s">
        <v>615</v>
      </c>
      <c r="H288" s="7" t="s">
        <v>67</v>
      </c>
      <c r="I288" s="7" t="s">
        <v>68</v>
      </c>
      <c r="J288" s="7" t="s">
        <v>1053</v>
      </c>
      <c r="K288" s="7" t="s">
        <v>1092</v>
      </c>
      <c r="L288" s="7">
        <v>1062</v>
      </c>
      <c r="M288" s="7">
        <v>1062</v>
      </c>
      <c r="N288" s="7">
        <v>3485</v>
      </c>
      <c r="O288" s="7">
        <v>3485</v>
      </c>
      <c r="P288" s="7" t="s">
        <v>1101</v>
      </c>
      <c r="Q288" s="7"/>
      <c r="R288" s="7" t="s">
        <v>1102</v>
      </c>
      <c r="S288" s="7" t="s">
        <v>937</v>
      </c>
      <c r="T288" s="7" t="s">
        <v>1103</v>
      </c>
      <c r="U288" s="9">
        <v>41083</v>
      </c>
      <c r="V288" s="7">
        <v>23</v>
      </c>
      <c r="W288" s="7">
        <v>6</v>
      </c>
      <c r="X288" s="7">
        <v>2012</v>
      </c>
      <c r="Y288" s="7" t="s">
        <v>1104</v>
      </c>
      <c r="Z288" s="7" t="s">
        <v>72</v>
      </c>
      <c r="AA288" s="7">
        <v>46.327516666699999</v>
      </c>
      <c r="AB288" s="7">
        <v>-114.11205</v>
      </c>
      <c r="AC288" s="7"/>
      <c r="AD288" s="7" t="s">
        <v>73</v>
      </c>
      <c r="AE288" s="7" t="s">
        <v>74</v>
      </c>
      <c r="AF288" s="7"/>
      <c r="AG288" s="7"/>
      <c r="AH288" s="7"/>
      <c r="AI288" s="7" t="s">
        <v>75</v>
      </c>
      <c r="AJ288" s="7"/>
      <c r="AK288" s="7"/>
      <c r="AL288" s="7"/>
      <c r="AM288" s="7"/>
      <c r="AN288" s="7"/>
      <c r="AO288" s="7" t="s">
        <v>186</v>
      </c>
      <c r="AP288" s="20" t="str">
        <f t="shared" si="30"/>
        <v>14.5</v>
      </c>
      <c r="AQ288" s="7"/>
      <c r="AR288" s="7"/>
      <c r="AS288" s="7"/>
      <c r="AT288" s="7"/>
      <c r="AU288" s="7" t="s">
        <v>130</v>
      </c>
      <c r="AV288" s="20" t="str">
        <f t="shared" si="31"/>
        <v>19</v>
      </c>
      <c r="AW288" s="7"/>
      <c r="AX288" s="7"/>
      <c r="AY288" s="7"/>
      <c r="AZ288" s="7"/>
      <c r="BA288" s="7"/>
      <c r="BB288" s="7"/>
      <c r="BC288" s="7"/>
      <c r="BD288" s="7" t="s">
        <v>1105</v>
      </c>
      <c r="BF288" s="7"/>
      <c r="BG288" s="7"/>
      <c r="BH288" s="7" t="s">
        <v>78</v>
      </c>
      <c r="BI288" s="7"/>
      <c r="BJ288" s="7"/>
      <c r="BK288" s="7"/>
      <c r="BL288" s="7" t="s">
        <v>1060</v>
      </c>
      <c r="BM288" s="20" t="str">
        <f t="shared" si="27"/>
        <v>83.5</v>
      </c>
      <c r="BN288" s="7" t="s">
        <v>1106</v>
      </c>
      <c r="BO288" s="20" t="str">
        <f t="shared" si="28"/>
        <v>173.5</v>
      </c>
      <c r="BP288" s="7"/>
      <c r="BQ288" s="7" t="s">
        <v>662</v>
      </c>
      <c r="BR288" s="20" t="str">
        <f t="shared" si="32"/>
        <v>20.2</v>
      </c>
      <c r="BS288" s="21">
        <f t="shared" si="29"/>
        <v>90</v>
      </c>
      <c r="BT288" s="10"/>
    </row>
    <row r="289" spans="1:71" x14ac:dyDescent="0.2">
      <c r="A289" t="s">
        <v>63</v>
      </c>
      <c r="B289" t="s">
        <v>2379</v>
      </c>
      <c r="C289" t="s">
        <v>2380</v>
      </c>
      <c r="D289" t="s">
        <v>64</v>
      </c>
      <c r="E289" t="s">
        <v>65</v>
      </c>
      <c r="F289" t="s">
        <v>64</v>
      </c>
      <c r="G289" t="s">
        <v>211</v>
      </c>
      <c r="H289" t="s">
        <v>212</v>
      </c>
      <c r="I289" t="s">
        <v>701</v>
      </c>
      <c r="J289" t="s">
        <v>702</v>
      </c>
      <c r="L289">
        <v>1377</v>
      </c>
      <c r="M289">
        <v>1377</v>
      </c>
      <c r="N289">
        <v>4519</v>
      </c>
      <c r="O289">
        <v>4519</v>
      </c>
      <c r="P289" t="s">
        <v>1404</v>
      </c>
      <c r="R289" t="s">
        <v>1405</v>
      </c>
      <c r="T289" t="s">
        <v>1406</v>
      </c>
      <c r="U289" s="2">
        <v>41246</v>
      </c>
      <c r="V289">
        <v>3</v>
      </c>
      <c r="W289">
        <v>12</v>
      </c>
      <c r="X289">
        <v>2012</v>
      </c>
      <c r="Y289" t="s">
        <v>1407</v>
      </c>
      <c r="Z289" t="s">
        <v>72</v>
      </c>
      <c r="AA289">
        <v>7.4099999999999999E-2</v>
      </c>
      <c r="AB289">
        <v>-78.668116666700001</v>
      </c>
      <c r="AD289" t="s">
        <v>96</v>
      </c>
      <c r="AE289" t="s">
        <v>74</v>
      </c>
      <c r="AI289" t="s">
        <v>75</v>
      </c>
      <c r="AO289" t="s">
        <v>77</v>
      </c>
      <c r="AP289" s="20" t="str">
        <f t="shared" si="30"/>
        <v>12</v>
      </c>
      <c r="AU289" t="s">
        <v>82</v>
      </c>
      <c r="AV289" s="20" t="str">
        <f t="shared" si="31"/>
        <v>17</v>
      </c>
      <c r="BD289" t="s">
        <v>152</v>
      </c>
      <c r="BH289" t="s">
        <v>78</v>
      </c>
      <c r="BL289" t="s">
        <v>79</v>
      </c>
      <c r="BM289" s="20" t="str">
        <f t="shared" si="27"/>
        <v>85</v>
      </c>
      <c r="BN289" t="s">
        <v>132</v>
      </c>
      <c r="BO289" s="20" t="str">
        <f t="shared" si="28"/>
        <v>175</v>
      </c>
      <c r="BQ289" t="s">
        <v>512</v>
      </c>
      <c r="BR289" s="20" t="str">
        <f t="shared" si="32"/>
        <v>13.5</v>
      </c>
      <c r="BS289" s="21">
        <f t="shared" si="29"/>
        <v>90</v>
      </c>
    </row>
    <row r="290" spans="1:71" x14ac:dyDescent="0.2">
      <c r="A290" t="s">
        <v>63</v>
      </c>
      <c r="B290" t="s">
        <v>2345</v>
      </c>
      <c r="C290" t="s">
        <v>995</v>
      </c>
      <c r="D290" t="s">
        <v>64</v>
      </c>
      <c r="E290" t="s">
        <v>65</v>
      </c>
      <c r="F290" t="s">
        <v>64</v>
      </c>
      <c r="G290" t="s">
        <v>615</v>
      </c>
      <c r="H290" t="s">
        <v>67</v>
      </c>
      <c r="I290" t="s">
        <v>68</v>
      </c>
      <c r="J290" t="s">
        <v>69</v>
      </c>
      <c r="K290" t="s">
        <v>70</v>
      </c>
      <c r="L290">
        <v>690</v>
      </c>
      <c r="M290">
        <v>690</v>
      </c>
      <c r="N290">
        <v>2264</v>
      </c>
      <c r="O290">
        <v>2264</v>
      </c>
      <c r="P290" t="s">
        <v>980</v>
      </c>
      <c r="R290" t="s">
        <v>981</v>
      </c>
      <c r="S290" t="s">
        <v>982</v>
      </c>
      <c r="T290" t="s">
        <v>983</v>
      </c>
      <c r="U290" s="2">
        <v>41171</v>
      </c>
      <c r="V290">
        <v>19</v>
      </c>
      <c r="W290">
        <v>9</v>
      </c>
      <c r="X290">
        <v>2012</v>
      </c>
      <c r="Y290" t="s">
        <v>984</v>
      </c>
      <c r="Z290" t="s">
        <v>72</v>
      </c>
      <c r="AA290">
        <v>32.290550000000003</v>
      </c>
      <c r="AB290">
        <v>-111.02079999999999</v>
      </c>
      <c r="AD290" t="s">
        <v>73</v>
      </c>
      <c r="AE290" t="s">
        <v>74</v>
      </c>
      <c r="AI290" t="s">
        <v>75</v>
      </c>
      <c r="AO290" t="s">
        <v>88</v>
      </c>
      <c r="AP290" s="20" t="str">
        <f t="shared" si="30"/>
        <v>15</v>
      </c>
      <c r="AU290" t="s">
        <v>650</v>
      </c>
      <c r="AV290" s="20" t="str">
        <f t="shared" si="31"/>
        <v>20.4</v>
      </c>
      <c r="BD290" t="s">
        <v>996</v>
      </c>
      <c r="BH290" t="s">
        <v>78</v>
      </c>
      <c r="BL290" t="s">
        <v>451</v>
      </c>
      <c r="BM290" s="20" t="str">
        <f t="shared" si="27"/>
        <v>94</v>
      </c>
      <c r="BN290" t="s">
        <v>201</v>
      </c>
      <c r="BO290" s="20" t="str">
        <f t="shared" si="28"/>
        <v>184</v>
      </c>
      <c r="BQ290" t="s">
        <v>693</v>
      </c>
      <c r="BR290" s="20" t="str">
        <f t="shared" si="32"/>
        <v>17.2</v>
      </c>
      <c r="BS290" s="21">
        <f t="shared" si="29"/>
        <v>90</v>
      </c>
    </row>
    <row r="291" spans="1:71" x14ac:dyDescent="0.2">
      <c r="A291" t="s">
        <v>63</v>
      </c>
      <c r="B291" t="s">
        <v>2317</v>
      </c>
      <c r="C291" t="s">
        <v>855</v>
      </c>
      <c r="D291" t="s">
        <v>64</v>
      </c>
      <c r="E291" t="s">
        <v>65</v>
      </c>
      <c r="F291" t="s">
        <v>64</v>
      </c>
      <c r="G291" t="s">
        <v>615</v>
      </c>
      <c r="H291" t="s">
        <v>67</v>
      </c>
      <c r="I291" t="s">
        <v>788</v>
      </c>
      <c r="J291" t="s">
        <v>789</v>
      </c>
      <c r="K291" t="s">
        <v>822</v>
      </c>
      <c r="L291">
        <v>708</v>
      </c>
      <c r="M291">
        <v>708</v>
      </c>
      <c r="N291">
        <v>2323</v>
      </c>
      <c r="O291">
        <v>2323</v>
      </c>
      <c r="P291" t="s">
        <v>850</v>
      </c>
      <c r="R291" t="s">
        <v>851</v>
      </c>
      <c r="S291" t="s">
        <v>852</v>
      </c>
      <c r="T291" t="s">
        <v>853</v>
      </c>
      <c r="U291" s="2">
        <v>41124</v>
      </c>
      <c r="V291">
        <v>3</v>
      </c>
      <c r="W291">
        <v>8</v>
      </c>
      <c r="X291">
        <v>2012</v>
      </c>
      <c r="Y291" t="s">
        <v>854</v>
      </c>
      <c r="Z291" t="s">
        <v>72</v>
      </c>
      <c r="AA291">
        <v>53.399516666700002</v>
      </c>
      <c r="AB291">
        <v>-113.95965</v>
      </c>
      <c r="AD291" t="s">
        <v>73</v>
      </c>
      <c r="AE291" t="s">
        <v>74</v>
      </c>
      <c r="AI291" t="s">
        <v>75</v>
      </c>
      <c r="AO291" t="s">
        <v>204</v>
      </c>
      <c r="AP291" s="20" t="str">
        <f t="shared" si="30"/>
        <v>15.5</v>
      </c>
      <c r="AU291" t="s">
        <v>141</v>
      </c>
      <c r="AV291" s="20" t="str">
        <f t="shared" si="31"/>
        <v>18.5</v>
      </c>
      <c r="BD291" t="s">
        <v>241</v>
      </c>
      <c r="BE291" s="20" t="s">
        <v>241</v>
      </c>
      <c r="BH291" t="s">
        <v>78</v>
      </c>
      <c r="BL291" t="s">
        <v>208</v>
      </c>
      <c r="BM291" s="20" t="str">
        <f t="shared" si="27"/>
        <v>80</v>
      </c>
      <c r="BN291" t="s">
        <v>154</v>
      </c>
      <c r="BO291" s="20" t="str">
        <f t="shared" si="28"/>
        <v>170</v>
      </c>
      <c r="BQ291" t="s">
        <v>856</v>
      </c>
      <c r="BR291" s="20" t="str">
        <f t="shared" si="32"/>
        <v>17.8</v>
      </c>
      <c r="BS291" s="21">
        <f t="shared" si="29"/>
        <v>90</v>
      </c>
    </row>
    <row r="292" spans="1:71" x14ac:dyDescent="0.2">
      <c r="A292" s="10" t="s">
        <v>63</v>
      </c>
      <c r="B292" s="10" t="s">
        <v>2253</v>
      </c>
      <c r="C292" s="10" t="s">
        <v>298</v>
      </c>
      <c r="D292" s="10" t="s">
        <v>64</v>
      </c>
      <c r="E292" s="10" t="s">
        <v>65</v>
      </c>
      <c r="F292" s="10" t="s">
        <v>64</v>
      </c>
      <c r="G292" s="10" t="s">
        <v>211</v>
      </c>
      <c r="H292" s="10" t="s">
        <v>212</v>
      </c>
      <c r="I292" s="10" t="s">
        <v>213</v>
      </c>
      <c r="J292" s="10" t="s">
        <v>293</v>
      </c>
      <c r="K292" s="10"/>
      <c r="L292" s="10">
        <v>9</v>
      </c>
      <c r="M292" s="10">
        <v>9</v>
      </c>
      <c r="N292" s="10">
        <v>30</v>
      </c>
      <c r="O292" s="10">
        <v>30</v>
      </c>
      <c r="P292" s="12">
        <v>44448</v>
      </c>
      <c r="Q292" s="10"/>
      <c r="R292" s="10" t="s">
        <v>294</v>
      </c>
      <c r="S292" s="10" t="s">
        <v>299</v>
      </c>
      <c r="T292" s="10" t="s">
        <v>300</v>
      </c>
      <c r="U292" s="11">
        <v>41341</v>
      </c>
      <c r="V292" s="10">
        <v>8</v>
      </c>
      <c r="W292" s="10">
        <v>3</v>
      </c>
      <c r="X292" s="10">
        <v>2013</v>
      </c>
      <c r="Y292" s="10">
        <f>-43.3063333333/-65.4051666667</f>
        <v>0.66212404218746124</v>
      </c>
      <c r="Z292" s="10" t="s">
        <v>72</v>
      </c>
      <c r="AA292" s="10">
        <v>-43.306333333300003</v>
      </c>
      <c r="AB292" s="10">
        <v>-65.405166666699998</v>
      </c>
      <c r="AC292" s="10"/>
      <c r="AD292" s="10" t="s">
        <v>73</v>
      </c>
      <c r="AE292" s="10" t="s">
        <v>74</v>
      </c>
      <c r="AF292" s="10"/>
      <c r="AG292" s="10"/>
      <c r="AH292" s="10"/>
      <c r="AI292" s="10"/>
      <c r="AJ292" s="10"/>
      <c r="AK292" s="10"/>
      <c r="AL292" s="10"/>
      <c r="AM292" s="10"/>
      <c r="AN292" s="10"/>
      <c r="AO292" s="10" t="s">
        <v>87</v>
      </c>
      <c r="AP292" s="20" t="str">
        <f t="shared" si="30"/>
        <v>14</v>
      </c>
      <c r="AQ292" s="10"/>
      <c r="AR292" s="10"/>
      <c r="AS292" s="10"/>
      <c r="AT292" s="10"/>
      <c r="AU292" s="10" t="s">
        <v>121</v>
      </c>
      <c r="AV292" s="20" t="str">
        <f t="shared" si="31"/>
        <v>18</v>
      </c>
      <c r="AW292" s="10"/>
      <c r="AX292" s="10"/>
      <c r="AY292" s="10"/>
      <c r="AZ292" s="10"/>
      <c r="BA292" s="10"/>
      <c r="BB292" s="10"/>
      <c r="BC292" s="10"/>
      <c r="BD292" s="10" t="s">
        <v>301</v>
      </c>
      <c r="BE292" s="20" t="s">
        <v>241</v>
      </c>
      <c r="BF292" s="10"/>
      <c r="BG292" s="10"/>
      <c r="BH292" s="10" t="s">
        <v>78</v>
      </c>
      <c r="BI292" s="10"/>
      <c r="BJ292" s="10"/>
      <c r="BK292" s="10"/>
      <c r="BL292" s="10" t="s">
        <v>153</v>
      </c>
      <c r="BM292" s="20" t="str">
        <f t="shared" si="27"/>
        <v>81</v>
      </c>
      <c r="BN292" s="10" t="s">
        <v>302</v>
      </c>
      <c r="BO292" s="20" t="str">
        <f t="shared" si="28"/>
        <v>171</v>
      </c>
      <c r="BP292" s="10"/>
      <c r="BQ292" s="10" t="s">
        <v>303</v>
      </c>
      <c r="BR292" s="20" t="str">
        <f t="shared" si="32"/>
        <v>24</v>
      </c>
      <c r="BS292" s="21">
        <f t="shared" si="29"/>
        <v>90</v>
      </c>
    </row>
    <row r="293" spans="1:71" x14ac:dyDescent="0.2">
      <c r="A293" s="10" t="s">
        <v>63</v>
      </c>
      <c r="B293" s="10" t="s">
        <v>2241</v>
      </c>
      <c r="C293" s="10" t="s">
        <v>353</v>
      </c>
      <c r="D293" s="10" t="s">
        <v>64</v>
      </c>
      <c r="E293" s="10" t="s">
        <v>65</v>
      </c>
      <c r="F293" s="10" t="s">
        <v>64</v>
      </c>
      <c r="G293" s="10" t="s">
        <v>211</v>
      </c>
      <c r="H293" s="10" t="s">
        <v>212</v>
      </c>
      <c r="I293" s="10" t="s">
        <v>213</v>
      </c>
      <c r="J293" s="10" t="s">
        <v>354</v>
      </c>
      <c r="K293" s="10"/>
      <c r="L293" s="10">
        <v>95</v>
      </c>
      <c r="M293" s="10">
        <v>95</v>
      </c>
      <c r="N293" s="10">
        <v>313</v>
      </c>
      <c r="O293" s="10">
        <v>313</v>
      </c>
      <c r="P293" s="10" t="s">
        <v>355</v>
      </c>
      <c r="Q293" s="10"/>
      <c r="R293" s="10" t="s">
        <v>356</v>
      </c>
      <c r="S293" s="10" t="s">
        <v>357</v>
      </c>
      <c r="T293" s="10" t="s">
        <v>358</v>
      </c>
      <c r="U293" s="11">
        <v>41319</v>
      </c>
      <c r="V293" s="10">
        <v>14</v>
      </c>
      <c r="W293" s="10">
        <v>2</v>
      </c>
      <c r="X293" s="10">
        <v>2013</v>
      </c>
      <c r="Y293" s="10">
        <f>-54.7858833333/-68.2755666667</f>
        <v>0.80242297512882721</v>
      </c>
      <c r="Z293" s="10" t="s">
        <v>72</v>
      </c>
      <c r="AA293" s="10">
        <v>-54.785883333299999</v>
      </c>
      <c r="AB293" s="10">
        <v>-68.275566666700001</v>
      </c>
      <c r="AC293" s="10"/>
      <c r="AD293" s="10" t="s">
        <v>73</v>
      </c>
      <c r="AE293" s="10" t="s">
        <v>74</v>
      </c>
      <c r="AF293" s="10"/>
      <c r="AG293" s="10"/>
      <c r="AH293" s="10"/>
      <c r="AI293" s="10"/>
      <c r="AJ293" s="10"/>
      <c r="AK293" s="10"/>
      <c r="AL293" s="10"/>
      <c r="AM293" s="10"/>
      <c r="AN293" s="10"/>
      <c r="AO293" s="10" t="s">
        <v>76</v>
      </c>
      <c r="AP293" s="20" t="str">
        <f t="shared" si="30"/>
        <v>13</v>
      </c>
      <c r="AQ293" s="10"/>
      <c r="AR293" s="10"/>
      <c r="AS293" s="10"/>
      <c r="AT293" s="10"/>
      <c r="AU293" s="10" t="s">
        <v>82</v>
      </c>
      <c r="AV293" s="20" t="str">
        <f t="shared" si="31"/>
        <v>17</v>
      </c>
      <c r="AW293" s="10"/>
      <c r="AX293" s="10"/>
      <c r="AY293" s="10"/>
      <c r="AZ293" s="10"/>
      <c r="BA293" s="10"/>
      <c r="BB293" s="10"/>
      <c r="BC293" s="10"/>
      <c r="BD293" s="10" t="s">
        <v>359</v>
      </c>
      <c r="BE293" s="20" t="s">
        <v>241</v>
      </c>
      <c r="BF293" s="10"/>
      <c r="BG293" s="10"/>
      <c r="BH293" s="10" t="s">
        <v>78</v>
      </c>
      <c r="BI293" s="10"/>
      <c r="BJ293" s="10"/>
      <c r="BK293" s="10"/>
      <c r="BL293" s="10" t="s">
        <v>197</v>
      </c>
      <c r="BM293" s="20" t="str">
        <f t="shared" si="27"/>
        <v>74</v>
      </c>
      <c r="BN293" s="10" t="s">
        <v>99</v>
      </c>
      <c r="BO293" s="20" t="str">
        <f t="shared" si="28"/>
        <v>164</v>
      </c>
      <c r="BP293" s="10"/>
      <c r="BQ293" s="10" t="s">
        <v>360</v>
      </c>
      <c r="BR293" s="20" t="str">
        <f t="shared" si="32"/>
        <v>21.75</v>
      </c>
      <c r="BS293" s="21">
        <f t="shared" si="29"/>
        <v>90</v>
      </c>
    </row>
    <row r="294" spans="1:71" x14ac:dyDescent="0.2">
      <c r="A294" t="s">
        <v>63</v>
      </c>
      <c r="B294" t="s">
        <v>2333</v>
      </c>
      <c r="C294" t="s">
        <v>997</v>
      </c>
      <c r="D294" t="s">
        <v>64</v>
      </c>
      <c r="E294" t="s">
        <v>65</v>
      </c>
      <c r="F294" t="s">
        <v>64</v>
      </c>
      <c r="G294" t="s">
        <v>615</v>
      </c>
      <c r="H294" t="s">
        <v>67</v>
      </c>
      <c r="I294" t="s">
        <v>68</v>
      </c>
      <c r="J294" t="s">
        <v>69</v>
      </c>
      <c r="K294" t="s">
        <v>70</v>
      </c>
      <c r="L294">
        <v>700</v>
      </c>
      <c r="M294">
        <v>700</v>
      </c>
      <c r="N294">
        <v>2295</v>
      </c>
      <c r="O294">
        <v>2295</v>
      </c>
      <c r="P294" t="s">
        <v>71</v>
      </c>
      <c r="R294" t="s">
        <v>998</v>
      </c>
      <c r="S294" t="s">
        <v>999</v>
      </c>
      <c r="T294" t="s">
        <v>1000</v>
      </c>
      <c r="U294" s="2">
        <v>41036</v>
      </c>
      <c r="V294">
        <v>7</v>
      </c>
      <c r="W294">
        <v>5</v>
      </c>
      <c r="X294">
        <v>2012</v>
      </c>
      <c r="Y294" t="s">
        <v>1001</v>
      </c>
      <c r="Z294" t="s">
        <v>72</v>
      </c>
      <c r="AA294">
        <v>32.281350000000003</v>
      </c>
      <c r="AB294">
        <v>-110.94995</v>
      </c>
      <c r="AD294" t="s">
        <v>73</v>
      </c>
      <c r="AE294" t="s">
        <v>74</v>
      </c>
      <c r="AI294" t="s">
        <v>75</v>
      </c>
      <c r="AO294" t="s">
        <v>186</v>
      </c>
      <c r="AP294" s="20" t="str">
        <f t="shared" si="30"/>
        <v>14.5</v>
      </c>
      <c r="AU294" t="s">
        <v>679</v>
      </c>
      <c r="AV294" s="20" t="str">
        <f t="shared" si="31"/>
        <v>19.6</v>
      </c>
      <c r="BD294" t="s">
        <v>1002</v>
      </c>
      <c r="BE294" s="20" t="s">
        <v>241</v>
      </c>
      <c r="BH294" t="s">
        <v>78</v>
      </c>
      <c r="BL294" t="s">
        <v>451</v>
      </c>
      <c r="BM294" s="20" t="str">
        <f t="shared" si="27"/>
        <v>94</v>
      </c>
      <c r="BN294" t="s">
        <v>201</v>
      </c>
      <c r="BO294" s="20" t="str">
        <f t="shared" si="28"/>
        <v>184</v>
      </c>
      <c r="BQ294" t="s">
        <v>683</v>
      </c>
      <c r="BR294" s="20" t="str">
        <f t="shared" si="32"/>
        <v>21.8</v>
      </c>
      <c r="BS294" s="21">
        <f t="shared" si="29"/>
        <v>90</v>
      </c>
    </row>
    <row r="295" spans="1:71" x14ac:dyDescent="0.2">
      <c r="A295" s="4" t="s">
        <v>63</v>
      </c>
      <c r="B295" s="4" t="s">
        <v>2119</v>
      </c>
      <c r="C295" s="4" t="s">
        <v>1598</v>
      </c>
      <c r="D295" s="4" t="s">
        <v>64</v>
      </c>
      <c r="E295" s="4" t="s">
        <v>65</v>
      </c>
      <c r="F295" s="4" t="s">
        <v>64</v>
      </c>
      <c r="G295" s="4" t="s">
        <v>134</v>
      </c>
      <c r="H295" s="4" t="s">
        <v>67</v>
      </c>
      <c r="I295" s="4" t="s">
        <v>68</v>
      </c>
      <c r="J295" s="4" t="s">
        <v>183</v>
      </c>
      <c r="K295" s="4" t="s">
        <v>184</v>
      </c>
      <c r="L295" s="4">
        <v>2</v>
      </c>
      <c r="M295" s="4">
        <v>2</v>
      </c>
      <c r="N295" s="4">
        <v>2</v>
      </c>
      <c r="O295" s="4">
        <v>2</v>
      </c>
      <c r="P295" s="6">
        <v>44229</v>
      </c>
      <c r="Q295" s="4"/>
      <c r="R295" s="4" t="s">
        <v>1599</v>
      </c>
      <c r="S295" s="4"/>
      <c r="T295" s="4" t="s">
        <v>1600</v>
      </c>
      <c r="U295" s="5">
        <v>41048</v>
      </c>
      <c r="V295" s="4">
        <v>19</v>
      </c>
      <c r="W295" s="4">
        <v>5</v>
      </c>
      <c r="X295" s="4">
        <v>2012</v>
      </c>
      <c r="Y295" s="4" t="s">
        <v>1601</v>
      </c>
      <c r="Z295" s="4" t="s">
        <v>72</v>
      </c>
      <c r="AA295" s="4">
        <v>29.6233</v>
      </c>
      <c r="AB295" s="4">
        <v>-82.340333333000004</v>
      </c>
      <c r="AC295" s="4">
        <v>100</v>
      </c>
      <c r="AD295" s="4" t="s">
        <v>73</v>
      </c>
      <c r="AE295" s="4" t="s">
        <v>74</v>
      </c>
      <c r="AF295" s="4"/>
      <c r="AG295" s="4"/>
      <c r="AH295" s="4"/>
      <c r="AI295" s="4"/>
      <c r="AJ295" s="4"/>
      <c r="AK295" s="4"/>
      <c r="AL295" s="4"/>
      <c r="AM295" s="4"/>
      <c r="AN295" s="4"/>
      <c r="AO295" s="4" t="s">
        <v>87</v>
      </c>
      <c r="AP295" s="20" t="str">
        <f t="shared" si="30"/>
        <v>14</v>
      </c>
      <c r="AQ295" s="4"/>
      <c r="AR295" s="4"/>
      <c r="AS295" s="4"/>
      <c r="AT295" s="4"/>
      <c r="AU295" s="4" t="s">
        <v>82</v>
      </c>
      <c r="AV295" s="20" t="str">
        <f t="shared" si="31"/>
        <v>17</v>
      </c>
      <c r="AW295" s="4"/>
      <c r="AX295" s="4"/>
      <c r="AY295" s="4"/>
      <c r="AZ295" s="4"/>
      <c r="BA295" s="4"/>
      <c r="BB295" s="4"/>
      <c r="BC295" s="4"/>
      <c r="BD295" s="4" t="s">
        <v>1602</v>
      </c>
      <c r="BE295" s="20" t="s">
        <v>241</v>
      </c>
      <c r="BF295" s="4"/>
      <c r="BG295" s="4"/>
      <c r="BH295" s="4" t="s">
        <v>78</v>
      </c>
      <c r="BI295" s="4"/>
      <c r="BJ295" s="4"/>
      <c r="BK295" s="4"/>
      <c r="BL295" s="4" t="s">
        <v>79</v>
      </c>
      <c r="BM295" s="20" t="str">
        <f t="shared" si="27"/>
        <v>85</v>
      </c>
      <c r="BN295" s="4" t="s">
        <v>132</v>
      </c>
      <c r="BO295" s="20" t="str">
        <f t="shared" si="28"/>
        <v>175</v>
      </c>
      <c r="BP295" s="4"/>
      <c r="BQ295" s="4" t="s">
        <v>684</v>
      </c>
      <c r="BR295" s="20" t="str">
        <f t="shared" si="32"/>
        <v>23.5</v>
      </c>
      <c r="BS295" s="21">
        <f t="shared" si="29"/>
        <v>90</v>
      </c>
    </row>
    <row r="296" spans="1:71" x14ac:dyDescent="0.2">
      <c r="A296" s="13" t="s">
        <v>63</v>
      </c>
      <c r="B296" s="13"/>
      <c r="C296" s="13" t="s">
        <v>1403</v>
      </c>
      <c r="D296" s="13" t="s">
        <v>64</v>
      </c>
      <c r="E296" s="13" t="s">
        <v>65</v>
      </c>
      <c r="F296" s="13" t="s">
        <v>64</v>
      </c>
      <c r="G296" s="13" t="s">
        <v>211</v>
      </c>
      <c r="H296" s="13" t="s">
        <v>212</v>
      </c>
      <c r="I296" s="13" t="s">
        <v>701</v>
      </c>
      <c r="J296" s="13" t="s">
        <v>702</v>
      </c>
      <c r="K296" s="13"/>
      <c r="L296" s="13">
        <v>1377</v>
      </c>
      <c r="M296" s="13">
        <v>1377</v>
      </c>
      <c r="N296" s="13">
        <v>4519</v>
      </c>
      <c r="O296" s="13">
        <v>4519</v>
      </c>
      <c r="P296" s="13" t="s">
        <v>1404</v>
      </c>
      <c r="Q296" s="13"/>
      <c r="R296" s="13" t="s">
        <v>1405</v>
      </c>
      <c r="S296" s="13"/>
      <c r="T296" s="13" t="s">
        <v>1406</v>
      </c>
      <c r="U296" s="14">
        <v>41246</v>
      </c>
      <c r="V296" s="13">
        <v>3</v>
      </c>
      <c r="W296" s="13">
        <v>12</v>
      </c>
      <c r="X296" s="13">
        <v>2012</v>
      </c>
      <c r="Y296" s="13" t="s">
        <v>1407</v>
      </c>
      <c r="Z296" s="13" t="s">
        <v>72</v>
      </c>
      <c r="AA296" s="13">
        <v>7.4099999999999999E-2</v>
      </c>
      <c r="AB296" s="13">
        <v>-78.668116666700001</v>
      </c>
      <c r="AC296" s="13"/>
      <c r="AD296" s="13" t="s">
        <v>96</v>
      </c>
      <c r="AE296" s="13" t="s">
        <v>74</v>
      </c>
      <c r="AF296" s="13"/>
      <c r="AG296" s="13"/>
      <c r="AH296" s="13"/>
      <c r="AI296" s="13" t="s">
        <v>75</v>
      </c>
      <c r="AJ296" s="13"/>
      <c r="AK296" s="13"/>
      <c r="AL296" s="13"/>
      <c r="AM296" s="13"/>
      <c r="AN296" s="13"/>
      <c r="AO296" s="13" t="s">
        <v>88</v>
      </c>
      <c r="AP296" s="20" t="str">
        <f t="shared" si="30"/>
        <v>15</v>
      </c>
      <c r="AQ296" s="13"/>
      <c r="AR296" s="13"/>
      <c r="AS296" s="13"/>
      <c r="AT296" s="13"/>
      <c r="AU296" s="13" t="s">
        <v>130</v>
      </c>
      <c r="AV296" s="20" t="str">
        <f t="shared" si="31"/>
        <v>19</v>
      </c>
      <c r="AW296" s="13"/>
      <c r="AX296" s="13"/>
      <c r="AY296" s="13"/>
      <c r="AZ296" s="13"/>
      <c r="BA296" s="13"/>
      <c r="BB296" s="13"/>
      <c r="BC296" s="13"/>
      <c r="BD296" s="13" t="s">
        <v>1376</v>
      </c>
      <c r="BE296" s="20" t="s">
        <v>241</v>
      </c>
      <c r="BF296" s="13"/>
      <c r="BG296" s="13"/>
      <c r="BH296" s="13" t="s">
        <v>78</v>
      </c>
      <c r="BI296" s="13"/>
      <c r="BJ296" s="13"/>
      <c r="BK296" s="13"/>
      <c r="BL296" s="13" t="s">
        <v>136</v>
      </c>
      <c r="BM296" s="20" t="str">
        <f t="shared" si="27"/>
        <v>75</v>
      </c>
      <c r="BN296" s="13" t="s">
        <v>89</v>
      </c>
      <c r="BO296" s="20" t="str">
        <f t="shared" si="28"/>
        <v>165</v>
      </c>
      <c r="BP296" s="13"/>
      <c r="BQ296" s="13" t="s">
        <v>619</v>
      </c>
      <c r="BR296" s="20" t="str">
        <f t="shared" si="32"/>
        <v>20</v>
      </c>
      <c r="BS296" s="21">
        <f t="shared" si="29"/>
        <v>90</v>
      </c>
    </row>
    <row r="297" spans="1:71" x14ac:dyDescent="0.2">
      <c r="A297" t="s">
        <v>63</v>
      </c>
      <c r="B297" t="s">
        <v>2349</v>
      </c>
      <c r="C297" t="s">
        <v>961</v>
      </c>
      <c r="D297" t="s">
        <v>64</v>
      </c>
      <c r="E297" t="s">
        <v>65</v>
      </c>
      <c r="F297" t="s">
        <v>64</v>
      </c>
      <c r="G297" t="s">
        <v>615</v>
      </c>
      <c r="H297" t="s">
        <v>67</v>
      </c>
      <c r="I297" t="s">
        <v>68</v>
      </c>
      <c r="J297" t="s">
        <v>69</v>
      </c>
      <c r="K297" t="s">
        <v>70</v>
      </c>
      <c r="L297">
        <v>657</v>
      </c>
      <c r="M297">
        <v>657</v>
      </c>
      <c r="N297">
        <v>657</v>
      </c>
      <c r="O297">
        <v>657</v>
      </c>
      <c r="P297" t="s">
        <v>92</v>
      </c>
      <c r="R297" t="s">
        <v>956</v>
      </c>
      <c r="S297" t="s">
        <v>957</v>
      </c>
      <c r="T297" t="s">
        <v>958</v>
      </c>
      <c r="U297" s="2">
        <v>41032</v>
      </c>
      <c r="V297">
        <v>3</v>
      </c>
      <c r="W297">
        <v>5</v>
      </c>
      <c r="X297">
        <v>2012</v>
      </c>
      <c r="Y297" t="s">
        <v>959</v>
      </c>
      <c r="Z297" t="s">
        <v>72</v>
      </c>
      <c r="AA297">
        <v>32.479100000000003</v>
      </c>
      <c r="AB297">
        <v>-111.6599333333</v>
      </c>
      <c r="AD297" t="s">
        <v>73</v>
      </c>
      <c r="AE297" t="s">
        <v>74</v>
      </c>
      <c r="AI297" t="s">
        <v>75</v>
      </c>
      <c r="AO297" t="s">
        <v>186</v>
      </c>
      <c r="AP297" s="20" t="str">
        <f t="shared" si="30"/>
        <v>14.5</v>
      </c>
      <c r="AU297" t="s">
        <v>121</v>
      </c>
      <c r="AV297" s="20" t="str">
        <f t="shared" si="31"/>
        <v>18</v>
      </c>
      <c r="BD297" t="s">
        <v>962</v>
      </c>
      <c r="BH297" t="s">
        <v>78</v>
      </c>
      <c r="BL297" t="s">
        <v>194</v>
      </c>
      <c r="BM297" s="20" t="str">
        <f t="shared" si="27"/>
        <v>79</v>
      </c>
      <c r="BN297" t="s">
        <v>367</v>
      </c>
      <c r="BO297" s="20" t="str">
        <f t="shared" si="28"/>
        <v>169</v>
      </c>
      <c r="BQ297" t="s">
        <v>390</v>
      </c>
      <c r="BR297" s="20" t="str">
        <f t="shared" si="32"/>
        <v>14.5</v>
      </c>
      <c r="BS297" s="21">
        <f t="shared" si="29"/>
        <v>90</v>
      </c>
    </row>
    <row r="298" spans="1:71" x14ac:dyDescent="0.2">
      <c r="A298" s="10" t="s">
        <v>63</v>
      </c>
      <c r="B298" s="10" t="s">
        <v>2255</v>
      </c>
      <c r="C298" s="10" t="s">
        <v>316</v>
      </c>
      <c r="D298" s="10" t="s">
        <v>64</v>
      </c>
      <c r="E298" s="10" t="s">
        <v>65</v>
      </c>
      <c r="F298" s="10" t="s">
        <v>64</v>
      </c>
      <c r="G298" s="10" t="s">
        <v>211</v>
      </c>
      <c r="H298" s="10" t="s">
        <v>212</v>
      </c>
      <c r="I298" s="10" t="s">
        <v>213</v>
      </c>
      <c r="J298" s="10" t="s">
        <v>293</v>
      </c>
      <c r="K298" s="10"/>
      <c r="L298" s="10">
        <v>9</v>
      </c>
      <c r="M298" s="10">
        <v>9</v>
      </c>
      <c r="N298" s="10">
        <v>30</v>
      </c>
      <c r="O298" s="10">
        <v>30</v>
      </c>
      <c r="P298" s="12">
        <v>44448</v>
      </c>
      <c r="Q298" s="10"/>
      <c r="R298" s="10" t="s">
        <v>294</v>
      </c>
      <c r="S298" s="10" t="s">
        <v>299</v>
      </c>
      <c r="T298" s="10" t="s">
        <v>317</v>
      </c>
      <c r="U298" s="11">
        <v>41339</v>
      </c>
      <c r="V298" s="10">
        <v>10</v>
      </c>
      <c r="W298" s="10">
        <v>3</v>
      </c>
      <c r="X298" s="10">
        <v>2013</v>
      </c>
      <c r="Y298" s="10">
        <f>-43.323/-65.3715</f>
        <v>0.66271999265735071</v>
      </c>
      <c r="Z298" s="10" t="s">
        <v>72</v>
      </c>
      <c r="AA298" s="10">
        <v>-43.323</v>
      </c>
      <c r="AB298" s="10">
        <v>-65.371499999999997</v>
      </c>
      <c r="AC298" s="10"/>
      <c r="AD298" s="10" t="s">
        <v>73</v>
      </c>
      <c r="AE298" s="10" t="s">
        <v>74</v>
      </c>
      <c r="AF298" s="10"/>
      <c r="AG298" s="10"/>
      <c r="AH298" s="10"/>
      <c r="AI298" s="10"/>
      <c r="AJ298" s="10"/>
      <c r="AK298" s="10"/>
      <c r="AL298" s="10"/>
      <c r="AM298" s="10"/>
      <c r="AN298" s="10"/>
      <c r="AO298" s="10" t="s">
        <v>77</v>
      </c>
      <c r="AP298" s="20" t="str">
        <f t="shared" si="30"/>
        <v>12</v>
      </c>
      <c r="AQ298" s="10"/>
      <c r="AR298" s="10"/>
      <c r="AS298" s="10"/>
      <c r="AT298" s="10"/>
      <c r="AU298" s="10" t="s">
        <v>121</v>
      </c>
      <c r="AV298" s="20" t="str">
        <f t="shared" si="31"/>
        <v>18</v>
      </c>
      <c r="AW298" s="10"/>
      <c r="AX298" s="10"/>
      <c r="AY298" s="10"/>
      <c r="AZ298" s="10"/>
      <c r="BA298" s="10"/>
      <c r="BB298" s="10"/>
      <c r="BC298" s="10"/>
      <c r="BD298" s="10" t="s">
        <v>318</v>
      </c>
      <c r="BF298" s="10"/>
      <c r="BG298" s="10"/>
      <c r="BH298" s="10" t="s">
        <v>83</v>
      </c>
      <c r="BI298" s="10"/>
      <c r="BJ298" s="10"/>
      <c r="BK298" s="10"/>
      <c r="BL298" s="10" t="s">
        <v>174</v>
      </c>
      <c r="BM298" s="20" t="str">
        <f t="shared" si="27"/>
        <v>83</v>
      </c>
      <c r="BN298" s="10" t="s">
        <v>161</v>
      </c>
      <c r="BO298" s="20" t="str">
        <f t="shared" si="28"/>
        <v>173</v>
      </c>
      <c r="BP298" s="10"/>
      <c r="BQ298" s="10" t="s">
        <v>193</v>
      </c>
      <c r="BR298" s="20" t="str">
        <f t="shared" si="32"/>
        <v>18</v>
      </c>
      <c r="BS298" s="21">
        <f t="shared" si="29"/>
        <v>90</v>
      </c>
    </row>
    <row r="299" spans="1:71" x14ac:dyDescent="0.2">
      <c r="A299" s="13" t="s">
        <v>63</v>
      </c>
      <c r="B299" s="13"/>
      <c r="C299" s="13" t="s">
        <v>1442</v>
      </c>
      <c r="D299" s="13" t="s">
        <v>64</v>
      </c>
      <c r="E299" s="13" t="s">
        <v>65</v>
      </c>
      <c r="F299" s="13" t="s">
        <v>64</v>
      </c>
      <c r="G299" s="13" t="s">
        <v>211</v>
      </c>
      <c r="H299" s="13" t="s">
        <v>212</v>
      </c>
      <c r="I299" s="13" t="s">
        <v>701</v>
      </c>
      <c r="J299" s="13" t="s">
        <v>702</v>
      </c>
      <c r="K299" s="13"/>
      <c r="L299" s="13">
        <v>1774</v>
      </c>
      <c r="M299" s="13">
        <v>1774</v>
      </c>
      <c r="N299" s="13">
        <v>5819</v>
      </c>
      <c r="O299" s="13">
        <v>5819</v>
      </c>
      <c r="P299" s="13" t="s">
        <v>1443</v>
      </c>
      <c r="Q299" s="13"/>
      <c r="R299" s="13" t="s">
        <v>1444</v>
      </c>
      <c r="S299" s="13"/>
      <c r="T299" s="13" t="s">
        <v>1445</v>
      </c>
      <c r="U299" s="14">
        <v>41250</v>
      </c>
      <c r="V299" s="13">
        <v>7</v>
      </c>
      <c r="W299" s="13">
        <v>12</v>
      </c>
      <c r="X299" s="13">
        <v>2012</v>
      </c>
      <c r="Y299" s="13" t="s">
        <v>1446</v>
      </c>
      <c r="Z299" s="13" t="s">
        <v>72</v>
      </c>
      <c r="AA299" s="13">
        <v>6.4933333300000007E-2</v>
      </c>
      <c r="AB299" s="13">
        <v>-78.689316666699995</v>
      </c>
      <c r="AC299" s="13"/>
      <c r="AD299" s="13" t="s">
        <v>96</v>
      </c>
      <c r="AE299" s="13" t="s">
        <v>74</v>
      </c>
      <c r="AF299" s="13"/>
      <c r="AG299" s="13"/>
      <c r="AH299" s="13"/>
      <c r="AI299" s="13" t="s">
        <v>203</v>
      </c>
      <c r="AJ299" s="13"/>
      <c r="AK299" s="13"/>
      <c r="AL299" s="13"/>
      <c r="AM299" s="13"/>
      <c r="AN299" s="13"/>
      <c r="AO299" s="13" t="s">
        <v>76</v>
      </c>
      <c r="AP299" s="20" t="str">
        <f t="shared" si="30"/>
        <v>13</v>
      </c>
      <c r="AQ299" s="13"/>
      <c r="AR299" s="13"/>
      <c r="AS299" s="13"/>
      <c r="AT299" s="13"/>
      <c r="AU299" s="13" t="s">
        <v>130</v>
      </c>
      <c r="AV299" s="20" t="str">
        <f t="shared" si="31"/>
        <v>19</v>
      </c>
      <c r="AW299" s="13"/>
      <c r="AX299" s="13"/>
      <c r="AY299" s="13"/>
      <c r="AZ299" s="13"/>
      <c r="BA299" s="13"/>
      <c r="BB299" s="13"/>
      <c r="BC299" s="13"/>
      <c r="BD299" s="13" t="s">
        <v>1385</v>
      </c>
      <c r="BF299" s="13"/>
      <c r="BG299" s="13"/>
      <c r="BH299" s="13" t="s">
        <v>83</v>
      </c>
      <c r="BI299" s="13"/>
      <c r="BJ299" s="13"/>
      <c r="BK299" s="13"/>
      <c r="BL299" s="13" t="s">
        <v>1447</v>
      </c>
      <c r="BM299" s="20" t="str">
        <f t="shared" ref="BM299:BM362" si="33">LEFT(BL299,FIND("^^",SUBSTITUTE(BL299," ","^^",LEN(BL299)-LEN(SUBSTITUTE(BL299," ",""))))-1)</f>
        <v>64</v>
      </c>
      <c r="BN299" s="13" t="s">
        <v>254</v>
      </c>
      <c r="BO299" s="20" t="str">
        <f t="shared" ref="BO299:BO362" si="34">LEFT(BN299,FIND("^^",SUBSTITUTE(BN299," ","^^",LEN(BN299)-LEN(SUBSTITUTE(BN299," ",""))))-1)</f>
        <v>154</v>
      </c>
      <c r="BP299" s="13"/>
      <c r="BQ299" s="13" t="s">
        <v>248</v>
      </c>
      <c r="BR299" s="20" t="str">
        <f t="shared" si="32"/>
        <v>10.25</v>
      </c>
      <c r="BS299" s="21">
        <f t="shared" ref="BS299:BS362" si="35">(BO299-BM299)</f>
        <v>90</v>
      </c>
    </row>
    <row r="300" spans="1:71" x14ac:dyDescent="0.2">
      <c r="A300" t="s">
        <v>63</v>
      </c>
      <c r="C300" t="s">
        <v>1441</v>
      </c>
      <c r="D300" t="s">
        <v>64</v>
      </c>
      <c r="E300" t="s">
        <v>65</v>
      </c>
      <c r="F300" t="s">
        <v>64</v>
      </c>
      <c r="G300" t="s">
        <v>211</v>
      </c>
      <c r="H300" t="s">
        <v>212</v>
      </c>
      <c r="I300" t="s">
        <v>701</v>
      </c>
      <c r="J300" t="s">
        <v>702</v>
      </c>
      <c r="L300">
        <v>1832</v>
      </c>
      <c r="M300">
        <v>1832</v>
      </c>
      <c r="N300">
        <v>6009</v>
      </c>
      <c r="O300">
        <v>6009</v>
      </c>
      <c r="P300" t="s">
        <v>1428</v>
      </c>
      <c r="R300" t="s">
        <v>1429</v>
      </c>
      <c r="T300" t="s">
        <v>1430</v>
      </c>
      <c r="U300" s="2">
        <v>41249</v>
      </c>
      <c r="V300">
        <v>6</v>
      </c>
      <c r="W300">
        <v>12</v>
      </c>
      <c r="X300">
        <v>2012</v>
      </c>
      <c r="Y300" t="s">
        <v>1431</v>
      </c>
      <c r="Z300" t="s">
        <v>72</v>
      </c>
      <c r="AA300">
        <v>3.6933333300000003E-2</v>
      </c>
      <c r="AB300">
        <v>-78.6967666667</v>
      </c>
      <c r="AD300" t="s">
        <v>96</v>
      </c>
      <c r="AE300" t="s">
        <v>74</v>
      </c>
      <c r="AI300" t="s">
        <v>75</v>
      </c>
      <c r="AO300" t="s">
        <v>88</v>
      </c>
      <c r="AP300" s="20" t="str">
        <f t="shared" si="30"/>
        <v>15</v>
      </c>
      <c r="AU300" t="s">
        <v>130</v>
      </c>
      <c r="AV300" s="20" t="str">
        <f t="shared" si="31"/>
        <v>19</v>
      </c>
      <c r="BD300" t="s">
        <v>759</v>
      </c>
      <c r="BH300" t="s">
        <v>83</v>
      </c>
      <c r="BL300" t="s">
        <v>153</v>
      </c>
      <c r="BM300" s="20" t="str">
        <f t="shared" si="33"/>
        <v>81</v>
      </c>
      <c r="BN300" t="s">
        <v>302</v>
      </c>
      <c r="BO300" s="20" t="str">
        <f t="shared" si="34"/>
        <v>171</v>
      </c>
      <c r="BQ300" t="s">
        <v>199</v>
      </c>
      <c r="BR300" s="20" t="str">
        <f t="shared" si="32"/>
        <v>13</v>
      </c>
      <c r="BS300" s="21">
        <f t="shared" si="35"/>
        <v>90</v>
      </c>
    </row>
    <row r="301" spans="1:71" x14ac:dyDescent="0.2">
      <c r="A301" s="7" t="s">
        <v>63</v>
      </c>
      <c r="B301" s="7" t="s">
        <v>2206</v>
      </c>
      <c r="C301" s="7" t="s">
        <v>1154</v>
      </c>
      <c r="D301" s="7" t="s">
        <v>64</v>
      </c>
      <c r="E301" s="7" t="s">
        <v>65</v>
      </c>
      <c r="F301" s="7" t="s">
        <v>64</v>
      </c>
      <c r="G301" s="7" t="s">
        <v>615</v>
      </c>
      <c r="H301" s="7" t="s">
        <v>67</v>
      </c>
      <c r="I301" s="7" t="s">
        <v>68</v>
      </c>
      <c r="J301" s="7" t="s">
        <v>1136</v>
      </c>
      <c r="K301" s="7" t="s">
        <v>1137</v>
      </c>
      <c r="L301" s="7">
        <v>1375</v>
      </c>
      <c r="M301" s="7">
        <v>1375</v>
      </c>
      <c r="N301" s="7">
        <v>4511</v>
      </c>
      <c r="O301" s="7">
        <v>4511</v>
      </c>
      <c r="P301" s="7" t="s">
        <v>1155</v>
      </c>
      <c r="Q301" s="7"/>
      <c r="R301" s="7" t="s">
        <v>1156</v>
      </c>
      <c r="S301" s="7" t="s">
        <v>1157</v>
      </c>
      <c r="T301" s="7" t="s">
        <v>1158</v>
      </c>
      <c r="U301" s="9">
        <v>41078</v>
      </c>
      <c r="V301" s="7">
        <v>18</v>
      </c>
      <c r="W301" s="7">
        <v>6</v>
      </c>
      <c r="X301" s="7">
        <v>2012</v>
      </c>
      <c r="Y301" s="7" t="s">
        <v>1159</v>
      </c>
      <c r="Z301" s="7" t="s">
        <v>72</v>
      </c>
      <c r="AA301" s="7">
        <v>40.255600000000001</v>
      </c>
      <c r="AB301" s="7">
        <v>-111.71025</v>
      </c>
      <c r="AC301" s="7"/>
      <c r="AD301" s="7" t="s">
        <v>73</v>
      </c>
      <c r="AE301" s="7" t="s">
        <v>74</v>
      </c>
      <c r="AF301" s="7"/>
      <c r="AG301" s="7"/>
      <c r="AH301" s="7"/>
      <c r="AI301" s="7" t="s">
        <v>75</v>
      </c>
      <c r="AJ301" s="7"/>
      <c r="AK301" s="7"/>
      <c r="AL301" s="7"/>
      <c r="AM301" s="7"/>
      <c r="AN301" s="7"/>
      <c r="AO301" s="7" t="s">
        <v>207</v>
      </c>
      <c r="AP301" s="20" t="str">
        <f t="shared" si="30"/>
        <v>13.5</v>
      </c>
      <c r="AQ301" s="7"/>
      <c r="AR301" s="7"/>
      <c r="AS301" s="7"/>
      <c r="AT301" s="7"/>
      <c r="AU301" s="7" t="s">
        <v>914</v>
      </c>
      <c r="AV301" s="20" t="str">
        <f t="shared" si="31"/>
        <v>18.1</v>
      </c>
      <c r="AW301" s="7"/>
      <c r="AX301" s="7"/>
      <c r="AY301" s="7"/>
      <c r="AZ301" s="7"/>
      <c r="BA301" s="7"/>
      <c r="BB301" s="7"/>
      <c r="BC301" s="7"/>
      <c r="BD301" s="7" t="s">
        <v>1160</v>
      </c>
      <c r="BF301" s="7"/>
      <c r="BG301" s="7"/>
      <c r="BH301" s="7" t="s">
        <v>83</v>
      </c>
      <c r="BI301" s="7"/>
      <c r="BJ301" s="7"/>
      <c r="BK301" s="7"/>
      <c r="BL301" s="7" t="s">
        <v>153</v>
      </c>
      <c r="BM301" s="20" t="str">
        <f t="shared" si="33"/>
        <v>81</v>
      </c>
      <c r="BN301" s="7" t="s">
        <v>302</v>
      </c>
      <c r="BO301" s="20" t="str">
        <f t="shared" si="34"/>
        <v>171</v>
      </c>
      <c r="BP301" s="7"/>
      <c r="BQ301" s="7" t="s">
        <v>693</v>
      </c>
      <c r="BR301" s="20" t="str">
        <f t="shared" si="32"/>
        <v>17.2</v>
      </c>
      <c r="BS301" s="21">
        <f t="shared" si="35"/>
        <v>90</v>
      </c>
    </row>
    <row r="302" spans="1:71" x14ac:dyDescent="0.2">
      <c r="A302" t="s">
        <v>63</v>
      </c>
      <c r="B302" t="s">
        <v>2407</v>
      </c>
      <c r="C302" t="s">
        <v>1503</v>
      </c>
      <c r="D302" t="s">
        <v>64</v>
      </c>
      <c r="E302" t="s">
        <v>65</v>
      </c>
      <c r="F302" t="s">
        <v>64</v>
      </c>
      <c r="G302" t="s">
        <v>211</v>
      </c>
      <c r="H302" t="s">
        <v>212</v>
      </c>
      <c r="I302" t="s">
        <v>701</v>
      </c>
      <c r="J302" t="s">
        <v>1466</v>
      </c>
      <c r="L302">
        <v>477</v>
      </c>
      <c r="M302">
        <v>477</v>
      </c>
      <c r="N302">
        <v>1566</v>
      </c>
      <c r="O302">
        <v>1566</v>
      </c>
      <c r="P302" t="s">
        <v>1504</v>
      </c>
      <c r="R302" t="s">
        <v>1505</v>
      </c>
      <c r="T302" t="s">
        <v>1506</v>
      </c>
      <c r="U302" s="2">
        <v>41255</v>
      </c>
      <c r="V302">
        <v>12</v>
      </c>
      <c r="W302">
        <v>12</v>
      </c>
      <c r="X302">
        <v>2012</v>
      </c>
      <c r="Y302">
        <f>-0.1897333333/-79.3184166667</f>
        <v>2.392046403261793E-3</v>
      </c>
      <c r="Z302" t="s">
        <v>72</v>
      </c>
      <c r="AA302">
        <v>-0.1897334</v>
      </c>
      <c r="AB302">
        <v>-79.201750000000004</v>
      </c>
      <c r="AD302" t="s">
        <v>96</v>
      </c>
      <c r="AE302" t="s">
        <v>74</v>
      </c>
      <c r="AI302" t="s">
        <v>75</v>
      </c>
      <c r="AO302" t="s">
        <v>76</v>
      </c>
      <c r="AP302" s="20" t="str">
        <f t="shared" si="30"/>
        <v>13</v>
      </c>
      <c r="AU302" t="s">
        <v>82</v>
      </c>
      <c r="AV302" s="20" t="str">
        <f t="shared" si="31"/>
        <v>17</v>
      </c>
      <c r="BD302" t="s">
        <v>1458</v>
      </c>
      <c r="BH302" t="s">
        <v>83</v>
      </c>
      <c r="BL302" t="s">
        <v>194</v>
      </c>
      <c r="BM302" s="20" t="str">
        <f t="shared" si="33"/>
        <v>79</v>
      </c>
      <c r="BN302" t="s">
        <v>367</v>
      </c>
      <c r="BO302" s="20" t="str">
        <f t="shared" si="34"/>
        <v>169</v>
      </c>
      <c r="BQ302" t="s">
        <v>138</v>
      </c>
      <c r="BR302" s="20" t="str">
        <f t="shared" si="32"/>
        <v>15.5</v>
      </c>
      <c r="BS302" s="21">
        <f t="shared" si="35"/>
        <v>90</v>
      </c>
    </row>
    <row r="303" spans="1:71" x14ac:dyDescent="0.2">
      <c r="A303" t="s">
        <v>63</v>
      </c>
      <c r="B303" t="s">
        <v>2408</v>
      </c>
      <c r="C303" t="s">
        <v>1522</v>
      </c>
      <c r="D303" t="s">
        <v>64</v>
      </c>
      <c r="E303" t="s">
        <v>65</v>
      </c>
      <c r="F303" t="s">
        <v>64</v>
      </c>
      <c r="G303" t="s">
        <v>211</v>
      </c>
      <c r="H303" t="s">
        <v>212</v>
      </c>
      <c r="I303" t="s">
        <v>701</v>
      </c>
      <c r="J303" t="s">
        <v>1466</v>
      </c>
      <c r="L303">
        <v>481</v>
      </c>
      <c r="M303">
        <v>481</v>
      </c>
      <c r="N303">
        <v>1578</v>
      </c>
      <c r="O303">
        <v>1578</v>
      </c>
      <c r="P303" t="s">
        <v>1523</v>
      </c>
      <c r="R303" t="s">
        <v>1519</v>
      </c>
      <c r="T303" t="s">
        <v>1520</v>
      </c>
      <c r="U303" s="2">
        <v>41255</v>
      </c>
      <c r="V303">
        <v>12</v>
      </c>
      <c r="W303">
        <v>12</v>
      </c>
      <c r="X303">
        <v>2012</v>
      </c>
      <c r="Y303">
        <f>-0.29945/-79.2157833333</f>
        <v>3.7801810119085194E-3</v>
      </c>
      <c r="Z303" t="s">
        <v>72</v>
      </c>
      <c r="AA303">
        <v>-0.29944999999999999</v>
      </c>
      <c r="AB303">
        <v>-79.215783333299996</v>
      </c>
      <c r="AD303" t="s">
        <v>96</v>
      </c>
      <c r="AE303" t="s">
        <v>74</v>
      </c>
      <c r="AI303" t="s">
        <v>75</v>
      </c>
      <c r="AO303" t="s">
        <v>76</v>
      </c>
      <c r="AP303" s="20" t="str">
        <f t="shared" si="30"/>
        <v>13</v>
      </c>
      <c r="AU303" t="s">
        <v>130</v>
      </c>
      <c r="AV303" s="20" t="str">
        <f t="shared" si="31"/>
        <v>19</v>
      </c>
      <c r="BD303" t="s">
        <v>1524</v>
      </c>
      <c r="BH303" t="s">
        <v>83</v>
      </c>
      <c r="BL303" t="s">
        <v>153</v>
      </c>
      <c r="BM303" s="20" t="str">
        <f t="shared" si="33"/>
        <v>81</v>
      </c>
      <c r="BN303" t="s">
        <v>302</v>
      </c>
      <c r="BO303" s="20" t="str">
        <f t="shared" si="34"/>
        <v>171</v>
      </c>
      <c r="BQ303" t="s">
        <v>262</v>
      </c>
      <c r="BR303" s="20" t="str">
        <f t="shared" si="32"/>
        <v>12.5</v>
      </c>
      <c r="BS303" s="21">
        <f t="shared" si="35"/>
        <v>90</v>
      </c>
    </row>
    <row r="304" spans="1:71" x14ac:dyDescent="0.2">
      <c r="A304" s="13" t="s">
        <v>63</v>
      </c>
      <c r="B304" s="13" t="s">
        <v>2409</v>
      </c>
      <c r="C304" s="13" t="s">
        <v>1497</v>
      </c>
      <c r="D304" s="13" t="s">
        <v>64</v>
      </c>
      <c r="E304" s="13" t="s">
        <v>65</v>
      </c>
      <c r="F304" s="13" t="s">
        <v>64</v>
      </c>
      <c r="G304" s="13" t="s">
        <v>211</v>
      </c>
      <c r="H304" s="13" t="s">
        <v>212</v>
      </c>
      <c r="I304" s="13" t="s">
        <v>701</v>
      </c>
      <c r="J304" s="13" t="s">
        <v>1466</v>
      </c>
      <c r="K304" s="13"/>
      <c r="L304" s="13">
        <v>361</v>
      </c>
      <c r="M304" s="13">
        <v>361</v>
      </c>
      <c r="N304" s="13">
        <v>1183</v>
      </c>
      <c r="O304" s="13">
        <v>1183</v>
      </c>
      <c r="P304" s="13" t="s">
        <v>1494</v>
      </c>
      <c r="Q304" s="13"/>
      <c r="R304" s="13" t="s">
        <v>1495</v>
      </c>
      <c r="S304" s="13"/>
      <c r="T304" s="13" t="s">
        <v>1496</v>
      </c>
      <c r="U304" s="14">
        <v>41254</v>
      </c>
      <c r="V304" s="13">
        <v>11</v>
      </c>
      <c r="W304" s="13">
        <v>12</v>
      </c>
      <c r="X304" s="13">
        <v>2012</v>
      </c>
      <c r="Y304" s="13">
        <f>-0.2443/-79.3274333333</f>
        <v>3.0796407968168558E-3</v>
      </c>
      <c r="Z304" s="13" t="s">
        <v>72</v>
      </c>
      <c r="AA304" s="13">
        <v>-0.24429999999999999</v>
      </c>
      <c r="AB304" s="13">
        <v>-79.327433333299993</v>
      </c>
      <c r="AC304" s="13"/>
      <c r="AD304" s="13" t="s">
        <v>96</v>
      </c>
      <c r="AE304" s="13" t="s">
        <v>74</v>
      </c>
      <c r="AF304" s="13"/>
      <c r="AG304" s="13"/>
      <c r="AH304" s="13"/>
      <c r="AI304" s="13" t="s">
        <v>75</v>
      </c>
      <c r="AJ304" s="13"/>
      <c r="AK304" s="13"/>
      <c r="AL304" s="13"/>
      <c r="AM304" s="13"/>
      <c r="AN304" s="13"/>
      <c r="AO304" s="13" t="s">
        <v>87</v>
      </c>
      <c r="AP304" s="20" t="str">
        <f t="shared" si="30"/>
        <v>14</v>
      </c>
      <c r="AQ304" s="13"/>
      <c r="AR304" s="13"/>
      <c r="AS304" s="13"/>
      <c r="AT304" s="13"/>
      <c r="AU304" s="13" t="s">
        <v>111</v>
      </c>
      <c r="AV304" s="20" t="str">
        <f t="shared" si="31"/>
        <v>20</v>
      </c>
      <c r="AW304" s="13"/>
      <c r="AX304" s="13"/>
      <c r="AY304" s="13"/>
      <c r="AZ304" s="13"/>
      <c r="BA304" s="13"/>
      <c r="BB304" s="13"/>
      <c r="BC304" s="13"/>
      <c r="BD304" s="13" t="s">
        <v>1498</v>
      </c>
      <c r="BF304" s="13"/>
      <c r="BG304" s="13"/>
      <c r="BH304" s="13" t="s">
        <v>83</v>
      </c>
      <c r="BI304" s="13"/>
      <c r="BJ304" s="13"/>
      <c r="BK304" s="13"/>
      <c r="BL304" s="13" t="s">
        <v>147</v>
      </c>
      <c r="BM304" s="20" t="str">
        <f t="shared" si="33"/>
        <v>84</v>
      </c>
      <c r="BN304" s="13" t="s">
        <v>629</v>
      </c>
      <c r="BO304" s="20" t="str">
        <f t="shared" si="34"/>
        <v>174</v>
      </c>
      <c r="BP304" s="13"/>
      <c r="BQ304" s="13" t="s">
        <v>340</v>
      </c>
      <c r="BR304" s="20" t="str">
        <f t="shared" si="32"/>
        <v>15</v>
      </c>
      <c r="BS304" s="21">
        <f t="shared" si="35"/>
        <v>90</v>
      </c>
    </row>
    <row r="305" spans="1:72" x14ac:dyDescent="0.2">
      <c r="A305" t="s">
        <v>63</v>
      </c>
      <c r="C305" t="s">
        <v>1934</v>
      </c>
      <c r="D305" t="s">
        <v>64</v>
      </c>
      <c r="E305" t="s">
        <v>65</v>
      </c>
      <c r="F305" t="s">
        <v>64</v>
      </c>
      <c r="G305" t="s">
        <v>1886</v>
      </c>
      <c r="H305" t="s">
        <v>212</v>
      </c>
      <c r="I305" t="s">
        <v>1887</v>
      </c>
      <c r="J305" t="s">
        <v>1888</v>
      </c>
      <c r="L305">
        <v>3652</v>
      </c>
      <c r="M305">
        <v>3652</v>
      </c>
      <c r="N305">
        <v>3652</v>
      </c>
      <c r="O305">
        <v>3652</v>
      </c>
      <c r="P305" t="s">
        <v>1935</v>
      </c>
      <c r="R305" t="s">
        <v>1936</v>
      </c>
      <c r="T305" t="s">
        <v>1937</v>
      </c>
      <c r="U305" s="2">
        <v>41866</v>
      </c>
      <c r="V305">
        <v>15</v>
      </c>
      <c r="W305">
        <v>8</v>
      </c>
      <c r="X305">
        <v>2014</v>
      </c>
      <c r="Y305">
        <f>-16.5846666667/-68.1368833333</f>
        <v>0.24340219063989246</v>
      </c>
      <c r="Z305" t="s">
        <v>72</v>
      </c>
      <c r="AA305">
        <v>-16.584666666699999</v>
      </c>
      <c r="AB305">
        <v>-68.136883333300005</v>
      </c>
      <c r="AC305">
        <v>100</v>
      </c>
      <c r="AD305" t="s">
        <v>73</v>
      </c>
      <c r="AE305" t="s">
        <v>74</v>
      </c>
      <c r="AI305" t="s">
        <v>75</v>
      </c>
      <c r="AO305" t="s">
        <v>88</v>
      </c>
      <c r="AP305" s="20" t="str">
        <f t="shared" si="30"/>
        <v>15</v>
      </c>
      <c r="AU305" t="s">
        <v>140</v>
      </c>
      <c r="AV305" s="20" t="str">
        <f t="shared" si="31"/>
        <v>19.1</v>
      </c>
      <c r="BD305" t="s">
        <v>1938</v>
      </c>
      <c r="BH305" t="s">
        <v>83</v>
      </c>
      <c r="BL305" t="s">
        <v>652</v>
      </c>
      <c r="BM305" s="20" t="str">
        <f t="shared" si="33"/>
        <v>98</v>
      </c>
      <c r="BN305" t="s">
        <v>280</v>
      </c>
      <c r="BO305" s="20" t="str">
        <f t="shared" si="34"/>
        <v>188</v>
      </c>
      <c r="BQ305" t="s">
        <v>352</v>
      </c>
      <c r="BR305" s="20" t="str">
        <f t="shared" si="32"/>
        <v>17.5</v>
      </c>
      <c r="BS305" s="21">
        <f t="shared" si="35"/>
        <v>90</v>
      </c>
    </row>
    <row r="306" spans="1:72" x14ac:dyDescent="0.2">
      <c r="A306" s="13" t="s">
        <v>63</v>
      </c>
      <c r="B306" s="13"/>
      <c r="C306" s="13" t="s">
        <v>1913</v>
      </c>
      <c r="D306" s="13" t="s">
        <v>64</v>
      </c>
      <c r="E306" s="13" t="s">
        <v>65</v>
      </c>
      <c r="F306" s="13" t="s">
        <v>64</v>
      </c>
      <c r="G306" s="13" t="s">
        <v>1886</v>
      </c>
      <c r="H306" s="13" t="s">
        <v>212</v>
      </c>
      <c r="I306" s="13" t="s">
        <v>1887</v>
      </c>
      <c r="J306" s="13" t="s">
        <v>1888</v>
      </c>
      <c r="K306" s="13"/>
      <c r="L306" s="13">
        <v>3276</v>
      </c>
      <c r="M306" s="13">
        <v>3276</v>
      </c>
      <c r="N306" s="13">
        <v>3276</v>
      </c>
      <c r="O306" s="13">
        <v>3276</v>
      </c>
      <c r="P306" s="13" t="s">
        <v>1914</v>
      </c>
      <c r="Q306" s="13"/>
      <c r="R306" s="13" t="s">
        <v>1915</v>
      </c>
      <c r="S306" s="13"/>
      <c r="T306" s="13" t="s">
        <v>1916</v>
      </c>
      <c r="U306" s="14">
        <v>41864</v>
      </c>
      <c r="V306" s="13">
        <v>13</v>
      </c>
      <c r="W306" s="13">
        <v>8</v>
      </c>
      <c r="X306" s="13">
        <v>2014</v>
      </c>
      <c r="Y306" s="13">
        <f>-16.57415/-68.0785833333</f>
        <v>0.24345615299977766</v>
      </c>
      <c r="Z306" s="13" t="s">
        <v>72</v>
      </c>
      <c r="AA306" s="13">
        <v>-16.574149999999999</v>
      </c>
      <c r="AB306" s="13">
        <v>-68.078583333300003</v>
      </c>
      <c r="AC306" s="13">
        <v>100</v>
      </c>
      <c r="AD306" s="13" t="s">
        <v>73</v>
      </c>
      <c r="AE306" s="13" t="s">
        <v>74</v>
      </c>
      <c r="AF306" s="13"/>
      <c r="AG306" s="13"/>
      <c r="AH306" s="13"/>
      <c r="AI306" s="13" t="s">
        <v>75</v>
      </c>
      <c r="AJ306" s="13"/>
      <c r="AK306" s="13"/>
      <c r="AL306" s="13"/>
      <c r="AM306" s="13"/>
      <c r="AN306" s="13"/>
      <c r="AO306" s="13" t="s">
        <v>76</v>
      </c>
      <c r="AP306" s="20" t="str">
        <f t="shared" si="30"/>
        <v>13</v>
      </c>
      <c r="AQ306" s="13"/>
      <c r="AR306" s="13"/>
      <c r="AS306" s="13"/>
      <c r="AT306" s="13"/>
      <c r="AU306" s="13" t="s">
        <v>914</v>
      </c>
      <c r="AV306" s="20" t="str">
        <f t="shared" si="31"/>
        <v>18.1</v>
      </c>
      <c r="AW306" s="13"/>
      <c r="AX306" s="13"/>
      <c r="AY306" s="13"/>
      <c r="AZ306" s="13"/>
      <c r="BA306" s="13"/>
      <c r="BB306" s="13"/>
      <c r="BC306" s="13"/>
      <c r="BD306" s="13" t="s">
        <v>1917</v>
      </c>
      <c r="BF306" s="13"/>
      <c r="BG306" s="13"/>
      <c r="BH306" s="13" t="s">
        <v>83</v>
      </c>
      <c r="BI306" s="13"/>
      <c r="BJ306" s="13"/>
      <c r="BK306" s="13"/>
      <c r="BL306" s="13" t="s">
        <v>194</v>
      </c>
      <c r="BM306" s="20" t="str">
        <f t="shared" si="33"/>
        <v>79</v>
      </c>
      <c r="BN306" s="13" t="s">
        <v>367</v>
      </c>
      <c r="BO306" s="20" t="str">
        <f t="shared" si="34"/>
        <v>169</v>
      </c>
      <c r="BP306" s="13"/>
      <c r="BQ306" s="13" t="s">
        <v>856</v>
      </c>
      <c r="BR306" s="20" t="str">
        <f t="shared" si="32"/>
        <v>17.8</v>
      </c>
      <c r="BS306" s="21">
        <f t="shared" si="35"/>
        <v>90</v>
      </c>
    </row>
    <row r="307" spans="1:72" x14ac:dyDescent="0.2">
      <c r="A307" s="7" t="s">
        <v>63</v>
      </c>
      <c r="B307" s="7" t="s">
        <v>2229</v>
      </c>
      <c r="C307" s="7" t="s">
        <v>862</v>
      </c>
      <c r="D307" s="7" t="s">
        <v>64</v>
      </c>
      <c r="E307" s="7" t="s">
        <v>65</v>
      </c>
      <c r="F307" s="7" t="s">
        <v>64</v>
      </c>
      <c r="G307" s="7" t="s">
        <v>615</v>
      </c>
      <c r="H307" s="7" t="s">
        <v>67</v>
      </c>
      <c r="I307" s="7" t="s">
        <v>788</v>
      </c>
      <c r="J307" s="7" t="s">
        <v>789</v>
      </c>
      <c r="K307" s="7" t="s">
        <v>822</v>
      </c>
      <c r="L307" s="7">
        <v>708</v>
      </c>
      <c r="M307" s="7">
        <v>708</v>
      </c>
      <c r="N307" s="7">
        <v>2323</v>
      </c>
      <c r="O307" s="7">
        <v>2323</v>
      </c>
      <c r="P307" s="7" t="s">
        <v>850</v>
      </c>
      <c r="Q307" s="7"/>
      <c r="R307" s="7" t="s">
        <v>851</v>
      </c>
      <c r="S307" s="7" t="s">
        <v>852</v>
      </c>
      <c r="T307" s="7" t="s">
        <v>853</v>
      </c>
      <c r="U307" s="9">
        <v>41123</v>
      </c>
      <c r="V307" s="7">
        <v>2</v>
      </c>
      <c r="W307" s="7">
        <v>8</v>
      </c>
      <c r="X307" s="7">
        <v>2012</v>
      </c>
      <c r="Y307" s="7" t="s">
        <v>854</v>
      </c>
      <c r="Z307" s="7" t="s">
        <v>72</v>
      </c>
      <c r="AA307" s="7">
        <v>53.399516666700002</v>
      </c>
      <c r="AB307" s="7">
        <v>-113.95965</v>
      </c>
      <c r="AC307" s="7"/>
      <c r="AD307" s="7" t="s">
        <v>73</v>
      </c>
      <c r="AE307" s="7" t="s">
        <v>74</v>
      </c>
      <c r="AF307" s="7"/>
      <c r="AG307" s="7"/>
      <c r="AH307" s="7"/>
      <c r="AI307" s="7" t="s">
        <v>75</v>
      </c>
      <c r="AJ307" s="7"/>
      <c r="AK307" s="7"/>
      <c r="AL307" s="7"/>
      <c r="AM307" s="7"/>
      <c r="AN307" s="7"/>
      <c r="AO307" s="7" t="s">
        <v>186</v>
      </c>
      <c r="AP307" s="20" t="str">
        <f t="shared" si="30"/>
        <v>14.5</v>
      </c>
      <c r="AQ307" s="7"/>
      <c r="AR307" s="7"/>
      <c r="AS307" s="7"/>
      <c r="AT307" s="7"/>
      <c r="AU307" s="7" t="s">
        <v>141</v>
      </c>
      <c r="AV307" s="20" t="str">
        <f t="shared" si="31"/>
        <v>18.5</v>
      </c>
      <c r="AW307" s="7"/>
      <c r="AX307" s="7"/>
      <c r="AY307" s="7"/>
      <c r="AZ307" s="7"/>
      <c r="BA307" s="7"/>
      <c r="BB307" s="7"/>
      <c r="BC307" s="7"/>
      <c r="BD307" s="7" t="s">
        <v>863</v>
      </c>
      <c r="BE307" s="20" t="s">
        <v>241</v>
      </c>
      <c r="BF307" s="7"/>
      <c r="BG307" s="7"/>
      <c r="BH307" s="7" t="s">
        <v>78</v>
      </c>
      <c r="BI307" s="7"/>
      <c r="BJ307" s="7"/>
      <c r="BK307" s="7"/>
      <c r="BL307" s="7" t="s">
        <v>864</v>
      </c>
      <c r="BM307" s="20" t="str">
        <f t="shared" si="33"/>
        <v>78.5</v>
      </c>
      <c r="BN307" s="7" t="s">
        <v>367</v>
      </c>
      <c r="BO307" s="20" t="str">
        <f t="shared" si="34"/>
        <v>169</v>
      </c>
      <c r="BP307" s="7"/>
      <c r="BQ307" s="7" t="s">
        <v>641</v>
      </c>
      <c r="BR307" s="20" t="str">
        <f t="shared" si="32"/>
        <v>23.3</v>
      </c>
      <c r="BS307" s="21">
        <f t="shared" si="35"/>
        <v>90.5</v>
      </c>
    </row>
    <row r="308" spans="1:72" x14ac:dyDescent="0.2">
      <c r="A308" s="13" t="s">
        <v>63</v>
      </c>
      <c r="B308" s="13"/>
      <c r="C308" s="13" t="s">
        <v>2058</v>
      </c>
      <c r="D308" s="13" t="s">
        <v>64</v>
      </c>
      <c r="E308" s="13" t="s">
        <v>65</v>
      </c>
      <c r="F308" s="13" t="s">
        <v>64</v>
      </c>
      <c r="G308" s="13" t="s">
        <v>1886</v>
      </c>
      <c r="H308" s="13" t="s">
        <v>212</v>
      </c>
      <c r="I308" s="13" t="s">
        <v>1887</v>
      </c>
      <c r="J308" s="13" t="s">
        <v>1888</v>
      </c>
      <c r="K308" s="13"/>
      <c r="L308" s="13">
        <v>3906</v>
      </c>
      <c r="M308" s="13">
        <v>3906</v>
      </c>
      <c r="N308" s="13">
        <v>3906</v>
      </c>
      <c r="O308" s="13">
        <v>3906</v>
      </c>
      <c r="P308" s="13" t="s">
        <v>2059</v>
      </c>
      <c r="Q308" s="13"/>
      <c r="R308" s="13" t="s">
        <v>2060</v>
      </c>
      <c r="S308" s="13"/>
      <c r="T308" s="13" t="s">
        <v>2061</v>
      </c>
      <c r="U308" s="15">
        <v>41886</v>
      </c>
      <c r="V308" s="13">
        <v>4</v>
      </c>
      <c r="W308" s="13">
        <v>9</v>
      </c>
      <c r="X308" s="13">
        <v>2014</v>
      </c>
      <c r="Y308" s="13">
        <f>-16.2200166667/-68.583</f>
        <v>0.23650200001020663</v>
      </c>
      <c r="Z308" s="13" t="s">
        <v>72</v>
      </c>
      <c r="AA308" s="13">
        <v>-16.220016666700001</v>
      </c>
      <c r="AB308" s="13">
        <v>-68.582999999999998</v>
      </c>
      <c r="AC308" s="13">
        <v>100</v>
      </c>
      <c r="AD308" s="13" t="s">
        <v>73</v>
      </c>
      <c r="AE308" s="13" t="s">
        <v>74</v>
      </c>
      <c r="AF308" s="13"/>
      <c r="AG308" s="13"/>
      <c r="AH308" s="13"/>
      <c r="AI308" s="13"/>
      <c r="AJ308" s="13"/>
      <c r="AK308" s="13"/>
      <c r="AL308" s="13"/>
      <c r="AM308" s="13"/>
      <c r="AN308" s="13"/>
      <c r="AO308" s="13" t="s">
        <v>843</v>
      </c>
      <c r="AP308" s="20" t="str">
        <f t="shared" si="30"/>
        <v>14.2</v>
      </c>
      <c r="AQ308" s="13"/>
      <c r="AR308" s="13"/>
      <c r="AS308" s="13"/>
      <c r="AT308" s="13"/>
      <c r="AU308" s="13" t="s">
        <v>630</v>
      </c>
      <c r="AV308" s="20" t="str">
        <f t="shared" si="31"/>
        <v>19.5</v>
      </c>
      <c r="AW308" s="13"/>
      <c r="AX308" s="13"/>
      <c r="AY308" s="13"/>
      <c r="AZ308" s="13"/>
      <c r="BA308" s="13"/>
      <c r="BB308" s="13"/>
      <c r="BC308" s="13"/>
      <c r="BD308" s="13" t="s">
        <v>2062</v>
      </c>
      <c r="BF308" s="13"/>
      <c r="BG308" s="13"/>
      <c r="BH308" s="13" t="s">
        <v>78</v>
      </c>
      <c r="BI308" s="13"/>
      <c r="BJ308" s="13"/>
      <c r="BK308" s="13"/>
      <c r="BL308" s="13" t="s">
        <v>113</v>
      </c>
      <c r="BM308" s="20" t="str">
        <f t="shared" si="33"/>
        <v>90</v>
      </c>
      <c r="BN308" s="13" t="s">
        <v>677</v>
      </c>
      <c r="BO308" s="20" t="str">
        <f t="shared" si="34"/>
        <v>180.5</v>
      </c>
      <c r="BP308" s="13"/>
      <c r="BQ308" s="13" t="s">
        <v>1883</v>
      </c>
      <c r="BR308" s="20" t="str">
        <f t="shared" si="32"/>
        <v>17.6</v>
      </c>
      <c r="BS308" s="21">
        <f t="shared" si="35"/>
        <v>90.5</v>
      </c>
    </row>
    <row r="309" spans="1:72" x14ac:dyDescent="0.2">
      <c r="A309" t="s">
        <v>63</v>
      </c>
      <c r="B309" t="s">
        <v>2307</v>
      </c>
      <c r="C309" t="s">
        <v>868</v>
      </c>
      <c r="D309" t="s">
        <v>64</v>
      </c>
      <c r="E309" t="s">
        <v>65</v>
      </c>
      <c r="F309" t="s">
        <v>64</v>
      </c>
      <c r="G309" t="s">
        <v>615</v>
      </c>
      <c r="H309" t="s">
        <v>67</v>
      </c>
      <c r="I309" t="s">
        <v>788</v>
      </c>
      <c r="J309" t="s">
        <v>789</v>
      </c>
      <c r="K309" t="s">
        <v>822</v>
      </c>
      <c r="L309">
        <v>705</v>
      </c>
      <c r="M309">
        <v>705</v>
      </c>
      <c r="N309">
        <v>2314</v>
      </c>
      <c r="O309">
        <v>2314</v>
      </c>
      <c r="P309" t="s">
        <v>869</v>
      </c>
      <c r="R309" t="s">
        <v>870</v>
      </c>
      <c r="S309" t="s">
        <v>871</v>
      </c>
      <c r="T309" t="s">
        <v>872</v>
      </c>
      <c r="U309" s="2">
        <v>41124</v>
      </c>
      <c r="V309">
        <v>3</v>
      </c>
      <c r="W309">
        <v>8</v>
      </c>
      <c r="X309">
        <v>2012</v>
      </c>
      <c r="Y309" t="s">
        <v>873</v>
      </c>
      <c r="Z309" t="s">
        <v>72</v>
      </c>
      <c r="AA309">
        <v>53.444633333299997</v>
      </c>
      <c r="AB309">
        <v>-113.90819999999999</v>
      </c>
      <c r="AD309" t="s">
        <v>73</v>
      </c>
      <c r="AE309" t="s">
        <v>74</v>
      </c>
      <c r="AI309" t="s">
        <v>75</v>
      </c>
      <c r="AO309" t="s">
        <v>874</v>
      </c>
      <c r="AP309" s="20" t="str">
        <f t="shared" si="30"/>
        <v>15.1</v>
      </c>
      <c r="AU309" t="s">
        <v>875</v>
      </c>
      <c r="AV309" s="21">
        <v>20</v>
      </c>
      <c r="BH309" t="s">
        <v>78</v>
      </c>
      <c r="BL309" t="s">
        <v>103</v>
      </c>
      <c r="BM309" s="20" t="str">
        <f t="shared" si="33"/>
        <v>91</v>
      </c>
      <c r="BN309" t="s">
        <v>876</v>
      </c>
      <c r="BO309" s="20" t="str">
        <f t="shared" si="34"/>
        <v>181.5</v>
      </c>
      <c r="BQ309" t="s">
        <v>877</v>
      </c>
      <c r="BR309" s="20" t="str">
        <f t="shared" si="32"/>
        <v>18.48</v>
      </c>
      <c r="BS309" s="21">
        <f t="shared" si="35"/>
        <v>90.5</v>
      </c>
    </row>
    <row r="310" spans="1:72" x14ac:dyDescent="0.2">
      <c r="A310" s="13" t="s">
        <v>63</v>
      </c>
      <c r="B310" s="13" t="s">
        <v>2364</v>
      </c>
      <c r="C310" s="13" t="s">
        <v>1366</v>
      </c>
      <c r="D310" s="13" t="s">
        <v>64</v>
      </c>
      <c r="E310" s="13" t="s">
        <v>65</v>
      </c>
      <c r="F310" s="13" t="s">
        <v>64</v>
      </c>
      <c r="G310" s="13" t="s">
        <v>211</v>
      </c>
      <c r="H310" s="13" t="s">
        <v>212</v>
      </c>
      <c r="I310" s="13" t="s">
        <v>701</v>
      </c>
      <c r="J310" s="13" t="s">
        <v>1342</v>
      </c>
      <c r="K310" s="13"/>
      <c r="L310" s="13">
        <v>73</v>
      </c>
      <c r="M310" s="13">
        <v>73</v>
      </c>
      <c r="N310" s="13">
        <v>241</v>
      </c>
      <c r="O310" s="13">
        <v>241</v>
      </c>
      <c r="P310" s="13" t="s">
        <v>1367</v>
      </c>
      <c r="Q310" s="13"/>
      <c r="R310" s="13" t="s">
        <v>1368</v>
      </c>
      <c r="S310" s="13"/>
      <c r="T310" s="13" t="s">
        <v>1369</v>
      </c>
      <c r="U310" s="14">
        <v>41242</v>
      </c>
      <c r="V310" s="13">
        <v>29</v>
      </c>
      <c r="W310" s="13">
        <v>11</v>
      </c>
      <c r="X310" s="13">
        <v>2012</v>
      </c>
      <c r="Y310" s="13">
        <f>-1.0808/-80.52325</f>
        <v>1.3422210355394249E-2</v>
      </c>
      <c r="Z310" s="13" t="s">
        <v>72</v>
      </c>
      <c r="AA310" s="13">
        <v>-1.0808</v>
      </c>
      <c r="AB310" s="13">
        <v>-80.523250000000004</v>
      </c>
      <c r="AC310" s="13"/>
      <c r="AD310" s="13" t="s">
        <v>96</v>
      </c>
      <c r="AE310" s="13" t="s">
        <v>74</v>
      </c>
      <c r="AF310" s="13"/>
      <c r="AG310" s="13"/>
      <c r="AH310" s="13"/>
      <c r="AI310" s="13" t="s">
        <v>75</v>
      </c>
      <c r="AJ310" s="13"/>
      <c r="AK310" s="13"/>
      <c r="AL310" s="13"/>
      <c r="AM310" s="13"/>
      <c r="AN310" s="13"/>
      <c r="AO310" s="13" t="s">
        <v>130</v>
      </c>
      <c r="AP310" s="20" t="str">
        <f t="shared" si="30"/>
        <v>19</v>
      </c>
      <c r="AQ310" s="13"/>
      <c r="AR310" s="13"/>
      <c r="AS310" s="13"/>
      <c r="AT310" s="13"/>
      <c r="AU310" s="13" t="s">
        <v>111</v>
      </c>
      <c r="AV310" s="20" t="str">
        <f t="shared" ref="AV310:AV341" si="36">LEFT(AU310,FIND("^^",SUBSTITUTE(AU310," ","^^",LEN(AU310)-LEN(SUBSTITUTE(AU310," ",""))))-1)</f>
        <v>20</v>
      </c>
      <c r="AW310" s="13"/>
      <c r="AX310" s="13"/>
      <c r="AY310" s="13"/>
      <c r="AZ310" s="13"/>
      <c r="BA310" s="13"/>
      <c r="BB310" s="13"/>
      <c r="BC310" s="13"/>
      <c r="BD310" s="13" t="s">
        <v>258</v>
      </c>
      <c r="BF310" s="13"/>
      <c r="BG310" s="13"/>
      <c r="BH310" s="13" t="s">
        <v>78</v>
      </c>
      <c r="BI310" s="13"/>
      <c r="BJ310" s="13"/>
      <c r="BK310" s="13"/>
      <c r="BL310" s="13" t="s">
        <v>174</v>
      </c>
      <c r="BM310" s="20" t="str">
        <f t="shared" si="33"/>
        <v>83</v>
      </c>
      <c r="BN310" s="13" t="s">
        <v>629</v>
      </c>
      <c r="BO310" s="20" t="str">
        <f t="shared" si="34"/>
        <v>174</v>
      </c>
      <c r="BP310" s="13"/>
      <c r="BQ310" s="13" t="s">
        <v>115</v>
      </c>
      <c r="BR310" s="20" t="str">
        <f t="shared" si="32"/>
        <v>17.25</v>
      </c>
      <c r="BS310" s="21">
        <f t="shared" si="35"/>
        <v>91</v>
      </c>
      <c r="BT310" s="10"/>
    </row>
    <row r="311" spans="1:72" x14ac:dyDescent="0.2">
      <c r="A311" t="s">
        <v>63</v>
      </c>
      <c r="C311" t="s">
        <v>1341</v>
      </c>
      <c r="D311" t="s">
        <v>64</v>
      </c>
      <c r="E311" t="s">
        <v>65</v>
      </c>
      <c r="F311" t="s">
        <v>64</v>
      </c>
      <c r="G311" t="s">
        <v>211</v>
      </c>
      <c r="H311" t="s">
        <v>212</v>
      </c>
      <c r="I311" t="s">
        <v>701</v>
      </c>
      <c r="J311" t="s">
        <v>1342</v>
      </c>
      <c r="L311">
        <v>18</v>
      </c>
      <c r="M311">
        <v>18</v>
      </c>
      <c r="N311">
        <v>60</v>
      </c>
      <c r="O311">
        <v>60</v>
      </c>
      <c r="P311" t="s">
        <v>1343</v>
      </c>
      <c r="R311" t="s">
        <v>1344</v>
      </c>
      <c r="T311" t="s">
        <v>1345</v>
      </c>
      <c r="U311" s="2">
        <v>41241</v>
      </c>
      <c r="V311">
        <v>28</v>
      </c>
      <c r="W311">
        <v>11</v>
      </c>
      <c r="X311">
        <v>2012</v>
      </c>
      <c r="Y311">
        <f>-0.883/-80.1341166667</f>
        <v>1.1019027060255019E-2</v>
      </c>
      <c r="Z311" t="s">
        <v>72</v>
      </c>
      <c r="AA311">
        <v>-0.88300000000000001</v>
      </c>
      <c r="AB311">
        <v>-80.134116666699995</v>
      </c>
      <c r="AD311" t="s">
        <v>96</v>
      </c>
      <c r="AE311" t="s">
        <v>74</v>
      </c>
      <c r="AI311" t="s">
        <v>226</v>
      </c>
      <c r="AO311" t="s">
        <v>87</v>
      </c>
      <c r="AP311" s="20" t="str">
        <f t="shared" si="30"/>
        <v>14</v>
      </c>
      <c r="AU311" t="s">
        <v>82</v>
      </c>
      <c r="AV311" s="20" t="str">
        <f t="shared" si="36"/>
        <v>17</v>
      </c>
      <c r="BD311" t="s">
        <v>258</v>
      </c>
      <c r="BH311" t="s">
        <v>78</v>
      </c>
      <c r="BL311" t="s">
        <v>208</v>
      </c>
      <c r="BM311" s="20" t="str">
        <f t="shared" si="33"/>
        <v>80</v>
      </c>
      <c r="BN311" t="s">
        <v>302</v>
      </c>
      <c r="BO311" s="20" t="str">
        <f t="shared" si="34"/>
        <v>171</v>
      </c>
      <c r="BQ311" t="s">
        <v>340</v>
      </c>
      <c r="BR311" s="20" t="str">
        <f t="shared" si="32"/>
        <v>15</v>
      </c>
      <c r="BS311" s="21">
        <f t="shared" si="35"/>
        <v>91</v>
      </c>
    </row>
    <row r="312" spans="1:72" x14ac:dyDescent="0.2">
      <c r="A312" s="17" t="s">
        <v>63</v>
      </c>
      <c r="B312" s="17" t="s">
        <v>2343</v>
      </c>
      <c r="C312" s="17" t="s">
        <v>989</v>
      </c>
      <c r="D312" s="17" t="s">
        <v>64</v>
      </c>
      <c r="E312" s="17" t="s">
        <v>65</v>
      </c>
      <c r="F312" s="17" t="s">
        <v>64</v>
      </c>
      <c r="G312" s="17" t="s">
        <v>615</v>
      </c>
      <c r="H312" s="17" t="s">
        <v>67</v>
      </c>
      <c r="I312" s="17" t="s">
        <v>68</v>
      </c>
      <c r="J312" s="17" t="s">
        <v>69</v>
      </c>
      <c r="K312" s="17" t="s">
        <v>70</v>
      </c>
      <c r="L312" s="17">
        <v>690</v>
      </c>
      <c r="M312" s="17">
        <v>690</v>
      </c>
      <c r="N312" s="17">
        <v>2264</v>
      </c>
      <c r="O312" s="17">
        <v>2264</v>
      </c>
      <c r="P312" s="17" t="s">
        <v>980</v>
      </c>
      <c r="Q312" s="17"/>
      <c r="R312" s="17" t="s">
        <v>981</v>
      </c>
      <c r="S312" s="17" t="s">
        <v>982</v>
      </c>
      <c r="T312" s="17" t="s">
        <v>983</v>
      </c>
      <c r="U312" s="18">
        <v>41171</v>
      </c>
      <c r="V312" s="17">
        <v>19</v>
      </c>
      <c r="W312" s="17">
        <v>9</v>
      </c>
      <c r="X312" s="17">
        <v>2012</v>
      </c>
      <c r="Y312" s="17" t="s">
        <v>984</v>
      </c>
      <c r="Z312" s="17" t="s">
        <v>72</v>
      </c>
      <c r="AA312" s="17">
        <v>32.290550000000003</v>
      </c>
      <c r="AB312" s="17">
        <v>-111.02079999999999</v>
      </c>
      <c r="AC312" s="17"/>
      <c r="AD312" s="17" t="s">
        <v>73</v>
      </c>
      <c r="AE312" s="17" t="s">
        <v>74</v>
      </c>
      <c r="AF312" s="17"/>
      <c r="AG312" s="17"/>
      <c r="AH312" s="17"/>
      <c r="AI312" s="17" t="s">
        <v>75</v>
      </c>
      <c r="AJ312" s="17"/>
      <c r="AK312" s="17"/>
      <c r="AL312" s="17"/>
      <c r="AM312" s="17"/>
      <c r="AN312" s="17"/>
      <c r="AO312" s="17" t="s">
        <v>985</v>
      </c>
      <c r="AP312" s="20" t="str">
        <f t="shared" si="30"/>
        <v>14.4</v>
      </c>
      <c r="AQ312" s="17"/>
      <c r="AR312" s="17"/>
      <c r="AS312" s="17"/>
      <c r="AT312" s="17"/>
      <c r="AU312" s="17" t="s">
        <v>121</v>
      </c>
      <c r="AV312" s="20" t="str">
        <f t="shared" si="36"/>
        <v>18</v>
      </c>
      <c r="AW312" s="17"/>
      <c r="AX312" s="17"/>
      <c r="AY312" s="17"/>
      <c r="AZ312" s="17"/>
      <c r="BA312" s="17"/>
      <c r="BB312" s="17"/>
      <c r="BC312" s="17"/>
      <c r="BD312" s="17" t="s">
        <v>990</v>
      </c>
      <c r="BF312" s="17"/>
      <c r="BG312" s="17"/>
      <c r="BH312" s="17" t="s">
        <v>78</v>
      </c>
      <c r="BI312" s="17"/>
      <c r="BJ312" s="17"/>
      <c r="BK312" s="17"/>
      <c r="BL312" s="17" t="s">
        <v>621</v>
      </c>
      <c r="BM312" s="20" t="str">
        <f t="shared" si="33"/>
        <v>95</v>
      </c>
      <c r="BN312" s="17" t="s">
        <v>991</v>
      </c>
      <c r="BO312" s="20" t="str">
        <f t="shared" si="34"/>
        <v>186.0</v>
      </c>
      <c r="BP312" s="17"/>
      <c r="BQ312" s="17" t="s">
        <v>992</v>
      </c>
      <c r="BR312" s="20" t="str">
        <f t="shared" si="32"/>
        <v>18.2</v>
      </c>
      <c r="BS312" s="21">
        <f t="shared" si="35"/>
        <v>91</v>
      </c>
    </row>
    <row r="313" spans="1:72" x14ac:dyDescent="0.2">
      <c r="A313" t="s">
        <v>63</v>
      </c>
      <c r="B313" t="s">
        <v>2336</v>
      </c>
      <c r="C313" t="s">
        <v>1049</v>
      </c>
      <c r="D313" t="s">
        <v>64</v>
      </c>
      <c r="E313" t="s">
        <v>65</v>
      </c>
      <c r="F313" t="s">
        <v>64</v>
      </c>
      <c r="G313" t="s">
        <v>615</v>
      </c>
      <c r="H313" t="s">
        <v>67</v>
      </c>
      <c r="I313" t="s">
        <v>68</v>
      </c>
      <c r="J313" t="s">
        <v>69</v>
      </c>
      <c r="K313" t="s">
        <v>70</v>
      </c>
      <c r="L313">
        <v>700</v>
      </c>
      <c r="M313">
        <v>700</v>
      </c>
      <c r="N313">
        <v>2295</v>
      </c>
      <c r="O313">
        <v>2295</v>
      </c>
      <c r="P313" t="s">
        <v>71</v>
      </c>
      <c r="R313" t="s">
        <v>998</v>
      </c>
      <c r="S313" t="s">
        <v>999</v>
      </c>
      <c r="T313" t="s">
        <v>1000</v>
      </c>
      <c r="U313" s="2">
        <v>41156</v>
      </c>
      <c r="V313">
        <v>4</v>
      </c>
      <c r="W313">
        <v>9</v>
      </c>
      <c r="X313">
        <v>2012</v>
      </c>
      <c r="Y313" t="s">
        <v>1001</v>
      </c>
      <c r="Z313" t="s">
        <v>72</v>
      </c>
      <c r="AA313">
        <v>32.281350000000003</v>
      </c>
      <c r="AB313">
        <v>-110.94995</v>
      </c>
      <c r="AD313" t="s">
        <v>73</v>
      </c>
      <c r="AE313" t="s">
        <v>74</v>
      </c>
      <c r="AI313" t="s">
        <v>75</v>
      </c>
      <c r="AO313" t="s">
        <v>88</v>
      </c>
      <c r="AP313" s="20" t="str">
        <f t="shared" si="30"/>
        <v>15</v>
      </c>
      <c r="AU313" t="s">
        <v>630</v>
      </c>
      <c r="AV313" s="20" t="str">
        <f t="shared" si="36"/>
        <v>19.5</v>
      </c>
      <c r="BD313" t="s">
        <v>1050</v>
      </c>
      <c r="BH313" t="s">
        <v>78</v>
      </c>
      <c r="BL313" t="s">
        <v>103</v>
      </c>
      <c r="BM313" s="20" t="str">
        <f t="shared" si="33"/>
        <v>91</v>
      </c>
      <c r="BN313" t="s">
        <v>1051</v>
      </c>
      <c r="BO313" s="20" t="str">
        <f t="shared" si="34"/>
        <v>182.0</v>
      </c>
      <c r="BQ313" t="s">
        <v>992</v>
      </c>
      <c r="BR313" s="20" t="str">
        <f t="shared" si="32"/>
        <v>18.2</v>
      </c>
      <c r="BS313" s="21">
        <f t="shared" si="35"/>
        <v>91</v>
      </c>
    </row>
    <row r="314" spans="1:72" x14ac:dyDescent="0.2">
      <c r="A314" s="10" t="s">
        <v>63</v>
      </c>
      <c r="B314" s="10" t="s">
        <v>2247</v>
      </c>
      <c r="C314" s="10" t="s">
        <v>341</v>
      </c>
      <c r="D314" s="10" t="s">
        <v>64</v>
      </c>
      <c r="E314" s="10" t="s">
        <v>65</v>
      </c>
      <c r="F314" s="10" t="s">
        <v>64</v>
      </c>
      <c r="G314" s="10" t="s">
        <v>211</v>
      </c>
      <c r="H314" s="10" t="s">
        <v>212</v>
      </c>
      <c r="I314" s="10" t="s">
        <v>213</v>
      </c>
      <c r="J314" s="10" t="s">
        <v>293</v>
      </c>
      <c r="K314" s="10"/>
      <c r="L314" s="10">
        <v>3</v>
      </c>
      <c r="M314" s="10">
        <v>3</v>
      </c>
      <c r="N314" s="10">
        <v>10</v>
      </c>
      <c r="O314" s="10">
        <v>10</v>
      </c>
      <c r="P314" s="12">
        <v>44258</v>
      </c>
      <c r="Q314" s="10"/>
      <c r="R314" s="10" t="s">
        <v>294</v>
      </c>
      <c r="S314" s="10" t="s">
        <v>342</v>
      </c>
      <c r="T314" s="10" t="s">
        <v>343</v>
      </c>
      <c r="U314" s="11">
        <v>41339</v>
      </c>
      <c r="V314" s="10">
        <v>6</v>
      </c>
      <c r="W314" s="10">
        <v>3</v>
      </c>
      <c r="X314" s="10">
        <v>2013</v>
      </c>
      <c r="Y314" s="10">
        <f>-43.3373333333/-65.5255</f>
        <v>0.66138119256320071</v>
      </c>
      <c r="Z314" s="10" t="s">
        <v>72</v>
      </c>
      <c r="AA314" s="10">
        <v>-43.337333333300002</v>
      </c>
      <c r="AB314" s="10">
        <v>-65.525499999999994</v>
      </c>
      <c r="AC314" s="10"/>
      <c r="AD314" s="10" t="s">
        <v>73</v>
      </c>
      <c r="AE314" s="10" t="s">
        <v>74</v>
      </c>
      <c r="AF314" s="10"/>
      <c r="AG314" s="10"/>
      <c r="AH314" s="10"/>
      <c r="AI314" s="10"/>
      <c r="AJ314" s="10"/>
      <c r="AK314" s="10"/>
      <c r="AL314" s="10"/>
      <c r="AM314" s="10"/>
      <c r="AN314" s="10"/>
      <c r="AO314" s="10" t="s">
        <v>344</v>
      </c>
      <c r="AP314" s="20" t="str">
        <f t="shared" si="30"/>
        <v>16</v>
      </c>
      <c r="AQ314" s="10"/>
      <c r="AR314" s="10"/>
      <c r="AS314" s="10"/>
      <c r="AT314" s="10"/>
      <c r="AU314" s="10" t="s">
        <v>130</v>
      </c>
      <c r="AV314" s="20" t="str">
        <f t="shared" si="36"/>
        <v>19</v>
      </c>
      <c r="AW314" s="10"/>
      <c r="AX314" s="10"/>
      <c r="AY314" s="10"/>
      <c r="AZ314" s="10"/>
      <c r="BA314" s="10"/>
      <c r="BB314" s="10"/>
      <c r="BC314" s="10"/>
      <c r="BD314" s="10" t="s">
        <v>345</v>
      </c>
      <c r="BE314" s="20" t="s">
        <v>241</v>
      </c>
      <c r="BF314" s="10"/>
      <c r="BG314" s="10"/>
      <c r="BH314" s="10" t="s">
        <v>78</v>
      </c>
      <c r="BI314" s="10"/>
      <c r="BJ314" s="10"/>
      <c r="BK314" s="10"/>
      <c r="BL314" s="10" t="s">
        <v>346</v>
      </c>
      <c r="BM314" s="20" t="str">
        <f t="shared" si="33"/>
        <v>87</v>
      </c>
      <c r="BN314" s="10" t="s">
        <v>347</v>
      </c>
      <c r="BO314" s="20" t="str">
        <f t="shared" si="34"/>
        <v>178</v>
      </c>
      <c r="BP314" s="10"/>
      <c r="BQ314" s="10" t="s">
        <v>193</v>
      </c>
      <c r="BR314" s="20" t="str">
        <f t="shared" si="32"/>
        <v>18</v>
      </c>
      <c r="BS314" s="21">
        <f t="shared" si="35"/>
        <v>91</v>
      </c>
    </row>
    <row r="315" spans="1:72" x14ac:dyDescent="0.2">
      <c r="A315" t="s">
        <v>63</v>
      </c>
      <c r="C315" t="s">
        <v>1133</v>
      </c>
      <c r="D315" t="s">
        <v>64</v>
      </c>
      <c r="E315" t="s">
        <v>65</v>
      </c>
      <c r="F315" t="s">
        <v>64</v>
      </c>
      <c r="G315" t="s">
        <v>615</v>
      </c>
      <c r="H315" t="s">
        <v>67</v>
      </c>
      <c r="I315" t="s">
        <v>68</v>
      </c>
      <c r="J315" t="s">
        <v>1053</v>
      </c>
      <c r="K315" t="s">
        <v>1092</v>
      </c>
      <c r="L315">
        <v>1042</v>
      </c>
      <c r="M315">
        <v>1042</v>
      </c>
      <c r="N315">
        <v>3420</v>
      </c>
      <c r="O315">
        <v>3420</v>
      </c>
      <c r="P315" t="s">
        <v>1125</v>
      </c>
      <c r="R315" t="s">
        <v>1126</v>
      </c>
      <c r="S315" t="s">
        <v>1127</v>
      </c>
      <c r="T315" t="s">
        <v>1128</v>
      </c>
      <c r="U315" s="2">
        <v>41083</v>
      </c>
      <c r="V315">
        <v>23</v>
      </c>
      <c r="W315">
        <v>6</v>
      </c>
      <c r="X315">
        <v>2012</v>
      </c>
      <c r="Y315" t="s">
        <v>1129</v>
      </c>
      <c r="Z315" t="s">
        <v>72</v>
      </c>
      <c r="AA315">
        <v>46.510616666700002</v>
      </c>
      <c r="AB315">
        <v>-114.0716666667</v>
      </c>
      <c r="AD315" t="s">
        <v>73</v>
      </c>
      <c r="AE315" t="s">
        <v>74</v>
      </c>
      <c r="AI315" t="s">
        <v>75</v>
      </c>
      <c r="AO315" t="s">
        <v>186</v>
      </c>
      <c r="AP315" s="20" t="str">
        <f t="shared" si="30"/>
        <v>14.5</v>
      </c>
      <c r="AU315" t="s">
        <v>130</v>
      </c>
      <c r="AV315" s="20" t="str">
        <f t="shared" si="36"/>
        <v>19</v>
      </c>
      <c r="BD315" t="s">
        <v>1134</v>
      </c>
      <c r="BE315" s="20" t="s">
        <v>241</v>
      </c>
      <c r="BH315" t="s">
        <v>78</v>
      </c>
      <c r="BL315" t="s">
        <v>451</v>
      </c>
      <c r="BM315" s="20" t="str">
        <f t="shared" si="33"/>
        <v>94</v>
      </c>
      <c r="BN315" t="s">
        <v>242</v>
      </c>
      <c r="BO315" s="20" t="str">
        <f t="shared" si="34"/>
        <v>185</v>
      </c>
      <c r="BQ315" t="s">
        <v>655</v>
      </c>
      <c r="BR315" s="20" t="str">
        <f t="shared" si="32"/>
        <v>16.3</v>
      </c>
      <c r="BS315" s="21">
        <f t="shared" si="35"/>
        <v>91</v>
      </c>
    </row>
    <row r="316" spans="1:72" x14ac:dyDescent="0.2">
      <c r="A316" s="13" t="s">
        <v>63</v>
      </c>
      <c r="B316" s="13"/>
      <c r="C316" s="13" t="s">
        <v>1416</v>
      </c>
      <c r="D316" s="13" t="s">
        <v>64</v>
      </c>
      <c r="E316" s="13" t="s">
        <v>65</v>
      </c>
      <c r="F316" s="13" t="s">
        <v>64</v>
      </c>
      <c r="G316" s="13" t="s">
        <v>211</v>
      </c>
      <c r="H316" s="13" t="s">
        <v>212</v>
      </c>
      <c r="I316" s="13" t="s">
        <v>701</v>
      </c>
      <c r="J316" s="13" t="s">
        <v>702</v>
      </c>
      <c r="K316" s="13"/>
      <c r="L316" s="13">
        <v>1599</v>
      </c>
      <c r="M316" s="13">
        <v>1599</v>
      </c>
      <c r="N316" s="13">
        <v>5246</v>
      </c>
      <c r="O316" s="13">
        <v>5246</v>
      </c>
      <c r="P316" s="13" t="s">
        <v>1412</v>
      </c>
      <c r="Q316" s="13"/>
      <c r="R316" s="13" t="s">
        <v>1413</v>
      </c>
      <c r="S316" s="13"/>
      <c r="T316" s="13" t="s">
        <v>1414</v>
      </c>
      <c r="U316" s="14">
        <v>41247</v>
      </c>
      <c r="V316" s="13">
        <v>4</v>
      </c>
      <c r="W316" s="13">
        <v>12</v>
      </c>
      <c r="X316" s="13">
        <v>2012</v>
      </c>
      <c r="Y316" s="13" t="s">
        <v>1415</v>
      </c>
      <c r="Z316" s="13" t="s">
        <v>72</v>
      </c>
      <c r="AA316" s="13">
        <v>6.2183333299999997E-2</v>
      </c>
      <c r="AB316" s="13">
        <v>-78.682019444399998</v>
      </c>
      <c r="AC316" s="13"/>
      <c r="AD316" s="13" t="s">
        <v>96</v>
      </c>
      <c r="AE316" s="13" t="s">
        <v>74</v>
      </c>
      <c r="AF316" s="13"/>
      <c r="AG316" s="13"/>
      <c r="AH316" s="13"/>
      <c r="AI316" s="13" t="s">
        <v>75</v>
      </c>
      <c r="AJ316" s="13"/>
      <c r="AK316" s="13"/>
      <c r="AL316" s="13"/>
      <c r="AM316" s="13"/>
      <c r="AN316" s="13"/>
      <c r="AO316" s="13" t="s">
        <v>77</v>
      </c>
      <c r="AP316" s="20" t="str">
        <f t="shared" si="30"/>
        <v>12</v>
      </c>
      <c r="AQ316" s="13"/>
      <c r="AR316" s="13"/>
      <c r="AS316" s="13"/>
      <c r="AT316" s="13"/>
      <c r="AU316" s="13" t="s">
        <v>82</v>
      </c>
      <c r="AV316" s="20" t="str">
        <f t="shared" si="36"/>
        <v>17</v>
      </c>
      <c r="AW316" s="13"/>
      <c r="AX316" s="13"/>
      <c r="AY316" s="13"/>
      <c r="AZ316" s="13"/>
      <c r="BA316" s="13"/>
      <c r="BB316" s="13"/>
      <c r="BC316" s="13"/>
      <c r="BD316" s="13" t="s">
        <v>1417</v>
      </c>
      <c r="BE316" s="20" t="s">
        <v>241</v>
      </c>
      <c r="BF316" s="13"/>
      <c r="BG316" s="13"/>
      <c r="BH316" s="13" t="s">
        <v>78</v>
      </c>
      <c r="BI316" s="13"/>
      <c r="BJ316" s="13"/>
      <c r="BK316" s="13"/>
      <c r="BL316" s="13" t="s">
        <v>208</v>
      </c>
      <c r="BM316" s="20" t="str">
        <f t="shared" si="33"/>
        <v>80</v>
      </c>
      <c r="BN316" s="13" t="s">
        <v>302</v>
      </c>
      <c r="BO316" s="20" t="str">
        <f t="shared" si="34"/>
        <v>171</v>
      </c>
      <c r="BP316" s="13"/>
      <c r="BQ316" s="13" t="s">
        <v>81</v>
      </c>
      <c r="BR316" s="20" t="str">
        <f t="shared" si="32"/>
        <v>22</v>
      </c>
      <c r="BS316" s="21">
        <f t="shared" si="35"/>
        <v>91</v>
      </c>
    </row>
    <row r="317" spans="1:72" x14ac:dyDescent="0.2">
      <c r="A317" s="10" t="s">
        <v>63</v>
      </c>
      <c r="B317" s="10" t="s">
        <v>2282</v>
      </c>
      <c r="C317" s="10" t="s">
        <v>606</v>
      </c>
      <c r="D317" s="10" t="s">
        <v>64</v>
      </c>
      <c r="E317" s="10" t="s">
        <v>65</v>
      </c>
      <c r="F317" s="10" t="s">
        <v>64</v>
      </c>
      <c r="G317" s="10" t="s">
        <v>211</v>
      </c>
      <c r="H317" s="10" t="s">
        <v>212</v>
      </c>
      <c r="I317" s="10" t="s">
        <v>383</v>
      </c>
      <c r="J317" s="10" t="s">
        <v>492</v>
      </c>
      <c r="K317" s="10"/>
      <c r="L317" s="10">
        <v>83</v>
      </c>
      <c r="M317" s="10">
        <v>83</v>
      </c>
      <c r="N317" s="10">
        <v>271</v>
      </c>
      <c r="O317" s="10">
        <v>271</v>
      </c>
      <c r="P317" s="10" t="s">
        <v>607</v>
      </c>
      <c r="Q317" s="10"/>
      <c r="R317" s="10" t="s">
        <v>494</v>
      </c>
      <c r="S317" s="10" t="s">
        <v>495</v>
      </c>
      <c r="T317" s="10" t="s">
        <v>608</v>
      </c>
      <c r="U317" s="11">
        <v>41534</v>
      </c>
      <c r="V317" s="10">
        <v>17</v>
      </c>
      <c r="W317" s="10">
        <v>9</v>
      </c>
      <c r="X317" s="10">
        <v>2013</v>
      </c>
      <c r="Y317" s="10">
        <f>-8.7761666667/-63.8406666667</f>
        <v>0.13746984680656141</v>
      </c>
      <c r="Z317" s="10" t="s">
        <v>72</v>
      </c>
      <c r="AA317" s="10">
        <v>-8.7825277800000006</v>
      </c>
      <c r="AB317" s="10">
        <v>-63.845833329999998</v>
      </c>
      <c r="AC317" s="10"/>
      <c r="AD317" s="10" t="s">
        <v>73</v>
      </c>
      <c r="AE317" s="10" t="s">
        <v>74</v>
      </c>
      <c r="AF317" s="10"/>
      <c r="AG317" s="10"/>
      <c r="AH317" s="10"/>
      <c r="AI317" s="10"/>
      <c r="AJ317" s="10"/>
      <c r="AK317" s="10"/>
      <c r="AL317" s="10"/>
      <c r="AM317" s="10"/>
      <c r="AN317" s="10"/>
      <c r="AO317" s="10" t="s">
        <v>76</v>
      </c>
      <c r="AP317" s="20" t="str">
        <f t="shared" si="30"/>
        <v>13</v>
      </c>
      <c r="AQ317" s="10"/>
      <c r="AR317" s="10"/>
      <c r="AS317" s="10"/>
      <c r="AT317" s="10"/>
      <c r="AU317" s="10" t="s">
        <v>121</v>
      </c>
      <c r="AV317" s="20" t="str">
        <f t="shared" si="36"/>
        <v>18</v>
      </c>
      <c r="AW317" s="10"/>
      <c r="AX317" s="10"/>
      <c r="AY317" s="10"/>
      <c r="AZ317" s="10"/>
      <c r="BA317" s="10"/>
      <c r="BB317" s="10"/>
      <c r="BC317" s="10"/>
      <c r="BD317" s="10" t="s">
        <v>609</v>
      </c>
      <c r="BE317" s="20" t="s">
        <v>241</v>
      </c>
      <c r="BF317" s="10"/>
      <c r="BG317" s="10"/>
      <c r="BH317" s="10" t="s">
        <v>78</v>
      </c>
      <c r="BI317" s="10"/>
      <c r="BJ317" s="10"/>
      <c r="BK317" s="10"/>
      <c r="BL317" s="10" t="s">
        <v>153</v>
      </c>
      <c r="BM317" s="20" t="str">
        <f t="shared" si="33"/>
        <v>81</v>
      </c>
      <c r="BN317" s="10" t="s">
        <v>114</v>
      </c>
      <c r="BO317" s="20" t="str">
        <f t="shared" si="34"/>
        <v>172</v>
      </c>
      <c r="BP317" s="10"/>
      <c r="BQ317" s="10" t="s">
        <v>610</v>
      </c>
      <c r="BR317" s="20" t="str">
        <f t="shared" si="32"/>
        <v>13.75</v>
      </c>
      <c r="BS317" s="21">
        <f t="shared" si="35"/>
        <v>91</v>
      </c>
    </row>
    <row r="318" spans="1:72" x14ac:dyDescent="0.2">
      <c r="A318" t="s">
        <v>63</v>
      </c>
      <c r="C318" t="s">
        <v>523</v>
      </c>
      <c r="D318" t="s">
        <v>64</v>
      </c>
      <c r="E318" t="s">
        <v>65</v>
      </c>
      <c r="F318" t="s">
        <v>64</v>
      </c>
      <c r="G318" t="s">
        <v>211</v>
      </c>
      <c r="H318" t="s">
        <v>212</v>
      </c>
      <c r="I318" t="s">
        <v>383</v>
      </c>
      <c r="J318" t="s">
        <v>492</v>
      </c>
      <c r="L318">
        <v>85</v>
      </c>
      <c r="M318">
        <v>85</v>
      </c>
      <c r="N318">
        <v>279</v>
      </c>
      <c r="O318">
        <v>279</v>
      </c>
      <c r="P318" t="s">
        <v>518</v>
      </c>
      <c r="R318" t="s">
        <v>505</v>
      </c>
      <c r="S318" t="s">
        <v>495</v>
      </c>
      <c r="T318" t="s">
        <v>519</v>
      </c>
      <c r="U318" s="2">
        <v>41534</v>
      </c>
      <c r="V318">
        <v>17</v>
      </c>
      <c r="W318">
        <v>9</v>
      </c>
      <c r="X318">
        <v>2013</v>
      </c>
      <c r="Y318">
        <f>-8.7728333333/-63.84</f>
        <v>0.13741906850407268</v>
      </c>
      <c r="Z318" t="s">
        <v>72</v>
      </c>
      <c r="AA318">
        <v>-8.7728333332999995</v>
      </c>
      <c r="AB318">
        <v>-63.84</v>
      </c>
      <c r="AD318" t="s">
        <v>73</v>
      </c>
      <c r="AE318" t="s">
        <v>74</v>
      </c>
      <c r="AO318" t="s">
        <v>87</v>
      </c>
      <c r="AP318" s="20" t="str">
        <f t="shared" si="30"/>
        <v>14</v>
      </c>
      <c r="AU318" t="s">
        <v>82</v>
      </c>
      <c r="AV318" s="20" t="str">
        <f t="shared" si="36"/>
        <v>17</v>
      </c>
      <c r="BD318" t="s">
        <v>524</v>
      </c>
      <c r="BE318" s="20" t="s">
        <v>241</v>
      </c>
      <c r="BH318" t="s">
        <v>78</v>
      </c>
      <c r="BL318" t="s">
        <v>153</v>
      </c>
      <c r="BM318" s="20" t="str">
        <f t="shared" si="33"/>
        <v>81</v>
      </c>
      <c r="BN318" t="s">
        <v>114</v>
      </c>
      <c r="BO318" s="20" t="str">
        <f t="shared" si="34"/>
        <v>172</v>
      </c>
      <c r="BQ318" t="s">
        <v>512</v>
      </c>
      <c r="BR318" s="20" t="str">
        <f t="shared" si="32"/>
        <v>13.5</v>
      </c>
      <c r="BS318" s="21">
        <f t="shared" si="35"/>
        <v>91</v>
      </c>
    </row>
    <row r="319" spans="1:72" x14ac:dyDescent="0.2">
      <c r="A319" s="10" t="s">
        <v>63</v>
      </c>
      <c r="B319" s="10" t="s">
        <v>2231</v>
      </c>
      <c r="C319" s="10" t="s">
        <v>915</v>
      </c>
      <c r="D319" s="10" t="s">
        <v>64</v>
      </c>
      <c r="E319" s="10" t="s">
        <v>65</v>
      </c>
      <c r="F319" s="10" t="s">
        <v>64</v>
      </c>
      <c r="G319" s="10" t="s">
        <v>615</v>
      </c>
      <c r="H319" s="10" t="s">
        <v>67</v>
      </c>
      <c r="I319" s="10" t="s">
        <v>788</v>
      </c>
      <c r="J319" s="10" t="s">
        <v>789</v>
      </c>
      <c r="K319" s="10" t="s">
        <v>908</v>
      </c>
      <c r="L319" s="10">
        <v>747</v>
      </c>
      <c r="M319" s="10">
        <v>747</v>
      </c>
      <c r="N319" s="10">
        <v>2450</v>
      </c>
      <c r="O319" s="10">
        <v>2450</v>
      </c>
      <c r="P319" s="10" t="s">
        <v>916</v>
      </c>
      <c r="Q319" s="10"/>
      <c r="R319" s="10" t="s">
        <v>917</v>
      </c>
      <c r="S319" s="10" t="s">
        <v>918</v>
      </c>
      <c r="T319" s="10" t="s">
        <v>919</v>
      </c>
      <c r="U319" s="11">
        <v>41117</v>
      </c>
      <c r="V319" s="10">
        <v>27</v>
      </c>
      <c r="W319" s="10">
        <v>7</v>
      </c>
      <c r="X319" s="10">
        <v>2012</v>
      </c>
      <c r="Y319" s="10" t="s">
        <v>920</v>
      </c>
      <c r="Z319" s="10" t="s">
        <v>72</v>
      </c>
      <c r="AA319" s="10">
        <v>53.439766666700002</v>
      </c>
      <c r="AB319" s="10">
        <v>-113.06955000000001</v>
      </c>
      <c r="AC319" s="10"/>
      <c r="AD319" s="10" t="s">
        <v>73</v>
      </c>
      <c r="AE319" s="10" t="s">
        <v>74</v>
      </c>
      <c r="AF319" s="10"/>
      <c r="AG319" s="10"/>
      <c r="AH319" s="10"/>
      <c r="AI319" s="10" t="s">
        <v>75</v>
      </c>
      <c r="AJ319" s="10"/>
      <c r="AK319" s="10"/>
      <c r="AL319" s="10"/>
      <c r="AM319" s="10"/>
      <c r="AN319" s="10"/>
      <c r="AO319" s="10" t="s">
        <v>204</v>
      </c>
      <c r="AP319" s="20" t="str">
        <f t="shared" si="30"/>
        <v>15.5</v>
      </c>
      <c r="AQ319" s="10"/>
      <c r="AR319" s="10"/>
      <c r="AS319" s="10"/>
      <c r="AT319" s="10"/>
      <c r="AU319" s="10" t="s">
        <v>130</v>
      </c>
      <c r="AV319" s="20" t="str">
        <f t="shared" si="36"/>
        <v>19</v>
      </c>
      <c r="AW319" s="10"/>
      <c r="AX319" s="10"/>
      <c r="AY319" s="10"/>
      <c r="AZ319" s="10"/>
      <c r="BA319" s="10"/>
      <c r="BB319" s="10"/>
      <c r="BC319" s="10"/>
      <c r="BD319" s="10"/>
      <c r="BF319" s="10"/>
      <c r="BG319" s="10"/>
      <c r="BH319" s="10" t="s">
        <v>78</v>
      </c>
      <c r="BI319" s="10"/>
      <c r="BJ319" s="10"/>
      <c r="BK319" s="10"/>
      <c r="BL319" s="10" t="s">
        <v>123</v>
      </c>
      <c r="BM319" s="20" t="str">
        <f t="shared" si="33"/>
        <v>88</v>
      </c>
      <c r="BN319" s="10" t="s">
        <v>142</v>
      </c>
      <c r="BO319" s="20" t="str">
        <f t="shared" si="34"/>
        <v>179</v>
      </c>
      <c r="BP319" s="10"/>
      <c r="BQ319" s="10" t="s">
        <v>149</v>
      </c>
      <c r="BR319" s="20" t="str">
        <f t="shared" si="32"/>
        <v>16.5</v>
      </c>
      <c r="BS319" s="21">
        <f t="shared" si="35"/>
        <v>91</v>
      </c>
    </row>
    <row r="320" spans="1:72" x14ac:dyDescent="0.2">
      <c r="A320" t="s">
        <v>63</v>
      </c>
      <c r="B320" t="s">
        <v>2385</v>
      </c>
      <c r="C320" t="s">
        <v>376</v>
      </c>
      <c r="D320" t="s">
        <v>64</v>
      </c>
      <c r="E320" t="s">
        <v>65</v>
      </c>
      <c r="F320" t="s">
        <v>64</v>
      </c>
      <c r="G320" t="s">
        <v>211</v>
      </c>
      <c r="H320" t="s">
        <v>212</v>
      </c>
      <c r="I320" t="s">
        <v>213</v>
      </c>
      <c r="J320" t="s">
        <v>214</v>
      </c>
      <c r="L320">
        <v>210</v>
      </c>
      <c r="M320">
        <v>210</v>
      </c>
      <c r="N320">
        <v>689</v>
      </c>
      <c r="O320">
        <v>689</v>
      </c>
      <c r="P320" t="s">
        <v>233</v>
      </c>
      <c r="R320" t="s">
        <v>234</v>
      </c>
      <c r="S320" t="s">
        <v>217</v>
      </c>
      <c r="T320" t="s">
        <v>235</v>
      </c>
      <c r="U320" s="2">
        <v>41309</v>
      </c>
      <c r="V320">
        <v>4</v>
      </c>
      <c r="W320">
        <v>2</v>
      </c>
      <c r="X320">
        <v>2013</v>
      </c>
      <c r="Y320">
        <f>-37.3161833333/-59.1023166667</f>
        <v>0.63138275177502556</v>
      </c>
      <c r="Z320" t="s">
        <v>72</v>
      </c>
      <c r="AA320">
        <v>-37.316183333300003</v>
      </c>
      <c r="AB320">
        <v>-59.102316666699998</v>
      </c>
      <c r="AD320" t="s">
        <v>73</v>
      </c>
      <c r="AE320" t="s">
        <v>74</v>
      </c>
      <c r="AO320" t="s">
        <v>87</v>
      </c>
      <c r="AP320" s="20" t="str">
        <f t="shared" si="30"/>
        <v>14</v>
      </c>
      <c r="AU320" t="s">
        <v>82</v>
      </c>
      <c r="AV320" s="20" t="str">
        <f t="shared" si="36"/>
        <v>17</v>
      </c>
      <c r="BD320" t="s">
        <v>261</v>
      </c>
      <c r="BH320" t="s">
        <v>83</v>
      </c>
      <c r="BL320" t="s">
        <v>351</v>
      </c>
      <c r="BM320" s="20" t="str">
        <f t="shared" si="33"/>
        <v>77</v>
      </c>
      <c r="BN320" t="s">
        <v>324</v>
      </c>
      <c r="BO320" s="20" t="str">
        <f t="shared" si="34"/>
        <v>168</v>
      </c>
      <c r="BQ320" t="s">
        <v>100</v>
      </c>
      <c r="BR320" s="20" t="str">
        <f t="shared" si="32"/>
        <v>15.25</v>
      </c>
      <c r="BS320" s="21">
        <f t="shared" si="35"/>
        <v>91</v>
      </c>
    </row>
    <row r="321" spans="1:71" x14ac:dyDescent="0.2">
      <c r="A321" s="10" t="s">
        <v>63</v>
      </c>
      <c r="B321" s="10" t="s">
        <v>2248</v>
      </c>
      <c r="C321" s="10" t="s">
        <v>319</v>
      </c>
      <c r="D321" s="10" t="s">
        <v>64</v>
      </c>
      <c r="E321" s="10" t="s">
        <v>65</v>
      </c>
      <c r="F321" s="10" t="s">
        <v>64</v>
      </c>
      <c r="G321" s="10" t="s">
        <v>211</v>
      </c>
      <c r="H321" s="10" t="s">
        <v>212</v>
      </c>
      <c r="I321" s="10" t="s">
        <v>213</v>
      </c>
      <c r="J321" s="10" t="s">
        <v>293</v>
      </c>
      <c r="K321" s="10"/>
      <c r="L321" s="10">
        <v>5</v>
      </c>
      <c r="M321" s="10">
        <v>5</v>
      </c>
      <c r="N321" s="10">
        <v>16</v>
      </c>
      <c r="O321" s="10">
        <v>16</v>
      </c>
      <c r="P321" s="12">
        <v>44321</v>
      </c>
      <c r="Q321" s="10"/>
      <c r="R321" s="10" t="s">
        <v>294</v>
      </c>
      <c r="S321" s="10" t="s">
        <v>299</v>
      </c>
      <c r="T321" s="10" t="s">
        <v>320</v>
      </c>
      <c r="U321" s="11">
        <v>41339</v>
      </c>
      <c r="V321" s="10">
        <v>6</v>
      </c>
      <c r="W321" s="10">
        <v>3</v>
      </c>
      <c r="X321" s="10">
        <v>2013</v>
      </c>
      <c r="Y321" s="10">
        <f>-43.3245/-65.5416666667</f>
        <v>0.66102225047645979</v>
      </c>
      <c r="Z321" s="10" t="s">
        <v>72</v>
      </c>
      <c r="AA321" s="10">
        <v>-43.3245</v>
      </c>
      <c r="AB321" s="10">
        <v>-65.541666666699996</v>
      </c>
      <c r="AC321" s="10"/>
      <c r="AD321" s="10" t="s">
        <v>73</v>
      </c>
      <c r="AE321" s="10" t="s">
        <v>74</v>
      </c>
      <c r="AF321" s="10"/>
      <c r="AG321" s="10"/>
      <c r="AH321" s="10"/>
      <c r="AI321" s="10"/>
      <c r="AJ321" s="10"/>
      <c r="AK321" s="10"/>
      <c r="AL321" s="10"/>
      <c r="AM321" s="10"/>
      <c r="AN321" s="10"/>
      <c r="AO321" s="10" t="s">
        <v>87</v>
      </c>
      <c r="AP321" s="20" t="str">
        <f t="shared" si="30"/>
        <v>14</v>
      </c>
      <c r="AQ321" s="10"/>
      <c r="AR321" s="10"/>
      <c r="AS321" s="10"/>
      <c r="AT321" s="10"/>
      <c r="AU321" s="10" t="s">
        <v>121</v>
      </c>
      <c r="AV321" s="20" t="str">
        <f t="shared" si="36"/>
        <v>18</v>
      </c>
      <c r="AW321" s="10"/>
      <c r="AX321" s="10"/>
      <c r="AY321" s="10"/>
      <c r="AZ321" s="10"/>
      <c r="BA321" s="10"/>
      <c r="BB321" s="10"/>
      <c r="BC321" s="10"/>
      <c r="BD321" s="10" t="s">
        <v>321</v>
      </c>
      <c r="BF321" s="10"/>
      <c r="BG321" s="10"/>
      <c r="BH321" s="10" t="s">
        <v>83</v>
      </c>
      <c r="BI321" s="10"/>
      <c r="BJ321" s="10"/>
      <c r="BK321" s="10"/>
      <c r="BL321" s="10" t="s">
        <v>153</v>
      </c>
      <c r="BM321" s="20" t="str">
        <f t="shared" si="33"/>
        <v>81</v>
      </c>
      <c r="BN321" s="10" t="s">
        <v>114</v>
      </c>
      <c r="BO321" s="20" t="str">
        <f t="shared" si="34"/>
        <v>172</v>
      </c>
      <c r="BP321" s="10"/>
      <c r="BQ321" s="10" t="s">
        <v>149</v>
      </c>
      <c r="BR321" s="20" t="str">
        <f t="shared" si="32"/>
        <v>16.5</v>
      </c>
      <c r="BS321" s="21">
        <f t="shared" si="35"/>
        <v>91</v>
      </c>
    </row>
    <row r="322" spans="1:71" x14ac:dyDescent="0.2">
      <c r="A322" s="13" t="s">
        <v>63</v>
      </c>
      <c r="B322" s="13"/>
      <c r="C322" s="13" t="s">
        <v>1325</v>
      </c>
      <c r="D322" s="13" t="s">
        <v>64</v>
      </c>
      <c r="E322" s="13" t="s">
        <v>65</v>
      </c>
      <c r="F322" s="13" t="s">
        <v>64</v>
      </c>
      <c r="G322" s="13" t="s">
        <v>211</v>
      </c>
      <c r="H322" s="13" t="s">
        <v>212</v>
      </c>
      <c r="I322" s="13" t="s">
        <v>701</v>
      </c>
      <c r="J322" s="13" t="s">
        <v>734</v>
      </c>
      <c r="K322" s="13"/>
      <c r="L322" s="13">
        <v>2951</v>
      </c>
      <c r="M322" s="13">
        <v>2951</v>
      </c>
      <c r="N322" s="13">
        <v>9683</v>
      </c>
      <c r="O322" s="13">
        <v>9683</v>
      </c>
      <c r="P322" s="13" t="s">
        <v>1326</v>
      </c>
      <c r="Q322" s="13"/>
      <c r="R322" s="13" t="s">
        <v>1327</v>
      </c>
      <c r="S322" s="13"/>
      <c r="T322" s="13" t="s">
        <v>1328</v>
      </c>
      <c r="U322" s="14">
        <v>41230</v>
      </c>
      <c r="V322" s="13">
        <v>17</v>
      </c>
      <c r="W322" s="13">
        <v>11</v>
      </c>
      <c r="X322" s="13">
        <v>2012</v>
      </c>
      <c r="Y322" s="13">
        <f>-0.8267833333/-78.66695</f>
        <v>1.0509919773170309E-2</v>
      </c>
      <c r="Z322" s="13" t="s">
        <v>72</v>
      </c>
      <c r="AA322" s="13">
        <v>-0.82678333329999998</v>
      </c>
      <c r="AB322" s="13">
        <v>-78.66695</v>
      </c>
      <c r="AC322" s="13"/>
      <c r="AD322" s="13" t="s">
        <v>96</v>
      </c>
      <c r="AE322" s="13" t="s">
        <v>74</v>
      </c>
      <c r="AF322" s="13"/>
      <c r="AG322" s="13"/>
      <c r="AH322" s="13"/>
      <c r="AI322" s="13" t="s">
        <v>75</v>
      </c>
      <c r="AJ322" s="13"/>
      <c r="AK322" s="13"/>
      <c r="AL322" s="13"/>
      <c r="AM322" s="13"/>
      <c r="AN322" s="13"/>
      <c r="AO322" s="13" t="s">
        <v>130</v>
      </c>
      <c r="AP322" s="20" t="str">
        <f t="shared" ref="AP322:AP385" si="37">LEFT(AO322,FIND("^^",SUBSTITUTE(AO322," ","^^",LEN(AO322)-LEN(SUBSTITUTE(AO322," ",""))))-1)</f>
        <v>19</v>
      </c>
      <c r="AQ322" s="13"/>
      <c r="AR322" s="13"/>
      <c r="AS322" s="13"/>
      <c r="AT322" s="13"/>
      <c r="AU322" s="13" t="s">
        <v>121</v>
      </c>
      <c r="AV322" s="20" t="str">
        <f t="shared" si="36"/>
        <v>18</v>
      </c>
      <c r="AW322" s="13"/>
      <c r="AX322" s="13"/>
      <c r="AY322" s="13"/>
      <c r="AZ322" s="13"/>
      <c r="BA322" s="13"/>
      <c r="BB322" s="13"/>
      <c r="BC322" s="13"/>
      <c r="BD322" s="13" t="s">
        <v>318</v>
      </c>
      <c r="BF322" s="13"/>
      <c r="BG322" s="13"/>
      <c r="BH322" s="13" t="s">
        <v>83</v>
      </c>
      <c r="BI322" s="13"/>
      <c r="BJ322" s="13"/>
      <c r="BK322" s="13"/>
      <c r="BL322" s="13" t="s">
        <v>153</v>
      </c>
      <c r="BM322" s="20" t="str">
        <f t="shared" si="33"/>
        <v>81</v>
      </c>
      <c r="BN322" s="13" t="s">
        <v>114</v>
      </c>
      <c r="BO322" s="20" t="str">
        <f t="shared" si="34"/>
        <v>172</v>
      </c>
      <c r="BP322" s="13"/>
      <c r="BQ322" s="13" t="s">
        <v>671</v>
      </c>
      <c r="BR322" s="20" t="str">
        <f t="shared" ref="BR322:BR385" si="38">LEFT(BQ322,FIND("^^",SUBSTITUTE(BQ322," ","^^",LEN(BQ322)-LEN(SUBSTITUTE(BQ322," ",""))))-1)</f>
        <v>21.5</v>
      </c>
      <c r="BS322" s="21">
        <f t="shared" si="35"/>
        <v>91</v>
      </c>
    </row>
    <row r="323" spans="1:71" x14ac:dyDescent="0.2">
      <c r="A323" s="7" t="s">
        <v>63</v>
      </c>
      <c r="B323" s="7" t="s">
        <v>2192</v>
      </c>
      <c r="C323" s="7" t="s">
        <v>1228</v>
      </c>
      <c r="D323" s="7" t="s">
        <v>64</v>
      </c>
      <c r="E323" s="7" t="s">
        <v>65</v>
      </c>
      <c r="F323" s="7" t="s">
        <v>64</v>
      </c>
      <c r="G323" s="7" t="s">
        <v>615</v>
      </c>
      <c r="H323" s="7" t="s">
        <v>67</v>
      </c>
      <c r="I323" s="7" t="s">
        <v>68</v>
      </c>
      <c r="J323" s="7" t="s">
        <v>1136</v>
      </c>
      <c r="K323" s="7" t="s">
        <v>1210</v>
      </c>
      <c r="L323" s="7">
        <v>795</v>
      </c>
      <c r="M323" s="7">
        <v>795</v>
      </c>
      <c r="N323" s="7">
        <v>2609</v>
      </c>
      <c r="O323" s="7">
        <v>2609</v>
      </c>
      <c r="P323" s="7" t="s">
        <v>1229</v>
      </c>
      <c r="Q323" s="7"/>
      <c r="R323" s="7" t="s">
        <v>1230</v>
      </c>
      <c r="S323" s="7" t="s">
        <v>1231</v>
      </c>
      <c r="T323" s="7" t="s">
        <v>1232</v>
      </c>
      <c r="U323" s="9">
        <v>41069</v>
      </c>
      <c r="V323" s="7">
        <v>9</v>
      </c>
      <c r="W323" s="7">
        <v>6</v>
      </c>
      <c r="X323" s="7">
        <v>2012</v>
      </c>
      <c r="Y323" s="7" t="s">
        <v>1233</v>
      </c>
      <c r="Z323" s="7" t="s">
        <v>72</v>
      </c>
      <c r="AA323" s="7">
        <v>37.106916666700002</v>
      </c>
      <c r="AB323" s="7">
        <v>-113.5035833333</v>
      </c>
      <c r="AC323" s="7"/>
      <c r="AD323" s="7" t="s">
        <v>73</v>
      </c>
      <c r="AE323" s="7" t="s">
        <v>74</v>
      </c>
      <c r="AF323" s="7"/>
      <c r="AG323" s="7"/>
      <c r="AH323" s="7"/>
      <c r="AI323" s="7" t="s">
        <v>75</v>
      </c>
      <c r="AJ323" s="7"/>
      <c r="AK323" s="7"/>
      <c r="AL323" s="7"/>
      <c r="AM323" s="7"/>
      <c r="AN323" s="7"/>
      <c r="AO323" s="7" t="s">
        <v>1234</v>
      </c>
      <c r="AP323" s="20" t="str">
        <f t="shared" si="37"/>
        <v>13.0</v>
      </c>
      <c r="AQ323" s="7"/>
      <c r="AR323" s="7"/>
      <c r="AS323" s="7"/>
      <c r="AT323" s="7"/>
      <c r="AU323" s="7" t="s">
        <v>141</v>
      </c>
      <c r="AV323" s="20" t="str">
        <f t="shared" si="36"/>
        <v>18.5</v>
      </c>
      <c r="AW323" s="7"/>
      <c r="AX323" s="7"/>
      <c r="AY323" s="7"/>
      <c r="AZ323" s="7"/>
      <c r="BA323" s="7"/>
      <c r="BB323" s="7"/>
      <c r="BC323" s="7"/>
      <c r="BD323" s="7" t="s">
        <v>1082</v>
      </c>
      <c r="BF323" s="7"/>
      <c r="BG323" s="7"/>
      <c r="BH323" s="7" t="s">
        <v>83</v>
      </c>
      <c r="BI323" s="7"/>
      <c r="BJ323" s="7"/>
      <c r="BK323" s="7"/>
      <c r="BL323" s="7" t="s">
        <v>147</v>
      </c>
      <c r="BM323" s="20" t="str">
        <f t="shared" si="33"/>
        <v>84</v>
      </c>
      <c r="BN323" s="7" t="s">
        <v>132</v>
      </c>
      <c r="BO323" s="20" t="str">
        <f t="shared" si="34"/>
        <v>175</v>
      </c>
      <c r="BP323" s="7"/>
      <c r="BQ323" s="7" t="s">
        <v>1235</v>
      </c>
      <c r="BR323" s="20" t="str">
        <f t="shared" si="38"/>
        <v>16.8</v>
      </c>
      <c r="BS323" s="21">
        <f t="shared" si="35"/>
        <v>91</v>
      </c>
    </row>
    <row r="324" spans="1:71" x14ac:dyDescent="0.2">
      <c r="A324" t="s">
        <v>63</v>
      </c>
      <c r="C324" t="s">
        <v>1459</v>
      </c>
      <c r="D324" t="s">
        <v>64</v>
      </c>
      <c r="E324" t="s">
        <v>65</v>
      </c>
      <c r="F324" t="s">
        <v>64</v>
      </c>
      <c r="G324" t="s">
        <v>211</v>
      </c>
      <c r="H324" t="s">
        <v>212</v>
      </c>
      <c r="I324" t="s">
        <v>701</v>
      </c>
      <c r="J324" t="s">
        <v>702</v>
      </c>
      <c r="L324">
        <v>1737</v>
      </c>
      <c r="M324">
        <v>1737</v>
      </c>
      <c r="N324">
        <v>5698</v>
      </c>
      <c r="O324">
        <v>5698</v>
      </c>
      <c r="P324" t="s">
        <v>1460</v>
      </c>
      <c r="R324" t="s">
        <v>1461</v>
      </c>
      <c r="T324" t="s">
        <v>1462</v>
      </c>
      <c r="U324" s="2">
        <v>41250</v>
      </c>
      <c r="V324">
        <v>7</v>
      </c>
      <c r="W324">
        <v>12</v>
      </c>
      <c r="X324">
        <v>2012</v>
      </c>
      <c r="Y324" t="s">
        <v>1463</v>
      </c>
      <c r="Z324" t="s">
        <v>72</v>
      </c>
      <c r="AA324">
        <v>6.2083333300000001E-2</v>
      </c>
      <c r="AB324">
        <v>-78.690216666699996</v>
      </c>
      <c r="AD324" t="s">
        <v>96</v>
      </c>
      <c r="AE324" t="s">
        <v>74</v>
      </c>
      <c r="AI324" t="s">
        <v>75</v>
      </c>
      <c r="AO324" t="s">
        <v>88</v>
      </c>
      <c r="AP324" s="20" t="str">
        <f t="shared" si="37"/>
        <v>15</v>
      </c>
      <c r="AU324" t="s">
        <v>130</v>
      </c>
      <c r="AV324" s="20" t="str">
        <f t="shared" si="36"/>
        <v>19</v>
      </c>
      <c r="BD324" t="s">
        <v>1385</v>
      </c>
      <c r="BH324" t="s">
        <v>83</v>
      </c>
      <c r="BL324" t="s">
        <v>84</v>
      </c>
      <c r="BM324" s="20" t="str">
        <f t="shared" si="33"/>
        <v>78</v>
      </c>
      <c r="BN324" t="s">
        <v>367</v>
      </c>
      <c r="BO324" s="20" t="str">
        <f t="shared" si="34"/>
        <v>169</v>
      </c>
      <c r="BQ324" t="s">
        <v>610</v>
      </c>
      <c r="BR324" s="20" t="str">
        <f t="shared" si="38"/>
        <v>13.75</v>
      </c>
      <c r="BS324" s="21">
        <f t="shared" si="35"/>
        <v>91</v>
      </c>
    </row>
    <row r="325" spans="1:71" x14ac:dyDescent="0.2">
      <c r="A325" s="7" t="s">
        <v>63</v>
      </c>
      <c r="B325" s="7" t="s">
        <v>2207</v>
      </c>
      <c r="C325" s="7" t="s">
        <v>1161</v>
      </c>
      <c r="D325" s="7" t="s">
        <v>64</v>
      </c>
      <c r="E325" s="7" t="s">
        <v>65</v>
      </c>
      <c r="F325" s="7" t="s">
        <v>64</v>
      </c>
      <c r="G325" s="7" t="s">
        <v>615</v>
      </c>
      <c r="H325" s="7" t="s">
        <v>67</v>
      </c>
      <c r="I325" s="7" t="s">
        <v>68</v>
      </c>
      <c r="J325" s="7" t="s">
        <v>1136</v>
      </c>
      <c r="K325" s="7" t="s">
        <v>1137</v>
      </c>
      <c r="L325" s="7">
        <v>1389</v>
      </c>
      <c r="M325" s="7">
        <v>1389</v>
      </c>
      <c r="N325" s="7">
        <v>4557</v>
      </c>
      <c r="O325" s="7">
        <v>4557</v>
      </c>
      <c r="P325" s="7" t="s">
        <v>1148</v>
      </c>
      <c r="Q325" s="7"/>
      <c r="R325" s="7" t="s">
        <v>1162</v>
      </c>
      <c r="S325" s="7" t="s">
        <v>924</v>
      </c>
      <c r="T325" s="7" t="s">
        <v>1163</v>
      </c>
      <c r="U325" s="9">
        <v>41078</v>
      </c>
      <c r="V325" s="7">
        <v>18</v>
      </c>
      <c r="W325" s="7">
        <v>6</v>
      </c>
      <c r="X325" s="7">
        <v>2012</v>
      </c>
      <c r="Y325" s="7" t="s">
        <v>1164</v>
      </c>
      <c r="Z325" s="7" t="s">
        <v>72</v>
      </c>
      <c r="AA325" s="7">
        <v>40.369</v>
      </c>
      <c r="AB325" s="7">
        <v>-111.7672</v>
      </c>
      <c r="AC325" s="7"/>
      <c r="AD325" s="7" t="s">
        <v>73</v>
      </c>
      <c r="AE325" s="7" t="s">
        <v>74</v>
      </c>
      <c r="AF325" s="7"/>
      <c r="AG325" s="7"/>
      <c r="AH325" s="7"/>
      <c r="AI325" s="7" t="s">
        <v>75</v>
      </c>
      <c r="AJ325" s="7"/>
      <c r="AK325" s="7"/>
      <c r="AL325" s="7"/>
      <c r="AM325" s="7"/>
      <c r="AN325" s="7"/>
      <c r="AO325" s="7" t="s">
        <v>186</v>
      </c>
      <c r="AP325" s="20" t="str">
        <f t="shared" si="37"/>
        <v>14.5</v>
      </c>
      <c r="AQ325" s="7"/>
      <c r="AR325" s="7"/>
      <c r="AS325" s="7"/>
      <c r="AT325" s="7"/>
      <c r="AU325" s="7" t="s">
        <v>630</v>
      </c>
      <c r="AV325" s="20" t="str">
        <f t="shared" si="36"/>
        <v>19.5</v>
      </c>
      <c r="AW325" s="7"/>
      <c r="AX325" s="7"/>
      <c r="AY325" s="7"/>
      <c r="AZ325" s="7"/>
      <c r="BA325" s="7"/>
      <c r="BB325" s="7"/>
      <c r="BC325" s="7"/>
      <c r="BD325" s="7" t="s">
        <v>1165</v>
      </c>
      <c r="BF325" s="7"/>
      <c r="BG325" s="7"/>
      <c r="BH325" s="7" t="s">
        <v>83</v>
      </c>
      <c r="BI325" s="7"/>
      <c r="BJ325" s="7"/>
      <c r="BK325" s="7"/>
      <c r="BL325" s="7" t="s">
        <v>313</v>
      </c>
      <c r="BM325" s="20" t="str">
        <f t="shared" si="33"/>
        <v>89</v>
      </c>
      <c r="BN325" s="7" t="s">
        <v>198</v>
      </c>
      <c r="BO325" s="20" t="str">
        <f t="shared" si="34"/>
        <v>180</v>
      </c>
      <c r="BP325" s="7"/>
      <c r="BQ325" s="7" t="s">
        <v>673</v>
      </c>
      <c r="BR325" s="20" t="str">
        <f t="shared" si="38"/>
        <v>20.5</v>
      </c>
      <c r="BS325" s="21">
        <f t="shared" si="35"/>
        <v>91</v>
      </c>
    </row>
    <row r="326" spans="1:71" x14ac:dyDescent="0.2">
      <c r="A326" s="7" t="s">
        <v>63</v>
      </c>
      <c r="B326" s="7" t="s">
        <v>2197</v>
      </c>
      <c r="C326" s="7" t="s">
        <v>1221</v>
      </c>
      <c r="D326" s="7" t="s">
        <v>64</v>
      </c>
      <c r="E326" s="7" t="s">
        <v>65</v>
      </c>
      <c r="F326" s="7" t="s">
        <v>64</v>
      </c>
      <c r="G326" s="7" t="s">
        <v>615</v>
      </c>
      <c r="H326" s="7" t="s">
        <v>67</v>
      </c>
      <c r="I326" s="7" t="s">
        <v>68</v>
      </c>
      <c r="J326" s="7" t="s">
        <v>1136</v>
      </c>
      <c r="K326" s="7" t="s">
        <v>1210</v>
      </c>
      <c r="L326" s="7">
        <v>831</v>
      </c>
      <c r="M326" s="7">
        <v>831</v>
      </c>
      <c r="N326" s="7">
        <v>2726</v>
      </c>
      <c r="O326" s="7">
        <v>2726</v>
      </c>
      <c r="P326" s="7" t="s">
        <v>1222</v>
      </c>
      <c r="Q326" s="7"/>
      <c r="R326" s="7" t="s">
        <v>1223</v>
      </c>
      <c r="S326" s="7" t="s">
        <v>1224</v>
      </c>
      <c r="T326" s="7" t="s">
        <v>1225</v>
      </c>
      <c r="U326" s="9">
        <v>41071</v>
      </c>
      <c r="V326" s="7">
        <v>11</v>
      </c>
      <c r="W326" s="7">
        <v>6</v>
      </c>
      <c r="X326" s="7">
        <v>2012</v>
      </c>
      <c r="Y326" s="7" t="s">
        <v>1226</v>
      </c>
      <c r="Z326" s="7" t="s">
        <v>72</v>
      </c>
      <c r="AA326" s="7">
        <v>37.122500000000002</v>
      </c>
      <c r="AB326" s="7">
        <v>-113.6154666667</v>
      </c>
      <c r="AC326" s="7"/>
      <c r="AD326" s="7" t="s">
        <v>73</v>
      </c>
      <c r="AE326" s="7" t="s">
        <v>74</v>
      </c>
      <c r="AF326" s="7"/>
      <c r="AG326" s="7"/>
      <c r="AH326" s="7"/>
      <c r="AI326" s="7" t="s">
        <v>75</v>
      </c>
      <c r="AJ326" s="7"/>
      <c r="AK326" s="7"/>
      <c r="AL326" s="7"/>
      <c r="AM326" s="7"/>
      <c r="AN326" s="7"/>
      <c r="AO326" s="7" t="s">
        <v>843</v>
      </c>
      <c r="AP326" s="20" t="str">
        <f t="shared" si="37"/>
        <v>14.2</v>
      </c>
      <c r="AQ326" s="7"/>
      <c r="AR326" s="7"/>
      <c r="AS326" s="7"/>
      <c r="AT326" s="7"/>
      <c r="AU326" s="7" t="s">
        <v>1084</v>
      </c>
      <c r="AV326" s="20" t="str">
        <f t="shared" si="36"/>
        <v>19.2</v>
      </c>
      <c r="AW326" s="7"/>
      <c r="AX326" s="7"/>
      <c r="AY326" s="7"/>
      <c r="AZ326" s="7"/>
      <c r="BA326" s="7"/>
      <c r="BB326" s="7"/>
      <c r="BC326" s="7"/>
      <c r="BD326" s="7" t="s">
        <v>962</v>
      </c>
      <c r="BF326" s="7"/>
      <c r="BG326" s="7"/>
      <c r="BH326" s="7" t="s">
        <v>83</v>
      </c>
      <c r="BI326" s="7"/>
      <c r="BJ326" s="7"/>
      <c r="BK326" s="7"/>
      <c r="BL326" s="7" t="s">
        <v>191</v>
      </c>
      <c r="BM326" s="20" t="str">
        <f t="shared" si="33"/>
        <v>92</v>
      </c>
      <c r="BN326" s="7" t="s">
        <v>314</v>
      </c>
      <c r="BO326" s="20" t="str">
        <f t="shared" si="34"/>
        <v>183</v>
      </c>
      <c r="BP326" s="7"/>
      <c r="BQ326" s="7" t="s">
        <v>1227</v>
      </c>
      <c r="BR326" s="20" t="str">
        <f t="shared" si="38"/>
        <v>18.1</v>
      </c>
      <c r="BS326" s="21">
        <f t="shared" si="35"/>
        <v>91</v>
      </c>
    </row>
    <row r="327" spans="1:71" x14ac:dyDescent="0.2">
      <c r="A327" s="13" t="s">
        <v>63</v>
      </c>
      <c r="B327" s="13"/>
      <c r="C327" s="13" t="s">
        <v>1943</v>
      </c>
      <c r="D327" s="13" t="s">
        <v>64</v>
      </c>
      <c r="E327" s="13" t="s">
        <v>65</v>
      </c>
      <c r="F327" s="13" t="s">
        <v>64</v>
      </c>
      <c r="G327" s="13" t="s">
        <v>1886</v>
      </c>
      <c r="H327" s="13" t="s">
        <v>212</v>
      </c>
      <c r="I327" s="13" t="s">
        <v>1887</v>
      </c>
      <c r="J327" s="13" t="s">
        <v>1888</v>
      </c>
      <c r="K327" s="13"/>
      <c r="L327" s="13">
        <v>3583</v>
      </c>
      <c r="M327" s="13">
        <v>3583</v>
      </c>
      <c r="N327" s="13">
        <v>3583</v>
      </c>
      <c r="O327" s="13">
        <v>3583</v>
      </c>
      <c r="P327" s="13" t="s">
        <v>1944</v>
      </c>
      <c r="Q327" s="13"/>
      <c r="R327" s="13" t="s">
        <v>1945</v>
      </c>
      <c r="S327" s="13"/>
      <c r="T327" s="13" t="s">
        <v>1946</v>
      </c>
      <c r="U327" s="14">
        <v>41866</v>
      </c>
      <c r="V327" s="13">
        <v>15</v>
      </c>
      <c r="W327" s="13">
        <v>8</v>
      </c>
      <c r="X327" s="13">
        <v>2014</v>
      </c>
      <c r="Y327" s="13">
        <f>-16.57415/-68.0785833333</f>
        <v>0.24345615299977766</v>
      </c>
      <c r="Z327" s="13" t="s">
        <v>72</v>
      </c>
      <c r="AA327" s="13">
        <v>16.5806333333</v>
      </c>
      <c r="AB327" s="13">
        <v>68.127433333300004</v>
      </c>
      <c r="AC327" s="13">
        <v>100</v>
      </c>
      <c r="AD327" s="13" t="s">
        <v>73</v>
      </c>
      <c r="AE327" s="13" t="s">
        <v>74</v>
      </c>
      <c r="AF327" s="13"/>
      <c r="AG327" s="13"/>
      <c r="AH327" s="13"/>
      <c r="AI327" s="13" t="s">
        <v>75</v>
      </c>
      <c r="AJ327" s="13"/>
      <c r="AK327" s="13"/>
      <c r="AL327" s="13"/>
      <c r="AM327" s="13"/>
      <c r="AN327" s="13"/>
      <c r="AO327" s="13" t="s">
        <v>680</v>
      </c>
      <c r="AP327" s="20" t="str">
        <f t="shared" si="37"/>
        <v>14.8</v>
      </c>
      <c r="AQ327" s="13"/>
      <c r="AR327" s="13"/>
      <c r="AS327" s="13"/>
      <c r="AT327" s="13"/>
      <c r="AU327" s="13" t="s">
        <v>130</v>
      </c>
      <c r="AV327" s="20" t="str">
        <f t="shared" si="36"/>
        <v>19</v>
      </c>
      <c r="AW327" s="13"/>
      <c r="AX327" s="13"/>
      <c r="AY327" s="13"/>
      <c r="AZ327" s="13"/>
      <c r="BA327" s="13"/>
      <c r="BB327" s="13"/>
      <c r="BC327" s="13"/>
      <c r="BD327" s="13" t="s">
        <v>1897</v>
      </c>
      <c r="BF327" s="13"/>
      <c r="BG327" s="13"/>
      <c r="BH327" s="13" t="s">
        <v>83</v>
      </c>
      <c r="BI327" s="13"/>
      <c r="BJ327" s="13"/>
      <c r="BK327" s="13"/>
      <c r="BL327" s="13" t="s">
        <v>174</v>
      </c>
      <c r="BM327" s="20" t="str">
        <f t="shared" si="33"/>
        <v>83</v>
      </c>
      <c r="BN327" s="13" t="s">
        <v>629</v>
      </c>
      <c r="BO327" s="20" t="str">
        <f t="shared" si="34"/>
        <v>174</v>
      </c>
      <c r="BP327" s="13"/>
      <c r="BQ327" s="13" t="s">
        <v>818</v>
      </c>
      <c r="BR327" s="20" t="str">
        <f t="shared" si="38"/>
        <v>13.6</v>
      </c>
      <c r="BS327" s="21">
        <f t="shared" si="35"/>
        <v>91</v>
      </c>
    </row>
    <row r="328" spans="1:71" x14ac:dyDescent="0.2">
      <c r="A328" s="13" t="s">
        <v>63</v>
      </c>
      <c r="B328" s="13"/>
      <c r="C328" s="13" t="s">
        <v>1995</v>
      </c>
      <c r="D328" s="13" t="s">
        <v>64</v>
      </c>
      <c r="E328" s="13" t="s">
        <v>65</v>
      </c>
      <c r="F328" s="13" t="s">
        <v>64</v>
      </c>
      <c r="G328" s="13" t="s">
        <v>1886</v>
      </c>
      <c r="H328" s="13" t="s">
        <v>212</v>
      </c>
      <c r="I328" s="13" t="s">
        <v>1887</v>
      </c>
      <c r="J328" s="13" t="s">
        <v>1949</v>
      </c>
      <c r="K328" s="13"/>
      <c r="L328" s="13">
        <v>2740</v>
      </c>
      <c r="M328" s="13">
        <v>2740</v>
      </c>
      <c r="N328" s="13">
        <v>2740</v>
      </c>
      <c r="O328" s="13">
        <v>2740</v>
      </c>
      <c r="P328" s="13" t="s">
        <v>1996</v>
      </c>
      <c r="Q328" s="13"/>
      <c r="R328" s="13" t="s">
        <v>1985</v>
      </c>
      <c r="S328" s="13"/>
      <c r="T328" s="13" t="s">
        <v>1986</v>
      </c>
      <c r="U328" s="14">
        <v>41873</v>
      </c>
      <c r="V328" s="13">
        <v>22</v>
      </c>
      <c r="W328" s="13">
        <v>8</v>
      </c>
      <c r="X328" s="13">
        <v>2014</v>
      </c>
      <c r="Y328" s="13">
        <f>-17.5396666667/-66.0131833333</f>
        <v>0.26569945245849413</v>
      </c>
      <c r="Z328" s="13" t="s">
        <v>72</v>
      </c>
      <c r="AA328" s="13">
        <v>-17.539666666700001</v>
      </c>
      <c r="AB328" s="13">
        <v>-66.013183333300006</v>
      </c>
      <c r="AC328" s="13">
        <v>100</v>
      </c>
      <c r="AD328" s="13" t="s">
        <v>73</v>
      </c>
      <c r="AE328" s="13" t="s">
        <v>74</v>
      </c>
      <c r="AF328" s="13"/>
      <c r="AG328" s="13"/>
      <c r="AH328" s="13"/>
      <c r="AI328" s="13" t="s">
        <v>75</v>
      </c>
      <c r="AJ328" s="13"/>
      <c r="AK328" s="13"/>
      <c r="AL328" s="13"/>
      <c r="AM328" s="13"/>
      <c r="AN328" s="13"/>
      <c r="AO328" s="13" t="s">
        <v>680</v>
      </c>
      <c r="AP328" s="20" t="str">
        <f t="shared" si="37"/>
        <v>14.8</v>
      </c>
      <c r="AQ328" s="13"/>
      <c r="AR328" s="13"/>
      <c r="AS328" s="13"/>
      <c r="AT328" s="13"/>
      <c r="AU328" s="13" t="s">
        <v>141</v>
      </c>
      <c r="AV328" s="20" t="str">
        <f t="shared" si="36"/>
        <v>18.5</v>
      </c>
      <c r="AW328" s="13"/>
      <c r="AX328" s="13"/>
      <c r="AY328" s="13"/>
      <c r="AZ328" s="13"/>
      <c r="BA328" s="13"/>
      <c r="BB328" s="13"/>
      <c r="BC328" s="13"/>
      <c r="BD328" s="13" t="s">
        <v>1997</v>
      </c>
      <c r="BF328" s="13"/>
      <c r="BG328" s="13"/>
      <c r="BH328" s="13" t="s">
        <v>83</v>
      </c>
      <c r="BI328" s="13"/>
      <c r="BJ328" s="13"/>
      <c r="BK328" s="13"/>
      <c r="BL328" s="13" t="s">
        <v>313</v>
      </c>
      <c r="BM328" s="20" t="str">
        <f t="shared" si="33"/>
        <v>89</v>
      </c>
      <c r="BN328" s="13" t="s">
        <v>198</v>
      </c>
      <c r="BO328" s="20" t="str">
        <f t="shared" si="34"/>
        <v>180</v>
      </c>
      <c r="BP328" s="13"/>
      <c r="BQ328" s="13" t="s">
        <v>1998</v>
      </c>
      <c r="BR328" s="20" t="str">
        <f t="shared" si="38"/>
        <v>17.1</v>
      </c>
      <c r="BS328" s="21">
        <f t="shared" si="35"/>
        <v>91</v>
      </c>
    </row>
    <row r="329" spans="1:71" x14ac:dyDescent="0.2">
      <c r="A329" s="4" t="s">
        <v>63</v>
      </c>
      <c r="B329" s="4" t="s">
        <v>2150</v>
      </c>
      <c r="C329" s="4" t="s">
        <v>1822</v>
      </c>
      <c r="D329" s="4" t="s">
        <v>64</v>
      </c>
      <c r="E329" s="4" t="s">
        <v>65</v>
      </c>
      <c r="F329" s="4" t="s">
        <v>64</v>
      </c>
      <c r="G329" s="4" t="s">
        <v>134</v>
      </c>
      <c r="H329" s="4" t="s">
        <v>67</v>
      </c>
      <c r="I329" s="4" t="s">
        <v>68</v>
      </c>
      <c r="J329" s="4" t="s">
        <v>1778</v>
      </c>
      <c r="K329" s="4" t="s">
        <v>1806</v>
      </c>
      <c r="L329" s="4">
        <v>51</v>
      </c>
      <c r="M329" s="4">
        <v>51</v>
      </c>
      <c r="N329" s="4">
        <v>51</v>
      </c>
      <c r="O329" s="4">
        <v>51</v>
      </c>
      <c r="P329" s="4" t="s">
        <v>1823</v>
      </c>
      <c r="Q329" s="4"/>
      <c r="R329" s="4" t="s">
        <v>1819</v>
      </c>
      <c r="S329" s="4"/>
      <c r="T329" s="4" t="s">
        <v>1820</v>
      </c>
      <c r="U329" s="5">
        <v>41134</v>
      </c>
      <c r="V329" s="4">
        <v>13</v>
      </c>
      <c r="W329" s="4">
        <v>8</v>
      </c>
      <c r="X329" s="4">
        <v>2012</v>
      </c>
      <c r="Y329" s="4" t="s">
        <v>1824</v>
      </c>
      <c r="Z329" s="4" t="s">
        <v>72</v>
      </c>
      <c r="AA329" s="4">
        <v>37.678849999999997</v>
      </c>
      <c r="AB329" s="4">
        <v>-77.516599999999997</v>
      </c>
      <c r="AC329" s="4"/>
      <c r="AD329" s="4" t="s">
        <v>73</v>
      </c>
      <c r="AE329" s="4" t="s">
        <v>74</v>
      </c>
      <c r="AF329" s="4"/>
      <c r="AG329" s="4"/>
      <c r="AH329" s="4"/>
      <c r="AI329" s="4"/>
      <c r="AJ329" s="4"/>
      <c r="AK329" s="4"/>
      <c r="AL329" s="4"/>
      <c r="AM329" s="4"/>
      <c r="AN329" s="4"/>
      <c r="AO329" s="4" t="s">
        <v>87</v>
      </c>
      <c r="AP329" s="20" t="str">
        <f t="shared" si="37"/>
        <v>14</v>
      </c>
      <c r="AQ329" s="4"/>
      <c r="AR329" s="4"/>
      <c r="AS329" s="4"/>
      <c r="AT329" s="4"/>
      <c r="AU329" s="4" t="s">
        <v>130</v>
      </c>
      <c r="AV329" s="20" t="str">
        <f t="shared" si="36"/>
        <v>19</v>
      </c>
      <c r="AW329" s="4"/>
      <c r="AX329" s="4"/>
      <c r="AY329" s="4"/>
      <c r="AZ329" s="4"/>
      <c r="BA329" s="4"/>
      <c r="BB329" s="4"/>
      <c r="BC329" s="4"/>
      <c r="BD329" s="4" t="s">
        <v>1825</v>
      </c>
      <c r="BF329" s="4"/>
      <c r="BG329" s="4"/>
      <c r="BH329" s="4" t="s">
        <v>83</v>
      </c>
      <c r="BI329" s="4"/>
      <c r="BJ329" s="4"/>
      <c r="BK329" s="4"/>
      <c r="BL329" s="4" t="s">
        <v>520</v>
      </c>
      <c r="BM329" s="20" t="str">
        <f t="shared" si="33"/>
        <v>93</v>
      </c>
      <c r="BN329" s="4" t="s">
        <v>201</v>
      </c>
      <c r="BO329" s="20" t="str">
        <f t="shared" si="34"/>
        <v>184</v>
      </c>
      <c r="BP329" s="4"/>
      <c r="BQ329" s="4" t="s">
        <v>688</v>
      </c>
      <c r="BR329" s="20" t="str">
        <f t="shared" si="38"/>
        <v>18.25</v>
      </c>
      <c r="BS329" s="21">
        <f t="shared" si="35"/>
        <v>91</v>
      </c>
    </row>
    <row r="330" spans="1:71" x14ac:dyDescent="0.2">
      <c r="A330" t="s">
        <v>63</v>
      </c>
      <c r="B330" t="s">
        <v>2306</v>
      </c>
      <c r="C330" t="s">
        <v>878</v>
      </c>
      <c r="D330" t="s">
        <v>64</v>
      </c>
      <c r="E330" t="s">
        <v>65</v>
      </c>
      <c r="F330" t="s">
        <v>64</v>
      </c>
      <c r="G330" t="s">
        <v>615</v>
      </c>
      <c r="H330" t="s">
        <v>67</v>
      </c>
      <c r="I330" t="s">
        <v>788</v>
      </c>
      <c r="J330" t="s">
        <v>789</v>
      </c>
      <c r="K330" t="s">
        <v>822</v>
      </c>
      <c r="L330">
        <v>706</v>
      </c>
      <c r="M330">
        <v>706</v>
      </c>
      <c r="N330">
        <v>2315</v>
      </c>
      <c r="O330">
        <v>2315</v>
      </c>
      <c r="P330" t="s">
        <v>879</v>
      </c>
      <c r="R330" t="s">
        <v>880</v>
      </c>
      <c r="S330" t="s">
        <v>881</v>
      </c>
      <c r="T330" t="s">
        <v>882</v>
      </c>
      <c r="U330" s="2">
        <v>41129</v>
      </c>
      <c r="V330">
        <v>8</v>
      </c>
      <c r="W330">
        <v>8</v>
      </c>
      <c r="X330">
        <v>2012</v>
      </c>
      <c r="Y330" t="s">
        <v>883</v>
      </c>
      <c r="Z330" t="s">
        <v>72</v>
      </c>
      <c r="AA330">
        <v>53.469733333299999</v>
      </c>
      <c r="AB330">
        <v>-113.8879666667</v>
      </c>
      <c r="AD330" t="s">
        <v>73</v>
      </c>
      <c r="AE330" t="s">
        <v>74</v>
      </c>
      <c r="AI330" t="s">
        <v>75</v>
      </c>
      <c r="AO330" t="s">
        <v>87</v>
      </c>
      <c r="AP330" s="20" t="str">
        <f t="shared" si="37"/>
        <v>14</v>
      </c>
      <c r="AU330" t="s">
        <v>82</v>
      </c>
      <c r="AV330" s="20" t="str">
        <f t="shared" si="36"/>
        <v>17</v>
      </c>
      <c r="BH330" t="s">
        <v>83</v>
      </c>
      <c r="BL330" t="s">
        <v>194</v>
      </c>
      <c r="BM330" s="20" t="str">
        <f t="shared" si="33"/>
        <v>79</v>
      </c>
      <c r="BN330" t="s">
        <v>154</v>
      </c>
      <c r="BO330" s="20" t="str">
        <f t="shared" si="34"/>
        <v>170</v>
      </c>
      <c r="BQ330" t="s">
        <v>115</v>
      </c>
      <c r="BR330" s="20" t="str">
        <f t="shared" si="38"/>
        <v>17.25</v>
      </c>
      <c r="BS330" s="21">
        <f t="shared" si="35"/>
        <v>91</v>
      </c>
    </row>
    <row r="331" spans="1:71" x14ac:dyDescent="0.2">
      <c r="A331" s="7" t="s">
        <v>63</v>
      </c>
      <c r="B331" s="7" t="s">
        <v>2213</v>
      </c>
      <c r="C331" s="7" t="s">
        <v>1115</v>
      </c>
      <c r="D331" s="7" t="s">
        <v>64</v>
      </c>
      <c r="E331" s="7" t="s">
        <v>65</v>
      </c>
      <c r="F331" s="7" t="s">
        <v>64</v>
      </c>
      <c r="G331" s="7" t="s">
        <v>615</v>
      </c>
      <c r="H331" s="7" t="s">
        <v>67</v>
      </c>
      <c r="I331" s="7" t="s">
        <v>68</v>
      </c>
      <c r="J331" s="7" t="s">
        <v>1053</v>
      </c>
      <c r="K331" s="7" t="s">
        <v>1092</v>
      </c>
      <c r="L331" s="7">
        <v>1032</v>
      </c>
      <c r="M331" s="7">
        <v>1032</v>
      </c>
      <c r="N331" s="7">
        <v>3387</v>
      </c>
      <c r="O331" s="7">
        <v>3387</v>
      </c>
      <c r="P331" s="7" t="s">
        <v>1116</v>
      </c>
      <c r="Q331" s="7"/>
      <c r="R331" s="7" t="s">
        <v>1117</v>
      </c>
      <c r="S331" s="7" t="s">
        <v>825</v>
      </c>
      <c r="T331" s="7" t="s">
        <v>1118</v>
      </c>
      <c r="U331" s="9">
        <v>41083</v>
      </c>
      <c r="V331" s="7">
        <v>23</v>
      </c>
      <c r="W331" s="7">
        <v>6</v>
      </c>
      <c r="X331" s="7">
        <v>2012</v>
      </c>
      <c r="Y331" s="7" t="s">
        <v>1119</v>
      </c>
      <c r="Z331" s="7" t="s">
        <v>72</v>
      </c>
      <c r="AA331" s="7">
        <v>46.410216666700002</v>
      </c>
      <c r="AB331" s="7">
        <v>-114.0861666667</v>
      </c>
      <c r="AC331" s="7"/>
      <c r="AD331" s="7" t="s">
        <v>73</v>
      </c>
      <c r="AE331" s="7" t="s">
        <v>74</v>
      </c>
      <c r="AF331" s="7"/>
      <c r="AG331" s="7"/>
      <c r="AH331" s="7"/>
      <c r="AI331" s="7" t="s">
        <v>75</v>
      </c>
      <c r="AJ331" s="7"/>
      <c r="AK331" s="7"/>
      <c r="AL331" s="7"/>
      <c r="AM331" s="7"/>
      <c r="AN331" s="7"/>
      <c r="AO331" s="7" t="s">
        <v>1120</v>
      </c>
      <c r="AP331" s="20" t="str">
        <f t="shared" si="37"/>
        <v>13.9</v>
      </c>
      <c r="AQ331" s="7"/>
      <c r="AR331" s="7"/>
      <c r="AS331" s="7"/>
      <c r="AT331" s="7"/>
      <c r="AU331" s="7" t="s">
        <v>679</v>
      </c>
      <c r="AV331" s="20" t="str">
        <f t="shared" si="36"/>
        <v>19.6</v>
      </c>
      <c r="AW331" s="7"/>
      <c r="AX331" s="7"/>
      <c r="AY331" s="7"/>
      <c r="AZ331" s="7"/>
      <c r="BA331" s="7"/>
      <c r="BB331" s="7"/>
      <c r="BC331" s="7"/>
      <c r="BD331" s="7" t="s">
        <v>1121</v>
      </c>
      <c r="BF331" s="7"/>
      <c r="BG331" s="7"/>
      <c r="BH331" s="7" t="s">
        <v>78</v>
      </c>
      <c r="BI331" s="7"/>
      <c r="BJ331" s="7"/>
      <c r="BK331" s="7"/>
      <c r="BL331" s="7" t="s">
        <v>1122</v>
      </c>
      <c r="BM331" s="20" t="str">
        <f t="shared" si="33"/>
        <v>87.5</v>
      </c>
      <c r="BN331" s="7" t="s">
        <v>142</v>
      </c>
      <c r="BO331" s="20" t="str">
        <f t="shared" si="34"/>
        <v>179</v>
      </c>
      <c r="BP331" s="7"/>
      <c r="BQ331" s="7" t="s">
        <v>1123</v>
      </c>
      <c r="BR331" s="20" t="str">
        <f t="shared" si="38"/>
        <v>16.7</v>
      </c>
      <c r="BS331" s="21">
        <f t="shared" si="35"/>
        <v>91.5</v>
      </c>
    </row>
    <row r="332" spans="1:71" x14ac:dyDescent="0.2">
      <c r="A332" s="7" t="s">
        <v>63</v>
      </c>
      <c r="B332" s="7" t="s">
        <v>2209</v>
      </c>
      <c r="C332" s="7" t="s">
        <v>1209</v>
      </c>
      <c r="D332" s="7" t="s">
        <v>64</v>
      </c>
      <c r="E332" s="7" t="s">
        <v>65</v>
      </c>
      <c r="F332" s="7" t="s">
        <v>64</v>
      </c>
      <c r="G332" s="7" t="s">
        <v>615</v>
      </c>
      <c r="H332" s="7" t="s">
        <v>67</v>
      </c>
      <c r="I332" s="7" t="s">
        <v>68</v>
      </c>
      <c r="J332" s="7" t="s">
        <v>1136</v>
      </c>
      <c r="K332" s="7" t="s">
        <v>1210</v>
      </c>
      <c r="L332" s="7">
        <v>1375</v>
      </c>
      <c r="M332" s="7">
        <v>1375</v>
      </c>
      <c r="N332" s="7">
        <v>4510</v>
      </c>
      <c r="O332" s="7">
        <v>4510</v>
      </c>
      <c r="P332" s="7" t="s">
        <v>1155</v>
      </c>
      <c r="Q332" s="7"/>
      <c r="R332" s="7" t="s">
        <v>1211</v>
      </c>
      <c r="S332" s="7" t="s">
        <v>924</v>
      </c>
      <c r="T332" s="7" t="s">
        <v>1212</v>
      </c>
      <c r="U332" s="9">
        <v>41075</v>
      </c>
      <c r="V332" s="7">
        <v>15</v>
      </c>
      <c r="W332" s="7">
        <v>6</v>
      </c>
      <c r="X332" s="7">
        <v>2012</v>
      </c>
      <c r="Y332" s="7" t="s">
        <v>1213</v>
      </c>
      <c r="Z332" s="7" t="s">
        <v>72</v>
      </c>
      <c r="AA332" s="7">
        <v>40.147750000000002</v>
      </c>
      <c r="AB332" s="7">
        <v>-111.6740666667</v>
      </c>
      <c r="AC332" s="7"/>
      <c r="AD332" s="7" t="s">
        <v>73</v>
      </c>
      <c r="AE332" s="7" t="s">
        <v>74</v>
      </c>
      <c r="AF332" s="7"/>
      <c r="AG332" s="7"/>
      <c r="AH332" s="7"/>
      <c r="AI332" s="7" t="s">
        <v>75</v>
      </c>
      <c r="AJ332" s="7"/>
      <c r="AK332" s="7"/>
      <c r="AL332" s="7"/>
      <c r="AM332" s="7"/>
      <c r="AN332" s="7"/>
      <c r="AO332" s="7" t="s">
        <v>204</v>
      </c>
      <c r="AP332" s="20" t="str">
        <f t="shared" si="37"/>
        <v>15.5</v>
      </c>
      <c r="AQ332" s="7"/>
      <c r="AR332" s="7"/>
      <c r="AS332" s="7"/>
      <c r="AT332" s="7"/>
      <c r="AU332" s="7" t="s">
        <v>960</v>
      </c>
      <c r="AV332" s="20" t="str">
        <f t="shared" si="36"/>
        <v>18.8</v>
      </c>
      <c r="AW332" s="7"/>
      <c r="AX332" s="7"/>
      <c r="AY332" s="7"/>
      <c r="AZ332" s="7"/>
      <c r="BA332" s="7"/>
      <c r="BB332" s="7"/>
      <c r="BC332" s="7"/>
      <c r="BD332" s="7" t="s">
        <v>1214</v>
      </c>
      <c r="BE332" s="20" t="s">
        <v>241</v>
      </c>
      <c r="BF332" s="7"/>
      <c r="BG332" s="7"/>
      <c r="BH332" s="7" t="s">
        <v>78</v>
      </c>
      <c r="BI332" s="7"/>
      <c r="BJ332" s="7"/>
      <c r="BK332" s="7"/>
      <c r="BL332" s="7" t="s">
        <v>649</v>
      </c>
      <c r="BM332" s="20" t="str">
        <f t="shared" si="33"/>
        <v>90.5</v>
      </c>
      <c r="BN332" s="7" t="s">
        <v>1051</v>
      </c>
      <c r="BO332" s="20" t="str">
        <f t="shared" si="34"/>
        <v>182.0</v>
      </c>
      <c r="BP332" s="7"/>
      <c r="BQ332" s="7" t="s">
        <v>1215</v>
      </c>
      <c r="BR332" s="20" t="str">
        <f t="shared" si="38"/>
        <v>19.1</v>
      </c>
      <c r="BS332" s="21">
        <f t="shared" si="35"/>
        <v>91.5</v>
      </c>
    </row>
    <row r="333" spans="1:71" x14ac:dyDescent="0.2">
      <c r="A333" s="7" t="s">
        <v>63</v>
      </c>
      <c r="B333" s="7" t="s">
        <v>2190</v>
      </c>
      <c r="C333" s="7" t="s">
        <v>1250</v>
      </c>
      <c r="D333" s="7" t="s">
        <v>64</v>
      </c>
      <c r="E333" s="7" t="s">
        <v>65</v>
      </c>
      <c r="F333" s="7" t="s">
        <v>64</v>
      </c>
      <c r="G333" s="7" t="s">
        <v>615</v>
      </c>
      <c r="H333" s="7" t="s">
        <v>67</v>
      </c>
      <c r="I333" s="7" t="s">
        <v>68</v>
      </c>
      <c r="J333" s="7" t="s">
        <v>1136</v>
      </c>
      <c r="K333" s="7" t="s">
        <v>1210</v>
      </c>
      <c r="L333" s="7">
        <v>760</v>
      </c>
      <c r="M333" s="7">
        <v>760</v>
      </c>
      <c r="N333" s="7">
        <v>2494</v>
      </c>
      <c r="O333" s="7">
        <v>2494</v>
      </c>
      <c r="P333" s="7" t="s">
        <v>1251</v>
      </c>
      <c r="Q333" s="7"/>
      <c r="R333" s="7" t="s">
        <v>1252</v>
      </c>
      <c r="S333" s="7" t="s">
        <v>1253</v>
      </c>
      <c r="T333" s="7" t="s">
        <v>1254</v>
      </c>
      <c r="U333" s="9">
        <v>41069</v>
      </c>
      <c r="V333" s="7">
        <v>9</v>
      </c>
      <c r="W333" s="7">
        <v>6</v>
      </c>
      <c r="X333" s="7">
        <v>2012</v>
      </c>
      <c r="Y333" s="7" t="s">
        <v>1255</v>
      </c>
      <c r="Z333" s="7" t="s">
        <v>72</v>
      </c>
      <c r="AA333" s="7">
        <v>37.042349999999999</v>
      </c>
      <c r="AB333" s="7">
        <v>-113.61675</v>
      </c>
      <c r="AC333" s="7"/>
      <c r="AD333" s="7" t="s">
        <v>73</v>
      </c>
      <c r="AE333" s="7" t="s">
        <v>74</v>
      </c>
      <c r="AF333" s="7"/>
      <c r="AG333" s="7"/>
      <c r="AH333" s="7"/>
      <c r="AI333" s="7" t="s">
        <v>75</v>
      </c>
      <c r="AJ333" s="7"/>
      <c r="AK333" s="7"/>
      <c r="AL333" s="7"/>
      <c r="AM333" s="7"/>
      <c r="AN333" s="7"/>
      <c r="AO333" s="7" t="s">
        <v>76</v>
      </c>
      <c r="AP333" s="20" t="str">
        <f t="shared" si="37"/>
        <v>13</v>
      </c>
      <c r="AQ333" s="7"/>
      <c r="AR333" s="7"/>
      <c r="AS333" s="7"/>
      <c r="AT333" s="7"/>
      <c r="AU333" s="7" t="s">
        <v>1256</v>
      </c>
      <c r="AV333" s="20" t="str">
        <f t="shared" si="36"/>
        <v>17.1</v>
      </c>
      <c r="AW333" s="7"/>
      <c r="AX333" s="7"/>
      <c r="AY333" s="7"/>
      <c r="AZ333" s="7"/>
      <c r="BA333" s="7"/>
      <c r="BB333" s="7"/>
      <c r="BC333" s="7"/>
      <c r="BD333" s="7" t="s">
        <v>1041</v>
      </c>
      <c r="BF333" s="7"/>
      <c r="BG333" s="7"/>
      <c r="BH333" s="7" t="s">
        <v>83</v>
      </c>
      <c r="BI333" s="7"/>
      <c r="BJ333" s="7"/>
      <c r="BK333" s="7"/>
      <c r="BL333" s="7" t="s">
        <v>1257</v>
      </c>
      <c r="BM333" s="20" t="str">
        <f t="shared" si="33"/>
        <v>81.5</v>
      </c>
      <c r="BN333" s="7" t="s">
        <v>161</v>
      </c>
      <c r="BO333" s="20" t="str">
        <f t="shared" si="34"/>
        <v>173</v>
      </c>
      <c r="BP333" s="7"/>
      <c r="BQ333" s="7" t="s">
        <v>1258</v>
      </c>
      <c r="BR333" s="20" t="str">
        <f t="shared" si="38"/>
        <v>16.1</v>
      </c>
      <c r="BS333" s="21">
        <f t="shared" si="35"/>
        <v>91.5</v>
      </c>
    </row>
    <row r="334" spans="1:71" x14ac:dyDescent="0.2">
      <c r="A334" s="10" t="s">
        <v>63</v>
      </c>
      <c r="B334" s="10" t="s">
        <v>2273</v>
      </c>
      <c r="C334" s="10" t="s">
        <v>453</v>
      </c>
      <c r="D334" s="10" t="s">
        <v>64</v>
      </c>
      <c r="E334" s="10" t="s">
        <v>65</v>
      </c>
      <c r="F334" s="10" t="s">
        <v>64</v>
      </c>
      <c r="G334" s="10" t="s">
        <v>211</v>
      </c>
      <c r="H334" s="10" t="s">
        <v>212</v>
      </c>
      <c r="I334" s="10" t="s">
        <v>383</v>
      </c>
      <c r="J334" s="10" t="s">
        <v>443</v>
      </c>
      <c r="K334" s="10"/>
      <c r="L334" s="10">
        <v>67</v>
      </c>
      <c r="M334" s="10">
        <v>67</v>
      </c>
      <c r="N334" s="10">
        <v>219</v>
      </c>
      <c r="O334" s="10">
        <v>219</v>
      </c>
      <c r="P334" s="10" t="s">
        <v>454</v>
      </c>
      <c r="Q334" s="10"/>
      <c r="R334" s="10" t="s">
        <v>445</v>
      </c>
      <c r="S334" s="10" t="s">
        <v>455</v>
      </c>
      <c r="T334" s="10" t="s">
        <v>456</v>
      </c>
      <c r="U334" s="11">
        <v>41429</v>
      </c>
      <c r="V334" s="10">
        <v>4</v>
      </c>
      <c r="W334" s="10">
        <v>6</v>
      </c>
      <c r="X334" s="10">
        <v>2013</v>
      </c>
      <c r="Y334" s="10">
        <f>-29.8711666667/-57.1341666667</f>
        <v>0.52282492962499216</v>
      </c>
      <c r="Z334" s="10" t="s">
        <v>72</v>
      </c>
      <c r="AA334" s="10">
        <v>-29.871166666699999</v>
      </c>
      <c r="AB334" s="10">
        <v>-57.134166666699997</v>
      </c>
      <c r="AC334" s="10"/>
      <c r="AD334" s="10" t="s">
        <v>73</v>
      </c>
      <c r="AE334" s="10" t="s">
        <v>74</v>
      </c>
      <c r="AF334" s="10"/>
      <c r="AG334" s="10"/>
      <c r="AH334" s="10"/>
      <c r="AI334" s="10"/>
      <c r="AJ334" s="10"/>
      <c r="AK334" s="10"/>
      <c r="AL334" s="10"/>
      <c r="AM334" s="10"/>
      <c r="AN334" s="10"/>
      <c r="AO334" s="10" t="s">
        <v>87</v>
      </c>
      <c r="AP334" s="20" t="str">
        <f t="shared" si="37"/>
        <v>14</v>
      </c>
      <c r="AQ334" s="10"/>
      <c r="AR334" s="10"/>
      <c r="AS334" s="10"/>
      <c r="AT334" s="10"/>
      <c r="AU334" s="10" t="s">
        <v>121</v>
      </c>
      <c r="AV334" s="20" t="str">
        <f t="shared" si="36"/>
        <v>18</v>
      </c>
      <c r="AW334" s="10"/>
      <c r="AX334" s="10"/>
      <c r="AY334" s="10"/>
      <c r="AZ334" s="10"/>
      <c r="BA334" s="10"/>
      <c r="BB334" s="10"/>
      <c r="BC334" s="10"/>
      <c r="BD334" s="10" t="s">
        <v>457</v>
      </c>
      <c r="BF334" s="10"/>
      <c r="BG334" s="10"/>
      <c r="BH334" s="10" t="s">
        <v>78</v>
      </c>
      <c r="BI334" s="10"/>
      <c r="BJ334" s="10"/>
      <c r="BK334" s="10"/>
      <c r="BL334" s="10" t="s">
        <v>194</v>
      </c>
      <c r="BM334" s="20" t="str">
        <f t="shared" si="33"/>
        <v>79</v>
      </c>
      <c r="BN334" s="10" t="s">
        <v>302</v>
      </c>
      <c r="BO334" s="20" t="str">
        <f t="shared" si="34"/>
        <v>171</v>
      </c>
      <c r="BP334" s="10"/>
      <c r="BQ334" s="10" t="s">
        <v>86</v>
      </c>
      <c r="BR334" s="20" t="str">
        <f t="shared" si="38"/>
        <v>16.75</v>
      </c>
      <c r="BS334" s="21">
        <f t="shared" si="35"/>
        <v>92</v>
      </c>
    </row>
    <row r="335" spans="1:71" x14ac:dyDescent="0.2">
      <c r="A335" s="13" t="s">
        <v>63</v>
      </c>
      <c r="B335" s="13"/>
      <c r="C335" s="13" t="s">
        <v>1970</v>
      </c>
      <c r="D335" s="13" t="s">
        <v>64</v>
      </c>
      <c r="E335" s="13" t="s">
        <v>65</v>
      </c>
      <c r="F335" s="13" t="s">
        <v>64</v>
      </c>
      <c r="G335" s="13" t="s">
        <v>1886</v>
      </c>
      <c r="H335" s="13" t="s">
        <v>212</v>
      </c>
      <c r="I335" s="13" t="s">
        <v>1887</v>
      </c>
      <c r="J335" s="13" t="s">
        <v>1949</v>
      </c>
      <c r="K335" s="13"/>
      <c r="L335" s="13">
        <v>2542</v>
      </c>
      <c r="M335" s="13">
        <v>2542</v>
      </c>
      <c r="N335" s="13">
        <v>2542</v>
      </c>
      <c r="O335" s="13">
        <v>2542</v>
      </c>
      <c r="P335" s="13" t="s">
        <v>1966</v>
      </c>
      <c r="Q335" s="13"/>
      <c r="R335" s="13" t="s">
        <v>1971</v>
      </c>
      <c r="S335" s="13"/>
      <c r="T335" s="13" t="s">
        <v>1972</v>
      </c>
      <c r="U335" s="14">
        <v>41871</v>
      </c>
      <c r="V335" s="13">
        <v>20</v>
      </c>
      <c r="W335" s="13">
        <v>8</v>
      </c>
      <c r="X335" s="13">
        <v>2014</v>
      </c>
      <c r="Y335" s="13">
        <f>-17.4276/-66.3311833333</f>
        <v>0.26273615401115402</v>
      </c>
      <c r="Z335" s="13" t="s">
        <v>72</v>
      </c>
      <c r="AA335" s="13">
        <v>-17.427600000000002</v>
      </c>
      <c r="AB335" s="13">
        <v>-66.331183333300004</v>
      </c>
      <c r="AC335" s="13">
        <v>100</v>
      </c>
      <c r="AD335" s="13" t="s">
        <v>73</v>
      </c>
      <c r="AE335" s="13" t="s">
        <v>74</v>
      </c>
      <c r="AF335" s="13"/>
      <c r="AG335" s="13"/>
      <c r="AH335" s="13"/>
      <c r="AI335" s="13"/>
      <c r="AJ335" s="13"/>
      <c r="AK335" s="13"/>
      <c r="AL335" s="13"/>
      <c r="AM335" s="13"/>
      <c r="AN335" s="13"/>
      <c r="AO335" s="13" t="s">
        <v>186</v>
      </c>
      <c r="AP335" s="20" t="str">
        <f t="shared" si="37"/>
        <v>14.5</v>
      </c>
      <c r="AQ335" s="13"/>
      <c r="AR335" s="13"/>
      <c r="AS335" s="13"/>
      <c r="AT335" s="13"/>
      <c r="AU335" s="13" t="s">
        <v>1098</v>
      </c>
      <c r="AV335" s="20" t="str">
        <f t="shared" si="36"/>
        <v>18.3</v>
      </c>
      <c r="AW335" s="13"/>
      <c r="AX335" s="13"/>
      <c r="AY335" s="13"/>
      <c r="AZ335" s="13"/>
      <c r="BA335" s="13"/>
      <c r="BB335" s="13"/>
      <c r="BC335" s="13"/>
      <c r="BD335" s="13" t="s">
        <v>152</v>
      </c>
      <c r="BF335" s="13"/>
      <c r="BG335" s="13"/>
      <c r="BH335" s="13" t="s">
        <v>78</v>
      </c>
      <c r="BI335" s="13"/>
      <c r="BJ335" s="13"/>
      <c r="BK335" s="13"/>
      <c r="BL335" s="13" t="s">
        <v>189</v>
      </c>
      <c r="BM335" s="20" t="str">
        <f t="shared" si="33"/>
        <v>82</v>
      </c>
      <c r="BN335" s="13" t="s">
        <v>629</v>
      </c>
      <c r="BO335" s="20" t="str">
        <f t="shared" si="34"/>
        <v>174</v>
      </c>
      <c r="BP335" s="13"/>
      <c r="BQ335" s="13" t="s">
        <v>992</v>
      </c>
      <c r="BR335" s="20" t="str">
        <f t="shared" si="38"/>
        <v>18.2</v>
      </c>
      <c r="BS335" s="21">
        <f t="shared" si="35"/>
        <v>92</v>
      </c>
    </row>
    <row r="336" spans="1:71" x14ac:dyDescent="0.2">
      <c r="A336" s="10" t="s">
        <v>63</v>
      </c>
      <c r="B336" s="10" t="s">
        <v>2233</v>
      </c>
      <c r="C336" s="10" t="s">
        <v>263</v>
      </c>
      <c r="D336" s="10" t="s">
        <v>64</v>
      </c>
      <c r="E336" s="10" t="s">
        <v>65</v>
      </c>
      <c r="F336" s="10" t="s">
        <v>64</v>
      </c>
      <c r="G336" s="10" t="s">
        <v>211</v>
      </c>
      <c r="H336" s="10" t="s">
        <v>212</v>
      </c>
      <c r="I336" s="10" t="s">
        <v>213</v>
      </c>
      <c r="J336" s="10" t="s">
        <v>214</v>
      </c>
      <c r="K336" s="10"/>
      <c r="L336" s="10">
        <v>223</v>
      </c>
      <c r="M336" s="10">
        <v>223</v>
      </c>
      <c r="N336" s="10">
        <v>732</v>
      </c>
      <c r="O336" s="10">
        <v>732</v>
      </c>
      <c r="P336" s="10" t="s">
        <v>264</v>
      </c>
      <c r="Q336" s="10"/>
      <c r="R336" s="10" t="s">
        <v>265</v>
      </c>
      <c r="S336" s="10" t="s">
        <v>266</v>
      </c>
      <c r="T336" s="10" t="s">
        <v>267</v>
      </c>
      <c r="U336" s="11">
        <v>41308</v>
      </c>
      <c r="V336" s="10">
        <v>3</v>
      </c>
      <c r="W336" s="10">
        <v>2</v>
      </c>
      <c r="X336" s="10">
        <v>2013</v>
      </c>
      <c r="Y336" s="10">
        <f>-37.35/-59.2028333333</f>
        <v>0.63088196792418771</v>
      </c>
      <c r="Z336" s="10" t="s">
        <v>72</v>
      </c>
      <c r="AA336" s="10">
        <v>-37.35</v>
      </c>
      <c r="AB336" s="10">
        <v>-59.202833333299999</v>
      </c>
      <c r="AC336" s="10"/>
      <c r="AD336" s="10" t="s">
        <v>73</v>
      </c>
      <c r="AE336" s="10" t="s">
        <v>74</v>
      </c>
      <c r="AF336" s="10"/>
      <c r="AG336" s="10"/>
      <c r="AH336" s="10"/>
      <c r="AI336" s="10"/>
      <c r="AJ336" s="10"/>
      <c r="AK336" s="10"/>
      <c r="AL336" s="10"/>
      <c r="AM336" s="10"/>
      <c r="AN336" s="10"/>
      <c r="AO336" s="10" t="s">
        <v>87</v>
      </c>
      <c r="AP336" s="20" t="str">
        <f t="shared" si="37"/>
        <v>14</v>
      </c>
      <c r="AQ336" s="10"/>
      <c r="AR336" s="10"/>
      <c r="AS336" s="10"/>
      <c r="AT336" s="10"/>
      <c r="AU336" s="10" t="s">
        <v>82</v>
      </c>
      <c r="AV336" s="20" t="str">
        <f t="shared" si="36"/>
        <v>17</v>
      </c>
      <c r="AW336" s="10"/>
      <c r="AX336" s="10"/>
      <c r="AY336" s="10"/>
      <c r="AZ336" s="10"/>
      <c r="BA336" s="10"/>
      <c r="BB336" s="10"/>
      <c r="BC336" s="10"/>
      <c r="BD336" s="10" t="s">
        <v>241</v>
      </c>
      <c r="BE336" s="20" t="s">
        <v>241</v>
      </c>
      <c r="BF336" s="10"/>
      <c r="BG336" s="10"/>
      <c r="BH336" s="10" t="s">
        <v>78</v>
      </c>
      <c r="BI336" s="10"/>
      <c r="BJ336" s="10"/>
      <c r="BK336" s="10"/>
      <c r="BL336" s="10" t="s">
        <v>147</v>
      </c>
      <c r="BM336" s="20" t="str">
        <f t="shared" si="33"/>
        <v>84</v>
      </c>
      <c r="BN336" s="10" t="s">
        <v>268</v>
      </c>
      <c r="BO336" s="20" t="str">
        <f t="shared" si="34"/>
        <v>176</v>
      </c>
      <c r="BP336" s="10"/>
      <c r="BQ336" s="10" t="s">
        <v>100</v>
      </c>
      <c r="BR336" s="20" t="str">
        <f t="shared" si="38"/>
        <v>15.25</v>
      </c>
      <c r="BS336" s="21">
        <f t="shared" si="35"/>
        <v>92</v>
      </c>
    </row>
    <row r="337" spans="1:72" x14ac:dyDescent="0.2">
      <c r="A337" s="4" t="s">
        <v>63</v>
      </c>
      <c r="B337" s="4" t="s">
        <v>2125</v>
      </c>
      <c r="C337" s="4" t="s">
        <v>1644</v>
      </c>
      <c r="D337" s="4" t="s">
        <v>64</v>
      </c>
      <c r="E337" s="4" t="s">
        <v>65</v>
      </c>
      <c r="F337" s="4" t="s">
        <v>64</v>
      </c>
      <c r="G337" s="4" t="s">
        <v>134</v>
      </c>
      <c r="H337" s="4" t="s">
        <v>67</v>
      </c>
      <c r="I337" s="4" t="s">
        <v>68</v>
      </c>
      <c r="J337" s="4" t="s">
        <v>183</v>
      </c>
      <c r="K337" s="4" t="s">
        <v>1579</v>
      </c>
      <c r="L337" s="4">
        <v>62</v>
      </c>
      <c r="M337" s="4">
        <v>62</v>
      </c>
      <c r="N337" s="4">
        <v>62</v>
      </c>
      <c r="O337" s="4">
        <v>62</v>
      </c>
      <c r="P337" s="4" t="s">
        <v>1645</v>
      </c>
      <c r="Q337" s="4"/>
      <c r="R337" s="4" t="s">
        <v>1646</v>
      </c>
      <c r="S337" s="4"/>
      <c r="T337" s="4" t="s">
        <v>1647</v>
      </c>
      <c r="U337" s="5">
        <v>41057</v>
      </c>
      <c r="V337" s="4">
        <v>28</v>
      </c>
      <c r="W337" s="4">
        <v>5</v>
      </c>
      <c r="X337" s="4">
        <v>2012</v>
      </c>
      <c r="Y337" s="4" t="s">
        <v>1648</v>
      </c>
      <c r="Z337" s="4" t="s">
        <v>72</v>
      </c>
      <c r="AA337" s="4">
        <v>29.65652</v>
      </c>
      <c r="AB337" s="4">
        <v>-82.587199999999996</v>
      </c>
      <c r="AC337" s="4"/>
      <c r="AD337" s="4" t="s">
        <v>73</v>
      </c>
      <c r="AE337" s="4" t="s">
        <v>74</v>
      </c>
      <c r="AF337" s="4"/>
      <c r="AG337" s="4"/>
      <c r="AH337" s="4"/>
      <c r="AI337" s="4"/>
      <c r="AJ337" s="4"/>
      <c r="AK337" s="4"/>
      <c r="AL337" s="4"/>
      <c r="AM337" s="4"/>
      <c r="AN337" s="4"/>
      <c r="AO337" s="4" t="s">
        <v>87</v>
      </c>
      <c r="AP337" s="20" t="str">
        <f t="shared" si="37"/>
        <v>14</v>
      </c>
      <c r="AQ337" s="4"/>
      <c r="AR337" s="4"/>
      <c r="AS337" s="4"/>
      <c r="AT337" s="4"/>
      <c r="AU337" s="4" t="s">
        <v>141</v>
      </c>
      <c r="AV337" s="20" t="str">
        <f t="shared" si="36"/>
        <v>18.5</v>
      </c>
      <c r="AW337" s="4"/>
      <c r="AX337" s="4"/>
      <c r="AY337" s="4"/>
      <c r="AZ337" s="4"/>
      <c r="BA337" s="4"/>
      <c r="BB337" s="4"/>
      <c r="BC337" s="4"/>
      <c r="BD337" s="4" t="s">
        <v>1649</v>
      </c>
      <c r="BE337" s="20" t="s">
        <v>241</v>
      </c>
      <c r="BF337" s="4"/>
      <c r="BG337" s="4"/>
      <c r="BH337" s="4" t="s">
        <v>78</v>
      </c>
      <c r="BI337" s="4"/>
      <c r="BJ337" s="4"/>
      <c r="BK337" s="4"/>
      <c r="BL337" s="4" t="s">
        <v>174</v>
      </c>
      <c r="BM337" s="20" t="str">
        <f t="shared" si="33"/>
        <v>83</v>
      </c>
      <c r="BN337" s="4" t="s">
        <v>132</v>
      </c>
      <c r="BO337" s="20" t="str">
        <f t="shared" si="34"/>
        <v>175</v>
      </c>
      <c r="BP337" s="4"/>
      <c r="BQ337" s="4" t="s">
        <v>175</v>
      </c>
      <c r="BR337" s="20" t="str">
        <f t="shared" si="38"/>
        <v>23</v>
      </c>
      <c r="BS337" s="21">
        <f t="shared" si="35"/>
        <v>92</v>
      </c>
    </row>
    <row r="338" spans="1:72" x14ac:dyDescent="0.2">
      <c r="A338" t="s">
        <v>63</v>
      </c>
      <c r="B338" t="s">
        <v>2338</v>
      </c>
      <c r="C338" t="s">
        <v>172</v>
      </c>
      <c r="D338" t="s">
        <v>64</v>
      </c>
      <c r="E338" t="s">
        <v>65</v>
      </c>
      <c r="F338" t="s">
        <v>64</v>
      </c>
      <c r="G338" t="s">
        <v>134</v>
      </c>
      <c r="H338" t="s">
        <v>67</v>
      </c>
      <c r="I338" t="s">
        <v>68</v>
      </c>
      <c r="J338" t="s">
        <v>69</v>
      </c>
      <c r="K338" t="s">
        <v>70</v>
      </c>
      <c r="L338">
        <v>649</v>
      </c>
      <c r="M338">
        <v>649</v>
      </c>
      <c r="N338">
        <v>649</v>
      </c>
      <c r="O338">
        <v>649</v>
      </c>
      <c r="P338" t="s">
        <v>163</v>
      </c>
      <c r="R338" t="s">
        <v>164</v>
      </c>
      <c r="T338" t="s">
        <v>165</v>
      </c>
      <c r="U338" s="1">
        <v>41128</v>
      </c>
      <c r="V338">
        <v>7</v>
      </c>
      <c r="W338">
        <v>8</v>
      </c>
      <c r="X338">
        <v>2012</v>
      </c>
      <c r="Y338" t="s">
        <v>166</v>
      </c>
      <c r="Z338" t="s">
        <v>72</v>
      </c>
      <c r="AA338">
        <v>32.290399999999998</v>
      </c>
      <c r="AB338">
        <v>-111.02068</v>
      </c>
      <c r="AD338" t="s">
        <v>96</v>
      </c>
      <c r="AE338" t="s">
        <v>74</v>
      </c>
      <c r="AO338" t="s">
        <v>87</v>
      </c>
      <c r="AP338" s="20" t="str">
        <f t="shared" si="37"/>
        <v>14</v>
      </c>
      <c r="AU338" t="s">
        <v>121</v>
      </c>
      <c r="AV338" s="20" t="str">
        <f t="shared" si="36"/>
        <v>18</v>
      </c>
      <c r="BD338" t="s">
        <v>173</v>
      </c>
      <c r="BE338" s="20" t="s">
        <v>241</v>
      </c>
      <c r="BH338" t="s">
        <v>78</v>
      </c>
      <c r="BL338" t="s">
        <v>174</v>
      </c>
      <c r="BM338" s="20" t="str">
        <f t="shared" si="33"/>
        <v>83</v>
      </c>
      <c r="BN338" t="s">
        <v>132</v>
      </c>
      <c r="BO338" s="20" t="str">
        <f t="shared" si="34"/>
        <v>175</v>
      </c>
      <c r="BQ338" t="s">
        <v>175</v>
      </c>
      <c r="BR338" s="20" t="str">
        <f t="shared" si="38"/>
        <v>23</v>
      </c>
      <c r="BS338" s="21">
        <f t="shared" si="35"/>
        <v>92</v>
      </c>
    </row>
    <row r="339" spans="1:72" x14ac:dyDescent="0.2">
      <c r="A339" s="7" t="s">
        <v>63</v>
      </c>
      <c r="B339" s="7" t="s">
        <v>2227</v>
      </c>
      <c r="C339" s="7" t="s">
        <v>828</v>
      </c>
      <c r="D339" s="7" t="s">
        <v>64</v>
      </c>
      <c r="E339" s="7" t="s">
        <v>65</v>
      </c>
      <c r="F339" s="7" t="s">
        <v>64</v>
      </c>
      <c r="G339" s="7" t="s">
        <v>615</v>
      </c>
      <c r="H339" s="7" t="s">
        <v>67</v>
      </c>
      <c r="I339" s="7" t="s">
        <v>788</v>
      </c>
      <c r="J339" s="7" t="s">
        <v>789</v>
      </c>
      <c r="K339" s="7" t="s">
        <v>822</v>
      </c>
      <c r="L339" s="7">
        <v>719</v>
      </c>
      <c r="M339" s="7">
        <v>719</v>
      </c>
      <c r="N339" s="7">
        <v>2359</v>
      </c>
      <c r="O339" s="7">
        <v>2359</v>
      </c>
      <c r="P339" s="7" t="s">
        <v>823</v>
      </c>
      <c r="Q339" s="7"/>
      <c r="R339" s="7" t="s">
        <v>824</v>
      </c>
      <c r="S339" s="7" t="s">
        <v>825</v>
      </c>
      <c r="T339" s="7" t="s">
        <v>826</v>
      </c>
      <c r="U339" s="9">
        <v>41121</v>
      </c>
      <c r="V339" s="7">
        <v>31</v>
      </c>
      <c r="W339" s="7">
        <v>7</v>
      </c>
      <c r="X339" s="7">
        <v>2012</v>
      </c>
      <c r="Y339" s="7" t="s">
        <v>827</v>
      </c>
      <c r="Z339" s="7" t="s">
        <v>72</v>
      </c>
      <c r="AA339" s="7">
        <v>53.4835666667</v>
      </c>
      <c r="AB339" s="7">
        <v>-114.1040833333</v>
      </c>
      <c r="AC339" s="7"/>
      <c r="AD339" s="7" t="s">
        <v>73</v>
      </c>
      <c r="AE339" s="7" t="s">
        <v>74</v>
      </c>
      <c r="AF339" s="7"/>
      <c r="AG339" s="7"/>
      <c r="AH339" s="7"/>
      <c r="AI339" s="7" t="s">
        <v>75</v>
      </c>
      <c r="AJ339" s="7"/>
      <c r="AK339" s="7"/>
      <c r="AL339" s="7"/>
      <c r="AM339" s="7"/>
      <c r="AN339" s="7"/>
      <c r="AO339" s="7" t="s">
        <v>207</v>
      </c>
      <c r="AP339" s="20" t="str">
        <f t="shared" si="37"/>
        <v>13.5</v>
      </c>
      <c r="AQ339" s="7"/>
      <c r="AR339" s="7"/>
      <c r="AS339" s="7"/>
      <c r="AT339" s="7"/>
      <c r="AU339" s="7" t="s">
        <v>792</v>
      </c>
      <c r="AV339" s="20" t="str">
        <f t="shared" si="36"/>
        <v>18.9</v>
      </c>
      <c r="AW339" s="7"/>
      <c r="AX339" s="7"/>
      <c r="AY339" s="7"/>
      <c r="AZ339" s="7"/>
      <c r="BA339" s="7"/>
      <c r="BB339" s="7"/>
      <c r="BC339" s="7"/>
      <c r="BD339" s="7" t="s">
        <v>829</v>
      </c>
      <c r="BE339" s="20" t="s">
        <v>241</v>
      </c>
      <c r="BF339" s="7"/>
      <c r="BG339" s="7"/>
      <c r="BH339" s="7" t="s">
        <v>78</v>
      </c>
      <c r="BI339" s="7"/>
      <c r="BJ339" s="7"/>
      <c r="BK339" s="7"/>
      <c r="BL339" s="7" t="s">
        <v>147</v>
      </c>
      <c r="BM339" s="20" t="str">
        <f t="shared" si="33"/>
        <v>84</v>
      </c>
      <c r="BN339" s="7" t="s">
        <v>268</v>
      </c>
      <c r="BO339" s="20" t="str">
        <f t="shared" si="34"/>
        <v>176</v>
      </c>
      <c r="BP339" s="7"/>
      <c r="BQ339" s="7" t="s">
        <v>175</v>
      </c>
      <c r="BR339" s="20" t="str">
        <f t="shared" si="38"/>
        <v>23</v>
      </c>
      <c r="BS339" s="21">
        <f t="shared" si="35"/>
        <v>92</v>
      </c>
    </row>
    <row r="340" spans="1:72" x14ac:dyDescent="0.2">
      <c r="A340" t="s">
        <v>63</v>
      </c>
      <c r="B340" t="s">
        <v>2318</v>
      </c>
      <c r="C340" t="s">
        <v>857</v>
      </c>
      <c r="D340" t="s">
        <v>64</v>
      </c>
      <c r="E340" t="s">
        <v>65</v>
      </c>
      <c r="F340" t="s">
        <v>64</v>
      </c>
      <c r="G340" t="s">
        <v>615</v>
      </c>
      <c r="H340" t="s">
        <v>67</v>
      </c>
      <c r="I340" t="s">
        <v>788</v>
      </c>
      <c r="J340" t="s">
        <v>789</v>
      </c>
      <c r="K340" t="s">
        <v>822</v>
      </c>
      <c r="L340">
        <v>708</v>
      </c>
      <c r="M340">
        <v>708</v>
      </c>
      <c r="N340">
        <v>2323</v>
      </c>
      <c r="O340">
        <v>2323</v>
      </c>
      <c r="P340" t="s">
        <v>850</v>
      </c>
      <c r="R340" t="s">
        <v>851</v>
      </c>
      <c r="S340" t="s">
        <v>852</v>
      </c>
      <c r="T340" t="s">
        <v>853</v>
      </c>
      <c r="U340" s="2">
        <v>41124</v>
      </c>
      <c r="V340">
        <v>3</v>
      </c>
      <c r="W340">
        <v>8</v>
      </c>
      <c r="X340">
        <v>2012</v>
      </c>
      <c r="Y340" t="s">
        <v>854</v>
      </c>
      <c r="Z340" t="s">
        <v>72</v>
      </c>
      <c r="AA340">
        <v>53.399516666700002</v>
      </c>
      <c r="AB340">
        <v>-113.95965</v>
      </c>
      <c r="AD340" t="s">
        <v>73</v>
      </c>
      <c r="AE340" t="s">
        <v>74</v>
      </c>
      <c r="AI340" t="s">
        <v>75</v>
      </c>
      <c r="AO340" t="s">
        <v>858</v>
      </c>
      <c r="AP340" s="20" t="str">
        <f t="shared" si="37"/>
        <v>14.6</v>
      </c>
      <c r="AU340" t="s">
        <v>639</v>
      </c>
      <c r="AV340" s="20" t="str">
        <f t="shared" si="36"/>
        <v>19.3</v>
      </c>
      <c r="BD340" t="s">
        <v>859</v>
      </c>
      <c r="BE340" s="20" t="s">
        <v>241</v>
      </c>
      <c r="BH340" t="s">
        <v>78</v>
      </c>
      <c r="BL340" t="s">
        <v>174</v>
      </c>
      <c r="BM340" s="20" t="str">
        <f t="shared" si="33"/>
        <v>83</v>
      </c>
      <c r="BN340" t="s">
        <v>132</v>
      </c>
      <c r="BO340" s="20" t="str">
        <f t="shared" si="34"/>
        <v>175</v>
      </c>
      <c r="BQ340" t="s">
        <v>860</v>
      </c>
      <c r="BR340" s="20" t="str">
        <f t="shared" si="38"/>
        <v>25.4</v>
      </c>
      <c r="BS340" s="21">
        <f t="shared" si="35"/>
        <v>92</v>
      </c>
    </row>
    <row r="341" spans="1:72" x14ac:dyDescent="0.2">
      <c r="A341" t="s">
        <v>63</v>
      </c>
      <c r="B341" t="s">
        <v>2393</v>
      </c>
      <c r="C341" t="s">
        <v>1365</v>
      </c>
      <c r="D341" t="s">
        <v>64</v>
      </c>
      <c r="E341" t="s">
        <v>65</v>
      </c>
      <c r="F341" t="s">
        <v>64</v>
      </c>
      <c r="G341" t="s">
        <v>211</v>
      </c>
      <c r="H341" t="s">
        <v>212</v>
      </c>
      <c r="I341" t="s">
        <v>701</v>
      </c>
      <c r="J341" t="s">
        <v>1342</v>
      </c>
      <c r="L341">
        <v>15</v>
      </c>
      <c r="M341">
        <v>15</v>
      </c>
      <c r="N341">
        <v>50</v>
      </c>
      <c r="O341">
        <v>50</v>
      </c>
      <c r="P341" t="s">
        <v>1363</v>
      </c>
      <c r="R341" t="s">
        <v>1364</v>
      </c>
      <c r="T341" t="s">
        <v>1364</v>
      </c>
      <c r="U341" s="2">
        <v>41242</v>
      </c>
      <c r="V341">
        <v>29</v>
      </c>
      <c r="W341">
        <v>11</v>
      </c>
      <c r="X341">
        <v>2012</v>
      </c>
      <c r="Y341">
        <f>-0.8549333333/-80.16285</f>
        <v>1.0664956813536445E-2</v>
      </c>
      <c r="Z341" t="s">
        <v>72</v>
      </c>
      <c r="AA341">
        <v>-0.85493333329999999</v>
      </c>
      <c r="AB341">
        <v>-80.162850000000006</v>
      </c>
      <c r="AD341" t="s">
        <v>96</v>
      </c>
      <c r="AE341" t="s">
        <v>74</v>
      </c>
      <c r="AI341" t="s">
        <v>75</v>
      </c>
      <c r="AO341" t="s">
        <v>87</v>
      </c>
      <c r="AP341" s="20" t="str">
        <f t="shared" si="37"/>
        <v>14</v>
      </c>
      <c r="AU341" t="s">
        <v>121</v>
      </c>
      <c r="AV341" s="20" t="str">
        <f t="shared" si="36"/>
        <v>18</v>
      </c>
      <c r="BD341" t="s">
        <v>1349</v>
      </c>
      <c r="BH341" t="s">
        <v>83</v>
      </c>
      <c r="BL341" t="s">
        <v>84</v>
      </c>
      <c r="BM341" s="20" t="str">
        <f t="shared" si="33"/>
        <v>78</v>
      </c>
      <c r="BN341" t="s">
        <v>154</v>
      </c>
      <c r="BO341" s="20" t="str">
        <f t="shared" si="34"/>
        <v>170</v>
      </c>
      <c r="BQ341" t="s">
        <v>90</v>
      </c>
      <c r="BR341" s="20" t="str">
        <f t="shared" si="38"/>
        <v>12.75</v>
      </c>
      <c r="BS341" s="21">
        <f t="shared" si="35"/>
        <v>92</v>
      </c>
    </row>
    <row r="342" spans="1:72" x14ac:dyDescent="0.2">
      <c r="A342" s="7" t="s">
        <v>63</v>
      </c>
      <c r="B342" s="7" t="s">
        <v>2202</v>
      </c>
      <c r="C342" s="7" t="s">
        <v>1190</v>
      </c>
      <c r="D342" s="7" t="s">
        <v>64</v>
      </c>
      <c r="E342" s="7" t="s">
        <v>65</v>
      </c>
      <c r="F342" s="7" t="s">
        <v>64</v>
      </c>
      <c r="G342" s="7" t="s">
        <v>615</v>
      </c>
      <c r="H342" s="7" t="s">
        <v>67</v>
      </c>
      <c r="I342" s="7" t="s">
        <v>68</v>
      </c>
      <c r="J342" s="7" t="s">
        <v>1136</v>
      </c>
      <c r="K342" s="7" t="s">
        <v>1137</v>
      </c>
      <c r="L342" s="7">
        <v>1392</v>
      </c>
      <c r="M342" s="7">
        <v>1392</v>
      </c>
      <c r="N342" s="7">
        <v>4568</v>
      </c>
      <c r="O342" s="7">
        <v>4568</v>
      </c>
      <c r="P342" s="7" t="s">
        <v>1191</v>
      </c>
      <c r="Q342" s="7"/>
      <c r="R342" s="7" t="s">
        <v>1192</v>
      </c>
      <c r="S342" s="7"/>
      <c r="T342" s="7" t="s">
        <v>1193</v>
      </c>
      <c r="U342" s="9">
        <v>41075</v>
      </c>
      <c r="V342" s="7">
        <v>15</v>
      </c>
      <c r="W342" s="7">
        <v>6</v>
      </c>
      <c r="X342" s="7">
        <v>2012</v>
      </c>
      <c r="Y342" s="7" t="s">
        <v>1194</v>
      </c>
      <c r="Z342" s="7" t="s">
        <v>72</v>
      </c>
      <c r="AA342" s="7">
        <v>40.097700000000003</v>
      </c>
      <c r="AB342" s="7">
        <v>-111.6736833333</v>
      </c>
      <c r="AC342" s="7"/>
      <c r="AD342" s="7" t="s">
        <v>73</v>
      </c>
      <c r="AE342" s="7" t="s">
        <v>74</v>
      </c>
      <c r="AF342" s="7"/>
      <c r="AG342" s="7"/>
      <c r="AH342" s="7"/>
      <c r="AI342" s="7" t="s">
        <v>75</v>
      </c>
      <c r="AJ342" s="7"/>
      <c r="AK342" s="7"/>
      <c r="AL342" s="7"/>
      <c r="AM342" s="7"/>
      <c r="AN342" s="7"/>
      <c r="AO342" s="7" t="s">
        <v>186</v>
      </c>
      <c r="AP342" s="20" t="str">
        <f t="shared" si="37"/>
        <v>14.5</v>
      </c>
      <c r="AQ342" s="7"/>
      <c r="AR342" s="7"/>
      <c r="AS342" s="7"/>
      <c r="AT342" s="7"/>
      <c r="AU342" s="7" t="s">
        <v>630</v>
      </c>
      <c r="AV342" s="20" t="str">
        <f t="shared" ref="AV342:AV373" si="39">LEFT(AU342,FIND("^^",SUBSTITUTE(AU342," ","^^",LEN(AU342)-LEN(SUBSTITUTE(AU342," ",""))))-1)</f>
        <v>19.5</v>
      </c>
      <c r="AW342" s="7"/>
      <c r="AX342" s="7"/>
      <c r="AY342" s="7"/>
      <c r="AZ342" s="7"/>
      <c r="BA342" s="7"/>
      <c r="BB342" s="7"/>
      <c r="BC342" s="7"/>
      <c r="BD342" s="7" t="s">
        <v>1195</v>
      </c>
      <c r="BF342" s="7"/>
      <c r="BG342" s="7"/>
      <c r="BH342" s="7" t="s">
        <v>83</v>
      </c>
      <c r="BI342" s="7"/>
      <c r="BJ342" s="7"/>
      <c r="BK342" s="7"/>
      <c r="BL342" s="7" t="s">
        <v>1196</v>
      </c>
      <c r="BM342" s="20" t="str">
        <f t="shared" si="33"/>
        <v>86.5</v>
      </c>
      <c r="BN342" s="7" t="s">
        <v>660</v>
      </c>
      <c r="BO342" s="20" t="str">
        <f t="shared" si="34"/>
        <v>178.5</v>
      </c>
      <c r="BP342" s="7"/>
      <c r="BQ342" s="7" t="s">
        <v>682</v>
      </c>
      <c r="BR342" s="20" t="str">
        <f t="shared" si="38"/>
        <v>18.4</v>
      </c>
      <c r="BS342" s="21">
        <f t="shared" si="35"/>
        <v>92</v>
      </c>
    </row>
    <row r="343" spans="1:72" x14ac:dyDescent="0.2">
      <c r="A343" s="13" t="s">
        <v>63</v>
      </c>
      <c r="B343" s="13"/>
      <c r="C343" s="13" t="s">
        <v>2053</v>
      </c>
      <c r="D343" s="13" t="s">
        <v>64</v>
      </c>
      <c r="E343" s="13" t="s">
        <v>65</v>
      </c>
      <c r="F343" s="13" t="s">
        <v>64</v>
      </c>
      <c r="G343" s="13" t="s">
        <v>1886</v>
      </c>
      <c r="H343" s="13" t="s">
        <v>212</v>
      </c>
      <c r="I343" s="13" t="s">
        <v>1887</v>
      </c>
      <c r="J343" s="13" t="s">
        <v>1888</v>
      </c>
      <c r="K343" s="13"/>
      <c r="L343" s="13">
        <v>3838</v>
      </c>
      <c r="M343" s="13">
        <v>3838</v>
      </c>
      <c r="N343" s="13">
        <v>3838</v>
      </c>
      <c r="O343" s="13">
        <v>3838</v>
      </c>
      <c r="P343" s="13" t="s">
        <v>2054</v>
      </c>
      <c r="Q343" s="13"/>
      <c r="R343" s="13" t="s">
        <v>2055</v>
      </c>
      <c r="S343" s="13"/>
      <c r="T343" s="13" t="s">
        <v>2056</v>
      </c>
      <c r="U343" s="15">
        <v>41886</v>
      </c>
      <c r="V343" s="13">
        <v>4</v>
      </c>
      <c r="W343" s="13">
        <v>9</v>
      </c>
      <c r="X343" s="13">
        <v>2014</v>
      </c>
      <c r="Y343" s="13">
        <f>-16.1902333333/-68.60065</f>
        <v>0.23600699604595582</v>
      </c>
      <c r="Z343" s="13" t="s">
        <v>72</v>
      </c>
      <c r="AA343" s="13">
        <v>-16.1902333333</v>
      </c>
      <c r="AB343" s="13">
        <v>-68.600650000000002</v>
      </c>
      <c r="AC343" s="13">
        <v>100</v>
      </c>
      <c r="AD343" s="13" t="s">
        <v>73</v>
      </c>
      <c r="AE343" s="13" t="s">
        <v>74</v>
      </c>
      <c r="AF343" s="13"/>
      <c r="AG343" s="13"/>
      <c r="AH343" s="13"/>
      <c r="AI343" s="13"/>
      <c r="AJ343" s="13"/>
      <c r="AK343" s="13"/>
      <c r="AL343" s="13"/>
      <c r="AM343" s="13"/>
      <c r="AN343" s="13"/>
      <c r="AO343" s="13" t="s">
        <v>985</v>
      </c>
      <c r="AP343" s="20" t="str">
        <f t="shared" si="37"/>
        <v>14.4</v>
      </c>
      <c r="AQ343" s="13"/>
      <c r="AR343" s="13"/>
      <c r="AS343" s="13"/>
      <c r="AT343" s="13"/>
      <c r="AU343" s="13" t="s">
        <v>130</v>
      </c>
      <c r="AV343" s="20" t="str">
        <f t="shared" si="39"/>
        <v>19</v>
      </c>
      <c r="AW343" s="13"/>
      <c r="AX343" s="13"/>
      <c r="AY343" s="13"/>
      <c r="AZ343" s="13"/>
      <c r="BA343" s="13"/>
      <c r="BB343" s="13"/>
      <c r="BC343" s="13"/>
      <c r="BD343" s="13" t="s">
        <v>2057</v>
      </c>
      <c r="BF343" s="13"/>
      <c r="BG343" s="13"/>
      <c r="BH343" s="13" t="s">
        <v>83</v>
      </c>
      <c r="BI343" s="13"/>
      <c r="BJ343" s="13"/>
      <c r="BK343" s="13"/>
      <c r="BL343" s="13" t="s">
        <v>520</v>
      </c>
      <c r="BM343" s="20" t="str">
        <f t="shared" si="33"/>
        <v>93</v>
      </c>
      <c r="BN343" s="13" t="s">
        <v>242</v>
      </c>
      <c r="BO343" s="20" t="str">
        <f t="shared" si="34"/>
        <v>185</v>
      </c>
      <c r="BP343" s="13"/>
      <c r="BQ343" s="13" t="s">
        <v>636</v>
      </c>
      <c r="BR343" s="20" t="str">
        <f t="shared" si="38"/>
        <v>20.1</v>
      </c>
      <c r="BS343" s="21">
        <f t="shared" si="35"/>
        <v>92</v>
      </c>
    </row>
    <row r="344" spans="1:72" x14ac:dyDescent="0.2">
      <c r="A344" t="s">
        <v>63</v>
      </c>
      <c r="B344" t="s">
        <v>2367</v>
      </c>
      <c r="C344" t="s">
        <v>1197</v>
      </c>
      <c r="D344" t="s">
        <v>64</v>
      </c>
      <c r="E344" t="s">
        <v>65</v>
      </c>
      <c r="F344" t="s">
        <v>64</v>
      </c>
      <c r="G344" t="s">
        <v>615</v>
      </c>
      <c r="H344" t="s">
        <v>67</v>
      </c>
      <c r="I344" t="s">
        <v>68</v>
      </c>
      <c r="J344" t="s">
        <v>1136</v>
      </c>
      <c r="K344" t="s">
        <v>1137</v>
      </c>
      <c r="L344">
        <v>1392</v>
      </c>
      <c r="M344">
        <v>1392</v>
      </c>
      <c r="N344">
        <v>4568</v>
      </c>
      <c r="O344">
        <v>4568</v>
      </c>
      <c r="P344" t="s">
        <v>1191</v>
      </c>
      <c r="R344" t="s">
        <v>1192</v>
      </c>
      <c r="T344" t="s">
        <v>1198</v>
      </c>
      <c r="U344" s="2">
        <v>41075</v>
      </c>
      <c r="V344">
        <v>15</v>
      </c>
      <c r="W344">
        <v>6</v>
      </c>
      <c r="X344">
        <v>2012</v>
      </c>
      <c r="Y344" t="s">
        <v>1194</v>
      </c>
      <c r="Z344" t="s">
        <v>72</v>
      </c>
      <c r="AA344">
        <v>40.097700000000003</v>
      </c>
      <c r="AB344">
        <v>-111.6736833333</v>
      </c>
      <c r="AD344" t="s">
        <v>73</v>
      </c>
      <c r="AE344" t="s">
        <v>74</v>
      </c>
      <c r="AI344" t="s">
        <v>75</v>
      </c>
      <c r="AO344" t="s">
        <v>87</v>
      </c>
      <c r="AP344" s="20" t="str">
        <f t="shared" si="37"/>
        <v>14</v>
      </c>
      <c r="AU344" t="s">
        <v>141</v>
      </c>
      <c r="AV344" s="20" t="str">
        <f t="shared" si="39"/>
        <v>18.5</v>
      </c>
      <c r="BD344" t="s">
        <v>258</v>
      </c>
      <c r="BH344" t="s">
        <v>78</v>
      </c>
      <c r="BL344" t="s">
        <v>147</v>
      </c>
      <c r="BM344" s="20" t="str">
        <f t="shared" si="33"/>
        <v>84</v>
      </c>
      <c r="BN344" t="s">
        <v>1199</v>
      </c>
      <c r="BO344" s="20" t="str">
        <f t="shared" si="34"/>
        <v>176.5</v>
      </c>
      <c r="BQ344" t="s">
        <v>1200</v>
      </c>
      <c r="BR344" s="20" t="str">
        <f t="shared" si="38"/>
        <v>16.9</v>
      </c>
      <c r="BS344" s="21">
        <f t="shared" si="35"/>
        <v>92.5</v>
      </c>
      <c r="BT344" s="13"/>
    </row>
    <row r="345" spans="1:72" x14ac:dyDescent="0.2">
      <c r="A345" s="7" t="s">
        <v>63</v>
      </c>
      <c r="B345" s="7" t="s">
        <v>2217</v>
      </c>
      <c r="C345" s="7" t="s">
        <v>1061</v>
      </c>
      <c r="D345" s="7" t="s">
        <v>64</v>
      </c>
      <c r="E345" s="7" t="s">
        <v>65</v>
      </c>
      <c r="F345" s="7" t="s">
        <v>64</v>
      </c>
      <c r="G345" s="7" t="s">
        <v>615</v>
      </c>
      <c r="H345" s="7" t="s">
        <v>67</v>
      </c>
      <c r="I345" s="7" t="s">
        <v>68</v>
      </c>
      <c r="J345" s="7" t="s">
        <v>1053</v>
      </c>
      <c r="K345" s="7" t="s">
        <v>1054</v>
      </c>
      <c r="L345" s="7">
        <v>1000</v>
      </c>
      <c r="M345" s="7">
        <v>1000</v>
      </c>
      <c r="N345" s="7">
        <v>3281</v>
      </c>
      <c r="O345" s="7">
        <v>3281</v>
      </c>
      <c r="P345" s="7" t="s">
        <v>1062</v>
      </c>
      <c r="Q345" s="7"/>
      <c r="R345" s="7" t="s">
        <v>1063</v>
      </c>
      <c r="S345" s="7" t="s">
        <v>1064</v>
      </c>
      <c r="T345" s="7" t="s">
        <v>1065</v>
      </c>
      <c r="U345" s="9">
        <v>41087</v>
      </c>
      <c r="V345" s="7">
        <v>27</v>
      </c>
      <c r="W345" s="7">
        <v>6</v>
      </c>
      <c r="X345" s="7">
        <v>2012</v>
      </c>
      <c r="Y345" s="7" t="s">
        <v>1066</v>
      </c>
      <c r="Z345" s="7" t="s">
        <v>72</v>
      </c>
      <c r="AA345" s="7">
        <v>48.235100000000003</v>
      </c>
      <c r="AB345" s="7">
        <v>-114.38138333329999</v>
      </c>
      <c r="AC345" s="7"/>
      <c r="AD345" s="7" t="s">
        <v>73</v>
      </c>
      <c r="AE345" s="7" t="s">
        <v>74</v>
      </c>
      <c r="AF345" s="7"/>
      <c r="AG345" s="7"/>
      <c r="AH345" s="7"/>
      <c r="AI345" s="7" t="s">
        <v>75</v>
      </c>
      <c r="AJ345" s="7"/>
      <c r="AK345" s="7"/>
      <c r="AL345" s="7"/>
      <c r="AM345" s="7"/>
      <c r="AN345" s="7"/>
      <c r="AO345" s="7" t="s">
        <v>88</v>
      </c>
      <c r="AP345" s="20" t="str">
        <f t="shared" si="37"/>
        <v>15</v>
      </c>
      <c r="AQ345" s="7"/>
      <c r="AR345" s="7"/>
      <c r="AS345" s="7"/>
      <c r="AT345" s="7"/>
      <c r="AU345" s="7" t="s">
        <v>696</v>
      </c>
      <c r="AV345" s="20" t="str">
        <f t="shared" si="39"/>
        <v>20.6</v>
      </c>
      <c r="AW345" s="7"/>
      <c r="AX345" s="7"/>
      <c r="AY345" s="7"/>
      <c r="AZ345" s="7"/>
      <c r="BA345" s="7"/>
      <c r="BB345" s="7"/>
      <c r="BC345" s="7"/>
      <c r="BD345" s="7" t="s">
        <v>1067</v>
      </c>
      <c r="BE345" s="20" t="s">
        <v>241</v>
      </c>
      <c r="BF345" s="7"/>
      <c r="BG345" s="7"/>
      <c r="BH345" s="7" t="s">
        <v>78</v>
      </c>
      <c r="BI345" s="7"/>
      <c r="BJ345" s="7"/>
      <c r="BK345" s="7"/>
      <c r="BL345" s="7" t="s">
        <v>690</v>
      </c>
      <c r="BM345" s="20" t="str">
        <f t="shared" si="33"/>
        <v>85.5</v>
      </c>
      <c r="BN345" s="7" t="s">
        <v>347</v>
      </c>
      <c r="BO345" s="20" t="str">
        <f t="shared" si="34"/>
        <v>178</v>
      </c>
      <c r="BP345" s="7"/>
      <c r="BQ345" s="7" t="s">
        <v>1068</v>
      </c>
      <c r="BR345" s="20" t="str">
        <f t="shared" si="38"/>
        <v>25.8</v>
      </c>
      <c r="BS345" s="21">
        <f t="shared" si="35"/>
        <v>92.5</v>
      </c>
    </row>
    <row r="346" spans="1:72" x14ac:dyDescent="0.2">
      <c r="A346" s="7" t="s">
        <v>63</v>
      </c>
      <c r="B346" s="7" t="s">
        <v>2193</v>
      </c>
      <c r="C346" s="7" t="s">
        <v>1236</v>
      </c>
      <c r="D346" s="7" t="s">
        <v>64</v>
      </c>
      <c r="E346" s="7" t="s">
        <v>65</v>
      </c>
      <c r="F346" s="7" t="s">
        <v>64</v>
      </c>
      <c r="G346" s="7" t="s">
        <v>615</v>
      </c>
      <c r="H346" s="7" t="s">
        <v>67</v>
      </c>
      <c r="I346" s="7" t="s">
        <v>68</v>
      </c>
      <c r="J346" s="7" t="s">
        <v>1136</v>
      </c>
      <c r="K346" s="7" t="s">
        <v>1210</v>
      </c>
      <c r="L346" s="7">
        <v>835</v>
      </c>
      <c r="M346" s="7">
        <v>835</v>
      </c>
      <c r="N346" s="7">
        <v>2738</v>
      </c>
      <c r="O346" s="7">
        <v>2738</v>
      </c>
      <c r="P346" s="7" t="s">
        <v>117</v>
      </c>
      <c r="Q346" s="7"/>
      <c r="R346" s="7" t="s">
        <v>1237</v>
      </c>
      <c r="S346" s="7" t="s">
        <v>1238</v>
      </c>
      <c r="T346" s="7" t="s">
        <v>1239</v>
      </c>
      <c r="U346" s="9">
        <v>41069</v>
      </c>
      <c r="V346" s="7">
        <v>9</v>
      </c>
      <c r="W346" s="7">
        <v>6</v>
      </c>
      <c r="X346" s="7">
        <v>2012</v>
      </c>
      <c r="Y346" s="7" t="s">
        <v>1240</v>
      </c>
      <c r="Z346" s="7" t="s">
        <v>72</v>
      </c>
      <c r="AA346" s="7">
        <v>37.0765833333</v>
      </c>
      <c r="AB346" s="7">
        <v>-113.51775000000001</v>
      </c>
      <c r="AC346" s="7"/>
      <c r="AD346" s="7" t="s">
        <v>73</v>
      </c>
      <c r="AE346" s="7" t="s">
        <v>74</v>
      </c>
      <c r="AF346" s="7"/>
      <c r="AG346" s="7"/>
      <c r="AH346" s="7"/>
      <c r="AI346" s="7" t="s">
        <v>75</v>
      </c>
      <c r="AJ346" s="7"/>
      <c r="AK346" s="7"/>
      <c r="AL346" s="7"/>
      <c r="AM346" s="7"/>
      <c r="AN346" s="7"/>
      <c r="AO346" s="7" t="s">
        <v>186</v>
      </c>
      <c r="AP346" s="20" t="str">
        <f t="shared" si="37"/>
        <v>14.5</v>
      </c>
      <c r="AQ346" s="7"/>
      <c r="AR346" s="7"/>
      <c r="AS346" s="7"/>
      <c r="AT346" s="7"/>
      <c r="AU346" s="7" t="s">
        <v>121</v>
      </c>
      <c r="AV346" s="20" t="str">
        <f t="shared" si="39"/>
        <v>18</v>
      </c>
      <c r="AW346" s="7"/>
      <c r="AX346" s="7"/>
      <c r="AY346" s="7"/>
      <c r="AZ346" s="7"/>
      <c r="BA346" s="7"/>
      <c r="BB346" s="7"/>
      <c r="BC346" s="7"/>
      <c r="BD346" s="7" t="s">
        <v>1241</v>
      </c>
      <c r="BE346" s="20" t="s">
        <v>241</v>
      </c>
      <c r="BF346" s="7"/>
      <c r="BG346" s="7"/>
      <c r="BH346" s="7" t="s">
        <v>78</v>
      </c>
      <c r="BI346" s="7"/>
      <c r="BJ346" s="7"/>
      <c r="BK346" s="7"/>
      <c r="BL346" s="7" t="s">
        <v>690</v>
      </c>
      <c r="BM346" s="20" t="str">
        <f t="shared" si="33"/>
        <v>85.5</v>
      </c>
      <c r="BN346" s="7" t="s">
        <v>347</v>
      </c>
      <c r="BO346" s="20" t="str">
        <f t="shared" si="34"/>
        <v>178</v>
      </c>
      <c r="BP346" s="7"/>
      <c r="BQ346" s="7" t="s">
        <v>1242</v>
      </c>
      <c r="BR346" s="20" t="str">
        <f t="shared" si="38"/>
        <v>25.1</v>
      </c>
      <c r="BS346" s="21">
        <f t="shared" si="35"/>
        <v>92.5</v>
      </c>
    </row>
    <row r="347" spans="1:72" x14ac:dyDescent="0.2">
      <c r="A347" s="7" t="s">
        <v>63</v>
      </c>
      <c r="B347" s="7" t="s">
        <v>2216</v>
      </c>
      <c r="C347" s="7" t="s">
        <v>1573</v>
      </c>
      <c r="D347" s="7" t="s">
        <v>64</v>
      </c>
      <c r="E347" s="7" t="s">
        <v>65</v>
      </c>
      <c r="F347" s="7" t="s">
        <v>64</v>
      </c>
      <c r="G347" s="7" t="s">
        <v>615</v>
      </c>
      <c r="H347" s="7" t="s">
        <v>67</v>
      </c>
      <c r="I347" s="7" t="s">
        <v>68</v>
      </c>
      <c r="J347" s="7" t="s">
        <v>1053</v>
      </c>
      <c r="K347" s="7" t="s">
        <v>1092</v>
      </c>
      <c r="L347" s="7"/>
      <c r="M347" s="7"/>
      <c r="N347" s="7"/>
      <c r="O347" s="7"/>
      <c r="P347" s="7"/>
      <c r="Q347" s="7"/>
      <c r="R347" s="7" t="s">
        <v>1574</v>
      </c>
      <c r="S347" s="7"/>
      <c r="T347" s="7" t="s">
        <v>1575</v>
      </c>
      <c r="U347" s="9">
        <v>41086</v>
      </c>
      <c r="V347" s="7">
        <v>26</v>
      </c>
      <c r="W347" s="7">
        <v>6</v>
      </c>
      <c r="X347" s="7">
        <v>2012</v>
      </c>
      <c r="Y347" s="7" t="s">
        <v>1576</v>
      </c>
      <c r="Z347" s="7" t="s">
        <v>72</v>
      </c>
      <c r="AA347" s="7">
        <v>46.947330000000001</v>
      </c>
      <c r="AB347" s="7">
        <v>-92.087440000000001</v>
      </c>
      <c r="AC347" s="7"/>
      <c r="AD347" s="7" t="s">
        <v>96</v>
      </c>
      <c r="AE347" s="7" t="s">
        <v>74</v>
      </c>
      <c r="AF347" s="7"/>
      <c r="AG347" s="7"/>
      <c r="AH347" s="7"/>
      <c r="AI347" s="7" t="s">
        <v>75</v>
      </c>
      <c r="AJ347" s="7"/>
      <c r="AK347" s="7"/>
      <c r="AL347" s="7"/>
      <c r="AM347" s="7"/>
      <c r="AN347" s="7"/>
      <c r="AO347" s="7" t="s">
        <v>858</v>
      </c>
      <c r="AP347" s="20" t="str">
        <f t="shared" si="37"/>
        <v>14.6</v>
      </c>
      <c r="AQ347" s="7"/>
      <c r="AR347" s="7"/>
      <c r="AS347" s="7"/>
      <c r="AT347" s="7"/>
      <c r="AU347" s="7" t="s">
        <v>639</v>
      </c>
      <c r="AV347" s="20" t="str">
        <f t="shared" si="39"/>
        <v>19.3</v>
      </c>
      <c r="AW347" s="7"/>
      <c r="AX347" s="7"/>
      <c r="AY347" s="7"/>
      <c r="AZ347" s="7"/>
      <c r="BA347" s="7"/>
      <c r="BB347" s="7"/>
      <c r="BC347" s="7"/>
      <c r="BD347" s="7" t="s">
        <v>1577</v>
      </c>
      <c r="BE347" s="20" t="s">
        <v>241</v>
      </c>
      <c r="BF347" s="7"/>
      <c r="BG347" s="7"/>
      <c r="BH347" s="7" t="s">
        <v>78</v>
      </c>
      <c r="BI347" s="7"/>
      <c r="BJ347" s="7"/>
      <c r="BK347" s="7"/>
      <c r="BL347" s="7" t="s">
        <v>174</v>
      </c>
      <c r="BM347" s="20" t="str">
        <f t="shared" si="33"/>
        <v>83</v>
      </c>
      <c r="BN347" s="7" t="s">
        <v>678</v>
      </c>
      <c r="BO347" s="20" t="str">
        <f t="shared" si="34"/>
        <v>175.5</v>
      </c>
      <c r="BP347" s="7"/>
      <c r="BQ347" s="7" t="s">
        <v>693</v>
      </c>
      <c r="BR347" s="20" t="str">
        <f t="shared" si="38"/>
        <v>17.2</v>
      </c>
      <c r="BS347" s="21">
        <f t="shared" si="35"/>
        <v>92.5</v>
      </c>
    </row>
    <row r="348" spans="1:72" x14ac:dyDescent="0.2">
      <c r="A348" t="s">
        <v>63</v>
      </c>
      <c r="C348" t="s">
        <v>2080</v>
      </c>
      <c r="D348" t="s">
        <v>64</v>
      </c>
      <c r="E348" t="s">
        <v>65</v>
      </c>
      <c r="F348" t="s">
        <v>64</v>
      </c>
      <c r="G348" t="s">
        <v>1886</v>
      </c>
      <c r="H348" t="s">
        <v>212</v>
      </c>
      <c r="I348" t="s">
        <v>1887</v>
      </c>
      <c r="J348" t="s">
        <v>1888</v>
      </c>
      <c r="L348">
        <v>3846</v>
      </c>
      <c r="M348">
        <v>3846</v>
      </c>
      <c r="N348">
        <v>3846</v>
      </c>
      <c r="O348">
        <v>3846</v>
      </c>
      <c r="P348" t="s">
        <v>2081</v>
      </c>
      <c r="R348" t="s">
        <v>2082</v>
      </c>
      <c r="T348" t="s">
        <v>2083</v>
      </c>
      <c r="U348" s="1">
        <v>41887</v>
      </c>
      <c r="V348">
        <v>5</v>
      </c>
      <c r="W348">
        <v>9</v>
      </c>
      <c r="X348">
        <v>2014</v>
      </c>
      <c r="Y348">
        <f>-16.1902333333/-68.60065</f>
        <v>0.23600699604595582</v>
      </c>
      <c r="Z348" t="s">
        <v>72</v>
      </c>
      <c r="AA348">
        <v>-16.1902333333</v>
      </c>
      <c r="AB348">
        <v>-68.600650000000002</v>
      </c>
      <c r="AC348">
        <v>91</v>
      </c>
      <c r="AD348" t="s">
        <v>73</v>
      </c>
      <c r="AE348" t="s">
        <v>74</v>
      </c>
      <c r="AI348" t="s">
        <v>75</v>
      </c>
      <c r="AO348" t="s">
        <v>87</v>
      </c>
      <c r="AP348" s="20" t="str">
        <f t="shared" si="37"/>
        <v>14</v>
      </c>
      <c r="AU348" t="s">
        <v>121</v>
      </c>
      <c r="AV348" s="20" t="str">
        <f t="shared" si="39"/>
        <v>18</v>
      </c>
      <c r="BD348" t="s">
        <v>258</v>
      </c>
      <c r="BH348" t="s">
        <v>78</v>
      </c>
      <c r="BL348" t="s">
        <v>147</v>
      </c>
      <c r="BM348" s="20" t="str">
        <f t="shared" si="33"/>
        <v>84</v>
      </c>
      <c r="BN348" t="s">
        <v>192</v>
      </c>
      <c r="BO348" s="20" t="str">
        <f t="shared" si="34"/>
        <v>177</v>
      </c>
      <c r="BQ348" t="s">
        <v>1235</v>
      </c>
      <c r="BR348" s="20" t="str">
        <f t="shared" si="38"/>
        <v>16.8</v>
      </c>
      <c r="BS348" s="21">
        <f t="shared" si="35"/>
        <v>93</v>
      </c>
      <c r="BT348" s="10"/>
    </row>
    <row r="349" spans="1:72" x14ac:dyDescent="0.2">
      <c r="A349" s="10" t="s">
        <v>63</v>
      </c>
      <c r="B349" s="10" t="s">
        <v>2256</v>
      </c>
      <c r="C349" s="10" t="s">
        <v>348</v>
      </c>
      <c r="D349" s="10" t="s">
        <v>64</v>
      </c>
      <c r="E349" s="10" t="s">
        <v>65</v>
      </c>
      <c r="F349" s="10" t="s">
        <v>64</v>
      </c>
      <c r="G349" s="10" t="s">
        <v>211</v>
      </c>
      <c r="H349" s="10" t="s">
        <v>212</v>
      </c>
      <c r="I349" s="10" t="s">
        <v>213</v>
      </c>
      <c r="J349" s="10" t="s">
        <v>293</v>
      </c>
      <c r="K349" s="10"/>
      <c r="L349" s="10">
        <v>9</v>
      </c>
      <c r="M349" s="10">
        <v>9</v>
      </c>
      <c r="N349" s="10">
        <v>30</v>
      </c>
      <c r="O349" s="10">
        <v>30</v>
      </c>
      <c r="P349" s="12">
        <v>44448</v>
      </c>
      <c r="Q349" s="10"/>
      <c r="R349" s="10" t="s">
        <v>294</v>
      </c>
      <c r="S349" s="10" t="s">
        <v>349</v>
      </c>
      <c r="T349" s="10" t="s">
        <v>350</v>
      </c>
      <c r="U349" s="11">
        <v>41343</v>
      </c>
      <c r="V349" s="10">
        <v>10</v>
      </c>
      <c r="W349" s="10">
        <v>3</v>
      </c>
      <c r="X349" s="10">
        <v>2013</v>
      </c>
      <c r="Y349" s="10">
        <f>-43.3383333333/-66.5673333333</f>
        <v>0.65104505713495664</v>
      </c>
      <c r="Z349" s="10" t="s">
        <v>72</v>
      </c>
      <c r="AA349" s="10">
        <v>-43.3383333333</v>
      </c>
      <c r="AB349" s="10">
        <v>-66.567333333299999</v>
      </c>
      <c r="AC349" s="10"/>
      <c r="AD349" s="10" t="s">
        <v>73</v>
      </c>
      <c r="AE349" s="10" t="s">
        <v>74</v>
      </c>
      <c r="AF349" s="10"/>
      <c r="AG349" s="10"/>
      <c r="AH349" s="10"/>
      <c r="AI349" s="10"/>
      <c r="AJ349" s="10"/>
      <c r="AK349" s="10"/>
      <c r="AL349" s="10"/>
      <c r="AM349" s="10"/>
      <c r="AN349" s="10"/>
      <c r="AO349" s="10" t="s">
        <v>87</v>
      </c>
      <c r="AP349" s="20" t="str">
        <f t="shared" si="37"/>
        <v>14</v>
      </c>
      <c r="AQ349" s="10"/>
      <c r="AR349" s="10"/>
      <c r="AS349" s="10"/>
      <c r="AT349" s="10"/>
      <c r="AU349" s="10" t="s">
        <v>121</v>
      </c>
      <c r="AV349" s="20" t="str">
        <f t="shared" si="39"/>
        <v>18</v>
      </c>
      <c r="AW349" s="10"/>
      <c r="AX349" s="10"/>
      <c r="AY349" s="10"/>
      <c r="AZ349" s="10"/>
      <c r="BA349" s="10"/>
      <c r="BB349" s="10"/>
      <c r="BC349" s="10"/>
      <c r="BD349" s="10" t="s">
        <v>152</v>
      </c>
      <c r="BF349" s="10"/>
      <c r="BG349" s="10"/>
      <c r="BH349" s="10" t="s">
        <v>78</v>
      </c>
      <c r="BI349" s="10"/>
      <c r="BJ349" s="10"/>
      <c r="BK349" s="10"/>
      <c r="BL349" s="10" t="s">
        <v>351</v>
      </c>
      <c r="BM349" s="20" t="str">
        <f t="shared" si="33"/>
        <v>77</v>
      </c>
      <c r="BN349" s="10" t="s">
        <v>154</v>
      </c>
      <c r="BO349" s="20" t="str">
        <f t="shared" si="34"/>
        <v>170</v>
      </c>
      <c r="BP349" s="10"/>
      <c r="BQ349" s="10" t="s">
        <v>352</v>
      </c>
      <c r="BR349" s="20" t="str">
        <f t="shared" si="38"/>
        <v>17.5</v>
      </c>
      <c r="BS349" s="21">
        <f t="shared" si="35"/>
        <v>93</v>
      </c>
    </row>
    <row r="350" spans="1:72" x14ac:dyDescent="0.2">
      <c r="A350" s="10" t="s">
        <v>63</v>
      </c>
      <c r="B350" s="10" t="s">
        <v>2266</v>
      </c>
      <c r="C350" s="10" t="s">
        <v>591</v>
      </c>
      <c r="D350" s="10" t="s">
        <v>64</v>
      </c>
      <c r="E350" s="10" t="s">
        <v>65</v>
      </c>
      <c r="F350" s="10" t="s">
        <v>64</v>
      </c>
      <c r="G350" s="10" t="s">
        <v>211</v>
      </c>
      <c r="H350" s="10" t="s">
        <v>212</v>
      </c>
      <c r="I350" s="10" t="s">
        <v>383</v>
      </c>
      <c r="J350" s="10" t="s">
        <v>551</v>
      </c>
      <c r="K350" s="10"/>
      <c r="L350" s="10">
        <v>539</v>
      </c>
      <c r="M350" s="10">
        <v>539</v>
      </c>
      <c r="N350" s="10">
        <v>1768</v>
      </c>
      <c r="O350" s="10">
        <v>1768</v>
      </c>
      <c r="P350" s="10" t="s">
        <v>592</v>
      </c>
      <c r="Q350" s="10"/>
      <c r="R350" s="10" t="s">
        <v>553</v>
      </c>
      <c r="S350" s="10" t="s">
        <v>593</v>
      </c>
      <c r="T350" s="10" t="s">
        <v>594</v>
      </c>
      <c r="U350" s="11">
        <v>41417</v>
      </c>
      <c r="V350" s="10">
        <v>23</v>
      </c>
      <c r="W350" s="10">
        <v>5</v>
      </c>
      <c r="X350" s="10">
        <v>2013</v>
      </c>
      <c r="Y350" s="10">
        <f>-23.452/-51.9073333333</f>
        <v>0.45180513992913773</v>
      </c>
      <c r="Z350" s="10" t="s">
        <v>72</v>
      </c>
      <c r="AA350" s="10">
        <v>-23.452000000000002</v>
      </c>
      <c r="AB350" s="10">
        <v>-51.907333333300002</v>
      </c>
      <c r="AC350" s="10"/>
      <c r="AD350" s="10" t="s">
        <v>73</v>
      </c>
      <c r="AE350" s="10" t="s">
        <v>74</v>
      </c>
      <c r="AF350" s="10"/>
      <c r="AG350" s="10"/>
      <c r="AH350" s="10"/>
      <c r="AI350" s="10"/>
      <c r="AJ350" s="10"/>
      <c r="AK350" s="10"/>
      <c r="AL350" s="10"/>
      <c r="AM350" s="10"/>
      <c r="AN350" s="10"/>
      <c r="AO350" s="10" t="s">
        <v>88</v>
      </c>
      <c r="AP350" s="20" t="str">
        <f t="shared" si="37"/>
        <v>15</v>
      </c>
      <c r="AQ350" s="10"/>
      <c r="AR350" s="10"/>
      <c r="AS350" s="10"/>
      <c r="AT350" s="10"/>
      <c r="AU350" s="10" t="s">
        <v>121</v>
      </c>
      <c r="AV350" s="20" t="str">
        <f t="shared" si="39"/>
        <v>18</v>
      </c>
      <c r="AW350" s="10"/>
      <c r="AX350" s="10"/>
      <c r="AY350" s="10"/>
      <c r="AZ350" s="10"/>
      <c r="BA350" s="10"/>
      <c r="BB350" s="10"/>
      <c r="BC350" s="10"/>
      <c r="BD350" s="10" t="s">
        <v>152</v>
      </c>
      <c r="BF350" s="10"/>
      <c r="BG350" s="10"/>
      <c r="BH350" s="10" t="s">
        <v>78</v>
      </c>
      <c r="BI350" s="10"/>
      <c r="BJ350" s="10"/>
      <c r="BK350" s="10"/>
      <c r="BL350" s="10" t="s">
        <v>103</v>
      </c>
      <c r="BM350" s="20" t="str">
        <f t="shared" si="33"/>
        <v>91</v>
      </c>
      <c r="BN350" s="10" t="s">
        <v>201</v>
      </c>
      <c r="BO350" s="20" t="str">
        <f t="shared" si="34"/>
        <v>184</v>
      </c>
      <c r="BP350" s="10"/>
      <c r="BQ350" s="10" t="s">
        <v>199</v>
      </c>
      <c r="BR350" s="20" t="str">
        <f t="shared" si="38"/>
        <v>13</v>
      </c>
      <c r="BS350" s="21">
        <f t="shared" si="35"/>
        <v>93</v>
      </c>
      <c r="BT350" s="13"/>
    </row>
    <row r="351" spans="1:72" x14ac:dyDescent="0.2">
      <c r="A351" s="10" t="s">
        <v>63</v>
      </c>
      <c r="B351" s="10" t="s">
        <v>2295</v>
      </c>
      <c r="C351" s="10" t="s">
        <v>398</v>
      </c>
      <c r="D351" s="10" t="s">
        <v>64</v>
      </c>
      <c r="E351" s="10" t="s">
        <v>65</v>
      </c>
      <c r="F351" s="10" t="s">
        <v>64</v>
      </c>
      <c r="G351" s="10" t="s">
        <v>211</v>
      </c>
      <c r="H351" s="10" t="s">
        <v>212</v>
      </c>
      <c r="I351" s="10" t="s">
        <v>383</v>
      </c>
      <c r="J351" s="10" t="s">
        <v>384</v>
      </c>
      <c r="K351" s="10"/>
      <c r="L351" s="10">
        <v>1086</v>
      </c>
      <c r="M351" s="10">
        <v>1086</v>
      </c>
      <c r="N351" s="10">
        <v>3562</v>
      </c>
      <c r="O351" s="10">
        <v>3562</v>
      </c>
      <c r="P351" s="10" t="s">
        <v>399</v>
      </c>
      <c r="Q351" s="10"/>
      <c r="R351" s="10" t="s">
        <v>386</v>
      </c>
      <c r="S351" s="10" t="s">
        <v>400</v>
      </c>
      <c r="T351" s="10" t="s">
        <v>401</v>
      </c>
      <c r="U351" s="11">
        <v>41540</v>
      </c>
      <c r="V351" s="10">
        <v>23</v>
      </c>
      <c r="W351" s="10">
        <v>9</v>
      </c>
      <c r="X351" s="10">
        <v>2013</v>
      </c>
      <c r="Y351" s="10">
        <f>-15.9403333333/-47.9255</f>
        <v>0.33260651079905268</v>
      </c>
      <c r="Z351" s="10" t="s">
        <v>72</v>
      </c>
      <c r="AA351" s="10">
        <v>-15.9403333333</v>
      </c>
      <c r="AB351" s="10">
        <v>-47.9255</v>
      </c>
      <c r="AC351" s="10"/>
      <c r="AD351" s="10" t="s">
        <v>73</v>
      </c>
      <c r="AE351" s="10" t="s">
        <v>74</v>
      </c>
      <c r="AF351" s="10"/>
      <c r="AG351" s="10"/>
      <c r="AH351" s="10"/>
      <c r="AI351" s="10"/>
      <c r="AJ351" s="10"/>
      <c r="AK351" s="10"/>
      <c r="AL351" s="10"/>
      <c r="AM351" s="10"/>
      <c r="AN351" s="10"/>
      <c r="AO351" s="10" t="s">
        <v>87</v>
      </c>
      <c r="AP351" s="20" t="str">
        <f t="shared" si="37"/>
        <v>14</v>
      </c>
      <c r="AQ351" s="10"/>
      <c r="AR351" s="10"/>
      <c r="AS351" s="10"/>
      <c r="AT351" s="10"/>
      <c r="AU351" s="10" t="s">
        <v>121</v>
      </c>
      <c r="AV351" s="20" t="str">
        <f t="shared" si="39"/>
        <v>18</v>
      </c>
      <c r="AW351" s="10"/>
      <c r="AX351" s="10"/>
      <c r="AY351" s="10"/>
      <c r="AZ351" s="10"/>
      <c r="BA351" s="10"/>
      <c r="BB351" s="10"/>
      <c r="BC351" s="10"/>
      <c r="BD351" s="10" t="s">
        <v>152</v>
      </c>
      <c r="BF351" s="10"/>
      <c r="BG351" s="10"/>
      <c r="BH351" s="10" t="s">
        <v>78</v>
      </c>
      <c r="BI351" s="10"/>
      <c r="BJ351" s="10"/>
      <c r="BK351" s="10"/>
      <c r="BL351" s="10" t="s">
        <v>79</v>
      </c>
      <c r="BM351" s="20" t="str">
        <f t="shared" si="33"/>
        <v>85</v>
      </c>
      <c r="BN351" s="10" t="s">
        <v>347</v>
      </c>
      <c r="BO351" s="20" t="str">
        <f t="shared" si="34"/>
        <v>178</v>
      </c>
      <c r="BP351" s="10"/>
      <c r="BQ351" s="10" t="s">
        <v>138</v>
      </c>
      <c r="BR351" s="20" t="str">
        <f t="shared" si="38"/>
        <v>15.5</v>
      </c>
      <c r="BS351" s="21">
        <f t="shared" si="35"/>
        <v>93</v>
      </c>
    </row>
    <row r="352" spans="1:72" x14ac:dyDescent="0.2">
      <c r="A352" s="4" t="s">
        <v>63</v>
      </c>
      <c r="B352" s="4" t="s">
        <v>2168</v>
      </c>
      <c r="C352" s="4" t="s">
        <v>1617</v>
      </c>
      <c r="D352" s="4" t="s">
        <v>64</v>
      </c>
      <c r="E352" s="4" t="s">
        <v>65</v>
      </c>
      <c r="F352" s="4" t="s">
        <v>64</v>
      </c>
      <c r="G352" s="4" t="s">
        <v>134</v>
      </c>
      <c r="H352" s="4" t="s">
        <v>67</v>
      </c>
      <c r="I352" s="4" t="s">
        <v>68</v>
      </c>
      <c r="J352" s="4" t="s">
        <v>1618</v>
      </c>
      <c r="K352" s="4" t="s">
        <v>1619</v>
      </c>
      <c r="L352" s="4">
        <v>63</v>
      </c>
      <c r="M352" s="4">
        <v>63</v>
      </c>
      <c r="N352" s="4">
        <v>63</v>
      </c>
      <c r="O352" s="4">
        <v>63</v>
      </c>
      <c r="P352" s="4" t="s">
        <v>1620</v>
      </c>
      <c r="Q352" s="4"/>
      <c r="R352" s="4" t="s">
        <v>1621</v>
      </c>
      <c r="S352" s="4"/>
      <c r="T352" s="4" t="s">
        <v>1622</v>
      </c>
      <c r="U352" s="5">
        <v>41106</v>
      </c>
      <c r="V352" s="4">
        <v>16</v>
      </c>
      <c r="W352" s="4">
        <v>7</v>
      </c>
      <c r="X352" s="4">
        <v>2012</v>
      </c>
      <c r="Y352" s="4" t="s">
        <v>1623</v>
      </c>
      <c r="Z352" s="4" t="s">
        <v>72</v>
      </c>
      <c r="AA352" s="4">
        <v>44.112119999999997</v>
      </c>
      <c r="AB352" s="4">
        <v>-72.045509999999993</v>
      </c>
      <c r="AC352" s="4">
        <v>100</v>
      </c>
      <c r="AD352" s="4" t="s">
        <v>73</v>
      </c>
      <c r="AE352" s="4" t="s">
        <v>74</v>
      </c>
      <c r="AF352" s="4"/>
      <c r="AG352" s="4"/>
      <c r="AH352" s="4"/>
      <c r="AI352" s="4"/>
      <c r="AJ352" s="4"/>
      <c r="AK352" s="4"/>
      <c r="AL352" s="4"/>
      <c r="AM352" s="4"/>
      <c r="AN352" s="4"/>
      <c r="AO352" s="4" t="s">
        <v>88</v>
      </c>
      <c r="AP352" s="20" t="str">
        <f t="shared" si="37"/>
        <v>15</v>
      </c>
      <c r="AQ352" s="4"/>
      <c r="AR352" s="4"/>
      <c r="AS352" s="4"/>
      <c r="AT352" s="4"/>
      <c r="AU352" s="4" t="s">
        <v>141</v>
      </c>
      <c r="AV352" s="20" t="str">
        <f t="shared" si="39"/>
        <v>18.5</v>
      </c>
      <c r="AW352" s="4"/>
      <c r="AX352" s="4"/>
      <c r="AY352" s="4"/>
      <c r="AZ352" s="4"/>
      <c r="BA352" s="4"/>
      <c r="BB352" s="4"/>
      <c r="BC352" s="4"/>
      <c r="BD352" s="4" t="s">
        <v>152</v>
      </c>
      <c r="BF352" s="4"/>
      <c r="BG352" s="4"/>
      <c r="BH352" s="4" t="s">
        <v>78</v>
      </c>
      <c r="BI352" s="4"/>
      <c r="BJ352" s="4"/>
      <c r="BK352" s="4"/>
      <c r="BL352" s="4" t="s">
        <v>79</v>
      </c>
      <c r="BM352" s="20" t="str">
        <f t="shared" si="33"/>
        <v>85</v>
      </c>
      <c r="BN352" s="4" t="s">
        <v>347</v>
      </c>
      <c r="BO352" s="20" t="str">
        <f t="shared" si="34"/>
        <v>178</v>
      </c>
      <c r="BP352" s="4"/>
      <c r="BQ352" s="4" t="s">
        <v>1597</v>
      </c>
      <c r="BR352" s="20" t="str">
        <f t="shared" si="38"/>
        <v>21.38</v>
      </c>
      <c r="BS352" s="21">
        <f t="shared" si="35"/>
        <v>93</v>
      </c>
    </row>
    <row r="353" spans="1:71" x14ac:dyDescent="0.2">
      <c r="A353" t="s">
        <v>63</v>
      </c>
      <c r="C353" t="s">
        <v>1517</v>
      </c>
      <c r="D353" t="s">
        <v>64</v>
      </c>
      <c r="E353" t="s">
        <v>65</v>
      </c>
      <c r="F353" t="s">
        <v>64</v>
      </c>
      <c r="G353" t="s">
        <v>211</v>
      </c>
      <c r="H353" t="s">
        <v>212</v>
      </c>
      <c r="I353" t="s">
        <v>701</v>
      </c>
      <c r="J353" t="s">
        <v>1466</v>
      </c>
      <c r="L353">
        <v>479</v>
      </c>
      <c r="M353">
        <v>479</v>
      </c>
      <c r="N353">
        <v>1570</v>
      </c>
      <c r="O353">
        <v>1570</v>
      </c>
      <c r="P353" t="s">
        <v>1518</v>
      </c>
      <c r="R353" t="s">
        <v>1519</v>
      </c>
      <c r="T353" t="s">
        <v>1520</v>
      </c>
      <c r="U353" s="2">
        <v>41255</v>
      </c>
      <c r="V353">
        <v>12</v>
      </c>
      <c r="W353">
        <v>12</v>
      </c>
      <c r="X353">
        <v>2012</v>
      </c>
      <c r="Y353">
        <f>-0.29765/-79.2151166667</f>
        <v>3.7574898898700285E-3</v>
      </c>
      <c r="Z353" t="s">
        <v>72</v>
      </c>
      <c r="AA353">
        <v>-0.29765000000000003</v>
      </c>
      <c r="AB353">
        <v>-79.215116666699998</v>
      </c>
      <c r="AD353" t="s">
        <v>96</v>
      </c>
      <c r="AE353" t="s">
        <v>74</v>
      </c>
      <c r="AI353" t="s">
        <v>75</v>
      </c>
      <c r="AO353" t="s">
        <v>88</v>
      </c>
      <c r="AP353" s="20" t="str">
        <f t="shared" si="37"/>
        <v>15</v>
      </c>
      <c r="AU353" t="s">
        <v>130</v>
      </c>
      <c r="AV353" s="20" t="str">
        <f t="shared" si="39"/>
        <v>19</v>
      </c>
      <c r="BD353" t="s">
        <v>1521</v>
      </c>
      <c r="BE353" s="20" t="s">
        <v>241</v>
      </c>
      <c r="BH353" t="s">
        <v>78</v>
      </c>
      <c r="BL353" t="s">
        <v>652</v>
      </c>
      <c r="BM353" s="20" t="str">
        <f t="shared" si="33"/>
        <v>98</v>
      </c>
      <c r="BN353" t="s">
        <v>627</v>
      </c>
      <c r="BO353" s="20" t="str">
        <f t="shared" si="34"/>
        <v>191</v>
      </c>
      <c r="BQ353" t="s">
        <v>149</v>
      </c>
      <c r="BR353" s="20" t="str">
        <f t="shared" si="38"/>
        <v>16.5</v>
      </c>
      <c r="BS353" s="21">
        <f t="shared" si="35"/>
        <v>93</v>
      </c>
    </row>
    <row r="354" spans="1:71" x14ac:dyDescent="0.2">
      <c r="A354" s="10" t="s">
        <v>63</v>
      </c>
      <c r="B354" s="10" t="s">
        <v>2289</v>
      </c>
      <c r="C354" s="10" t="s">
        <v>382</v>
      </c>
      <c r="D354" s="10" t="s">
        <v>64</v>
      </c>
      <c r="E354" s="10" t="s">
        <v>65</v>
      </c>
      <c r="F354" s="10" t="s">
        <v>64</v>
      </c>
      <c r="G354" s="10" t="s">
        <v>211</v>
      </c>
      <c r="H354" s="10" t="s">
        <v>212</v>
      </c>
      <c r="I354" s="10" t="s">
        <v>383</v>
      </c>
      <c r="J354" s="10" t="s">
        <v>384</v>
      </c>
      <c r="K354" s="10"/>
      <c r="L354" s="10">
        <v>1082</v>
      </c>
      <c r="M354" s="10">
        <v>1082</v>
      </c>
      <c r="N354" s="10">
        <v>3549</v>
      </c>
      <c r="O354" s="10">
        <v>3549</v>
      </c>
      <c r="P354" s="10" t="s">
        <v>385</v>
      </c>
      <c r="Q354" s="10"/>
      <c r="R354" s="10" t="s">
        <v>386</v>
      </c>
      <c r="S354" s="10" t="s">
        <v>387</v>
      </c>
      <c r="T354" s="10" t="s">
        <v>388</v>
      </c>
      <c r="U354" s="11">
        <v>41539</v>
      </c>
      <c r="V354" s="10">
        <v>22</v>
      </c>
      <c r="W354" s="10">
        <v>9</v>
      </c>
      <c r="X354" s="10">
        <v>2013</v>
      </c>
      <c r="Y354" s="10">
        <f>-15.9428333333/-47.9346666667</f>
        <v>0.33259505994177313</v>
      </c>
      <c r="Z354" s="10" t="s">
        <v>72</v>
      </c>
      <c r="AA354" s="10">
        <v>-15.942833333299999</v>
      </c>
      <c r="AB354" s="10">
        <v>-47.934666666699997</v>
      </c>
      <c r="AC354" s="10"/>
      <c r="AD354" s="10" t="s">
        <v>73</v>
      </c>
      <c r="AE354" s="10" t="s">
        <v>74</v>
      </c>
      <c r="AF354" s="10"/>
      <c r="AG354" s="10"/>
      <c r="AH354" s="10"/>
      <c r="AI354" s="10"/>
      <c r="AJ354" s="10"/>
      <c r="AK354" s="10"/>
      <c r="AL354" s="10"/>
      <c r="AM354" s="10"/>
      <c r="AN354" s="10"/>
      <c r="AO354" s="10" t="s">
        <v>76</v>
      </c>
      <c r="AP354" s="20" t="str">
        <f t="shared" si="37"/>
        <v>13</v>
      </c>
      <c r="AQ354" s="10"/>
      <c r="AR354" s="10"/>
      <c r="AS354" s="10"/>
      <c r="AT354" s="10"/>
      <c r="AU354" s="10" t="s">
        <v>121</v>
      </c>
      <c r="AV354" s="20" t="str">
        <f t="shared" si="39"/>
        <v>18</v>
      </c>
      <c r="AW354" s="10"/>
      <c r="AX354" s="10"/>
      <c r="AY354" s="10"/>
      <c r="AZ354" s="10"/>
      <c r="BA354" s="10"/>
      <c r="BB354" s="10"/>
      <c r="BC354" s="10"/>
      <c r="BD354" s="10" t="s">
        <v>389</v>
      </c>
      <c r="BE354" s="20" t="s">
        <v>241</v>
      </c>
      <c r="BF354" s="10"/>
      <c r="BG354" s="10"/>
      <c r="BH354" s="10" t="s">
        <v>78</v>
      </c>
      <c r="BI354" s="10"/>
      <c r="BJ354" s="10"/>
      <c r="BK354" s="10"/>
      <c r="BL354" s="10" t="s">
        <v>194</v>
      </c>
      <c r="BM354" s="20" t="str">
        <f t="shared" si="33"/>
        <v>79</v>
      </c>
      <c r="BN354" s="10" t="s">
        <v>114</v>
      </c>
      <c r="BO354" s="20" t="str">
        <f t="shared" si="34"/>
        <v>172</v>
      </c>
      <c r="BP354" s="10"/>
      <c r="BQ354" s="10" t="s">
        <v>390</v>
      </c>
      <c r="BR354" s="20" t="str">
        <f t="shared" si="38"/>
        <v>14.5</v>
      </c>
      <c r="BS354" s="21">
        <f t="shared" si="35"/>
        <v>93</v>
      </c>
    </row>
    <row r="355" spans="1:71" x14ac:dyDescent="0.2">
      <c r="A355" s="10" t="s">
        <v>63</v>
      </c>
      <c r="B355" s="10" t="s">
        <v>2254</v>
      </c>
      <c r="C355" s="10" t="s">
        <v>292</v>
      </c>
      <c r="D355" s="10" t="s">
        <v>64</v>
      </c>
      <c r="E355" s="10" t="s">
        <v>65</v>
      </c>
      <c r="F355" s="10" t="s">
        <v>64</v>
      </c>
      <c r="G355" s="10" t="s">
        <v>211</v>
      </c>
      <c r="H355" s="10" t="s">
        <v>212</v>
      </c>
      <c r="I355" s="10" t="s">
        <v>213</v>
      </c>
      <c r="J355" s="10" t="s">
        <v>293</v>
      </c>
      <c r="K355" s="10"/>
      <c r="L355" s="10">
        <v>3</v>
      </c>
      <c r="M355" s="10">
        <v>3</v>
      </c>
      <c r="N355" s="10">
        <v>10</v>
      </c>
      <c r="O355" s="10">
        <v>10</v>
      </c>
      <c r="P355" s="12">
        <v>44258</v>
      </c>
      <c r="Q355" s="10"/>
      <c r="R355" s="10" t="s">
        <v>294</v>
      </c>
      <c r="S355" s="10" t="s">
        <v>295</v>
      </c>
      <c r="T355" s="10" t="s">
        <v>296</v>
      </c>
      <c r="U355" s="11">
        <v>41342</v>
      </c>
      <c r="V355" s="10">
        <v>9</v>
      </c>
      <c r="W355" s="10">
        <v>3</v>
      </c>
      <c r="X355" s="10">
        <v>2013</v>
      </c>
      <c r="Y355" s="10">
        <f>-43.29075/-65.40015</f>
        <v>0.66193655519138728</v>
      </c>
      <c r="Z355" s="10" t="s">
        <v>72</v>
      </c>
      <c r="AA355" s="10">
        <v>-43.290750000000003</v>
      </c>
      <c r="AB355" s="10">
        <v>-65.400149999999996</v>
      </c>
      <c r="AC355" s="10"/>
      <c r="AD355" s="10" t="s">
        <v>73</v>
      </c>
      <c r="AE355" s="10" t="s">
        <v>74</v>
      </c>
      <c r="AF355" s="10"/>
      <c r="AG355" s="10"/>
      <c r="AH355" s="10"/>
      <c r="AI355" s="10"/>
      <c r="AJ355" s="10"/>
      <c r="AK355" s="10"/>
      <c r="AL355" s="10"/>
      <c r="AM355" s="10"/>
      <c r="AN355" s="10"/>
      <c r="AO355" s="10" t="s">
        <v>87</v>
      </c>
      <c r="AP355" s="20" t="str">
        <f t="shared" si="37"/>
        <v>14</v>
      </c>
      <c r="AQ355" s="10"/>
      <c r="AR355" s="10"/>
      <c r="AS355" s="10"/>
      <c r="AT355" s="10"/>
      <c r="AU355" s="10" t="s">
        <v>111</v>
      </c>
      <c r="AV355" s="20" t="str">
        <f t="shared" si="39"/>
        <v>20</v>
      </c>
      <c r="AW355" s="10"/>
      <c r="AX355" s="10"/>
      <c r="AY355" s="10"/>
      <c r="AZ355" s="10"/>
      <c r="BA355" s="10"/>
      <c r="BB355" s="10"/>
      <c r="BC355" s="10"/>
      <c r="BD355" s="10" t="s">
        <v>297</v>
      </c>
      <c r="BF355" s="10"/>
      <c r="BG355" s="10"/>
      <c r="BH355" s="10" t="s">
        <v>83</v>
      </c>
      <c r="BI355" s="10"/>
      <c r="BJ355" s="10"/>
      <c r="BK355" s="10"/>
      <c r="BL355" s="10" t="s">
        <v>208</v>
      </c>
      <c r="BM355" s="20" t="str">
        <f t="shared" si="33"/>
        <v>80</v>
      </c>
      <c r="BN355" s="10" t="s">
        <v>161</v>
      </c>
      <c r="BO355" s="20" t="str">
        <f t="shared" si="34"/>
        <v>173</v>
      </c>
      <c r="BP355" s="10"/>
      <c r="BQ355" s="10" t="s">
        <v>199</v>
      </c>
      <c r="BR355" s="20" t="str">
        <f t="shared" si="38"/>
        <v>13</v>
      </c>
      <c r="BS355" s="21">
        <f t="shared" si="35"/>
        <v>93</v>
      </c>
    </row>
    <row r="356" spans="1:71" x14ac:dyDescent="0.2">
      <c r="A356" s="17" t="s">
        <v>63</v>
      </c>
      <c r="B356" s="17" t="s">
        <v>2334</v>
      </c>
      <c r="C356" s="17" t="s">
        <v>1039</v>
      </c>
      <c r="D356" s="17" t="s">
        <v>64</v>
      </c>
      <c r="E356" s="17" t="s">
        <v>65</v>
      </c>
      <c r="F356" s="17" t="s">
        <v>64</v>
      </c>
      <c r="G356" s="17" t="s">
        <v>615</v>
      </c>
      <c r="H356" s="17" t="s">
        <v>67</v>
      </c>
      <c r="I356" s="17" t="s">
        <v>68</v>
      </c>
      <c r="J356" s="17" t="s">
        <v>69</v>
      </c>
      <c r="K356" s="17" t="s">
        <v>70</v>
      </c>
      <c r="L356" s="17">
        <v>700</v>
      </c>
      <c r="M356" s="17">
        <v>700</v>
      </c>
      <c r="N356" s="17">
        <v>2295</v>
      </c>
      <c r="O356" s="17">
        <v>2295</v>
      </c>
      <c r="P356" s="17" t="s">
        <v>71</v>
      </c>
      <c r="Q356" s="17"/>
      <c r="R356" s="17" t="s">
        <v>998</v>
      </c>
      <c r="S356" s="17" t="s">
        <v>999</v>
      </c>
      <c r="T356" s="17" t="s">
        <v>1000</v>
      </c>
      <c r="U356" s="18">
        <v>41171</v>
      </c>
      <c r="V356" s="17">
        <v>19</v>
      </c>
      <c r="W356" s="17">
        <v>9</v>
      </c>
      <c r="X356" s="17">
        <v>2012</v>
      </c>
      <c r="Y356" s="17" t="s">
        <v>1001</v>
      </c>
      <c r="Z356" s="17" t="s">
        <v>72</v>
      </c>
      <c r="AA356" s="17">
        <v>32.281350000000003</v>
      </c>
      <c r="AB356" s="17">
        <v>-110.94995</v>
      </c>
      <c r="AC356" s="17"/>
      <c r="AD356" s="17" t="s">
        <v>73</v>
      </c>
      <c r="AE356" s="17" t="s">
        <v>74</v>
      </c>
      <c r="AF356" s="17"/>
      <c r="AG356" s="17"/>
      <c r="AH356" s="17"/>
      <c r="AI356" s="17" t="s">
        <v>75</v>
      </c>
      <c r="AJ356" s="17"/>
      <c r="AK356" s="17"/>
      <c r="AL356" s="17"/>
      <c r="AM356" s="17"/>
      <c r="AN356" s="17"/>
      <c r="AO356" s="17" t="s">
        <v>656</v>
      </c>
      <c r="AP356" s="20" t="str">
        <f t="shared" si="37"/>
        <v>15.6</v>
      </c>
      <c r="AQ356" s="17"/>
      <c r="AR356" s="17"/>
      <c r="AS356" s="17"/>
      <c r="AT356" s="17"/>
      <c r="AU356" s="17" t="s">
        <v>1040</v>
      </c>
      <c r="AV356" s="20" t="str">
        <f t="shared" si="39"/>
        <v>20.3</v>
      </c>
      <c r="AW356" s="17"/>
      <c r="AX356" s="17"/>
      <c r="AY356" s="17"/>
      <c r="AZ356" s="17"/>
      <c r="BA356" s="17"/>
      <c r="BB356" s="17"/>
      <c r="BC356" s="17"/>
      <c r="BD356" s="17" t="s">
        <v>1041</v>
      </c>
      <c r="BF356" s="17"/>
      <c r="BG356" s="17"/>
      <c r="BH356" s="17" t="s">
        <v>83</v>
      </c>
      <c r="BI356" s="17"/>
      <c r="BJ356" s="17"/>
      <c r="BK356" s="17"/>
      <c r="BL356" s="17" t="s">
        <v>451</v>
      </c>
      <c r="BM356" s="20" t="str">
        <f t="shared" si="33"/>
        <v>94</v>
      </c>
      <c r="BN356" s="17" t="s">
        <v>622</v>
      </c>
      <c r="BO356" s="20" t="str">
        <f t="shared" si="34"/>
        <v>187</v>
      </c>
      <c r="BP356" s="17"/>
      <c r="BQ356" s="17" t="s">
        <v>856</v>
      </c>
      <c r="BR356" s="20" t="str">
        <f t="shared" si="38"/>
        <v>17.8</v>
      </c>
      <c r="BS356" s="21">
        <f t="shared" si="35"/>
        <v>93</v>
      </c>
    </row>
    <row r="357" spans="1:71" x14ac:dyDescent="0.2">
      <c r="A357" s="7" t="s">
        <v>63</v>
      </c>
      <c r="B357" s="7" t="s">
        <v>2184</v>
      </c>
      <c r="C357" s="7" t="s">
        <v>162</v>
      </c>
      <c r="D357" s="7" t="s">
        <v>64</v>
      </c>
      <c r="E357" s="7" t="s">
        <v>65</v>
      </c>
      <c r="F357" s="7" t="s">
        <v>64</v>
      </c>
      <c r="G357" s="7" t="s">
        <v>134</v>
      </c>
      <c r="H357" s="7" t="s">
        <v>67</v>
      </c>
      <c r="I357" s="7" t="s">
        <v>68</v>
      </c>
      <c r="J357" s="7" t="s">
        <v>69</v>
      </c>
      <c r="K357" s="7" t="s">
        <v>70</v>
      </c>
      <c r="L357" s="7">
        <v>649</v>
      </c>
      <c r="M357" s="7">
        <v>649</v>
      </c>
      <c r="N357" s="7">
        <v>649</v>
      </c>
      <c r="O357" s="7">
        <v>649</v>
      </c>
      <c r="P357" s="7" t="s">
        <v>163</v>
      </c>
      <c r="Q357" s="7"/>
      <c r="R357" s="7" t="s">
        <v>164</v>
      </c>
      <c r="S357" s="7"/>
      <c r="T357" s="7" t="s">
        <v>165</v>
      </c>
      <c r="U357" s="8">
        <v>41128</v>
      </c>
      <c r="V357" s="7">
        <v>7</v>
      </c>
      <c r="W357" s="7">
        <v>8</v>
      </c>
      <c r="X357" s="7">
        <v>2012</v>
      </c>
      <c r="Y357" s="7" t="s">
        <v>166</v>
      </c>
      <c r="Z357" s="7" t="s">
        <v>72</v>
      </c>
      <c r="AA357" s="7">
        <v>32.290399999999998</v>
      </c>
      <c r="AB357" s="7">
        <v>-111.02068</v>
      </c>
      <c r="AC357" s="7"/>
      <c r="AD357" s="7" t="s">
        <v>96</v>
      </c>
      <c r="AE357" s="7" t="s">
        <v>74</v>
      </c>
      <c r="AF357" s="7"/>
      <c r="AG357" s="7"/>
      <c r="AH357" s="7"/>
      <c r="AI357" s="7"/>
      <c r="AJ357" s="7"/>
      <c r="AK357" s="7"/>
      <c r="AL357" s="7"/>
      <c r="AM357" s="7"/>
      <c r="AN357" s="7"/>
      <c r="AO357" s="7" t="s">
        <v>87</v>
      </c>
      <c r="AP357" s="20" t="str">
        <f t="shared" si="37"/>
        <v>14</v>
      </c>
      <c r="AQ357" s="7"/>
      <c r="AR357" s="7"/>
      <c r="AS357" s="7"/>
      <c r="AT357" s="7"/>
      <c r="AU357" s="7" t="s">
        <v>167</v>
      </c>
      <c r="AV357" s="20" t="str">
        <f t="shared" si="39"/>
        <v>19.75</v>
      </c>
      <c r="AW357" s="7"/>
      <c r="AX357" s="7"/>
      <c r="AY357" s="7"/>
      <c r="AZ357" s="7"/>
      <c r="BA357" s="7"/>
      <c r="BB357" s="7"/>
      <c r="BC357" s="7"/>
      <c r="BD357" s="7" t="s">
        <v>168</v>
      </c>
      <c r="BF357" s="7"/>
      <c r="BG357" s="7"/>
      <c r="BH357" s="7" t="s">
        <v>83</v>
      </c>
      <c r="BI357" s="7"/>
      <c r="BJ357" s="7"/>
      <c r="BK357" s="7"/>
      <c r="BL357" s="7" t="s">
        <v>169</v>
      </c>
      <c r="BM357" s="20" t="str">
        <f t="shared" si="33"/>
        <v>99</v>
      </c>
      <c r="BN357" s="7" t="s">
        <v>170</v>
      </c>
      <c r="BO357" s="20" t="str">
        <f t="shared" si="34"/>
        <v>192</v>
      </c>
      <c r="BP357" s="7"/>
      <c r="BQ357" s="7" t="s">
        <v>171</v>
      </c>
      <c r="BR357" s="20" t="str">
        <f t="shared" si="38"/>
        <v>21.25</v>
      </c>
      <c r="BS357" s="21">
        <f t="shared" si="35"/>
        <v>93</v>
      </c>
    </row>
    <row r="358" spans="1:71" x14ac:dyDescent="0.2">
      <c r="A358" s="10" t="s">
        <v>63</v>
      </c>
      <c r="B358" s="10" t="s">
        <v>2263</v>
      </c>
      <c r="C358" s="10" t="s">
        <v>576</v>
      </c>
      <c r="D358" s="10" t="s">
        <v>64</v>
      </c>
      <c r="E358" s="10" t="s">
        <v>65</v>
      </c>
      <c r="F358" s="10" t="s">
        <v>64</v>
      </c>
      <c r="G358" s="10" t="s">
        <v>211</v>
      </c>
      <c r="H358" s="10" t="s">
        <v>212</v>
      </c>
      <c r="I358" s="10" t="s">
        <v>383</v>
      </c>
      <c r="J358" s="10" t="s">
        <v>551</v>
      </c>
      <c r="K358" s="10"/>
      <c r="L358" s="10">
        <v>573</v>
      </c>
      <c r="M358" s="10">
        <v>573</v>
      </c>
      <c r="N358" s="10">
        <v>1881</v>
      </c>
      <c r="O358" s="10">
        <v>1881</v>
      </c>
      <c r="P358" s="10" t="s">
        <v>577</v>
      </c>
      <c r="Q358" s="10"/>
      <c r="R358" s="10" t="s">
        <v>553</v>
      </c>
      <c r="S358" s="10" t="s">
        <v>578</v>
      </c>
      <c r="T358" s="10" t="s">
        <v>579</v>
      </c>
      <c r="U358" s="11">
        <v>41416</v>
      </c>
      <c r="V358" s="10">
        <v>22</v>
      </c>
      <c r="W358" s="10">
        <v>5</v>
      </c>
      <c r="X358" s="10">
        <v>2013</v>
      </c>
      <c r="Y358" s="10">
        <f>-23.4201666667/-51.9576666667</f>
        <v>0.45075478113627709</v>
      </c>
      <c r="Z358" s="10" t="s">
        <v>72</v>
      </c>
      <c r="AA358" s="10">
        <v>-23.420166666699998</v>
      </c>
      <c r="AB358" s="10">
        <v>-51.9576666667</v>
      </c>
      <c r="AC358" s="10"/>
      <c r="AD358" s="10" t="s">
        <v>73</v>
      </c>
      <c r="AE358" s="10" t="s">
        <v>74</v>
      </c>
      <c r="AF358" s="10"/>
      <c r="AG358" s="10"/>
      <c r="AH358" s="10"/>
      <c r="AI358" s="10"/>
      <c r="AJ358" s="10"/>
      <c r="AK358" s="10"/>
      <c r="AL358" s="10"/>
      <c r="AM358" s="10"/>
      <c r="AN358" s="10"/>
      <c r="AO358" s="10" t="s">
        <v>130</v>
      </c>
      <c r="AP358" s="20" t="str">
        <f t="shared" si="37"/>
        <v>19</v>
      </c>
      <c r="AQ358" s="10"/>
      <c r="AR358" s="10"/>
      <c r="AS358" s="10"/>
      <c r="AT358" s="10"/>
      <c r="AU358" s="10" t="s">
        <v>130</v>
      </c>
      <c r="AV358" s="20" t="str">
        <f t="shared" si="39"/>
        <v>19</v>
      </c>
      <c r="AW358" s="10"/>
      <c r="AX358" s="10"/>
      <c r="AY358" s="10"/>
      <c r="AZ358" s="10"/>
      <c r="BA358" s="10"/>
      <c r="BB358" s="10"/>
      <c r="BC358" s="10"/>
      <c r="BD358" s="10" t="s">
        <v>447</v>
      </c>
      <c r="BF358" s="10"/>
      <c r="BG358" s="10"/>
      <c r="BH358" s="10" t="s">
        <v>83</v>
      </c>
      <c r="BI358" s="10"/>
      <c r="BJ358" s="10"/>
      <c r="BK358" s="10"/>
      <c r="BL358" s="10" t="s">
        <v>123</v>
      </c>
      <c r="BM358" s="20" t="str">
        <f t="shared" si="33"/>
        <v>88</v>
      </c>
      <c r="BN358" s="10" t="s">
        <v>580</v>
      </c>
      <c r="BO358" s="20" t="str">
        <f t="shared" si="34"/>
        <v>181</v>
      </c>
      <c r="BP358" s="10"/>
      <c r="BQ358" s="10" t="s">
        <v>581</v>
      </c>
      <c r="BR358" s="20" t="str">
        <f t="shared" si="38"/>
        <v>18.75</v>
      </c>
      <c r="BS358" s="21">
        <f t="shared" si="35"/>
        <v>93</v>
      </c>
    </row>
    <row r="359" spans="1:71" x14ac:dyDescent="0.2">
      <c r="A359" s="13" t="s">
        <v>63</v>
      </c>
      <c r="B359" s="13"/>
      <c r="C359" s="13" t="s">
        <v>1999</v>
      </c>
      <c r="D359" s="13" t="s">
        <v>64</v>
      </c>
      <c r="E359" s="13" t="s">
        <v>65</v>
      </c>
      <c r="F359" s="13" t="s">
        <v>64</v>
      </c>
      <c r="G359" s="13" t="s">
        <v>1886</v>
      </c>
      <c r="H359" s="13" t="s">
        <v>212</v>
      </c>
      <c r="I359" s="13" t="s">
        <v>1887</v>
      </c>
      <c r="J359" s="13" t="s">
        <v>1949</v>
      </c>
      <c r="K359" s="13"/>
      <c r="L359" s="13">
        <v>2551</v>
      </c>
      <c r="M359" s="13">
        <v>2551</v>
      </c>
      <c r="N359" s="13">
        <v>2551</v>
      </c>
      <c r="O359" s="13">
        <v>2551</v>
      </c>
      <c r="P359" s="13" t="s">
        <v>2000</v>
      </c>
      <c r="Q359" s="13"/>
      <c r="R359" s="13" t="s">
        <v>2001</v>
      </c>
      <c r="S359" s="13"/>
      <c r="T359" s="13" t="s">
        <v>2002</v>
      </c>
      <c r="U359" s="14">
        <v>41873</v>
      </c>
      <c r="V359" s="13">
        <v>22</v>
      </c>
      <c r="W359" s="13">
        <v>8</v>
      </c>
      <c r="X359" s="13">
        <v>2014</v>
      </c>
      <c r="Y359" s="13">
        <f>-17.4365166667/-66.1618333333</f>
        <v>0.263543432644331</v>
      </c>
      <c r="Z359" s="13" t="s">
        <v>72</v>
      </c>
      <c r="AA359" s="13">
        <v>-17.436516666700001</v>
      </c>
      <c r="AB359" s="13">
        <v>-66.161833333299995</v>
      </c>
      <c r="AC359" s="13">
        <v>100</v>
      </c>
      <c r="AD359" s="13" t="s">
        <v>73</v>
      </c>
      <c r="AE359" s="13" t="s">
        <v>74</v>
      </c>
      <c r="AF359" s="13"/>
      <c r="AG359" s="13"/>
      <c r="AH359" s="13"/>
      <c r="AI359" s="13" t="s">
        <v>75</v>
      </c>
      <c r="AJ359" s="13"/>
      <c r="AK359" s="13"/>
      <c r="AL359" s="13"/>
      <c r="AM359" s="13"/>
      <c r="AN359" s="13"/>
      <c r="AO359" s="13" t="s">
        <v>88</v>
      </c>
      <c r="AP359" s="20" t="str">
        <f t="shared" si="37"/>
        <v>15</v>
      </c>
      <c r="AQ359" s="13"/>
      <c r="AR359" s="13"/>
      <c r="AS359" s="13"/>
      <c r="AT359" s="13"/>
      <c r="AU359" s="13" t="s">
        <v>121</v>
      </c>
      <c r="AV359" s="20" t="str">
        <f t="shared" si="39"/>
        <v>18</v>
      </c>
      <c r="AW359" s="13"/>
      <c r="AX359" s="13"/>
      <c r="AY359" s="13"/>
      <c r="AZ359" s="13"/>
      <c r="BA359" s="13"/>
      <c r="BB359" s="13"/>
      <c r="BC359" s="13"/>
      <c r="BD359" s="13" t="s">
        <v>2003</v>
      </c>
      <c r="BF359" s="13"/>
      <c r="BG359" s="13"/>
      <c r="BH359" s="13" t="s">
        <v>83</v>
      </c>
      <c r="BI359" s="13"/>
      <c r="BJ359" s="13"/>
      <c r="BK359" s="13"/>
      <c r="BL359" s="13" t="s">
        <v>621</v>
      </c>
      <c r="BM359" s="20" t="str">
        <f t="shared" si="33"/>
        <v>95</v>
      </c>
      <c r="BN359" s="13" t="s">
        <v>280</v>
      </c>
      <c r="BO359" s="20" t="str">
        <f t="shared" si="34"/>
        <v>188</v>
      </c>
      <c r="BP359" s="13"/>
      <c r="BQ359" s="13" t="s">
        <v>195</v>
      </c>
      <c r="BR359" s="20" t="str">
        <f t="shared" si="38"/>
        <v>17</v>
      </c>
      <c r="BS359" s="21">
        <f t="shared" si="35"/>
        <v>93</v>
      </c>
    </row>
    <row r="360" spans="1:71" x14ac:dyDescent="0.2">
      <c r="A360" s="13" t="s">
        <v>63</v>
      </c>
      <c r="B360" s="13"/>
      <c r="C360" s="13" t="s">
        <v>1965</v>
      </c>
      <c r="D360" s="13" t="s">
        <v>64</v>
      </c>
      <c r="E360" s="13" t="s">
        <v>65</v>
      </c>
      <c r="F360" s="13" t="s">
        <v>64</v>
      </c>
      <c r="G360" s="13" t="s">
        <v>1886</v>
      </c>
      <c r="H360" s="13" t="s">
        <v>212</v>
      </c>
      <c r="I360" s="13" t="s">
        <v>1887</v>
      </c>
      <c r="J360" s="13" t="s">
        <v>1949</v>
      </c>
      <c r="K360" s="13"/>
      <c r="L360" s="13">
        <v>2542</v>
      </c>
      <c r="M360" s="13">
        <v>2542</v>
      </c>
      <c r="N360" s="13">
        <v>2542</v>
      </c>
      <c r="O360" s="13">
        <v>2542</v>
      </c>
      <c r="P360" s="13" t="s">
        <v>1966</v>
      </c>
      <c r="Q360" s="13"/>
      <c r="R360" s="13" t="s">
        <v>1967</v>
      </c>
      <c r="S360" s="13"/>
      <c r="T360" s="13" t="s">
        <v>1968</v>
      </c>
      <c r="U360" s="14">
        <v>41871</v>
      </c>
      <c r="V360" s="13">
        <v>20</v>
      </c>
      <c r="W360" s="13">
        <v>8</v>
      </c>
      <c r="X360" s="13">
        <v>2014</v>
      </c>
      <c r="Y360" s="13">
        <f>-17.4365166667/-66.1618333333</f>
        <v>0.263543432644331</v>
      </c>
      <c r="Z360" s="13" t="s">
        <v>72</v>
      </c>
      <c r="AA360" s="13">
        <v>-17.437116667000002</v>
      </c>
      <c r="AB360" s="13">
        <v>-66.334116667000004</v>
      </c>
      <c r="AC360" s="13">
        <v>100</v>
      </c>
      <c r="AD360" s="13" t="s">
        <v>73</v>
      </c>
      <c r="AE360" s="13" t="s">
        <v>74</v>
      </c>
      <c r="AF360" s="13"/>
      <c r="AG360" s="13"/>
      <c r="AH360" s="13"/>
      <c r="AI360" s="13" t="s">
        <v>75</v>
      </c>
      <c r="AJ360" s="13"/>
      <c r="AK360" s="13"/>
      <c r="AL360" s="13"/>
      <c r="AM360" s="13"/>
      <c r="AN360" s="13"/>
      <c r="AO360" s="13" t="s">
        <v>87</v>
      </c>
      <c r="AP360" s="20" t="str">
        <f t="shared" si="37"/>
        <v>14</v>
      </c>
      <c r="AQ360" s="13"/>
      <c r="AR360" s="13"/>
      <c r="AS360" s="13"/>
      <c r="AT360" s="13"/>
      <c r="AU360" s="13" t="s">
        <v>130</v>
      </c>
      <c r="AV360" s="20" t="str">
        <f t="shared" si="39"/>
        <v>19</v>
      </c>
      <c r="AW360" s="13"/>
      <c r="AX360" s="13"/>
      <c r="AY360" s="13"/>
      <c r="AZ360" s="13"/>
      <c r="BA360" s="13"/>
      <c r="BB360" s="13"/>
      <c r="BC360" s="13"/>
      <c r="BD360" s="13" t="s">
        <v>1969</v>
      </c>
      <c r="BF360" s="13"/>
      <c r="BG360" s="13"/>
      <c r="BH360" s="13" t="s">
        <v>83</v>
      </c>
      <c r="BI360" s="13"/>
      <c r="BJ360" s="13"/>
      <c r="BK360" s="13"/>
      <c r="BL360" s="13" t="s">
        <v>712</v>
      </c>
      <c r="BM360" s="20" t="str">
        <f t="shared" si="33"/>
        <v>71</v>
      </c>
      <c r="BN360" s="13" t="s">
        <v>99</v>
      </c>
      <c r="BO360" s="20" t="str">
        <f t="shared" si="34"/>
        <v>164</v>
      </c>
      <c r="BP360" s="13"/>
      <c r="BQ360" s="13" t="s">
        <v>200</v>
      </c>
      <c r="BR360" s="20" t="str">
        <f t="shared" si="38"/>
        <v>18.6</v>
      </c>
      <c r="BS360" s="21">
        <f t="shared" si="35"/>
        <v>93</v>
      </c>
    </row>
    <row r="361" spans="1:71" x14ac:dyDescent="0.2">
      <c r="A361" s="13" t="s">
        <v>63</v>
      </c>
      <c r="B361" s="13"/>
      <c r="C361" s="13" t="s">
        <v>1973</v>
      </c>
      <c r="D361" s="13" t="s">
        <v>64</v>
      </c>
      <c r="E361" s="13" t="s">
        <v>65</v>
      </c>
      <c r="F361" s="13" t="s">
        <v>64</v>
      </c>
      <c r="G361" s="13" t="s">
        <v>1886</v>
      </c>
      <c r="H361" s="13" t="s">
        <v>212</v>
      </c>
      <c r="I361" s="13" t="s">
        <v>1887</v>
      </c>
      <c r="J361" s="13" t="s">
        <v>1949</v>
      </c>
      <c r="K361" s="13"/>
      <c r="L361" s="13">
        <v>2552</v>
      </c>
      <c r="M361" s="13">
        <v>2552</v>
      </c>
      <c r="N361" s="13">
        <v>2552</v>
      </c>
      <c r="O361" s="13">
        <v>2552</v>
      </c>
      <c r="P361" s="13" t="s">
        <v>1974</v>
      </c>
      <c r="Q361" s="13"/>
      <c r="R361" s="13" t="s">
        <v>1975</v>
      </c>
      <c r="S361" s="13"/>
      <c r="T361" s="13" t="s">
        <v>1976</v>
      </c>
      <c r="U361" s="14">
        <v>41871</v>
      </c>
      <c r="V361" s="13">
        <v>20</v>
      </c>
      <c r="W361" s="13">
        <v>8</v>
      </c>
      <c r="X361" s="13">
        <v>2014</v>
      </c>
      <c r="Y361" s="13">
        <f>-17.3955833333/-66.3123333333</f>
        <v>0.26232802344423728</v>
      </c>
      <c r="Z361" s="13" t="s">
        <v>72</v>
      </c>
      <c r="AA361" s="13">
        <v>-17.395583333299999</v>
      </c>
      <c r="AB361" s="13">
        <v>-66.312333333300003</v>
      </c>
      <c r="AC361" s="13">
        <v>100</v>
      </c>
      <c r="AD361" s="13" t="s">
        <v>73</v>
      </c>
      <c r="AE361" s="13" t="s">
        <v>74</v>
      </c>
      <c r="AF361" s="13"/>
      <c r="AG361" s="13"/>
      <c r="AH361" s="13"/>
      <c r="AI361" s="13" t="s">
        <v>75</v>
      </c>
      <c r="AJ361" s="13"/>
      <c r="AK361" s="13"/>
      <c r="AL361" s="13"/>
      <c r="AM361" s="13"/>
      <c r="AN361" s="13"/>
      <c r="AO361" s="13" t="s">
        <v>643</v>
      </c>
      <c r="AP361" s="20" t="str">
        <f t="shared" si="37"/>
        <v>14.3</v>
      </c>
      <c r="AQ361" s="13"/>
      <c r="AR361" s="13"/>
      <c r="AS361" s="13"/>
      <c r="AT361" s="13"/>
      <c r="AU361" s="13" t="s">
        <v>1076</v>
      </c>
      <c r="AV361" s="20" t="str">
        <f t="shared" si="39"/>
        <v>18.2</v>
      </c>
      <c r="AW361" s="13"/>
      <c r="AX361" s="13"/>
      <c r="AY361" s="13"/>
      <c r="AZ361" s="13"/>
      <c r="BA361" s="13"/>
      <c r="BB361" s="13"/>
      <c r="BC361" s="13"/>
      <c r="BD361" s="13"/>
      <c r="BF361" s="13"/>
      <c r="BG361" s="13"/>
      <c r="BH361" s="13" t="s">
        <v>83</v>
      </c>
      <c r="BI361" s="13"/>
      <c r="BJ361" s="13"/>
      <c r="BK361" s="13"/>
      <c r="BL361" s="13" t="s">
        <v>113</v>
      </c>
      <c r="BM361" s="20" t="str">
        <f t="shared" si="33"/>
        <v>90</v>
      </c>
      <c r="BN361" s="13" t="s">
        <v>314</v>
      </c>
      <c r="BO361" s="20" t="str">
        <f t="shared" si="34"/>
        <v>183</v>
      </c>
      <c r="BP361" s="13"/>
      <c r="BQ361" s="13" t="s">
        <v>992</v>
      </c>
      <c r="BR361" s="20" t="str">
        <f t="shared" si="38"/>
        <v>18.2</v>
      </c>
      <c r="BS361" s="21">
        <f t="shared" si="35"/>
        <v>93</v>
      </c>
    </row>
    <row r="362" spans="1:71" x14ac:dyDescent="0.2">
      <c r="A362" s="7" t="s">
        <v>63</v>
      </c>
      <c r="B362" s="7" t="s">
        <v>2191</v>
      </c>
      <c r="C362" s="7" t="s">
        <v>1216</v>
      </c>
      <c r="D362" s="7" t="s">
        <v>64</v>
      </c>
      <c r="E362" s="7" t="s">
        <v>65</v>
      </c>
      <c r="F362" s="7" t="s">
        <v>64</v>
      </c>
      <c r="G362" s="7" t="s">
        <v>615</v>
      </c>
      <c r="H362" s="7" t="s">
        <v>67</v>
      </c>
      <c r="I362" s="7" t="s">
        <v>68</v>
      </c>
      <c r="J362" s="7" t="s">
        <v>1136</v>
      </c>
      <c r="K362" s="7" t="s">
        <v>1210</v>
      </c>
      <c r="L362" s="7">
        <v>699</v>
      </c>
      <c r="M362" s="7">
        <v>699</v>
      </c>
      <c r="N362" s="7">
        <v>2292</v>
      </c>
      <c r="O362" s="7">
        <v>2292</v>
      </c>
      <c r="P362" s="7" t="s">
        <v>811</v>
      </c>
      <c r="Q362" s="7"/>
      <c r="R362" s="7" t="s">
        <v>1217</v>
      </c>
      <c r="S362" s="7" t="s">
        <v>825</v>
      </c>
      <c r="T362" s="7" t="s">
        <v>1218</v>
      </c>
      <c r="U362" s="9">
        <v>41069</v>
      </c>
      <c r="V362" s="7">
        <v>9</v>
      </c>
      <c r="W362" s="7">
        <v>6</v>
      </c>
      <c r="X362" s="7">
        <v>2012</v>
      </c>
      <c r="Y362" s="7" t="s">
        <v>1219</v>
      </c>
      <c r="Z362" s="7" t="s">
        <v>72</v>
      </c>
      <c r="AA362" s="7">
        <v>37.089216666699997</v>
      </c>
      <c r="AB362" s="7">
        <v>-113.5314333333</v>
      </c>
      <c r="AC362" s="7"/>
      <c r="AD362" s="7" t="s">
        <v>73</v>
      </c>
      <c r="AE362" s="7" t="s">
        <v>74</v>
      </c>
      <c r="AF362" s="7"/>
      <c r="AG362" s="7"/>
      <c r="AH362" s="7"/>
      <c r="AI362" s="7" t="s">
        <v>75</v>
      </c>
      <c r="AJ362" s="7"/>
      <c r="AK362" s="7"/>
      <c r="AL362" s="7"/>
      <c r="AM362" s="7"/>
      <c r="AN362" s="7"/>
      <c r="AO362" s="7" t="s">
        <v>207</v>
      </c>
      <c r="AP362" s="20" t="str">
        <f t="shared" si="37"/>
        <v>13.5</v>
      </c>
      <c r="AQ362" s="7"/>
      <c r="AR362" s="7"/>
      <c r="AS362" s="7"/>
      <c r="AT362" s="7"/>
      <c r="AU362" s="7" t="s">
        <v>914</v>
      </c>
      <c r="AV362" s="20" t="str">
        <f t="shared" si="39"/>
        <v>18.1</v>
      </c>
      <c r="AW362" s="7"/>
      <c r="AX362" s="7"/>
      <c r="AY362" s="7"/>
      <c r="AZ362" s="7"/>
      <c r="BA362" s="7"/>
      <c r="BB362" s="7"/>
      <c r="BC362" s="7"/>
      <c r="BD362" s="7" t="s">
        <v>152</v>
      </c>
      <c r="BF362" s="7"/>
      <c r="BG362" s="7"/>
      <c r="BH362" s="7" t="s">
        <v>78</v>
      </c>
      <c r="BI362" s="7"/>
      <c r="BJ362" s="7"/>
      <c r="BK362" s="7"/>
      <c r="BL362" s="7" t="s">
        <v>899</v>
      </c>
      <c r="BM362" s="20" t="str">
        <f t="shared" si="33"/>
        <v>82.5</v>
      </c>
      <c r="BN362" s="7" t="s">
        <v>268</v>
      </c>
      <c r="BO362" s="20" t="str">
        <f t="shared" si="34"/>
        <v>176</v>
      </c>
      <c r="BP362" s="7"/>
      <c r="BQ362" s="7" t="s">
        <v>1220</v>
      </c>
      <c r="BR362" s="20" t="str">
        <f t="shared" si="38"/>
        <v>19.4</v>
      </c>
      <c r="BS362" s="21">
        <f t="shared" si="35"/>
        <v>93.5</v>
      </c>
    </row>
    <row r="363" spans="1:71" x14ac:dyDescent="0.2">
      <c r="A363" t="s">
        <v>63</v>
      </c>
      <c r="C363" t="s">
        <v>749</v>
      </c>
      <c r="D363" t="s">
        <v>64</v>
      </c>
      <c r="E363" t="s">
        <v>65</v>
      </c>
      <c r="F363" t="s">
        <v>64</v>
      </c>
      <c r="G363" t="s">
        <v>211</v>
      </c>
      <c r="H363" t="s">
        <v>212</v>
      </c>
      <c r="I363" t="s">
        <v>701</v>
      </c>
      <c r="J363" t="s">
        <v>734</v>
      </c>
      <c r="L363">
        <v>2973</v>
      </c>
      <c r="M363">
        <v>2973</v>
      </c>
      <c r="N363">
        <v>9755</v>
      </c>
      <c r="O363">
        <v>9755</v>
      </c>
      <c r="P363" t="s">
        <v>745</v>
      </c>
      <c r="R363" t="s">
        <v>750</v>
      </c>
      <c r="T363" t="s">
        <v>747</v>
      </c>
      <c r="U363" s="2">
        <v>41228</v>
      </c>
      <c r="V363">
        <v>15</v>
      </c>
      <c r="W363">
        <v>11</v>
      </c>
      <c r="X363">
        <v>2012</v>
      </c>
      <c r="Y363">
        <f>-0.87355/-78.6070833333</f>
        <v>1.111286620693051E-2</v>
      </c>
      <c r="Z363" t="s">
        <v>72</v>
      </c>
      <c r="AA363">
        <v>-0.87355000000000005</v>
      </c>
      <c r="AB363">
        <v>-78.607083333299997</v>
      </c>
      <c r="AD363" t="s">
        <v>96</v>
      </c>
      <c r="AE363" t="s">
        <v>74</v>
      </c>
      <c r="AI363" t="s">
        <v>75</v>
      </c>
      <c r="AO363" t="s">
        <v>77</v>
      </c>
      <c r="AP363" s="20" t="str">
        <f t="shared" si="37"/>
        <v>12</v>
      </c>
      <c r="AU363" t="s">
        <v>121</v>
      </c>
      <c r="AV363" s="20" t="str">
        <f t="shared" si="39"/>
        <v>18</v>
      </c>
      <c r="BD363" t="s">
        <v>152</v>
      </c>
      <c r="BH363" t="s">
        <v>78</v>
      </c>
      <c r="BL363" t="s">
        <v>189</v>
      </c>
      <c r="BM363" s="20" t="str">
        <f t="shared" ref="BM363:BM426" si="40">LEFT(BL363,FIND("^^",SUBSTITUTE(BL363," ","^^",LEN(BL363)-LEN(SUBSTITUTE(BL363," ",""))))-1)</f>
        <v>82</v>
      </c>
      <c r="BN363" t="s">
        <v>268</v>
      </c>
      <c r="BO363" s="20" t="str">
        <f t="shared" ref="BO363:BO426" si="41">LEFT(BN363,FIND("^^",SUBSTITUTE(BN363," ","^^",LEN(BN363)-LEN(SUBSTITUTE(BN363," ",""))))-1)</f>
        <v>176</v>
      </c>
      <c r="BQ363" t="s">
        <v>262</v>
      </c>
      <c r="BR363" s="20" t="str">
        <f t="shared" si="38"/>
        <v>12.5</v>
      </c>
      <c r="BS363" s="21">
        <f t="shared" ref="BS363:BS429" si="42">(BO363-BM363)</f>
        <v>94</v>
      </c>
    </row>
    <row r="364" spans="1:71" x14ac:dyDescent="0.2">
      <c r="A364" t="s">
        <v>63</v>
      </c>
      <c r="C364" t="s">
        <v>2088</v>
      </c>
      <c r="D364" t="s">
        <v>64</v>
      </c>
      <c r="E364" t="s">
        <v>65</v>
      </c>
      <c r="F364" t="s">
        <v>64</v>
      </c>
      <c r="G364" t="s">
        <v>211</v>
      </c>
      <c r="H364" t="s">
        <v>67</v>
      </c>
      <c r="I364" t="s">
        <v>68</v>
      </c>
      <c r="J364" t="s">
        <v>2031</v>
      </c>
      <c r="K364" t="s">
        <v>1054</v>
      </c>
      <c r="L364">
        <v>3065</v>
      </c>
      <c r="M364">
        <v>3065</v>
      </c>
      <c r="N364">
        <v>10056</v>
      </c>
      <c r="O364">
        <v>10056</v>
      </c>
      <c r="P364" t="s">
        <v>2089</v>
      </c>
      <c r="R364" t="s">
        <v>2090</v>
      </c>
      <c r="S364" t="s">
        <v>2091</v>
      </c>
      <c r="T364" t="s">
        <v>2092</v>
      </c>
      <c r="U364" s="1">
        <v>41187</v>
      </c>
      <c r="V364">
        <v>5</v>
      </c>
      <c r="W364">
        <v>10</v>
      </c>
      <c r="X364">
        <v>2012</v>
      </c>
      <c r="Y364" t="s">
        <v>2093</v>
      </c>
      <c r="Z364" t="s">
        <v>72</v>
      </c>
      <c r="AA364">
        <v>39.243033333299998</v>
      </c>
      <c r="AB364">
        <v>-106.2968</v>
      </c>
      <c r="AC364">
        <v>100</v>
      </c>
      <c r="AD364" t="s">
        <v>96</v>
      </c>
      <c r="AE364" t="s">
        <v>74</v>
      </c>
      <c r="AI364" t="s">
        <v>75</v>
      </c>
      <c r="AO364" t="s">
        <v>76</v>
      </c>
      <c r="AP364" s="20" t="str">
        <f t="shared" si="37"/>
        <v>13</v>
      </c>
      <c r="AU364" t="s">
        <v>82</v>
      </c>
      <c r="AV364" s="20" t="str">
        <f t="shared" si="39"/>
        <v>17</v>
      </c>
      <c r="BD364" t="s">
        <v>152</v>
      </c>
      <c r="BH364" t="s">
        <v>78</v>
      </c>
      <c r="BL364" t="s">
        <v>346</v>
      </c>
      <c r="BM364" s="20" t="str">
        <f t="shared" si="40"/>
        <v>87</v>
      </c>
      <c r="BN364" t="s">
        <v>580</v>
      </c>
      <c r="BO364" s="20" t="str">
        <f t="shared" si="41"/>
        <v>181</v>
      </c>
      <c r="BQ364" t="s">
        <v>195</v>
      </c>
      <c r="BR364" s="20" t="str">
        <f t="shared" si="38"/>
        <v>17</v>
      </c>
      <c r="BS364" s="21">
        <f t="shared" si="42"/>
        <v>94</v>
      </c>
    </row>
    <row r="365" spans="1:71" x14ac:dyDescent="0.2">
      <c r="A365" t="s">
        <v>63</v>
      </c>
      <c r="B365" t="s">
        <v>2323</v>
      </c>
      <c r="C365" t="s">
        <v>894</v>
      </c>
      <c r="D365" t="s">
        <v>64</v>
      </c>
      <c r="E365" t="s">
        <v>65</v>
      </c>
      <c r="F365" t="s">
        <v>64</v>
      </c>
      <c r="G365" t="s">
        <v>615</v>
      </c>
      <c r="H365" t="s">
        <v>67</v>
      </c>
      <c r="I365" t="s">
        <v>788</v>
      </c>
      <c r="J365" t="s">
        <v>789</v>
      </c>
      <c r="K365" t="s">
        <v>822</v>
      </c>
      <c r="L365">
        <v>712</v>
      </c>
      <c r="M365">
        <v>712</v>
      </c>
      <c r="N365">
        <v>2336</v>
      </c>
      <c r="O365">
        <v>2336</v>
      </c>
      <c r="P365" t="s">
        <v>886</v>
      </c>
      <c r="R365" t="s">
        <v>887</v>
      </c>
      <c r="S365" t="s">
        <v>888</v>
      </c>
      <c r="T365" t="s">
        <v>892</v>
      </c>
      <c r="U365" s="2">
        <v>41124</v>
      </c>
      <c r="V365">
        <v>3</v>
      </c>
      <c r="W365">
        <v>8</v>
      </c>
      <c r="X365">
        <v>2012</v>
      </c>
      <c r="Y365" t="s">
        <v>890</v>
      </c>
      <c r="Z365" t="s">
        <v>72</v>
      </c>
      <c r="AA365">
        <v>53.407866666700002</v>
      </c>
      <c r="AB365">
        <v>-113.90711666670001</v>
      </c>
      <c r="AD365" t="s">
        <v>73</v>
      </c>
      <c r="AE365" t="s">
        <v>74</v>
      </c>
      <c r="AI365" t="s">
        <v>75</v>
      </c>
      <c r="AO365" t="s">
        <v>858</v>
      </c>
      <c r="AP365" s="20" t="str">
        <f t="shared" si="37"/>
        <v>14.6</v>
      </c>
      <c r="AU365" t="s">
        <v>675</v>
      </c>
      <c r="AV365" s="20" t="str">
        <f t="shared" si="39"/>
        <v>19.4</v>
      </c>
      <c r="BD365" t="s">
        <v>895</v>
      </c>
      <c r="BH365" t="s">
        <v>78</v>
      </c>
      <c r="BL365" t="s">
        <v>147</v>
      </c>
      <c r="BM365" s="20" t="str">
        <f t="shared" si="40"/>
        <v>84</v>
      </c>
      <c r="BN365" t="s">
        <v>347</v>
      </c>
      <c r="BO365" s="20" t="str">
        <f t="shared" si="41"/>
        <v>178</v>
      </c>
      <c r="BQ365" t="s">
        <v>683</v>
      </c>
      <c r="BR365" s="20" t="str">
        <f t="shared" si="38"/>
        <v>21.8</v>
      </c>
      <c r="BS365" s="21">
        <f t="shared" si="42"/>
        <v>94</v>
      </c>
    </row>
    <row r="366" spans="1:71" x14ac:dyDescent="0.2">
      <c r="A366" s="10" t="s">
        <v>63</v>
      </c>
      <c r="B366" s="10" t="s">
        <v>2251</v>
      </c>
      <c r="C366" s="10" t="s">
        <v>312</v>
      </c>
      <c r="D366" s="10" t="s">
        <v>64</v>
      </c>
      <c r="E366" s="10" t="s">
        <v>65</v>
      </c>
      <c r="F366" s="10" t="s">
        <v>64</v>
      </c>
      <c r="G366" s="10" t="s">
        <v>211</v>
      </c>
      <c r="H366" s="10" t="s">
        <v>212</v>
      </c>
      <c r="I366" s="10" t="s">
        <v>213</v>
      </c>
      <c r="J366" s="10" t="s">
        <v>293</v>
      </c>
      <c r="K366" s="10"/>
      <c r="L366" s="10">
        <v>16</v>
      </c>
      <c r="M366" s="10">
        <v>16</v>
      </c>
      <c r="N366" s="10">
        <v>52</v>
      </c>
      <c r="O366" s="10">
        <v>52</v>
      </c>
      <c r="P366" s="10" t="s">
        <v>310</v>
      </c>
      <c r="Q366" s="10"/>
      <c r="R366" s="10" t="s">
        <v>294</v>
      </c>
      <c r="S366" s="10" t="s">
        <v>299</v>
      </c>
      <c r="T366" s="10" t="s">
        <v>311</v>
      </c>
      <c r="U366" s="11">
        <v>41339</v>
      </c>
      <c r="V366" s="10">
        <v>6</v>
      </c>
      <c r="W366" s="10">
        <v>3</v>
      </c>
      <c r="X366" s="10">
        <v>2013</v>
      </c>
      <c r="Y366" s="10">
        <f>-43.3216666667/-65.5386666667</f>
        <v>0.66100927696644174</v>
      </c>
      <c r="Z366" s="10" t="s">
        <v>72</v>
      </c>
      <c r="AA366" s="10">
        <v>-43.321666666699997</v>
      </c>
      <c r="AB366" s="10">
        <v>-65.538666666699996</v>
      </c>
      <c r="AC366" s="10"/>
      <c r="AD366" s="10" t="s">
        <v>73</v>
      </c>
      <c r="AE366" s="10" t="s">
        <v>74</v>
      </c>
      <c r="AF366" s="10"/>
      <c r="AG366" s="10"/>
      <c r="AH366" s="10"/>
      <c r="AI366" s="10"/>
      <c r="AJ366" s="10"/>
      <c r="AK366" s="10"/>
      <c r="AL366" s="10"/>
      <c r="AM366" s="10"/>
      <c r="AN366" s="10"/>
      <c r="AO366" s="10" t="s">
        <v>88</v>
      </c>
      <c r="AP366" s="20" t="str">
        <f t="shared" si="37"/>
        <v>15</v>
      </c>
      <c r="AQ366" s="10"/>
      <c r="AR366" s="10"/>
      <c r="AS366" s="10"/>
      <c r="AT366" s="10"/>
      <c r="AU366" s="10" t="s">
        <v>121</v>
      </c>
      <c r="AV366" s="20" t="str">
        <f t="shared" si="39"/>
        <v>18</v>
      </c>
      <c r="AW366" s="10"/>
      <c r="AX366" s="10"/>
      <c r="AY366" s="10"/>
      <c r="AZ366" s="10"/>
      <c r="BA366" s="10"/>
      <c r="BB366" s="10"/>
      <c r="BC366" s="10"/>
      <c r="BD366" s="10" t="s">
        <v>241</v>
      </c>
      <c r="BE366" s="20" t="s">
        <v>241</v>
      </c>
      <c r="BF366" s="10"/>
      <c r="BG366" s="10"/>
      <c r="BH366" s="10" t="s">
        <v>78</v>
      </c>
      <c r="BI366" s="10"/>
      <c r="BJ366" s="10"/>
      <c r="BK366" s="10"/>
      <c r="BL366" s="10" t="s">
        <v>313</v>
      </c>
      <c r="BM366" s="20" t="str">
        <f t="shared" si="40"/>
        <v>89</v>
      </c>
      <c r="BN366" s="10" t="s">
        <v>314</v>
      </c>
      <c r="BO366" s="20" t="str">
        <f t="shared" si="41"/>
        <v>183</v>
      </c>
      <c r="BP366" s="10"/>
      <c r="BQ366" s="10" t="s">
        <v>315</v>
      </c>
      <c r="BR366" s="20" t="str">
        <f t="shared" si="38"/>
        <v>14.75</v>
      </c>
      <c r="BS366" s="21">
        <f t="shared" si="42"/>
        <v>94</v>
      </c>
    </row>
    <row r="367" spans="1:71" x14ac:dyDescent="0.2">
      <c r="A367" s="4" t="s">
        <v>63</v>
      </c>
      <c r="B367" s="4" t="s">
        <v>2170</v>
      </c>
      <c r="C367" s="4" t="s">
        <v>1865</v>
      </c>
      <c r="D367" s="4" t="s">
        <v>64</v>
      </c>
      <c r="E367" s="4" t="s">
        <v>65</v>
      </c>
      <c r="F367" s="4" t="s">
        <v>64</v>
      </c>
      <c r="G367" s="4" t="s">
        <v>134</v>
      </c>
      <c r="H367" s="4" t="s">
        <v>67</v>
      </c>
      <c r="I367" s="4" t="s">
        <v>68</v>
      </c>
      <c r="J367" s="4" t="s">
        <v>1858</v>
      </c>
      <c r="K367" s="4" t="s">
        <v>1859</v>
      </c>
      <c r="L367" s="4">
        <v>156</v>
      </c>
      <c r="M367" s="4">
        <v>156</v>
      </c>
      <c r="N367" s="4">
        <v>156</v>
      </c>
      <c r="O367" s="4">
        <v>156</v>
      </c>
      <c r="P367" s="4" t="s">
        <v>1860</v>
      </c>
      <c r="Q367" s="4"/>
      <c r="R367" s="4" t="s">
        <v>1861</v>
      </c>
      <c r="S367" s="4"/>
      <c r="T367" s="4" t="s">
        <v>1862</v>
      </c>
      <c r="U367" s="5">
        <v>41115</v>
      </c>
      <c r="V367" s="4">
        <v>25</v>
      </c>
      <c r="W367" s="4">
        <v>7</v>
      </c>
      <c r="X367" s="4">
        <v>2012</v>
      </c>
      <c r="Y367" s="4" t="s">
        <v>1866</v>
      </c>
      <c r="Z367" s="4" t="s">
        <v>72</v>
      </c>
      <c r="AA367" s="4">
        <v>43.926090000000002</v>
      </c>
      <c r="AB367" s="4">
        <v>-72.115849999999995</v>
      </c>
      <c r="AC367" s="4">
        <v>100</v>
      </c>
      <c r="AD367" s="4" t="s">
        <v>73</v>
      </c>
      <c r="AE367" s="4" t="s">
        <v>74</v>
      </c>
      <c r="AF367" s="4"/>
      <c r="AG367" s="4"/>
      <c r="AH367" s="4"/>
      <c r="AI367" s="4"/>
      <c r="AJ367" s="4"/>
      <c r="AK367" s="4"/>
      <c r="AL367" s="4"/>
      <c r="AM367" s="4"/>
      <c r="AN367" s="4"/>
      <c r="AO367" s="4" t="s">
        <v>87</v>
      </c>
      <c r="AP367" s="20" t="str">
        <f t="shared" si="37"/>
        <v>14</v>
      </c>
      <c r="AQ367" s="4"/>
      <c r="AR367" s="4"/>
      <c r="AS367" s="4"/>
      <c r="AT367" s="4"/>
      <c r="AU367" s="4" t="s">
        <v>130</v>
      </c>
      <c r="AV367" s="20" t="str">
        <f t="shared" si="39"/>
        <v>19</v>
      </c>
      <c r="AW367" s="4"/>
      <c r="AX367" s="4"/>
      <c r="AY367" s="4"/>
      <c r="AZ367" s="4"/>
      <c r="BA367" s="4"/>
      <c r="BB367" s="4"/>
      <c r="BC367" s="4"/>
      <c r="BD367" s="4" t="s">
        <v>1867</v>
      </c>
      <c r="BE367" s="20" t="s">
        <v>241</v>
      </c>
      <c r="BF367" s="4"/>
      <c r="BG367" s="4"/>
      <c r="BH367" s="4" t="s">
        <v>78</v>
      </c>
      <c r="BI367" s="4"/>
      <c r="BJ367" s="4"/>
      <c r="BK367" s="4"/>
      <c r="BL367" s="4" t="s">
        <v>520</v>
      </c>
      <c r="BM367" s="20" t="str">
        <f t="shared" si="40"/>
        <v>93</v>
      </c>
      <c r="BN367" s="4" t="s">
        <v>622</v>
      </c>
      <c r="BO367" s="20" t="str">
        <f t="shared" si="41"/>
        <v>187</v>
      </c>
      <c r="BP367" s="4"/>
      <c r="BQ367" s="4" t="s">
        <v>698</v>
      </c>
      <c r="BR367" s="20" t="str">
        <f t="shared" si="38"/>
        <v>23.75</v>
      </c>
      <c r="BS367" s="21">
        <f t="shared" si="42"/>
        <v>94</v>
      </c>
    </row>
    <row r="368" spans="1:71" x14ac:dyDescent="0.2">
      <c r="A368" s="10" t="s">
        <v>63</v>
      </c>
      <c r="B368" s="10" t="s">
        <v>2288</v>
      </c>
      <c r="C368" s="10" t="s">
        <v>541</v>
      </c>
      <c r="D368" s="10" t="s">
        <v>64</v>
      </c>
      <c r="E368" s="10" t="s">
        <v>65</v>
      </c>
      <c r="F368" s="10" t="s">
        <v>64</v>
      </c>
      <c r="G368" s="10" t="s">
        <v>211</v>
      </c>
      <c r="H368" s="10" t="s">
        <v>212</v>
      </c>
      <c r="I368" s="10" t="s">
        <v>383</v>
      </c>
      <c r="J368" s="10" t="s">
        <v>492</v>
      </c>
      <c r="K368" s="10"/>
      <c r="L368" s="10">
        <v>86</v>
      </c>
      <c r="M368" s="10">
        <v>86</v>
      </c>
      <c r="N368" s="10">
        <v>282</v>
      </c>
      <c r="O368" s="10">
        <v>282</v>
      </c>
      <c r="P368" s="10" t="s">
        <v>542</v>
      </c>
      <c r="Q368" s="10"/>
      <c r="R368" s="10" t="s">
        <v>494</v>
      </c>
      <c r="S368" s="10" t="s">
        <v>526</v>
      </c>
      <c r="T368" s="10" t="s">
        <v>543</v>
      </c>
      <c r="U368" s="11">
        <v>41535</v>
      </c>
      <c r="V368" s="10">
        <v>18</v>
      </c>
      <c r="W368" s="10">
        <v>9</v>
      </c>
      <c r="X368" s="10">
        <v>2013</v>
      </c>
      <c r="Y368" s="10">
        <f>-8.7723333333/-63.8001666667</f>
        <v>0.13749702848156745</v>
      </c>
      <c r="Z368" s="10" t="s">
        <v>72</v>
      </c>
      <c r="AA368" s="10">
        <v>-8.7762499999999992</v>
      </c>
      <c r="AB368" s="10">
        <v>-63.800277780000002</v>
      </c>
      <c r="AC368" s="10"/>
      <c r="AD368" s="10" t="s">
        <v>73</v>
      </c>
      <c r="AE368" s="10" t="s">
        <v>74</v>
      </c>
      <c r="AF368" s="10"/>
      <c r="AG368" s="10"/>
      <c r="AH368" s="10"/>
      <c r="AI368" s="10"/>
      <c r="AJ368" s="10"/>
      <c r="AK368" s="10"/>
      <c r="AL368" s="10"/>
      <c r="AM368" s="10"/>
      <c r="AN368" s="10"/>
      <c r="AO368" s="10" t="s">
        <v>87</v>
      </c>
      <c r="AP368" s="20" t="str">
        <f t="shared" si="37"/>
        <v>14</v>
      </c>
      <c r="AQ368" s="10"/>
      <c r="AR368" s="10"/>
      <c r="AS368" s="10"/>
      <c r="AT368" s="10"/>
      <c r="AU368" s="10" t="s">
        <v>82</v>
      </c>
      <c r="AV368" s="20" t="str">
        <f t="shared" si="39"/>
        <v>17</v>
      </c>
      <c r="AW368" s="10"/>
      <c r="AX368" s="10"/>
      <c r="AY368" s="10"/>
      <c r="AZ368" s="10"/>
      <c r="BA368" s="10"/>
      <c r="BB368" s="10"/>
      <c r="BC368" s="10"/>
      <c r="BD368" s="10" t="s">
        <v>544</v>
      </c>
      <c r="BE368" s="20" t="s">
        <v>241</v>
      </c>
      <c r="BF368" s="10"/>
      <c r="BG368" s="10"/>
      <c r="BH368" s="10" t="s">
        <v>78</v>
      </c>
      <c r="BI368" s="10"/>
      <c r="BJ368" s="10"/>
      <c r="BK368" s="10"/>
      <c r="BL368" s="10" t="s">
        <v>136</v>
      </c>
      <c r="BM368" s="20" t="str">
        <f t="shared" si="40"/>
        <v>75</v>
      </c>
      <c r="BN368" s="10" t="s">
        <v>367</v>
      </c>
      <c r="BO368" s="20" t="str">
        <f t="shared" si="41"/>
        <v>169</v>
      </c>
      <c r="BP368" s="10"/>
      <c r="BQ368" s="10" t="s">
        <v>133</v>
      </c>
      <c r="BR368" s="20" t="str">
        <f t="shared" si="38"/>
        <v>14</v>
      </c>
      <c r="BS368" s="21">
        <f t="shared" si="42"/>
        <v>94</v>
      </c>
    </row>
    <row r="369" spans="1:72" x14ac:dyDescent="0.2">
      <c r="A369" s="13" t="s">
        <v>63</v>
      </c>
      <c r="B369" s="13"/>
      <c r="C369" s="13" t="s">
        <v>2068</v>
      </c>
      <c r="D369" s="13" t="s">
        <v>64</v>
      </c>
      <c r="E369" s="13" t="s">
        <v>65</v>
      </c>
      <c r="F369" s="13" t="s">
        <v>64</v>
      </c>
      <c r="G369" s="13" t="s">
        <v>1886</v>
      </c>
      <c r="H369" s="13" t="s">
        <v>212</v>
      </c>
      <c r="I369" s="13" t="s">
        <v>1887</v>
      </c>
      <c r="J369" s="13" t="s">
        <v>1888</v>
      </c>
      <c r="K369" s="13"/>
      <c r="L369" s="13">
        <v>3816</v>
      </c>
      <c r="M369" s="13">
        <v>3816</v>
      </c>
      <c r="N369" s="13">
        <v>3816</v>
      </c>
      <c r="O369" s="13">
        <v>3816</v>
      </c>
      <c r="P369" s="13" t="s">
        <v>2069</v>
      </c>
      <c r="Q369" s="13"/>
      <c r="R369" s="13" t="s">
        <v>2048</v>
      </c>
      <c r="S369" s="13"/>
      <c r="T369" s="13" t="s">
        <v>2070</v>
      </c>
      <c r="U369" s="15">
        <v>41887</v>
      </c>
      <c r="V369" s="13">
        <v>5</v>
      </c>
      <c r="W369" s="13">
        <v>9</v>
      </c>
      <c r="X369" s="13">
        <v>2014</v>
      </c>
      <c r="Y369" s="13">
        <f>-16.2530833333/-68.5672333333</f>
        <v>0.23703863409939593</v>
      </c>
      <c r="Z369" s="13" t="s">
        <v>72</v>
      </c>
      <c r="AA369" s="13">
        <v>-16.253083333300001</v>
      </c>
      <c r="AB369" s="13">
        <v>-68.567233333299995</v>
      </c>
      <c r="AC369" s="13">
        <v>100</v>
      </c>
      <c r="AD369" s="13" t="s">
        <v>73</v>
      </c>
      <c r="AE369" s="13" t="s">
        <v>74</v>
      </c>
      <c r="AF369" s="13"/>
      <c r="AG369" s="13"/>
      <c r="AH369" s="13"/>
      <c r="AI369" s="13"/>
      <c r="AJ369" s="13"/>
      <c r="AK369" s="13"/>
      <c r="AL369" s="13"/>
      <c r="AM369" s="13"/>
      <c r="AN369" s="13"/>
      <c r="AO369" s="13" t="s">
        <v>88</v>
      </c>
      <c r="AP369" s="20" t="str">
        <f t="shared" si="37"/>
        <v>15</v>
      </c>
      <c r="AQ369" s="13"/>
      <c r="AR369" s="13"/>
      <c r="AS369" s="13"/>
      <c r="AT369" s="13"/>
      <c r="AU369" s="13" t="s">
        <v>620</v>
      </c>
      <c r="AV369" s="20" t="str">
        <f t="shared" si="39"/>
        <v>19.8</v>
      </c>
      <c r="AW369" s="13"/>
      <c r="AX369" s="13"/>
      <c r="AY369" s="13"/>
      <c r="AZ369" s="13"/>
      <c r="BA369" s="13"/>
      <c r="BB369" s="13"/>
      <c r="BC369" s="13"/>
      <c r="BD369" s="13" t="s">
        <v>2071</v>
      </c>
      <c r="BF369" s="13"/>
      <c r="BG369" s="13"/>
      <c r="BH369" s="13" t="s">
        <v>83</v>
      </c>
      <c r="BI369" s="13"/>
      <c r="BJ369" s="13"/>
      <c r="BK369" s="13"/>
      <c r="BL369" s="13" t="s">
        <v>633</v>
      </c>
      <c r="BM369" s="20" t="str">
        <f t="shared" si="40"/>
        <v>96</v>
      </c>
      <c r="BN369" s="13" t="s">
        <v>637</v>
      </c>
      <c r="BO369" s="20" t="str">
        <f t="shared" si="41"/>
        <v>190</v>
      </c>
      <c r="BP369" s="13"/>
      <c r="BQ369" s="13" t="s">
        <v>1143</v>
      </c>
      <c r="BR369" s="20" t="str">
        <f t="shared" si="38"/>
        <v>16.6</v>
      </c>
      <c r="BS369" s="21">
        <f t="shared" si="42"/>
        <v>94</v>
      </c>
    </row>
    <row r="370" spans="1:72" x14ac:dyDescent="0.2">
      <c r="A370" s="13" t="s">
        <v>63</v>
      </c>
      <c r="B370" s="13"/>
      <c r="C370" s="13" t="s">
        <v>1537</v>
      </c>
      <c r="D370" s="13" t="s">
        <v>64</v>
      </c>
      <c r="E370" s="13" t="s">
        <v>65</v>
      </c>
      <c r="F370" s="13" t="s">
        <v>64</v>
      </c>
      <c r="G370" s="13" t="s">
        <v>211</v>
      </c>
      <c r="H370" s="13" t="s">
        <v>212</v>
      </c>
      <c r="I370" s="13" t="s">
        <v>701</v>
      </c>
      <c r="J370" s="13" t="s">
        <v>702</v>
      </c>
      <c r="K370" s="13"/>
      <c r="L370" s="13">
        <v>2557</v>
      </c>
      <c r="M370" s="13">
        <v>2557</v>
      </c>
      <c r="N370" s="13">
        <v>8389</v>
      </c>
      <c r="O370" s="13">
        <v>8389</v>
      </c>
      <c r="P370" s="13" t="s">
        <v>1538</v>
      </c>
      <c r="Q370" s="13"/>
      <c r="R370" s="13" t="s">
        <v>1539</v>
      </c>
      <c r="S370" s="13"/>
      <c r="T370" s="13" t="s">
        <v>1540</v>
      </c>
      <c r="U370" s="14">
        <v>41235</v>
      </c>
      <c r="V370" s="13">
        <v>22</v>
      </c>
      <c r="W370" s="13">
        <v>11</v>
      </c>
      <c r="X370" s="13">
        <v>2012</v>
      </c>
      <c r="Y370" s="13">
        <f>-0.17635/-78.32885</f>
        <v>2.2514054527801699E-3</v>
      </c>
      <c r="Z370" s="13" t="s">
        <v>72</v>
      </c>
      <c r="AA370" s="13">
        <v>-0.17635000000000001</v>
      </c>
      <c r="AB370" s="13">
        <v>-78.328850000000003</v>
      </c>
      <c r="AC370" s="13"/>
      <c r="AD370" s="13" t="s">
        <v>96</v>
      </c>
      <c r="AE370" s="13" t="s">
        <v>74</v>
      </c>
      <c r="AF370" s="13"/>
      <c r="AG370" s="13"/>
      <c r="AH370" s="13"/>
      <c r="AI370" s="13" t="s">
        <v>75</v>
      </c>
      <c r="AJ370" s="13"/>
      <c r="AK370" s="13"/>
      <c r="AL370" s="13"/>
      <c r="AM370" s="13"/>
      <c r="AN370" s="13"/>
      <c r="AO370" s="13" t="s">
        <v>88</v>
      </c>
      <c r="AP370" s="20" t="str">
        <f t="shared" si="37"/>
        <v>15</v>
      </c>
      <c r="AQ370" s="13"/>
      <c r="AR370" s="13"/>
      <c r="AS370" s="13"/>
      <c r="AT370" s="13"/>
      <c r="AU370" s="13" t="s">
        <v>121</v>
      </c>
      <c r="AV370" s="20" t="str">
        <f t="shared" si="39"/>
        <v>18</v>
      </c>
      <c r="AW370" s="13"/>
      <c r="AX370" s="13"/>
      <c r="AY370" s="13"/>
      <c r="AZ370" s="13"/>
      <c r="BA370" s="13"/>
      <c r="BB370" s="13"/>
      <c r="BC370" s="13"/>
      <c r="BD370" s="13" t="s">
        <v>1541</v>
      </c>
      <c r="BF370" s="13"/>
      <c r="BG370" s="13"/>
      <c r="BH370" s="13" t="s">
        <v>83</v>
      </c>
      <c r="BI370" s="13"/>
      <c r="BJ370" s="13"/>
      <c r="BK370" s="13"/>
      <c r="BL370" s="13" t="s">
        <v>153</v>
      </c>
      <c r="BM370" s="20" t="str">
        <f t="shared" si="40"/>
        <v>81</v>
      </c>
      <c r="BN370" s="13" t="s">
        <v>132</v>
      </c>
      <c r="BO370" s="20" t="str">
        <f t="shared" si="41"/>
        <v>175</v>
      </c>
      <c r="BP370" s="13"/>
      <c r="BQ370" s="13" t="s">
        <v>195</v>
      </c>
      <c r="BR370" s="20" t="str">
        <f t="shared" si="38"/>
        <v>17</v>
      </c>
      <c r="BS370" s="21">
        <f t="shared" si="42"/>
        <v>94</v>
      </c>
    </row>
    <row r="371" spans="1:72" x14ac:dyDescent="0.2">
      <c r="A371" t="s">
        <v>63</v>
      </c>
      <c r="B371" t="s">
        <v>2389</v>
      </c>
      <c r="C371" t="s">
        <v>1491</v>
      </c>
      <c r="D371" t="s">
        <v>64</v>
      </c>
      <c r="E371" t="s">
        <v>65</v>
      </c>
      <c r="F371" t="s">
        <v>64</v>
      </c>
      <c r="G371" t="s">
        <v>211</v>
      </c>
      <c r="H371" t="s">
        <v>212</v>
      </c>
      <c r="I371" t="s">
        <v>701</v>
      </c>
      <c r="J371" t="s">
        <v>1466</v>
      </c>
      <c r="L371">
        <v>320</v>
      </c>
      <c r="M371">
        <v>320</v>
      </c>
      <c r="N371">
        <v>1050</v>
      </c>
      <c r="O371">
        <v>1050</v>
      </c>
      <c r="P371" t="s">
        <v>1487</v>
      </c>
      <c r="R371" t="s">
        <v>1488</v>
      </c>
      <c r="T371" t="s">
        <v>1489</v>
      </c>
      <c r="U371" s="2">
        <v>41253</v>
      </c>
      <c r="V371">
        <v>10</v>
      </c>
      <c r="W371">
        <v>12</v>
      </c>
      <c r="X371">
        <v>2012</v>
      </c>
      <c r="Y371">
        <f>-0.2439166667/-79.3369333333</f>
        <v>3.0744403199363538E-3</v>
      </c>
      <c r="Z371" t="s">
        <v>72</v>
      </c>
      <c r="AA371">
        <v>-0.24391666670000001</v>
      </c>
      <c r="AB371">
        <v>-79.336933333299996</v>
      </c>
      <c r="AD371" t="s">
        <v>96</v>
      </c>
      <c r="AE371" t="s">
        <v>74</v>
      </c>
      <c r="AI371" t="s">
        <v>75</v>
      </c>
      <c r="AO371" t="s">
        <v>76</v>
      </c>
      <c r="AP371" s="20" t="str">
        <f t="shared" si="37"/>
        <v>13</v>
      </c>
      <c r="AU371" t="s">
        <v>130</v>
      </c>
      <c r="AV371" s="20" t="str">
        <f t="shared" si="39"/>
        <v>19</v>
      </c>
      <c r="BD371" t="s">
        <v>1372</v>
      </c>
      <c r="BH371" t="s">
        <v>83</v>
      </c>
      <c r="BL371" t="s">
        <v>147</v>
      </c>
      <c r="BM371" s="20" t="str">
        <f t="shared" si="40"/>
        <v>84</v>
      </c>
      <c r="BN371" t="s">
        <v>347</v>
      </c>
      <c r="BO371" s="20" t="str">
        <f t="shared" si="41"/>
        <v>178</v>
      </c>
      <c r="BQ371" t="s">
        <v>255</v>
      </c>
      <c r="BR371" s="20" t="str">
        <f t="shared" si="38"/>
        <v>11.5</v>
      </c>
      <c r="BS371" s="21">
        <f t="shared" si="42"/>
        <v>94</v>
      </c>
    </row>
    <row r="372" spans="1:72" x14ac:dyDescent="0.2">
      <c r="A372" s="13" t="s">
        <v>63</v>
      </c>
      <c r="B372" s="13"/>
      <c r="C372" s="13" t="s">
        <v>1395</v>
      </c>
      <c r="D372" s="13" t="s">
        <v>64</v>
      </c>
      <c r="E372" s="13" t="s">
        <v>65</v>
      </c>
      <c r="F372" s="13" t="s">
        <v>64</v>
      </c>
      <c r="G372" s="13" t="s">
        <v>211</v>
      </c>
      <c r="H372" s="13" t="s">
        <v>212</v>
      </c>
      <c r="I372" s="13" t="s">
        <v>701</v>
      </c>
      <c r="J372" s="13" t="s">
        <v>702</v>
      </c>
      <c r="K372" s="13"/>
      <c r="L372" s="13">
        <v>1577</v>
      </c>
      <c r="M372" s="13">
        <v>1577</v>
      </c>
      <c r="N372" s="13">
        <v>5173</v>
      </c>
      <c r="O372" s="13">
        <v>5173</v>
      </c>
      <c r="P372" s="13" t="s">
        <v>1390</v>
      </c>
      <c r="Q372" s="13"/>
      <c r="R372" s="13" t="s">
        <v>1391</v>
      </c>
      <c r="S372" s="13"/>
      <c r="T372" s="13" t="s">
        <v>1392</v>
      </c>
      <c r="U372" s="14">
        <v>41246</v>
      </c>
      <c r="V372" s="13">
        <v>3</v>
      </c>
      <c r="W372" s="13">
        <v>12</v>
      </c>
      <c r="X372" s="13">
        <v>2012</v>
      </c>
      <c r="Y372" s="13" t="s">
        <v>1396</v>
      </c>
      <c r="Z372" s="13" t="s">
        <v>72</v>
      </c>
      <c r="AA372" s="13">
        <v>1.1783333300000001E-2</v>
      </c>
      <c r="AB372" s="13">
        <v>-78.672466666700004</v>
      </c>
      <c r="AC372" s="13"/>
      <c r="AD372" s="13" t="s">
        <v>96</v>
      </c>
      <c r="AE372" s="13" t="s">
        <v>74</v>
      </c>
      <c r="AF372" s="13"/>
      <c r="AG372" s="13"/>
      <c r="AH372" s="13"/>
      <c r="AI372" s="13" t="s">
        <v>75</v>
      </c>
      <c r="AJ372" s="13"/>
      <c r="AK372" s="13"/>
      <c r="AL372" s="13"/>
      <c r="AM372" s="13"/>
      <c r="AN372" s="13"/>
      <c r="AO372" s="13" t="s">
        <v>344</v>
      </c>
      <c r="AP372" s="20" t="str">
        <f t="shared" si="37"/>
        <v>16</v>
      </c>
      <c r="AQ372" s="13"/>
      <c r="AR372" s="13"/>
      <c r="AS372" s="13"/>
      <c r="AT372" s="13"/>
      <c r="AU372" s="13" t="s">
        <v>121</v>
      </c>
      <c r="AV372" s="20" t="str">
        <f t="shared" si="39"/>
        <v>18</v>
      </c>
      <c r="AW372" s="13"/>
      <c r="AX372" s="13"/>
      <c r="AY372" s="13"/>
      <c r="AZ372" s="13"/>
      <c r="BA372" s="13"/>
      <c r="BB372" s="13"/>
      <c r="BC372" s="13"/>
      <c r="BD372" s="13" t="s">
        <v>1397</v>
      </c>
      <c r="BF372" s="13"/>
      <c r="BG372" s="13"/>
      <c r="BH372" s="13" t="s">
        <v>83</v>
      </c>
      <c r="BI372" s="13"/>
      <c r="BJ372" s="13"/>
      <c r="BK372" s="13"/>
      <c r="BL372" s="13" t="s">
        <v>189</v>
      </c>
      <c r="BM372" s="20" t="str">
        <f t="shared" si="40"/>
        <v>82</v>
      </c>
      <c r="BN372" s="13" t="s">
        <v>268</v>
      </c>
      <c r="BO372" s="20" t="str">
        <f t="shared" si="41"/>
        <v>176</v>
      </c>
      <c r="BP372" s="13"/>
      <c r="BQ372" s="13" t="s">
        <v>512</v>
      </c>
      <c r="BR372" s="20" t="str">
        <f t="shared" si="38"/>
        <v>13.5</v>
      </c>
      <c r="BS372" s="21">
        <f t="shared" si="42"/>
        <v>94</v>
      </c>
    </row>
    <row r="373" spans="1:72" x14ac:dyDescent="0.2">
      <c r="A373" t="s">
        <v>63</v>
      </c>
      <c r="B373" t="s">
        <v>2324</v>
      </c>
      <c r="C373" t="s">
        <v>896</v>
      </c>
      <c r="D373" t="s">
        <v>64</v>
      </c>
      <c r="E373" t="s">
        <v>65</v>
      </c>
      <c r="F373" t="s">
        <v>64</v>
      </c>
      <c r="G373" t="s">
        <v>615</v>
      </c>
      <c r="H373" t="s">
        <v>67</v>
      </c>
      <c r="I373" t="s">
        <v>788</v>
      </c>
      <c r="J373" t="s">
        <v>789</v>
      </c>
      <c r="K373" t="s">
        <v>822</v>
      </c>
      <c r="L373">
        <v>712</v>
      </c>
      <c r="M373">
        <v>712</v>
      </c>
      <c r="N373">
        <v>2336</v>
      </c>
      <c r="O373">
        <v>2336</v>
      </c>
      <c r="P373" t="s">
        <v>886</v>
      </c>
      <c r="R373" t="s">
        <v>887</v>
      </c>
      <c r="S373" t="s">
        <v>888</v>
      </c>
      <c r="T373" t="s">
        <v>892</v>
      </c>
      <c r="U373" s="2">
        <v>41124</v>
      </c>
      <c r="V373">
        <v>3</v>
      </c>
      <c r="W373">
        <v>8</v>
      </c>
      <c r="X373">
        <v>2012</v>
      </c>
      <c r="Y373" t="s">
        <v>890</v>
      </c>
      <c r="Z373" t="s">
        <v>72</v>
      </c>
      <c r="AA373">
        <v>53.407866666700002</v>
      </c>
      <c r="AB373">
        <v>-113.90711666670001</v>
      </c>
      <c r="AD373" t="s">
        <v>73</v>
      </c>
      <c r="AE373" t="s">
        <v>74</v>
      </c>
      <c r="AI373" t="s">
        <v>75</v>
      </c>
      <c r="AO373" t="s">
        <v>858</v>
      </c>
      <c r="AP373" s="20" t="str">
        <f t="shared" si="37"/>
        <v>14.6</v>
      </c>
      <c r="AU373" t="s">
        <v>130</v>
      </c>
      <c r="AV373" s="20" t="str">
        <f t="shared" si="39"/>
        <v>19</v>
      </c>
      <c r="BD373" t="s">
        <v>897</v>
      </c>
      <c r="BH373" t="s">
        <v>78</v>
      </c>
      <c r="BL373" t="s">
        <v>123</v>
      </c>
      <c r="BM373" s="20" t="str">
        <f t="shared" si="40"/>
        <v>88</v>
      </c>
      <c r="BN373" t="s">
        <v>617</v>
      </c>
      <c r="BO373" s="20" t="str">
        <f t="shared" si="41"/>
        <v>182.5</v>
      </c>
      <c r="BQ373" t="s">
        <v>200</v>
      </c>
      <c r="BR373" s="20" t="str">
        <f t="shared" si="38"/>
        <v>18.6</v>
      </c>
      <c r="BS373" s="21">
        <f t="shared" si="42"/>
        <v>94.5</v>
      </c>
    </row>
    <row r="374" spans="1:72" x14ac:dyDescent="0.2">
      <c r="A374" s="7" t="s">
        <v>63</v>
      </c>
      <c r="B374" s="7" t="s">
        <v>2188</v>
      </c>
      <c r="C374" s="7" t="s">
        <v>1011</v>
      </c>
      <c r="D374" s="7" t="s">
        <v>64</v>
      </c>
      <c r="E374" s="7" t="s">
        <v>65</v>
      </c>
      <c r="F374" s="7" t="s">
        <v>64</v>
      </c>
      <c r="G374" s="7" t="s">
        <v>615</v>
      </c>
      <c r="H374" s="7" t="s">
        <v>67</v>
      </c>
      <c r="I374" s="7" t="s">
        <v>68</v>
      </c>
      <c r="J374" s="7" t="s">
        <v>69</v>
      </c>
      <c r="K374" s="7" t="s">
        <v>70</v>
      </c>
      <c r="L374" s="7">
        <v>802</v>
      </c>
      <c r="M374" s="7">
        <v>802</v>
      </c>
      <c r="N374" s="7">
        <v>2632</v>
      </c>
      <c r="O374" s="7">
        <v>2632</v>
      </c>
      <c r="P374" s="7" t="s">
        <v>1004</v>
      </c>
      <c r="Q374" s="7"/>
      <c r="R374" s="7" t="s">
        <v>1005</v>
      </c>
      <c r="S374" s="7" t="s">
        <v>1006</v>
      </c>
      <c r="T374" s="7" t="s">
        <v>1007</v>
      </c>
      <c r="U374" s="9">
        <v>41165</v>
      </c>
      <c r="V374" s="7">
        <v>13</v>
      </c>
      <c r="W374" s="7">
        <v>9</v>
      </c>
      <c r="X374" s="7">
        <v>2012</v>
      </c>
      <c r="Y374" s="7" t="s">
        <v>1008</v>
      </c>
      <c r="Z374" s="7" t="s">
        <v>72</v>
      </c>
      <c r="AA374" s="7">
        <v>32.132583333299998</v>
      </c>
      <c r="AB374" s="7">
        <v>-111.06153333330001</v>
      </c>
      <c r="AC374" s="7"/>
      <c r="AD374" s="7" t="s">
        <v>73</v>
      </c>
      <c r="AE374" s="7" t="s">
        <v>74</v>
      </c>
      <c r="AF374" s="7"/>
      <c r="AG374" s="7"/>
      <c r="AH374" s="7"/>
      <c r="AI374" s="7" t="s">
        <v>75</v>
      </c>
      <c r="AJ374" s="7"/>
      <c r="AK374" s="7"/>
      <c r="AL374" s="7"/>
      <c r="AM374" s="7"/>
      <c r="AN374" s="7"/>
      <c r="AO374" s="7" t="s">
        <v>204</v>
      </c>
      <c r="AP374" s="20" t="str">
        <f t="shared" si="37"/>
        <v>15.5</v>
      </c>
      <c r="AQ374" s="7"/>
      <c r="AR374" s="7"/>
      <c r="AS374" s="7"/>
      <c r="AT374" s="7"/>
      <c r="AU374" s="7" t="s">
        <v>650</v>
      </c>
      <c r="AV374" s="20" t="str">
        <f t="shared" ref="AV374:AV405" si="43">LEFT(AU374,FIND("^^",SUBSTITUTE(AU374," ","^^",LEN(AU374)-LEN(SUBSTITUTE(AU374," ",""))))-1)</f>
        <v>20.4</v>
      </c>
      <c r="AW374" s="7"/>
      <c r="AX374" s="7"/>
      <c r="AY374" s="7"/>
      <c r="AZ374" s="7"/>
      <c r="BA374" s="7"/>
      <c r="BB374" s="7"/>
      <c r="BC374" s="7"/>
      <c r="BD374" s="7" t="s">
        <v>1012</v>
      </c>
      <c r="BF374" s="7"/>
      <c r="BG374" s="7"/>
      <c r="BH374" s="7" t="s">
        <v>78</v>
      </c>
      <c r="BI374" s="7"/>
      <c r="BJ374" s="7"/>
      <c r="BK374" s="7"/>
      <c r="BL374" s="7" t="s">
        <v>633</v>
      </c>
      <c r="BM374" s="20" t="str">
        <f t="shared" si="40"/>
        <v>96</v>
      </c>
      <c r="BN374" s="7" t="s">
        <v>691</v>
      </c>
      <c r="BO374" s="20" t="str">
        <f t="shared" si="41"/>
        <v>190.5</v>
      </c>
      <c r="BP374" s="7"/>
      <c r="BQ374" s="7" t="s">
        <v>669</v>
      </c>
      <c r="BR374" s="20" t="str">
        <f t="shared" si="38"/>
        <v>20.6</v>
      </c>
      <c r="BS374" s="21">
        <f t="shared" si="42"/>
        <v>94.5</v>
      </c>
    </row>
    <row r="375" spans="1:72" x14ac:dyDescent="0.2">
      <c r="A375" s="13" t="s">
        <v>63</v>
      </c>
      <c r="B375" s="13"/>
      <c r="C375" s="13" t="s">
        <v>1925</v>
      </c>
      <c r="D375" s="13" t="s">
        <v>64</v>
      </c>
      <c r="E375" s="13" t="s">
        <v>65</v>
      </c>
      <c r="F375" s="13" t="s">
        <v>64</v>
      </c>
      <c r="G375" s="13" t="s">
        <v>1886</v>
      </c>
      <c r="H375" s="13" t="s">
        <v>212</v>
      </c>
      <c r="I375" s="13" t="s">
        <v>1887</v>
      </c>
      <c r="J375" s="13" t="s">
        <v>1888</v>
      </c>
      <c r="K375" s="13"/>
      <c r="L375" s="13">
        <v>3728</v>
      </c>
      <c r="M375" s="13">
        <v>3728</v>
      </c>
      <c r="N375" s="13">
        <v>3728</v>
      </c>
      <c r="O375" s="13">
        <v>3728</v>
      </c>
      <c r="P375" s="13" t="s">
        <v>1926</v>
      </c>
      <c r="Q375" s="13"/>
      <c r="R375" s="13" t="s">
        <v>1927</v>
      </c>
      <c r="S375" s="13"/>
      <c r="T375" s="13" t="s">
        <v>1928</v>
      </c>
      <c r="U375" s="14">
        <v>41866</v>
      </c>
      <c r="V375" s="13">
        <v>15</v>
      </c>
      <c r="W375" s="13">
        <v>8</v>
      </c>
      <c r="X375" s="13">
        <v>2014</v>
      </c>
      <c r="Y375" s="13">
        <f>-16.5842/-68.15125</f>
        <v>0.24334403257460424</v>
      </c>
      <c r="Z375" s="13" t="s">
        <v>72</v>
      </c>
      <c r="AA375" s="13">
        <v>-16.584199999999999</v>
      </c>
      <c r="AB375" s="13">
        <v>-68.151250000000005</v>
      </c>
      <c r="AC375" s="13">
        <v>100</v>
      </c>
      <c r="AD375" s="13" t="s">
        <v>73</v>
      </c>
      <c r="AE375" s="13" t="s">
        <v>74</v>
      </c>
      <c r="AF375" s="13"/>
      <c r="AG375" s="13"/>
      <c r="AH375" s="13"/>
      <c r="AI375" s="13" t="s">
        <v>75</v>
      </c>
      <c r="AJ375" s="13"/>
      <c r="AK375" s="13"/>
      <c r="AL375" s="13"/>
      <c r="AM375" s="13"/>
      <c r="AN375" s="13"/>
      <c r="AO375" s="13" t="s">
        <v>204</v>
      </c>
      <c r="AP375" s="20" t="str">
        <f t="shared" si="37"/>
        <v>15.5</v>
      </c>
      <c r="AQ375" s="13"/>
      <c r="AR375" s="13"/>
      <c r="AS375" s="13"/>
      <c r="AT375" s="13"/>
      <c r="AU375" s="13" t="s">
        <v>639</v>
      </c>
      <c r="AV375" s="20" t="str">
        <f t="shared" si="43"/>
        <v>19.3</v>
      </c>
      <c r="AW375" s="13"/>
      <c r="AX375" s="13"/>
      <c r="AY375" s="13"/>
      <c r="AZ375" s="13"/>
      <c r="BA375" s="13"/>
      <c r="BB375" s="13"/>
      <c r="BC375" s="13"/>
      <c r="BD375" s="13" t="s">
        <v>1929</v>
      </c>
      <c r="BF375" s="13"/>
      <c r="BG375" s="13"/>
      <c r="BH375" s="13" t="s">
        <v>83</v>
      </c>
      <c r="BI375" s="13"/>
      <c r="BJ375" s="13"/>
      <c r="BK375" s="13"/>
      <c r="BL375" s="13" t="s">
        <v>646</v>
      </c>
      <c r="BM375" s="20" t="str">
        <f t="shared" si="40"/>
        <v>94.5</v>
      </c>
      <c r="BN375" s="13" t="s">
        <v>618</v>
      </c>
      <c r="BO375" s="20" t="str">
        <f t="shared" si="41"/>
        <v>189</v>
      </c>
      <c r="BP375" s="13"/>
      <c r="BQ375" s="13" t="s">
        <v>281</v>
      </c>
      <c r="BR375" s="20" t="str">
        <f t="shared" si="38"/>
        <v>19</v>
      </c>
      <c r="BS375" s="21">
        <f t="shared" si="42"/>
        <v>94.5</v>
      </c>
    </row>
    <row r="376" spans="1:72" x14ac:dyDescent="0.2">
      <c r="A376" s="13" t="s">
        <v>63</v>
      </c>
      <c r="B376" s="13"/>
      <c r="C376" s="13" t="s">
        <v>1362</v>
      </c>
      <c r="D376" s="13" t="s">
        <v>64</v>
      </c>
      <c r="E376" s="13" t="s">
        <v>65</v>
      </c>
      <c r="F376" s="13" t="s">
        <v>64</v>
      </c>
      <c r="G376" s="13" t="s">
        <v>211</v>
      </c>
      <c r="H376" s="13" t="s">
        <v>212</v>
      </c>
      <c r="I376" s="13" t="s">
        <v>701</v>
      </c>
      <c r="J376" s="13" t="s">
        <v>1342</v>
      </c>
      <c r="K376" s="13"/>
      <c r="L376" s="13">
        <v>15</v>
      </c>
      <c r="M376" s="13">
        <v>15</v>
      </c>
      <c r="N376" s="13">
        <v>50</v>
      </c>
      <c r="O376" s="13">
        <v>50</v>
      </c>
      <c r="P376" s="13" t="s">
        <v>1363</v>
      </c>
      <c r="Q376" s="13"/>
      <c r="R376" s="13" t="s">
        <v>1364</v>
      </c>
      <c r="S376" s="13"/>
      <c r="T376" s="13" t="s">
        <v>1364</v>
      </c>
      <c r="U376" s="14">
        <v>41242</v>
      </c>
      <c r="V376" s="13">
        <v>29</v>
      </c>
      <c r="W376" s="13">
        <v>11</v>
      </c>
      <c r="X376" s="13">
        <v>2012</v>
      </c>
      <c r="Y376" s="13">
        <f>-0.8549333333/-80.16285</f>
        <v>1.0664956813536445E-2</v>
      </c>
      <c r="Z376" s="13" t="s">
        <v>72</v>
      </c>
      <c r="AA376" s="13">
        <v>-0.85493333329999999</v>
      </c>
      <c r="AB376" s="13">
        <v>-80.162850000000006</v>
      </c>
      <c r="AC376" s="13"/>
      <c r="AD376" s="13" t="s">
        <v>96</v>
      </c>
      <c r="AE376" s="13" t="s">
        <v>74</v>
      </c>
      <c r="AF376" s="13"/>
      <c r="AG376" s="13"/>
      <c r="AH376" s="13"/>
      <c r="AI376" s="13" t="s">
        <v>226</v>
      </c>
      <c r="AJ376" s="13"/>
      <c r="AK376" s="13"/>
      <c r="AL376" s="13"/>
      <c r="AM376" s="13"/>
      <c r="AN376" s="13"/>
      <c r="AO376" s="13" t="s">
        <v>236</v>
      </c>
      <c r="AP376" s="20" t="str">
        <f t="shared" si="37"/>
        <v>11</v>
      </c>
      <c r="AQ376" s="13"/>
      <c r="AR376" s="13"/>
      <c r="AS376" s="13"/>
      <c r="AT376" s="13"/>
      <c r="AU376" s="13" t="s">
        <v>82</v>
      </c>
      <c r="AV376" s="20" t="str">
        <f t="shared" si="43"/>
        <v>17</v>
      </c>
      <c r="AW376" s="13"/>
      <c r="AX376" s="13"/>
      <c r="AY376" s="13"/>
      <c r="AZ376" s="13"/>
      <c r="BA376" s="13"/>
      <c r="BB376" s="13"/>
      <c r="BC376" s="13"/>
      <c r="BD376" s="13" t="s">
        <v>258</v>
      </c>
      <c r="BF376" s="13"/>
      <c r="BG376" s="13"/>
      <c r="BH376" s="13" t="s">
        <v>78</v>
      </c>
      <c r="BI376" s="13"/>
      <c r="BJ376" s="13"/>
      <c r="BK376" s="13"/>
      <c r="BL376" s="13" t="s">
        <v>433</v>
      </c>
      <c r="BM376" s="20" t="str">
        <f t="shared" si="40"/>
        <v>65</v>
      </c>
      <c r="BN376" s="13" t="s">
        <v>181</v>
      </c>
      <c r="BO376" s="20" t="str">
        <f t="shared" si="41"/>
        <v>160</v>
      </c>
      <c r="BP376" s="13"/>
      <c r="BQ376" s="13" t="s">
        <v>199</v>
      </c>
      <c r="BR376" s="20" t="str">
        <f t="shared" si="38"/>
        <v>13</v>
      </c>
      <c r="BS376" s="21">
        <f t="shared" si="42"/>
        <v>95</v>
      </c>
      <c r="BT376" s="13"/>
    </row>
    <row r="377" spans="1:72" x14ac:dyDescent="0.2">
      <c r="A377" t="s">
        <v>63</v>
      </c>
      <c r="C377" t="s">
        <v>1422</v>
      </c>
      <c r="D377" t="s">
        <v>64</v>
      </c>
      <c r="E377" t="s">
        <v>65</v>
      </c>
      <c r="F377" t="s">
        <v>64</v>
      </c>
      <c r="G377" t="s">
        <v>211</v>
      </c>
      <c r="H377" t="s">
        <v>212</v>
      </c>
      <c r="I377" t="s">
        <v>701</v>
      </c>
      <c r="J377" t="s">
        <v>702</v>
      </c>
      <c r="L377">
        <v>1838</v>
      </c>
      <c r="M377">
        <v>1838</v>
      </c>
      <c r="N377">
        <v>6031</v>
      </c>
      <c r="O377">
        <v>6031</v>
      </c>
      <c r="P377" t="s">
        <v>1423</v>
      </c>
      <c r="R377" t="s">
        <v>1424</v>
      </c>
      <c r="T377" t="s">
        <v>1425</v>
      </c>
      <c r="U377" t="s">
        <v>1426</v>
      </c>
      <c r="V377">
        <v>5</v>
      </c>
      <c r="W377">
        <v>12</v>
      </c>
      <c r="X377">
        <v>2012</v>
      </c>
      <c r="Y377" t="s">
        <v>1427</v>
      </c>
      <c r="Z377" t="s">
        <v>72</v>
      </c>
      <c r="AA377">
        <v>4.7933333299999999E-2</v>
      </c>
      <c r="AB377">
        <v>-78.717966666699994</v>
      </c>
      <c r="AD377" t="s">
        <v>96</v>
      </c>
      <c r="AE377" t="s">
        <v>74</v>
      </c>
      <c r="AI377" t="s">
        <v>75</v>
      </c>
      <c r="AO377" t="s">
        <v>87</v>
      </c>
      <c r="AP377" s="20" t="str">
        <f t="shared" si="37"/>
        <v>14</v>
      </c>
      <c r="AU377" t="s">
        <v>121</v>
      </c>
      <c r="AV377" s="20" t="str">
        <f t="shared" si="43"/>
        <v>18</v>
      </c>
      <c r="BD377" t="s">
        <v>258</v>
      </c>
      <c r="BH377" t="s">
        <v>78</v>
      </c>
      <c r="BL377" t="s">
        <v>253</v>
      </c>
      <c r="BM377" s="20" t="str">
        <f t="shared" si="40"/>
        <v>70</v>
      </c>
      <c r="BN377" t="s">
        <v>89</v>
      </c>
      <c r="BO377" s="20" t="str">
        <f t="shared" si="41"/>
        <v>165</v>
      </c>
      <c r="BQ377" t="s">
        <v>243</v>
      </c>
      <c r="BR377" s="20" t="str">
        <f t="shared" si="38"/>
        <v>16</v>
      </c>
      <c r="BS377" s="21">
        <f t="shared" si="42"/>
        <v>95</v>
      </c>
    </row>
    <row r="378" spans="1:72" x14ac:dyDescent="0.2">
      <c r="A378" s="10" t="s">
        <v>63</v>
      </c>
      <c r="B378" s="10" t="s">
        <v>2239</v>
      </c>
      <c r="C378" s="10" t="s">
        <v>220</v>
      </c>
      <c r="D378" s="10" t="s">
        <v>64</v>
      </c>
      <c r="E378" s="10" t="s">
        <v>65</v>
      </c>
      <c r="F378" s="10" t="s">
        <v>64</v>
      </c>
      <c r="G378" s="10" t="s">
        <v>211</v>
      </c>
      <c r="H378" s="10" t="s">
        <v>212</v>
      </c>
      <c r="I378" s="10" t="s">
        <v>213</v>
      </c>
      <c r="J378" s="10" t="s">
        <v>214</v>
      </c>
      <c r="K378" s="10"/>
      <c r="L378" s="10">
        <v>201</v>
      </c>
      <c r="M378" s="10">
        <v>201</v>
      </c>
      <c r="N378" s="10">
        <v>659</v>
      </c>
      <c r="O378" s="10">
        <v>659</v>
      </c>
      <c r="P378" s="10" t="s">
        <v>221</v>
      </c>
      <c r="Q378" s="10"/>
      <c r="R378" s="10" t="s">
        <v>216</v>
      </c>
      <c r="S378" s="10" t="s">
        <v>217</v>
      </c>
      <c r="T378" s="10" t="s">
        <v>222</v>
      </c>
      <c r="U378" s="11">
        <v>41311</v>
      </c>
      <c r="V378" s="10">
        <v>6</v>
      </c>
      <c r="W378" s="10">
        <v>2</v>
      </c>
      <c r="X378" s="10">
        <v>2013</v>
      </c>
      <c r="Y378" s="10">
        <f>-37.2908333333/-59.2006166667</f>
        <v>0.62990616370176888</v>
      </c>
      <c r="Z378" s="10" t="s">
        <v>72</v>
      </c>
      <c r="AA378" s="10">
        <v>-37.2908333333</v>
      </c>
      <c r="AB378" s="10">
        <v>-59.2006166667</v>
      </c>
      <c r="AC378" s="10"/>
      <c r="AD378" s="10" t="s">
        <v>73</v>
      </c>
      <c r="AE378" s="10" t="s">
        <v>74</v>
      </c>
      <c r="AF378" s="10"/>
      <c r="AG378" s="10"/>
      <c r="AH378" s="10"/>
      <c r="AI378" s="10"/>
      <c r="AJ378" s="10"/>
      <c r="AK378" s="10"/>
      <c r="AL378" s="10"/>
      <c r="AM378" s="10"/>
      <c r="AN378" s="10"/>
      <c r="AO378" s="10" t="s">
        <v>77</v>
      </c>
      <c r="AP378" s="20" t="str">
        <f t="shared" si="37"/>
        <v>12</v>
      </c>
      <c r="AQ378" s="10"/>
      <c r="AR378" s="10"/>
      <c r="AS378" s="10"/>
      <c r="AT378" s="10"/>
      <c r="AU378" s="10" t="s">
        <v>121</v>
      </c>
      <c r="AV378" s="20" t="str">
        <f t="shared" si="43"/>
        <v>18</v>
      </c>
      <c r="AW378" s="10"/>
      <c r="AX378" s="10"/>
      <c r="AY378" s="10"/>
      <c r="AZ378" s="10"/>
      <c r="BA378" s="10"/>
      <c r="BB378" s="10"/>
      <c r="BC378" s="10"/>
      <c r="BD378" s="10" t="s">
        <v>152</v>
      </c>
      <c r="BF378" s="10"/>
      <c r="BG378" s="10"/>
      <c r="BH378" s="10" t="s">
        <v>78</v>
      </c>
      <c r="BI378" s="10"/>
      <c r="BJ378" s="10"/>
      <c r="BK378" s="10"/>
      <c r="BL378" s="10" t="s">
        <v>88</v>
      </c>
      <c r="BM378" s="20" t="str">
        <f t="shared" si="40"/>
        <v>15</v>
      </c>
      <c r="BN378" s="10" t="s">
        <v>223</v>
      </c>
      <c r="BO378" s="20" t="str">
        <f t="shared" si="41"/>
        <v>110</v>
      </c>
      <c r="BP378" s="10"/>
      <c r="BQ378" s="10" t="s">
        <v>224</v>
      </c>
      <c r="BR378" s="20" t="str">
        <f t="shared" si="38"/>
        <v>14.25</v>
      </c>
      <c r="BS378" s="21">
        <f t="shared" si="42"/>
        <v>95</v>
      </c>
    </row>
    <row r="379" spans="1:72" x14ac:dyDescent="0.2">
      <c r="A379" s="10" t="s">
        <v>63</v>
      </c>
      <c r="B379" s="10" t="s">
        <v>2269</v>
      </c>
      <c r="C379" s="10" t="s">
        <v>528</v>
      </c>
      <c r="D379" s="10" t="s">
        <v>64</v>
      </c>
      <c r="E379" s="10" t="s">
        <v>65</v>
      </c>
      <c r="F379" s="10" t="s">
        <v>64</v>
      </c>
      <c r="G379" s="10" t="s">
        <v>211</v>
      </c>
      <c r="H379" s="10" t="s">
        <v>212</v>
      </c>
      <c r="I379" s="10" t="s">
        <v>383</v>
      </c>
      <c r="J379" s="10" t="s">
        <v>443</v>
      </c>
      <c r="K379" s="10"/>
      <c r="L379" s="10">
        <v>49</v>
      </c>
      <c r="M379" s="10">
        <v>49</v>
      </c>
      <c r="N379" s="10">
        <v>162</v>
      </c>
      <c r="O379" s="10">
        <v>162</v>
      </c>
      <c r="P379" s="10" t="s">
        <v>529</v>
      </c>
      <c r="Q379" s="10"/>
      <c r="R379" s="10" t="s">
        <v>445</v>
      </c>
      <c r="S379" s="10" t="s">
        <v>530</v>
      </c>
      <c r="T379" s="10" t="s">
        <v>531</v>
      </c>
      <c r="U379" s="11">
        <v>41429</v>
      </c>
      <c r="V379" s="10">
        <v>4</v>
      </c>
      <c r="W379" s="10">
        <v>6</v>
      </c>
      <c r="X379" s="10">
        <v>2013</v>
      </c>
      <c r="Y379" s="10">
        <f>-29.8905/-57.1255</f>
        <v>0.52324268496555826</v>
      </c>
      <c r="Z379" s="10" t="s">
        <v>72</v>
      </c>
      <c r="AA379" s="10">
        <v>-29.890499999999999</v>
      </c>
      <c r="AB379" s="10">
        <v>-57.125500000000002</v>
      </c>
      <c r="AC379" s="10"/>
      <c r="AD379" s="10" t="s">
        <v>73</v>
      </c>
      <c r="AE379" s="10" t="s">
        <v>74</v>
      </c>
      <c r="AF379" s="10"/>
      <c r="AG379" s="10"/>
      <c r="AH379" s="10"/>
      <c r="AI379" s="10"/>
      <c r="AJ379" s="10"/>
      <c r="AK379" s="10"/>
      <c r="AL379" s="10"/>
      <c r="AM379" s="10"/>
      <c r="AN379" s="10"/>
      <c r="AO379" s="10" t="s">
        <v>76</v>
      </c>
      <c r="AP379" s="20" t="str">
        <f t="shared" si="37"/>
        <v>13</v>
      </c>
      <c r="AQ379" s="10"/>
      <c r="AR379" s="10"/>
      <c r="AS379" s="10"/>
      <c r="AT379" s="10"/>
      <c r="AU379" s="10" t="s">
        <v>82</v>
      </c>
      <c r="AV379" s="20" t="str">
        <f t="shared" si="43"/>
        <v>17</v>
      </c>
      <c r="AW379" s="10"/>
      <c r="AX379" s="10"/>
      <c r="AY379" s="10"/>
      <c r="AZ379" s="10"/>
      <c r="BA379" s="10"/>
      <c r="BB379" s="10"/>
      <c r="BC379" s="10"/>
      <c r="BD379" s="10" t="s">
        <v>152</v>
      </c>
      <c r="BF379" s="10"/>
      <c r="BG379" s="10"/>
      <c r="BH379" s="10" t="s">
        <v>78</v>
      </c>
      <c r="BI379" s="10"/>
      <c r="BJ379" s="10"/>
      <c r="BK379" s="10"/>
      <c r="BL379" s="10" t="s">
        <v>98</v>
      </c>
      <c r="BM379" s="20" t="str">
        <f t="shared" si="40"/>
        <v>76</v>
      </c>
      <c r="BN379" s="10" t="s">
        <v>302</v>
      </c>
      <c r="BO379" s="20" t="str">
        <f t="shared" si="41"/>
        <v>171</v>
      </c>
      <c r="BP379" s="10"/>
      <c r="BQ379" s="10" t="s">
        <v>133</v>
      </c>
      <c r="BR379" s="20" t="str">
        <f t="shared" si="38"/>
        <v>14</v>
      </c>
      <c r="BS379" s="21">
        <f t="shared" si="42"/>
        <v>95</v>
      </c>
    </row>
    <row r="380" spans="1:72" x14ac:dyDescent="0.2">
      <c r="A380" t="s">
        <v>63</v>
      </c>
      <c r="C380" t="s">
        <v>1432</v>
      </c>
      <c r="D380" t="s">
        <v>64</v>
      </c>
      <c r="E380" t="s">
        <v>65</v>
      </c>
      <c r="F380" t="s">
        <v>64</v>
      </c>
      <c r="G380" t="s">
        <v>211</v>
      </c>
      <c r="H380" t="s">
        <v>212</v>
      </c>
      <c r="I380" t="s">
        <v>701</v>
      </c>
      <c r="J380" t="s">
        <v>702</v>
      </c>
      <c r="L380">
        <v>1892</v>
      </c>
      <c r="M380">
        <v>1892</v>
      </c>
      <c r="N380">
        <v>6207</v>
      </c>
      <c r="O380">
        <v>6207</v>
      </c>
      <c r="P380" t="s">
        <v>1433</v>
      </c>
      <c r="R380" t="s">
        <v>1434</v>
      </c>
      <c r="T380" t="s">
        <v>1435</v>
      </c>
      <c r="U380" s="2">
        <v>41249</v>
      </c>
      <c r="V380">
        <v>6</v>
      </c>
      <c r="W380">
        <v>12</v>
      </c>
      <c r="X380">
        <v>2012</v>
      </c>
      <c r="Y380" t="s">
        <v>1436</v>
      </c>
      <c r="Z380" t="s">
        <v>72</v>
      </c>
      <c r="AA380">
        <v>5.1866666700000001E-2</v>
      </c>
      <c r="AB380">
        <v>-78.694950000000006</v>
      </c>
      <c r="AD380" t="s">
        <v>96</v>
      </c>
      <c r="AE380" t="s">
        <v>74</v>
      </c>
      <c r="AI380" t="s">
        <v>75</v>
      </c>
      <c r="AO380" t="s">
        <v>88</v>
      </c>
      <c r="AP380" s="20" t="str">
        <f t="shared" si="37"/>
        <v>15</v>
      </c>
      <c r="AU380" t="s">
        <v>130</v>
      </c>
      <c r="AV380" s="20" t="str">
        <f t="shared" si="43"/>
        <v>19</v>
      </c>
      <c r="BD380" t="s">
        <v>152</v>
      </c>
      <c r="BH380" t="s">
        <v>78</v>
      </c>
      <c r="BL380" t="s">
        <v>208</v>
      </c>
      <c r="BM380" s="20" t="str">
        <f t="shared" si="40"/>
        <v>80</v>
      </c>
      <c r="BN380" t="s">
        <v>132</v>
      </c>
      <c r="BO380" s="20" t="str">
        <f t="shared" si="41"/>
        <v>175</v>
      </c>
      <c r="BQ380" t="s">
        <v>243</v>
      </c>
      <c r="BR380" s="20" t="str">
        <f t="shared" si="38"/>
        <v>16</v>
      </c>
      <c r="BS380" s="21">
        <f t="shared" si="42"/>
        <v>95</v>
      </c>
    </row>
    <row r="381" spans="1:72" x14ac:dyDescent="0.2">
      <c r="A381" t="s">
        <v>63</v>
      </c>
      <c r="B381" t="s">
        <v>2322</v>
      </c>
      <c r="C381" t="s">
        <v>891</v>
      </c>
      <c r="D381" t="s">
        <v>64</v>
      </c>
      <c r="E381" t="s">
        <v>65</v>
      </c>
      <c r="F381" t="s">
        <v>64</v>
      </c>
      <c r="G381" t="s">
        <v>615</v>
      </c>
      <c r="H381" t="s">
        <v>67</v>
      </c>
      <c r="I381" t="s">
        <v>788</v>
      </c>
      <c r="J381" t="s">
        <v>789</v>
      </c>
      <c r="K381" t="s">
        <v>822</v>
      </c>
      <c r="L381">
        <v>712</v>
      </c>
      <c r="M381">
        <v>712</v>
      </c>
      <c r="N381">
        <v>2336</v>
      </c>
      <c r="O381">
        <v>2336</v>
      </c>
      <c r="P381" t="s">
        <v>886</v>
      </c>
      <c r="R381" t="s">
        <v>887</v>
      </c>
      <c r="S381" t="s">
        <v>888</v>
      </c>
      <c r="T381" t="s">
        <v>892</v>
      </c>
      <c r="U381" s="2">
        <v>41123</v>
      </c>
      <c r="V381">
        <v>2</v>
      </c>
      <c r="W381">
        <v>8</v>
      </c>
      <c r="X381">
        <v>2012</v>
      </c>
      <c r="Y381" t="s">
        <v>890</v>
      </c>
      <c r="Z381" t="s">
        <v>72</v>
      </c>
      <c r="AA381">
        <v>53.407866666700002</v>
      </c>
      <c r="AB381">
        <v>-113.90711666670001</v>
      </c>
      <c r="AD381" t="s">
        <v>73</v>
      </c>
      <c r="AE381" t="s">
        <v>74</v>
      </c>
      <c r="AI381" t="s">
        <v>75</v>
      </c>
      <c r="AO381" t="s">
        <v>186</v>
      </c>
      <c r="AP381" s="20" t="str">
        <f t="shared" si="37"/>
        <v>14.5</v>
      </c>
      <c r="AU381" t="s">
        <v>130</v>
      </c>
      <c r="AV381" s="20" t="str">
        <f t="shared" si="43"/>
        <v>19</v>
      </c>
      <c r="BD381" t="s">
        <v>893</v>
      </c>
      <c r="BE381" s="20" t="s">
        <v>241</v>
      </c>
      <c r="BH381" t="s">
        <v>78</v>
      </c>
      <c r="BL381" t="s">
        <v>208</v>
      </c>
      <c r="BM381" s="20" t="str">
        <f t="shared" si="40"/>
        <v>80</v>
      </c>
      <c r="BN381" t="s">
        <v>132</v>
      </c>
      <c r="BO381" s="20" t="str">
        <f t="shared" si="41"/>
        <v>175</v>
      </c>
      <c r="BQ381" t="s">
        <v>175</v>
      </c>
      <c r="BR381" s="20" t="str">
        <f t="shared" si="38"/>
        <v>23</v>
      </c>
      <c r="BS381" s="21">
        <f t="shared" si="42"/>
        <v>95</v>
      </c>
    </row>
    <row r="382" spans="1:72" x14ac:dyDescent="0.2">
      <c r="A382" t="s">
        <v>63</v>
      </c>
      <c r="B382" t="s">
        <v>2340</v>
      </c>
      <c r="C382" t="s">
        <v>101</v>
      </c>
      <c r="D382" t="s">
        <v>64</v>
      </c>
      <c r="E382" t="s">
        <v>65</v>
      </c>
      <c r="F382" t="s">
        <v>64</v>
      </c>
      <c r="G382" t="s">
        <v>66</v>
      </c>
      <c r="H382" t="s">
        <v>67</v>
      </c>
      <c r="I382" t="s">
        <v>68</v>
      </c>
      <c r="J382" t="s">
        <v>69</v>
      </c>
      <c r="K382" t="s">
        <v>70</v>
      </c>
      <c r="L382">
        <v>657</v>
      </c>
      <c r="M382">
        <v>657</v>
      </c>
      <c r="N382">
        <v>657</v>
      </c>
      <c r="O382">
        <v>657</v>
      </c>
      <c r="P382" t="s">
        <v>92</v>
      </c>
      <c r="R382" t="s">
        <v>93</v>
      </c>
      <c r="T382" t="s">
        <v>94</v>
      </c>
      <c r="U382" s="1">
        <v>41032</v>
      </c>
      <c r="V382">
        <v>3</v>
      </c>
      <c r="W382">
        <v>5</v>
      </c>
      <c r="X382">
        <v>2012</v>
      </c>
      <c r="Y382" t="s">
        <v>95</v>
      </c>
      <c r="Z382" t="s">
        <v>72</v>
      </c>
      <c r="AA382">
        <v>32.287210000000002</v>
      </c>
      <c r="AB382">
        <v>-110.99599000000001</v>
      </c>
      <c r="AD382" t="s">
        <v>96</v>
      </c>
      <c r="AE382" t="s">
        <v>74</v>
      </c>
      <c r="AO382" t="s">
        <v>88</v>
      </c>
      <c r="AP382" s="20" t="str">
        <f t="shared" si="37"/>
        <v>15</v>
      </c>
      <c r="AU382" t="s">
        <v>82</v>
      </c>
      <c r="AV382" s="20" t="str">
        <f t="shared" si="43"/>
        <v>17</v>
      </c>
      <c r="BD382" t="s">
        <v>102</v>
      </c>
      <c r="BE382" s="20" t="s">
        <v>241</v>
      </c>
      <c r="BH382" t="s">
        <v>78</v>
      </c>
      <c r="BL382" t="s">
        <v>103</v>
      </c>
      <c r="BM382" s="20" t="str">
        <f t="shared" si="40"/>
        <v>91</v>
      </c>
      <c r="BN382" t="s">
        <v>104</v>
      </c>
      <c r="BO382" s="20" t="str">
        <f t="shared" si="41"/>
        <v>186</v>
      </c>
      <c r="BQ382" t="s">
        <v>105</v>
      </c>
      <c r="BR382" s="20" t="str">
        <f t="shared" si="38"/>
        <v>20.75</v>
      </c>
      <c r="BS382" s="21">
        <f t="shared" si="42"/>
        <v>95</v>
      </c>
    </row>
    <row r="383" spans="1:72" x14ac:dyDescent="0.2">
      <c r="A383" t="s">
        <v>63</v>
      </c>
      <c r="C383" t="s">
        <v>1977</v>
      </c>
      <c r="D383" t="s">
        <v>64</v>
      </c>
      <c r="E383" t="s">
        <v>65</v>
      </c>
      <c r="F383" t="s">
        <v>64</v>
      </c>
      <c r="G383" t="s">
        <v>1886</v>
      </c>
      <c r="H383" t="s">
        <v>212</v>
      </c>
      <c r="I383" t="s">
        <v>1887</v>
      </c>
      <c r="J383" t="s">
        <v>1949</v>
      </c>
      <c r="L383">
        <v>2552</v>
      </c>
      <c r="M383">
        <v>2552</v>
      </c>
      <c r="N383">
        <v>2552</v>
      </c>
      <c r="O383">
        <v>2552</v>
      </c>
      <c r="P383" t="s">
        <v>1974</v>
      </c>
      <c r="R383" t="s">
        <v>1975</v>
      </c>
      <c r="T383" t="s">
        <v>1976</v>
      </c>
      <c r="U383" s="2">
        <v>41871</v>
      </c>
      <c r="V383">
        <v>20</v>
      </c>
      <c r="W383">
        <v>8</v>
      </c>
      <c r="X383">
        <v>2014</v>
      </c>
      <c r="Y383">
        <f>-17.3955833333/-66.3123333333</f>
        <v>0.26232802344423728</v>
      </c>
      <c r="Z383" t="s">
        <v>72</v>
      </c>
      <c r="AA383">
        <v>-17.395583333299999</v>
      </c>
      <c r="AB383">
        <v>-66.312333333300003</v>
      </c>
      <c r="AC383">
        <v>100</v>
      </c>
      <c r="AD383" t="s">
        <v>73</v>
      </c>
      <c r="AE383" t="s">
        <v>74</v>
      </c>
      <c r="AO383" t="s">
        <v>87</v>
      </c>
      <c r="AP383" s="20" t="str">
        <f t="shared" si="37"/>
        <v>14</v>
      </c>
      <c r="AU383" t="s">
        <v>653</v>
      </c>
      <c r="AV383" s="20" t="str">
        <f t="shared" si="43"/>
        <v>17.5</v>
      </c>
      <c r="BD383" t="s">
        <v>1978</v>
      </c>
      <c r="BE383" s="20" t="s">
        <v>241</v>
      </c>
      <c r="BH383" t="s">
        <v>78</v>
      </c>
      <c r="BL383" t="s">
        <v>313</v>
      </c>
      <c r="BM383" s="20" t="str">
        <f t="shared" si="40"/>
        <v>89</v>
      </c>
      <c r="BN383" t="s">
        <v>201</v>
      </c>
      <c r="BO383" s="20" t="str">
        <f t="shared" si="41"/>
        <v>184</v>
      </c>
      <c r="BQ383" t="s">
        <v>1883</v>
      </c>
      <c r="BR383" s="20" t="str">
        <f t="shared" si="38"/>
        <v>17.6</v>
      </c>
      <c r="BS383" s="21">
        <f t="shared" si="42"/>
        <v>95</v>
      </c>
    </row>
    <row r="384" spans="1:72" x14ac:dyDescent="0.2">
      <c r="A384" t="s">
        <v>63</v>
      </c>
      <c r="B384" t="s">
        <v>2321</v>
      </c>
      <c r="C384" t="s">
        <v>885</v>
      </c>
      <c r="D384" t="s">
        <v>64</v>
      </c>
      <c r="E384" t="s">
        <v>65</v>
      </c>
      <c r="F384" t="s">
        <v>64</v>
      </c>
      <c r="G384" t="s">
        <v>615</v>
      </c>
      <c r="H384" t="s">
        <v>67</v>
      </c>
      <c r="I384" t="s">
        <v>788</v>
      </c>
      <c r="J384" t="s">
        <v>789</v>
      </c>
      <c r="K384" t="s">
        <v>822</v>
      </c>
      <c r="L384">
        <v>712</v>
      </c>
      <c r="M384">
        <v>712</v>
      </c>
      <c r="N384">
        <v>2336</v>
      </c>
      <c r="O384">
        <v>2336</v>
      </c>
      <c r="P384" t="s">
        <v>886</v>
      </c>
      <c r="R384" t="s">
        <v>887</v>
      </c>
      <c r="S384" t="s">
        <v>888</v>
      </c>
      <c r="T384" t="s">
        <v>889</v>
      </c>
      <c r="U384" s="2">
        <v>41123</v>
      </c>
      <c r="V384">
        <v>2</v>
      </c>
      <c r="W384">
        <v>8</v>
      </c>
      <c r="X384">
        <v>2012</v>
      </c>
      <c r="Y384" t="s">
        <v>890</v>
      </c>
      <c r="Z384" t="s">
        <v>72</v>
      </c>
      <c r="AA384">
        <v>53.407866666700002</v>
      </c>
      <c r="AB384">
        <v>-113.90711666670001</v>
      </c>
      <c r="AD384" t="s">
        <v>73</v>
      </c>
      <c r="AE384" t="s">
        <v>74</v>
      </c>
      <c r="AI384" t="s">
        <v>75</v>
      </c>
      <c r="AO384" t="s">
        <v>186</v>
      </c>
      <c r="AP384" s="20" t="str">
        <f t="shared" si="37"/>
        <v>14.5</v>
      </c>
      <c r="AU384" t="s">
        <v>141</v>
      </c>
      <c r="AV384" s="20" t="str">
        <f t="shared" si="43"/>
        <v>18.5</v>
      </c>
      <c r="BH384" t="s">
        <v>78</v>
      </c>
      <c r="BL384" t="s">
        <v>160</v>
      </c>
      <c r="BM384" s="20" t="str">
        <f t="shared" si="40"/>
        <v>86</v>
      </c>
      <c r="BN384" t="s">
        <v>580</v>
      </c>
      <c r="BO384" s="20" t="str">
        <f t="shared" si="41"/>
        <v>181</v>
      </c>
      <c r="BQ384" t="s">
        <v>193</v>
      </c>
      <c r="BR384" s="20" t="str">
        <f t="shared" si="38"/>
        <v>18</v>
      </c>
      <c r="BS384" s="21">
        <f t="shared" si="42"/>
        <v>95</v>
      </c>
    </row>
    <row r="385" spans="1:72" x14ac:dyDescent="0.2">
      <c r="A385" s="13" t="s">
        <v>63</v>
      </c>
      <c r="B385" s="13"/>
      <c r="C385" s="13" t="s">
        <v>1389</v>
      </c>
      <c r="D385" s="13" t="s">
        <v>64</v>
      </c>
      <c r="E385" s="13" t="s">
        <v>65</v>
      </c>
      <c r="F385" s="13" t="s">
        <v>64</v>
      </c>
      <c r="G385" s="13" t="s">
        <v>211</v>
      </c>
      <c r="H385" s="13" t="s">
        <v>212</v>
      </c>
      <c r="I385" s="13" t="s">
        <v>701</v>
      </c>
      <c r="J385" s="13" t="s">
        <v>702</v>
      </c>
      <c r="K385" s="13"/>
      <c r="L385" s="13">
        <v>1577</v>
      </c>
      <c r="M385" s="13">
        <v>1577</v>
      </c>
      <c r="N385" s="13">
        <v>5173</v>
      </c>
      <c r="O385" s="13">
        <v>5173</v>
      </c>
      <c r="P385" s="13" t="s">
        <v>1390</v>
      </c>
      <c r="Q385" s="13"/>
      <c r="R385" s="13" t="s">
        <v>1391</v>
      </c>
      <c r="S385" s="13"/>
      <c r="T385" s="13" t="s">
        <v>1392</v>
      </c>
      <c r="U385" s="14">
        <v>41246</v>
      </c>
      <c r="V385" s="13">
        <v>3</v>
      </c>
      <c r="W385" s="13">
        <v>12</v>
      </c>
      <c r="X385" s="13">
        <v>2012</v>
      </c>
      <c r="Y385" s="13" t="s">
        <v>1393</v>
      </c>
      <c r="Z385" s="13" t="s">
        <v>72</v>
      </c>
      <c r="AA385" s="13">
        <v>7.4099999999999999E-2</v>
      </c>
      <c r="AB385" s="13">
        <v>-78.668116666700001</v>
      </c>
      <c r="AC385" s="13"/>
      <c r="AD385" s="13" t="s">
        <v>96</v>
      </c>
      <c r="AE385" s="13" t="s">
        <v>74</v>
      </c>
      <c r="AF385" s="13"/>
      <c r="AG385" s="13"/>
      <c r="AH385" s="13"/>
      <c r="AI385" s="13" t="s">
        <v>75</v>
      </c>
      <c r="AJ385" s="13"/>
      <c r="AK385" s="13"/>
      <c r="AL385" s="13"/>
      <c r="AM385" s="13"/>
      <c r="AN385" s="13"/>
      <c r="AO385" s="13" t="s">
        <v>88</v>
      </c>
      <c r="AP385" s="20" t="str">
        <f t="shared" si="37"/>
        <v>15</v>
      </c>
      <c r="AQ385" s="13"/>
      <c r="AR385" s="13"/>
      <c r="AS385" s="13"/>
      <c r="AT385" s="13"/>
      <c r="AU385" s="13" t="s">
        <v>82</v>
      </c>
      <c r="AV385" s="20" t="str">
        <f t="shared" si="43"/>
        <v>17</v>
      </c>
      <c r="AW385" s="13"/>
      <c r="AX385" s="13"/>
      <c r="AY385" s="13"/>
      <c r="AZ385" s="13"/>
      <c r="BA385" s="13"/>
      <c r="BB385" s="13"/>
      <c r="BC385" s="13"/>
      <c r="BD385" s="13" t="s">
        <v>1394</v>
      </c>
      <c r="BF385" s="13"/>
      <c r="BG385" s="13"/>
      <c r="BH385" s="13" t="s">
        <v>83</v>
      </c>
      <c r="BI385" s="13"/>
      <c r="BJ385" s="13"/>
      <c r="BK385" s="13"/>
      <c r="BL385" s="13" t="s">
        <v>403</v>
      </c>
      <c r="BM385" s="20" t="str">
        <f t="shared" si="40"/>
        <v>67</v>
      </c>
      <c r="BN385" s="13" t="s">
        <v>407</v>
      </c>
      <c r="BO385" s="20" t="str">
        <f t="shared" si="41"/>
        <v>162</v>
      </c>
      <c r="BP385" s="13"/>
      <c r="BQ385" s="13" t="s">
        <v>728</v>
      </c>
      <c r="BR385" s="20" t="str">
        <f t="shared" si="38"/>
        <v>13.25</v>
      </c>
      <c r="BS385" s="21">
        <f t="shared" si="42"/>
        <v>95</v>
      </c>
    </row>
    <row r="386" spans="1:72" x14ac:dyDescent="0.2">
      <c r="A386" s="13" t="s">
        <v>63</v>
      </c>
      <c r="B386" s="13"/>
      <c r="C386" s="13" t="s">
        <v>1948</v>
      </c>
      <c r="D386" s="13" t="s">
        <v>64</v>
      </c>
      <c r="E386" s="13" t="s">
        <v>65</v>
      </c>
      <c r="F386" s="13" t="s">
        <v>64</v>
      </c>
      <c r="G386" s="13" t="s">
        <v>1886</v>
      </c>
      <c r="H386" s="13" t="s">
        <v>212</v>
      </c>
      <c r="I386" s="13" t="s">
        <v>1887</v>
      </c>
      <c r="J386" s="13" t="s">
        <v>1949</v>
      </c>
      <c r="K386" s="13"/>
      <c r="L386" s="13">
        <v>2615</v>
      </c>
      <c r="M386" s="13">
        <v>2615</v>
      </c>
      <c r="N386" s="13">
        <v>2615</v>
      </c>
      <c r="O386" s="13">
        <v>2615</v>
      </c>
      <c r="P386" s="13" t="s">
        <v>1950</v>
      </c>
      <c r="Q386" s="13"/>
      <c r="R386" s="13" t="s">
        <v>1951</v>
      </c>
      <c r="S386" s="13"/>
      <c r="T386" s="13" t="s">
        <v>1952</v>
      </c>
      <c r="U386" s="14">
        <v>41870</v>
      </c>
      <c r="V386" s="13">
        <v>19</v>
      </c>
      <c r="W386" s="13">
        <v>8</v>
      </c>
      <c r="X386" s="13">
        <v>2014</v>
      </c>
      <c r="Y386" s="13">
        <f>-17.37375/-66.1527666667</f>
        <v>0.26263073905184986</v>
      </c>
      <c r="Z386" s="13" t="s">
        <v>72</v>
      </c>
      <c r="AA386" s="13">
        <v>-17.373750000000001</v>
      </c>
      <c r="AB386" s="13">
        <v>-66.152766666700003</v>
      </c>
      <c r="AC386" s="13">
        <v>100</v>
      </c>
      <c r="AD386" s="13" t="s">
        <v>73</v>
      </c>
      <c r="AE386" s="13" t="s">
        <v>74</v>
      </c>
      <c r="AF386" s="13"/>
      <c r="AG386" s="13"/>
      <c r="AH386" s="13"/>
      <c r="AI386" s="13" t="s">
        <v>75</v>
      </c>
      <c r="AJ386" s="13"/>
      <c r="AK386" s="13"/>
      <c r="AL386" s="13"/>
      <c r="AM386" s="13"/>
      <c r="AN386" s="13"/>
      <c r="AO386" s="13" t="s">
        <v>186</v>
      </c>
      <c r="AP386" s="20" t="str">
        <f t="shared" ref="AP386:AP449" si="44">LEFT(AO386,FIND("^^",SUBSTITUTE(AO386," ","^^",LEN(AO386)-LEN(SUBSTITUTE(AO386," ",""))))-1)</f>
        <v>14.5</v>
      </c>
      <c r="AQ386" s="13"/>
      <c r="AR386" s="13"/>
      <c r="AS386" s="13"/>
      <c r="AT386" s="13"/>
      <c r="AU386" s="13" t="s">
        <v>130</v>
      </c>
      <c r="AV386" s="20" t="str">
        <f t="shared" si="43"/>
        <v>19</v>
      </c>
      <c r="AW386" s="13"/>
      <c r="AX386" s="13"/>
      <c r="AY386" s="13"/>
      <c r="AZ386" s="13"/>
      <c r="BA386" s="13"/>
      <c r="BB386" s="13"/>
      <c r="BC386" s="13"/>
      <c r="BD386" s="13" t="s">
        <v>1953</v>
      </c>
      <c r="BF386" s="13"/>
      <c r="BG386" s="13"/>
      <c r="BH386" s="13" t="s">
        <v>83</v>
      </c>
      <c r="BI386" s="13"/>
      <c r="BJ386" s="13"/>
      <c r="BK386" s="13"/>
      <c r="BL386" s="13" t="s">
        <v>633</v>
      </c>
      <c r="BM386" s="20" t="str">
        <f t="shared" si="40"/>
        <v>96</v>
      </c>
      <c r="BN386" s="13" t="s">
        <v>627</v>
      </c>
      <c r="BO386" s="20" t="str">
        <f t="shared" si="41"/>
        <v>191</v>
      </c>
      <c r="BP386" s="13"/>
      <c r="BQ386" s="13" t="s">
        <v>1123</v>
      </c>
      <c r="BR386" s="20" t="str">
        <f t="shared" ref="BR386:BR449" si="45">LEFT(BQ386,FIND("^^",SUBSTITUTE(BQ386," ","^^",LEN(BQ386)-LEN(SUBSTITUTE(BQ386," ",""))))-1)</f>
        <v>16.7</v>
      </c>
      <c r="BS386" s="21">
        <f t="shared" si="42"/>
        <v>95</v>
      </c>
    </row>
    <row r="387" spans="1:72" x14ac:dyDescent="0.2">
      <c r="A387" t="s">
        <v>63</v>
      </c>
      <c r="B387" s="20" t="s">
        <v>2375</v>
      </c>
      <c r="C387" t="s">
        <v>509</v>
      </c>
      <c r="D387" t="s">
        <v>64</v>
      </c>
      <c r="E387" t="s">
        <v>65</v>
      </c>
      <c r="F387" t="s">
        <v>64</v>
      </c>
      <c r="G387" t="s">
        <v>211</v>
      </c>
      <c r="H387" t="s">
        <v>212</v>
      </c>
      <c r="I387" t="s">
        <v>383</v>
      </c>
      <c r="J387" t="s">
        <v>492</v>
      </c>
      <c r="L387">
        <v>88</v>
      </c>
      <c r="M387">
        <v>88</v>
      </c>
      <c r="N387">
        <v>288</v>
      </c>
      <c r="O387">
        <v>288</v>
      </c>
      <c r="P387" t="s">
        <v>510</v>
      </c>
      <c r="R387" t="s">
        <v>494</v>
      </c>
      <c r="S387" t="s">
        <v>495</v>
      </c>
      <c r="T387" t="s">
        <v>511</v>
      </c>
      <c r="U387" s="2">
        <v>41535</v>
      </c>
      <c r="V387">
        <v>18</v>
      </c>
      <c r="W387">
        <v>9</v>
      </c>
      <c r="X387">
        <v>2013</v>
      </c>
      <c r="Y387">
        <f>-8.7763333333/63.8511666667</f>
        <v>-0.13744985082437156</v>
      </c>
      <c r="Z387" t="s">
        <v>72</v>
      </c>
      <c r="AA387">
        <v>-8.78430556</v>
      </c>
      <c r="AB387">
        <v>-63.803333330000001</v>
      </c>
      <c r="AD387" t="s">
        <v>73</v>
      </c>
      <c r="AE387" t="s">
        <v>74</v>
      </c>
      <c r="AO387" t="s">
        <v>88</v>
      </c>
      <c r="AP387" s="20" t="str">
        <f t="shared" si="44"/>
        <v>15</v>
      </c>
      <c r="AU387" t="s">
        <v>344</v>
      </c>
      <c r="AV387" s="20" t="str">
        <f t="shared" si="43"/>
        <v>16</v>
      </c>
      <c r="BD387" t="s">
        <v>152</v>
      </c>
      <c r="BH387" t="s">
        <v>78</v>
      </c>
      <c r="BL387" t="s">
        <v>153</v>
      </c>
      <c r="BM387" s="20" t="str">
        <f t="shared" si="40"/>
        <v>81</v>
      </c>
      <c r="BN387" t="s">
        <v>192</v>
      </c>
      <c r="BO387" s="20" t="str">
        <f t="shared" si="41"/>
        <v>177</v>
      </c>
      <c r="BQ387" t="s">
        <v>512</v>
      </c>
      <c r="BR387" s="20" t="str">
        <f t="shared" si="45"/>
        <v>13.5</v>
      </c>
      <c r="BS387" s="21">
        <f t="shared" si="42"/>
        <v>96</v>
      </c>
    </row>
    <row r="388" spans="1:72" x14ac:dyDescent="0.2">
      <c r="A388" s="4" t="s">
        <v>63</v>
      </c>
      <c r="B388" s="4" t="s">
        <v>2159</v>
      </c>
      <c r="C388" s="4" t="s">
        <v>1661</v>
      </c>
      <c r="D388" s="4" t="s">
        <v>64</v>
      </c>
      <c r="E388" s="4" t="s">
        <v>65</v>
      </c>
      <c r="F388" s="4" t="s">
        <v>64</v>
      </c>
      <c r="G388" s="4" t="s">
        <v>134</v>
      </c>
      <c r="H388" s="4" t="s">
        <v>67</v>
      </c>
      <c r="I388" s="4" t="s">
        <v>68</v>
      </c>
      <c r="J388" s="4" t="s">
        <v>1651</v>
      </c>
      <c r="K388" s="4" t="s">
        <v>1652</v>
      </c>
      <c r="L388" s="4"/>
      <c r="M388" s="4"/>
      <c r="N388" s="4"/>
      <c r="O388" s="4"/>
      <c r="P388" s="4"/>
      <c r="Q388" s="4"/>
      <c r="R388" s="4" t="s">
        <v>1662</v>
      </c>
      <c r="S388" s="4"/>
      <c r="T388" s="4" t="s">
        <v>1663</v>
      </c>
      <c r="U388" s="5">
        <v>41127</v>
      </c>
      <c r="V388" s="4">
        <v>6</v>
      </c>
      <c r="W388" s="4">
        <v>8</v>
      </c>
      <c r="X388" s="4">
        <v>2012</v>
      </c>
      <c r="Y388" s="4" t="s">
        <v>1664</v>
      </c>
      <c r="Z388" s="4" t="s">
        <v>72</v>
      </c>
      <c r="AA388" s="4">
        <v>40.526707999999999</v>
      </c>
      <c r="AB388" s="4">
        <v>-76.097257999999997</v>
      </c>
      <c r="AC388" s="4"/>
      <c r="AD388" s="4" t="s">
        <v>73</v>
      </c>
      <c r="AE388" s="4" t="s">
        <v>74</v>
      </c>
      <c r="AF388" s="4"/>
      <c r="AG388" s="4"/>
      <c r="AH388" s="4"/>
      <c r="AI388" s="4"/>
      <c r="AJ388" s="4"/>
      <c r="AK388" s="4"/>
      <c r="AL388" s="4"/>
      <c r="AM388" s="4"/>
      <c r="AN388" s="4"/>
      <c r="AO388" s="4" t="s">
        <v>87</v>
      </c>
      <c r="AP388" s="20" t="str">
        <f t="shared" si="44"/>
        <v>14</v>
      </c>
      <c r="AQ388" s="4"/>
      <c r="AR388" s="4"/>
      <c r="AS388" s="4"/>
      <c r="AT388" s="4"/>
      <c r="AU388" s="4" t="s">
        <v>130</v>
      </c>
      <c r="AV388" s="20" t="str">
        <f t="shared" si="43"/>
        <v>19</v>
      </c>
      <c r="AW388" s="4"/>
      <c r="AX388" s="4"/>
      <c r="AY388" s="4"/>
      <c r="AZ388" s="4"/>
      <c r="BA388" s="4"/>
      <c r="BB388" s="4"/>
      <c r="BC388" s="4"/>
      <c r="BD388" s="4" t="s">
        <v>152</v>
      </c>
      <c r="BF388" s="4"/>
      <c r="BG388" s="4"/>
      <c r="BH388" s="4" t="s">
        <v>78</v>
      </c>
      <c r="BI388" s="4"/>
      <c r="BJ388" s="4"/>
      <c r="BK388" s="4"/>
      <c r="BL388" s="4" t="s">
        <v>113</v>
      </c>
      <c r="BM388" s="20" t="str">
        <f t="shared" si="40"/>
        <v>90</v>
      </c>
      <c r="BN388" s="4" t="s">
        <v>104</v>
      </c>
      <c r="BO388" s="20" t="str">
        <f t="shared" si="41"/>
        <v>186</v>
      </c>
      <c r="BP388" s="4"/>
      <c r="BQ388" s="4" t="s">
        <v>616</v>
      </c>
      <c r="BR388" s="20" t="str">
        <f t="shared" si="45"/>
        <v>21</v>
      </c>
      <c r="BS388" s="21">
        <f t="shared" si="42"/>
        <v>96</v>
      </c>
    </row>
    <row r="389" spans="1:72" x14ac:dyDescent="0.2">
      <c r="A389" s="10" t="s">
        <v>63</v>
      </c>
      <c r="B389" s="10" t="s">
        <v>2283</v>
      </c>
      <c r="C389" s="10" t="s">
        <v>611</v>
      </c>
      <c r="D389" s="10" t="s">
        <v>64</v>
      </c>
      <c r="E389" s="10" t="s">
        <v>65</v>
      </c>
      <c r="F389" s="10" t="s">
        <v>64</v>
      </c>
      <c r="G389" s="10" t="s">
        <v>211</v>
      </c>
      <c r="H389" s="10" t="s">
        <v>212</v>
      </c>
      <c r="I389" s="10" t="s">
        <v>383</v>
      </c>
      <c r="J389" s="10" t="s">
        <v>492</v>
      </c>
      <c r="K389" s="10"/>
      <c r="L389" s="10">
        <v>72</v>
      </c>
      <c r="M389" s="10">
        <v>72</v>
      </c>
      <c r="N389" s="10">
        <v>235</v>
      </c>
      <c r="O389" s="10">
        <v>235</v>
      </c>
      <c r="P389" s="10" t="s">
        <v>612</v>
      </c>
      <c r="Q389" s="10"/>
      <c r="R389" s="10" t="s">
        <v>494</v>
      </c>
      <c r="S389" s="10" t="s">
        <v>495</v>
      </c>
      <c r="T389" s="10" t="s">
        <v>613</v>
      </c>
      <c r="U389" s="11">
        <v>41534</v>
      </c>
      <c r="V389" s="10">
        <v>17</v>
      </c>
      <c r="W389" s="10">
        <v>9</v>
      </c>
      <c r="X389" s="10">
        <v>2013</v>
      </c>
      <c r="Y389" s="10">
        <f>-8.7733333333/-63.8381666667</f>
        <v>0.13743084727206692</v>
      </c>
      <c r="Z389" s="10" t="s">
        <v>72</v>
      </c>
      <c r="AA389" s="10">
        <v>-8.7779166699999998</v>
      </c>
      <c r="AB389" s="10">
        <v>-63.841388889999998</v>
      </c>
      <c r="AC389" s="10"/>
      <c r="AD389" s="10" t="s">
        <v>73</v>
      </c>
      <c r="AE389" s="10" t="s">
        <v>74</v>
      </c>
      <c r="AF389" s="10"/>
      <c r="AG389" s="10"/>
      <c r="AH389" s="10"/>
      <c r="AI389" s="10"/>
      <c r="AJ389" s="10"/>
      <c r="AK389" s="10"/>
      <c r="AL389" s="10"/>
      <c r="AM389" s="10"/>
      <c r="AN389" s="10"/>
      <c r="AO389" s="10" t="s">
        <v>88</v>
      </c>
      <c r="AP389" s="20" t="str">
        <f t="shared" si="44"/>
        <v>15</v>
      </c>
      <c r="AQ389" s="10"/>
      <c r="AR389" s="10"/>
      <c r="AS389" s="10"/>
      <c r="AT389" s="10"/>
      <c r="AU389" s="10" t="s">
        <v>344</v>
      </c>
      <c r="AV389" s="20" t="str">
        <f t="shared" si="43"/>
        <v>16</v>
      </c>
      <c r="AW389" s="10"/>
      <c r="AX389" s="10"/>
      <c r="AY389" s="10"/>
      <c r="AZ389" s="10"/>
      <c r="BA389" s="10"/>
      <c r="BB389" s="10"/>
      <c r="BC389" s="10"/>
      <c r="BD389" s="10" t="s">
        <v>614</v>
      </c>
      <c r="BE389" s="20" t="s">
        <v>241</v>
      </c>
      <c r="BF389" s="10"/>
      <c r="BG389" s="10"/>
      <c r="BH389" s="10" t="s">
        <v>78</v>
      </c>
      <c r="BI389" s="10"/>
      <c r="BJ389" s="10"/>
      <c r="BK389" s="10"/>
      <c r="BL389" s="10" t="s">
        <v>147</v>
      </c>
      <c r="BM389" s="20" t="str">
        <f t="shared" si="40"/>
        <v>84</v>
      </c>
      <c r="BN389" s="10" t="s">
        <v>198</v>
      </c>
      <c r="BO389" s="20" t="str">
        <f t="shared" si="41"/>
        <v>180</v>
      </c>
      <c r="BP389" s="10"/>
      <c r="BQ389" s="10" t="s">
        <v>340</v>
      </c>
      <c r="BR389" s="20" t="str">
        <f t="shared" si="45"/>
        <v>15</v>
      </c>
      <c r="BS389" s="21">
        <f t="shared" si="42"/>
        <v>96</v>
      </c>
    </row>
    <row r="390" spans="1:72" x14ac:dyDescent="0.2">
      <c r="A390" t="s">
        <v>63</v>
      </c>
      <c r="B390" t="s">
        <v>2325</v>
      </c>
      <c r="C390" t="s">
        <v>898</v>
      </c>
      <c r="D390" t="s">
        <v>64</v>
      </c>
      <c r="E390" t="s">
        <v>65</v>
      </c>
      <c r="F390" t="s">
        <v>64</v>
      </c>
      <c r="G390" t="s">
        <v>615</v>
      </c>
      <c r="H390" t="s">
        <v>67</v>
      </c>
      <c r="I390" t="s">
        <v>788</v>
      </c>
      <c r="J390" t="s">
        <v>789</v>
      </c>
      <c r="K390" t="s">
        <v>822</v>
      </c>
      <c r="L390">
        <v>712</v>
      </c>
      <c r="M390">
        <v>712</v>
      </c>
      <c r="N390">
        <v>2336</v>
      </c>
      <c r="O390">
        <v>2336</v>
      </c>
      <c r="P390" t="s">
        <v>886</v>
      </c>
      <c r="R390" t="s">
        <v>887</v>
      </c>
      <c r="S390" t="s">
        <v>888</v>
      </c>
      <c r="T390" t="s">
        <v>892</v>
      </c>
      <c r="U390" s="2">
        <v>41125</v>
      </c>
      <c r="V390">
        <v>4</v>
      </c>
      <c r="W390">
        <v>8</v>
      </c>
      <c r="X390">
        <v>2012</v>
      </c>
      <c r="Y390" t="s">
        <v>890</v>
      </c>
      <c r="Z390" t="s">
        <v>72</v>
      </c>
      <c r="AA390">
        <v>53.407866666700002</v>
      </c>
      <c r="AB390">
        <v>-113.90711666670001</v>
      </c>
      <c r="AD390" t="s">
        <v>73</v>
      </c>
      <c r="AE390" t="s">
        <v>74</v>
      </c>
      <c r="AI390" t="s">
        <v>75</v>
      </c>
      <c r="AO390" t="s">
        <v>139</v>
      </c>
      <c r="AP390" s="20" t="str">
        <f t="shared" si="44"/>
        <v>15.9</v>
      </c>
      <c r="AU390" t="s">
        <v>141</v>
      </c>
      <c r="AV390" s="20" t="str">
        <f t="shared" si="43"/>
        <v>18.5</v>
      </c>
      <c r="BH390" t="s">
        <v>78</v>
      </c>
      <c r="BL390" t="s">
        <v>899</v>
      </c>
      <c r="BM390" s="20" t="str">
        <f t="shared" si="40"/>
        <v>82.5</v>
      </c>
      <c r="BN390" t="s">
        <v>142</v>
      </c>
      <c r="BO390" s="20" t="str">
        <f t="shared" si="41"/>
        <v>179</v>
      </c>
      <c r="BQ390" t="s">
        <v>665</v>
      </c>
      <c r="BR390" s="20" t="str">
        <f t="shared" si="45"/>
        <v>23.8</v>
      </c>
      <c r="BS390" s="21">
        <f t="shared" si="42"/>
        <v>96.5</v>
      </c>
    </row>
    <row r="391" spans="1:72" x14ac:dyDescent="0.2">
      <c r="A391" t="s">
        <v>63</v>
      </c>
      <c r="C391" t="s">
        <v>1924</v>
      </c>
      <c r="D391" t="s">
        <v>64</v>
      </c>
      <c r="E391" t="s">
        <v>65</v>
      </c>
      <c r="F391" t="s">
        <v>64</v>
      </c>
      <c r="G391" t="s">
        <v>1886</v>
      </c>
      <c r="H391" t="s">
        <v>212</v>
      </c>
      <c r="I391" t="s">
        <v>1887</v>
      </c>
      <c r="J391" t="s">
        <v>1888</v>
      </c>
      <c r="L391">
        <v>3097</v>
      </c>
      <c r="M391">
        <v>3097</v>
      </c>
      <c r="N391">
        <v>3097</v>
      </c>
      <c r="O391">
        <v>3097</v>
      </c>
      <c r="P391" t="s">
        <v>1921</v>
      </c>
      <c r="R391" t="s">
        <v>1922</v>
      </c>
      <c r="T391" t="s">
        <v>1923</v>
      </c>
      <c r="U391" s="2">
        <v>41866</v>
      </c>
      <c r="V391">
        <v>15</v>
      </c>
      <c r="W391">
        <v>8</v>
      </c>
      <c r="X391">
        <v>2014</v>
      </c>
      <c r="Y391">
        <f>-16.5891833333/-68.0691</f>
        <v>0.24371092512314688</v>
      </c>
      <c r="Z391" t="s">
        <v>72</v>
      </c>
      <c r="AA391">
        <v>-16.589183333299999</v>
      </c>
      <c r="AB391">
        <v>-68.069100000000006</v>
      </c>
      <c r="AC391">
        <v>100</v>
      </c>
      <c r="AD391" t="s">
        <v>73</v>
      </c>
      <c r="AE391" t="s">
        <v>74</v>
      </c>
      <c r="AI391" t="s">
        <v>75</v>
      </c>
      <c r="AO391" t="s">
        <v>186</v>
      </c>
      <c r="AP391" s="20" t="str">
        <f t="shared" si="44"/>
        <v>14.5</v>
      </c>
      <c r="AU391" t="s">
        <v>644</v>
      </c>
      <c r="AV391" s="20" t="str">
        <f t="shared" si="43"/>
        <v>20.5</v>
      </c>
      <c r="BH391" t="s">
        <v>83</v>
      </c>
      <c r="BL391" t="s">
        <v>1304</v>
      </c>
      <c r="BM391" s="20" t="str">
        <f t="shared" si="40"/>
        <v>93.5</v>
      </c>
      <c r="BN391" t="s">
        <v>637</v>
      </c>
      <c r="BO391" s="20" t="str">
        <f t="shared" si="41"/>
        <v>190</v>
      </c>
      <c r="BQ391" t="s">
        <v>616</v>
      </c>
      <c r="BR391" s="20" t="str">
        <f t="shared" si="45"/>
        <v>21</v>
      </c>
      <c r="BS391" s="21">
        <f t="shared" si="42"/>
        <v>96.5</v>
      </c>
    </row>
    <row r="392" spans="1:72" x14ac:dyDescent="0.2">
      <c r="A392" t="s">
        <v>63</v>
      </c>
      <c r="B392" t="s">
        <v>2365</v>
      </c>
      <c r="C392" t="s">
        <v>1346</v>
      </c>
      <c r="D392" t="s">
        <v>64</v>
      </c>
      <c r="E392" t="s">
        <v>65</v>
      </c>
      <c r="F392" t="s">
        <v>64</v>
      </c>
      <c r="G392" t="s">
        <v>211</v>
      </c>
      <c r="H392" t="s">
        <v>212</v>
      </c>
      <c r="I392" t="s">
        <v>701</v>
      </c>
      <c r="J392" t="s">
        <v>1342</v>
      </c>
      <c r="L392">
        <v>18</v>
      </c>
      <c r="M392">
        <v>18</v>
      </c>
      <c r="N392">
        <v>60</v>
      </c>
      <c r="O392">
        <v>60</v>
      </c>
      <c r="P392" t="s">
        <v>1343</v>
      </c>
      <c r="R392" t="s">
        <v>1344</v>
      </c>
      <c r="T392" t="s">
        <v>1345</v>
      </c>
      <c r="U392" s="2">
        <v>41241</v>
      </c>
      <c r="V392">
        <v>28</v>
      </c>
      <c r="W392">
        <v>11</v>
      </c>
      <c r="X392">
        <v>2012</v>
      </c>
      <c r="Y392">
        <f>-0.883/-80.1341166667</f>
        <v>1.1019027060255019E-2</v>
      </c>
      <c r="Z392" t="s">
        <v>72</v>
      </c>
      <c r="AA392">
        <v>-0.88300000000000001</v>
      </c>
      <c r="AB392">
        <v>-80.134116666699995</v>
      </c>
      <c r="AD392" t="s">
        <v>96</v>
      </c>
      <c r="AE392" t="s">
        <v>74</v>
      </c>
      <c r="AI392" t="s">
        <v>75</v>
      </c>
      <c r="AO392" t="s">
        <v>87</v>
      </c>
      <c r="AP392" s="20" t="str">
        <f t="shared" si="44"/>
        <v>14</v>
      </c>
      <c r="AU392" t="s">
        <v>130</v>
      </c>
      <c r="AV392" s="20" t="str">
        <f t="shared" si="43"/>
        <v>19</v>
      </c>
      <c r="BD392" t="s">
        <v>258</v>
      </c>
      <c r="BH392" t="s">
        <v>78</v>
      </c>
      <c r="BL392" t="s">
        <v>1347</v>
      </c>
      <c r="BM392" s="20" t="str">
        <f t="shared" si="40"/>
        <v>55</v>
      </c>
      <c r="BN392" t="s">
        <v>326</v>
      </c>
      <c r="BO392" s="20" t="str">
        <f t="shared" si="41"/>
        <v>152</v>
      </c>
      <c r="BQ392" t="s">
        <v>138</v>
      </c>
      <c r="BR392" s="20" t="str">
        <f t="shared" si="45"/>
        <v>15.5</v>
      </c>
      <c r="BS392" s="21">
        <f t="shared" si="42"/>
        <v>97</v>
      </c>
      <c r="BT392" s="13"/>
    </row>
    <row r="393" spans="1:72" x14ac:dyDescent="0.2">
      <c r="A393" t="s">
        <v>63</v>
      </c>
      <c r="C393" t="s">
        <v>1987</v>
      </c>
      <c r="D393" t="s">
        <v>64</v>
      </c>
      <c r="E393" t="s">
        <v>65</v>
      </c>
      <c r="F393" t="s">
        <v>64</v>
      </c>
      <c r="G393" t="s">
        <v>1886</v>
      </c>
      <c r="H393" t="s">
        <v>212</v>
      </c>
      <c r="I393" t="s">
        <v>1887</v>
      </c>
      <c r="J393" t="s">
        <v>1949</v>
      </c>
      <c r="L393">
        <v>2753</v>
      </c>
      <c r="M393">
        <v>2753</v>
      </c>
      <c r="N393">
        <v>2753</v>
      </c>
      <c r="O393">
        <v>2753</v>
      </c>
      <c r="P393" t="s">
        <v>1984</v>
      </c>
      <c r="R393" t="s">
        <v>1985</v>
      </c>
      <c r="T393" t="s">
        <v>1986</v>
      </c>
      <c r="U393" s="2">
        <v>41873</v>
      </c>
      <c r="V393">
        <v>22</v>
      </c>
      <c r="W393">
        <v>8</v>
      </c>
      <c r="X393">
        <v>2014</v>
      </c>
      <c r="Y393">
        <f>-17.5784833333/-66.0668833333</f>
        <v>0.26607102448920628</v>
      </c>
      <c r="Z393" t="s">
        <v>72</v>
      </c>
      <c r="AA393">
        <v>-17.578483333299999</v>
      </c>
      <c r="AB393">
        <v>-66.066883333299998</v>
      </c>
      <c r="AC393">
        <v>100</v>
      </c>
      <c r="AD393" t="s">
        <v>73</v>
      </c>
      <c r="AE393" t="s">
        <v>74</v>
      </c>
      <c r="AO393" t="s">
        <v>88</v>
      </c>
      <c r="AP393" s="20" t="str">
        <f t="shared" si="44"/>
        <v>15</v>
      </c>
      <c r="AU393" t="s">
        <v>1172</v>
      </c>
      <c r="AV393" s="20" t="str">
        <f t="shared" si="43"/>
        <v>18.7</v>
      </c>
      <c r="BD393" t="s">
        <v>1988</v>
      </c>
      <c r="BE393" s="20" t="s">
        <v>241</v>
      </c>
      <c r="BH393" t="s">
        <v>78</v>
      </c>
      <c r="BL393" t="s">
        <v>676</v>
      </c>
      <c r="BM393" s="20" t="str">
        <f t="shared" si="40"/>
        <v>88.5</v>
      </c>
      <c r="BN393" t="s">
        <v>104</v>
      </c>
      <c r="BO393" s="20" t="str">
        <f t="shared" si="41"/>
        <v>186</v>
      </c>
      <c r="BQ393" t="s">
        <v>667</v>
      </c>
      <c r="BR393" s="20" t="str">
        <f t="shared" si="45"/>
        <v>21.7</v>
      </c>
      <c r="BS393" s="21">
        <f t="shared" si="42"/>
        <v>97.5</v>
      </c>
    </row>
    <row r="394" spans="1:72" x14ac:dyDescent="0.2">
      <c r="A394" t="s">
        <v>63</v>
      </c>
      <c r="B394" t="s">
        <v>2312</v>
      </c>
      <c r="C394" t="s">
        <v>2106</v>
      </c>
      <c r="D394" t="s">
        <v>64</v>
      </c>
      <c r="E394" t="s">
        <v>65</v>
      </c>
      <c r="F394" t="s">
        <v>64</v>
      </c>
      <c r="G394" t="s">
        <v>615</v>
      </c>
      <c r="H394" t="s">
        <v>67</v>
      </c>
      <c r="I394" t="s">
        <v>788</v>
      </c>
      <c r="J394" t="s">
        <v>789</v>
      </c>
      <c r="K394" t="s">
        <v>908</v>
      </c>
      <c r="L394">
        <v>755</v>
      </c>
      <c r="M394">
        <v>755</v>
      </c>
      <c r="N394">
        <v>2477</v>
      </c>
      <c r="O394">
        <v>2477</v>
      </c>
      <c r="P394" t="s">
        <v>944</v>
      </c>
      <c r="R394" t="s">
        <v>945</v>
      </c>
      <c r="S394" t="s">
        <v>937</v>
      </c>
      <c r="T394" t="s">
        <v>2107</v>
      </c>
      <c r="U394" s="1">
        <v>41115</v>
      </c>
      <c r="V394">
        <v>25</v>
      </c>
      <c r="W394">
        <v>7</v>
      </c>
      <c r="X394">
        <v>2012</v>
      </c>
      <c r="Y394" t="s">
        <v>947</v>
      </c>
      <c r="Z394" t="s">
        <v>72</v>
      </c>
      <c r="AA394">
        <v>53.408700000000003</v>
      </c>
      <c r="AB394">
        <v>-113.31901666669999</v>
      </c>
      <c r="AD394" t="s">
        <v>73</v>
      </c>
      <c r="AE394" t="s">
        <v>74</v>
      </c>
      <c r="AI394" t="s">
        <v>75</v>
      </c>
      <c r="AO394" t="s">
        <v>76</v>
      </c>
      <c r="AP394" s="20" t="str">
        <f t="shared" si="44"/>
        <v>13</v>
      </c>
      <c r="AU394" t="s">
        <v>130</v>
      </c>
      <c r="AV394" s="20" t="str">
        <f t="shared" si="43"/>
        <v>19</v>
      </c>
      <c r="BH394" t="s">
        <v>78</v>
      </c>
      <c r="BL394" t="s">
        <v>2108</v>
      </c>
      <c r="BM394" s="20" t="str">
        <f t="shared" si="40"/>
        <v>92.5</v>
      </c>
      <c r="BN394" t="s">
        <v>637</v>
      </c>
      <c r="BO394" s="20" t="str">
        <f t="shared" si="41"/>
        <v>190</v>
      </c>
      <c r="BQ394" t="s">
        <v>681</v>
      </c>
      <c r="BR394" s="20" t="str">
        <f t="shared" si="45"/>
        <v>20.9</v>
      </c>
      <c r="BS394" s="21">
        <f t="shared" si="42"/>
        <v>97.5</v>
      </c>
    </row>
    <row r="395" spans="1:72" x14ac:dyDescent="0.2">
      <c r="A395" s="4" t="s">
        <v>63</v>
      </c>
      <c r="B395" s="4" t="s">
        <v>2171</v>
      </c>
      <c r="C395" s="4" t="s">
        <v>1872</v>
      </c>
      <c r="D395" s="4" t="s">
        <v>64</v>
      </c>
      <c r="E395" s="4" t="s">
        <v>65</v>
      </c>
      <c r="F395" s="4" t="s">
        <v>64</v>
      </c>
      <c r="G395" s="4" t="s">
        <v>134</v>
      </c>
      <c r="H395" s="4" t="s">
        <v>67</v>
      </c>
      <c r="I395" s="4" t="s">
        <v>68</v>
      </c>
      <c r="J395" s="4" t="s">
        <v>1858</v>
      </c>
      <c r="K395" s="4" t="s">
        <v>1859</v>
      </c>
      <c r="L395" s="4">
        <v>156</v>
      </c>
      <c r="M395" s="4">
        <v>156</v>
      </c>
      <c r="N395" s="4">
        <v>156</v>
      </c>
      <c r="O395" s="4">
        <v>156</v>
      </c>
      <c r="P395" s="4" t="s">
        <v>1860</v>
      </c>
      <c r="Q395" s="4"/>
      <c r="R395" s="4" t="s">
        <v>1861</v>
      </c>
      <c r="S395" s="4"/>
      <c r="T395" s="4" t="s">
        <v>1862</v>
      </c>
      <c r="U395" s="5">
        <v>41116</v>
      </c>
      <c r="V395" s="4">
        <v>26</v>
      </c>
      <c r="W395" s="4">
        <v>7</v>
      </c>
      <c r="X395" s="4">
        <v>2012</v>
      </c>
      <c r="Y395" s="4" t="s">
        <v>1873</v>
      </c>
      <c r="Z395" s="4" t="s">
        <v>72</v>
      </c>
      <c r="AA395" s="4">
        <v>43.955959999999997</v>
      </c>
      <c r="AB395" s="4">
        <v>-72.111639999999994</v>
      </c>
      <c r="AC395" s="4"/>
      <c r="AD395" s="4" t="s">
        <v>73</v>
      </c>
      <c r="AE395" s="4" t="s">
        <v>74</v>
      </c>
      <c r="AF395" s="4"/>
      <c r="AG395" s="4"/>
      <c r="AH395" s="4"/>
      <c r="AI395" s="4"/>
      <c r="AJ395" s="4"/>
      <c r="AK395" s="4"/>
      <c r="AL395" s="4"/>
      <c r="AM395" s="4"/>
      <c r="AN395" s="4"/>
      <c r="AO395" s="4" t="s">
        <v>87</v>
      </c>
      <c r="AP395" s="20" t="str">
        <f t="shared" si="44"/>
        <v>14</v>
      </c>
      <c r="AQ395" s="4"/>
      <c r="AR395" s="4"/>
      <c r="AS395" s="4"/>
      <c r="AT395" s="4"/>
      <c r="AU395" s="4" t="s">
        <v>141</v>
      </c>
      <c r="AV395" s="20" t="str">
        <f t="shared" si="43"/>
        <v>18.5</v>
      </c>
      <c r="AW395" s="4"/>
      <c r="AX395" s="4"/>
      <c r="AY395" s="4"/>
      <c r="AZ395" s="4"/>
      <c r="BA395" s="4"/>
      <c r="BB395" s="4"/>
      <c r="BC395" s="4"/>
      <c r="BD395" s="4" t="s">
        <v>1606</v>
      </c>
      <c r="BF395" s="4"/>
      <c r="BG395" s="4"/>
      <c r="BH395" s="4" t="s">
        <v>78</v>
      </c>
      <c r="BI395" s="4"/>
      <c r="BJ395" s="4"/>
      <c r="BK395" s="4"/>
      <c r="BL395" s="4" t="s">
        <v>208</v>
      </c>
      <c r="BM395" s="20" t="str">
        <f t="shared" si="40"/>
        <v>80</v>
      </c>
      <c r="BN395" s="4" t="s">
        <v>347</v>
      </c>
      <c r="BO395" s="20" t="str">
        <f t="shared" si="41"/>
        <v>178</v>
      </c>
      <c r="BP395" s="4"/>
      <c r="BQ395" s="4" t="s">
        <v>616</v>
      </c>
      <c r="BR395" s="20" t="str">
        <f t="shared" si="45"/>
        <v>21</v>
      </c>
      <c r="BS395" s="21">
        <f t="shared" si="42"/>
        <v>98</v>
      </c>
      <c r="BT395" s="10"/>
    </row>
    <row r="396" spans="1:72" x14ac:dyDescent="0.2">
      <c r="A396" t="s">
        <v>63</v>
      </c>
      <c r="B396" t="s">
        <v>2366</v>
      </c>
      <c r="C396" t="s">
        <v>1493</v>
      </c>
      <c r="D396" t="s">
        <v>64</v>
      </c>
      <c r="E396" t="s">
        <v>65</v>
      </c>
      <c r="F396" t="s">
        <v>64</v>
      </c>
      <c r="G396" t="s">
        <v>211</v>
      </c>
      <c r="H396" t="s">
        <v>212</v>
      </c>
      <c r="I396" t="s">
        <v>701</v>
      </c>
      <c r="J396" t="s">
        <v>1466</v>
      </c>
      <c r="L396">
        <v>361</v>
      </c>
      <c r="M396">
        <v>361</v>
      </c>
      <c r="N396">
        <v>1183</v>
      </c>
      <c r="O396">
        <v>1183</v>
      </c>
      <c r="P396" t="s">
        <v>1494</v>
      </c>
      <c r="R396" t="s">
        <v>1495</v>
      </c>
      <c r="T396" t="s">
        <v>1496</v>
      </c>
      <c r="U396" s="2">
        <v>41254</v>
      </c>
      <c r="V396">
        <v>11</v>
      </c>
      <c r="W396">
        <v>12</v>
      </c>
      <c r="X396">
        <v>2012</v>
      </c>
      <c r="Y396">
        <f>-0.2443/-79.3274333333</f>
        <v>3.0796407968168558E-3</v>
      </c>
      <c r="Z396" t="s">
        <v>72</v>
      </c>
      <c r="AA396">
        <v>-0.24429999999999999</v>
      </c>
      <c r="AB396">
        <v>-79.327433333299993</v>
      </c>
      <c r="AD396" t="s">
        <v>96</v>
      </c>
      <c r="AE396" t="s">
        <v>74</v>
      </c>
      <c r="AI396" t="s">
        <v>75</v>
      </c>
      <c r="AO396" t="s">
        <v>87</v>
      </c>
      <c r="AP396" s="20" t="str">
        <f t="shared" si="44"/>
        <v>14</v>
      </c>
      <c r="AU396" t="s">
        <v>121</v>
      </c>
      <c r="AV396" s="20" t="str">
        <f t="shared" si="43"/>
        <v>18</v>
      </c>
      <c r="BD396" t="s">
        <v>258</v>
      </c>
      <c r="BH396" t="s">
        <v>78</v>
      </c>
      <c r="BL396" t="s">
        <v>645</v>
      </c>
      <c r="BM396" s="20" t="str">
        <f t="shared" si="40"/>
        <v>68</v>
      </c>
      <c r="BN396" t="s">
        <v>148</v>
      </c>
      <c r="BO396" s="20" t="str">
        <f t="shared" si="41"/>
        <v>166</v>
      </c>
      <c r="BQ396" t="s">
        <v>248</v>
      </c>
      <c r="BR396" s="20" t="str">
        <f t="shared" si="45"/>
        <v>10.25</v>
      </c>
      <c r="BS396" s="21">
        <f t="shared" si="42"/>
        <v>98</v>
      </c>
      <c r="BT396" s="13"/>
    </row>
    <row r="397" spans="1:72" x14ac:dyDescent="0.2">
      <c r="A397" s="10" t="s">
        <v>63</v>
      </c>
      <c r="B397" s="10" t="s">
        <v>2272</v>
      </c>
      <c r="C397" s="10" t="s">
        <v>448</v>
      </c>
      <c r="D397" s="10" t="s">
        <v>64</v>
      </c>
      <c r="E397" s="10" t="s">
        <v>65</v>
      </c>
      <c r="F397" s="10" t="s">
        <v>64</v>
      </c>
      <c r="G397" s="10" t="s">
        <v>211</v>
      </c>
      <c r="H397" s="10" t="s">
        <v>212</v>
      </c>
      <c r="I397" s="10" t="s">
        <v>383</v>
      </c>
      <c r="J397" s="10" t="s">
        <v>443</v>
      </c>
      <c r="K397" s="10"/>
      <c r="L397" s="10">
        <v>61</v>
      </c>
      <c r="M397" s="10">
        <v>61</v>
      </c>
      <c r="N397" s="10">
        <v>201</v>
      </c>
      <c r="O397" s="10">
        <v>201</v>
      </c>
      <c r="P397" s="10" t="s">
        <v>449</v>
      </c>
      <c r="Q397" s="10"/>
      <c r="R397" s="10" t="s">
        <v>445</v>
      </c>
      <c r="S397" s="10" t="s">
        <v>305</v>
      </c>
      <c r="T397" s="10" t="s">
        <v>450</v>
      </c>
      <c r="U397" s="11">
        <v>41429</v>
      </c>
      <c r="V397" s="10">
        <v>4</v>
      </c>
      <c r="W397" s="10">
        <v>6</v>
      </c>
      <c r="X397" s="10">
        <v>2013</v>
      </c>
      <c r="Y397" s="10">
        <f>-29.8758333333/-57.1725</f>
        <v>0.52255600740390928</v>
      </c>
      <c r="Z397" s="10" t="s">
        <v>72</v>
      </c>
      <c r="AA397" s="10">
        <v>-29.875833333300001</v>
      </c>
      <c r="AB397" s="10">
        <v>-57.172499999999999</v>
      </c>
      <c r="AC397" s="10"/>
      <c r="AD397" s="10" t="s">
        <v>73</v>
      </c>
      <c r="AE397" s="10" t="s">
        <v>74</v>
      </c>
      <c r="AF397" s="10"/>
      <c r="AG397" s="10"/>
      <c r="AH397" s="10"/>
      <c r="AI397" s="10"/>
      <c r="AJ397" s="10"/>
      <c r="AK397" s="10"/>
      <c r="AL397" s="10"/>
      <c r="AM397" s="10"/>
      <c r="AN397" s="10"/>
      <c r="AO397" s="10" t="s">
        <v>88</v>
      </c>
      <c r="AP397" s="20" t="str">
        <f t="shared" si="44"/>
        <v>15</v>
      </c>
      <c r="AQ397" s="10"/>
      <c r="AR397" s="10"/>
      <c r="AS397" s="10"/>
      <c r="AT397" s="10"/>
      <c r="AU397" s="10" t="s">
        <v>130</v>
      </c>
      <c r="AV397" s="20" t="str">
        <f t="shared" si="43"/>
        <v>19</v>
      </c>
      <c r="AW397" s="10"/>
      <c r="AX397" s="10"/>
      <c r="AY397" s="10"/>
      <c r="AZ397" s="10"/>
      <c r="BA397" s="10"/>
      <c r="BB397" s="10"/>
      <c r="BC397" s="10"/>
      <c r="BD397" s="10" t="s">
        <v>152</v>
      </c>
      <c r="BF397" s="10"/>
      <c r="BG397" s="10"/>
      <c r="BH397" s="10" t="s">
        <v>78</v>
      </c>
      <c r="BI397" s="10"/>
      <c r="BJ397" s="10"/>
      <c r="BK397" s="10"/>
      <c r="BL397" s="10" t="s">
        <v>451</v>
      </c>
      <c r="BM397" s="20" t="str">
        <f t="shared" si="40"/>
        <v>94</v>
      </c>
      <c r="BN397" s="10" t="s">
        <v>170</v>
      </c>
      <c r="BO397" s="20" t="str">
        <f t="shared" si="41"/>
        <v>192</v>
      </c>
      <c r="BP397" s="10"/>
      <c r="BQ397" s="10" t="s">
        <v>452</v>
      </c>
      <c r="BR397" s="20" t="str">
        <f t="shared" si="45"/>
        <v>24.5</v>
      </c>
      <c r="BS397" s="21">
        <f t="shared" si="42"/>
        <v>98</v>
      </c>
    </row>
    <row r="398" spans="1:72" x14ac:dyDescent="0.2">
      <c r="A398" t="s">
        <v>63</v>
      </c>
      <c r="B398" s="20" t="s">
        <v>2376</v>
      </c>
      <c r="C398" t="s">
        <v>1499</v>
      </c>
      <c r="D398" t="s">
        <v>64</v>
      </c>
      <c r="E398" t="s">
        <v>65</v>
      </c>
      <c r="F398" t="s">
        <v>64</v>
      </c>
      <c r="G398" t="s">
        <v>211</v>
      </c>
      <c r="H398" t="s">
        <v>212</v>
      </c>
      <c r="I398" t="s">
        <v>701</v>
      </c>
      <c r="J398" t="s">
        <v>1466</v>
      </c>
      <c r="L398">
        <v>333</v>
      </c>
      <c r="M398">
        <v>333</v>
      </c>
      <c r="N398">
        <v>1094</v>
      </c>
      <c r="O398">
        <v>1094</v>
      </c>
      <c r="P398" t="s">
        <v>1500</v>
      </c>
      <c r="R398" t="s">
        <v>1501</v>
      </c>
      <c r="T398" t="s">
        <v>1502</v>
      </c>
      <c r="U398" s="2">
        <v>41254</v>
      </c>
      <c r="V398">
        <v>11</v>
      </c>
      <c r="W398">
        <v>12</v>
      </c>
      <c r="X398">
        <v>2012</v>
      </c>
      <c r="Y398">
        <f>-0.2441333333/-79.3319166667</f>
        <v>3.0773658769103749E-3</v>
      </c>
      <c r="Z398" t="s">
        <v>72</v>
      </c>
      <c r="AA398">
        <v>-0.2441333333</v>
      </c>
      <c r="AB398">
        <v>-79.331916666699996</v>
      </c>
      <c r="AD398" t="s">
        <v>96</v>
      </c>
      <c r="AE398" t="s">
        <v>74</v>
      </c>
      <c r="AI398" t="s">
        <v>75</v>
      </c>
      <c r="AO398" t="s">
        <v>87</v>
      </c>
      <c r="AP398" s="20" t="str">
        <f t="shared" si="44"/>
        <v>14</v>
      </c>
      <c r="AU398" t="s">
        <v>121</v>
      </c>
      <c r="AV398" s="20" t="str">
        <f t="shared" si="43"/>
        <v>18</v>
      </c>
      <c r="BD398" t="s">
        <v>152</v>
      </c>
      <c r="BH398" t="s">
        <v>78</v>
      </c>
      <c r="BL398" t="s">
        <v>1447</v>
      </c>
      <c r="BM398" s="20" t="str">
        <f t="shared" si="40"/>
        <v>64</v>
      </c>
      <c r="BN398" t="s">
        <v>407</v>
      </c>
      <c r="BO398" s="20" t="str">
        <f t="shared" si="41"/>
        <v>162</v>
      </c>
      <c r="BQ398" t="s">
        <v>801</v>
      </c>
      <c r="BR398" s="20" t="str">
        <f t="shared" si="45"/>
        <v>9.5</v>
      </c>
      <c r="BS398" s="21">
        <f t="shared" si="42"/>
        <v>98</v>
      </c>
    </row>
    <row r="399" spans="1:72" x14ac:dyDescent="0.2">
      <c r="A399" t="s">
        <v>63</v>
      </c>
      <c r="B399" t="s">
        <v>2302</v>
      </c>
      <c r="C399" t="s">
        <v>949</v>
      </c>
      <c r="D399" t="s">
        <v>64</v>
      </c>
      <c r="E399" t="s">
        <v>65</v>
      </c>
      <c r="F399" t="s">
        <v>64</v>
      </c>
      <c r="G399" t="s">
        <v>615</v>
      </c>
      <c r="H399" t="s">
        <v>67</v>
      </c>
      <c r="I399" t="s">
        <v>788</v>
      </c>
      <c r="J399" t="s">
        <v>789</v>
      </c>
      <c r="K399" t="s">
        <v>925</v>
      </c>
      <c r="L399">
        <v>705</v>
      </c>
      <c r="M399">
        <v>705</v>
      </c>
      <c r="N399">
        <v>2312</v>
      </c>
      <c r="O399">
        <v>2312</v>
      </c>
      <c r="P399" t="s">
        <v>869</v>
      </c>
      <c r="R399" t="s">
        <v>950</v>
      </c>
      <c r="S399" t="s">
        <v>951</v>
      </c>
      <c r="T399" t="s">
        <v>952</v>
      </c>
      <c r="U399" s="2">
        <v>41113</v>
      </c>
      <c r="V399">
        <v>23</v>
      </c>
      <c r="W399">
        <v>7</v>
      </c>
      <c r="X399">
        <v>2012</v>
      </c>
      <c r="Y399" t="s">
        <v>953</v>
      </c>
      <c r="Z399" t="s">
        <v>72</v>
      </c>
      <c r="AA399">
        <v>53.720550000000003</v>
      </c>
      <c r="AB399">
        <v>-113.3814</v>
      </c>
      <c r="AD399" t="s">
        <v>73</v>
      </c>
      <c r="AE399" t="s">
        <v>74</v>
      </c>
      <c r="AI399" t="s">
        <v>75</v>
      </c>
      <c r="AO399" t="s">
        <v>111</v>
      </c>
      <c r="AP399" s="20" t="str">
        <f t="shared" si="44"/>
        <v>20</v>
      </c>
      <c r="AU399" t="s">
        <v>121</v>
      </c>
      <c r="AV399" s="20" t="str">
        <f t="shared" si="43"/>
        <v>18</v>
      </c>
      <c r="BD399" t="s">
        <v>954</v>
      </c>
      <c r="BH399" t="s">
        <v>78</v>
      </c>
      <c r="BL399" t="s">
        <v>79</v>
      </c>
      <c r="BM399" s="20" t="str">
        <f t="shared" si="40"/>
        <v>85</v>
      </c>
      <c r="BN399" t="s">
        <v>314</v>
      </c>
      <c r="BO399" s="20" t="str">
        <f t="shared" si="41"/>
        <v>183</v>
      </c>
      <c r="BQ399" t="s">
        <v>628</v>
      </c>
      <c r="BR399" s="20" t="str">
        <f t="shared" si="45"/>
        <v>25</v>
      </c>
      <c r="BS399" s="21">
        <f t="shared" si="42"/>
        <v>98</v>
      </c>
    </row>
    <row r="400" spans="1:72" x14ac:dyDescent="0.2">
      <c r="A400" s="10" t="s">
        <v>63</v>
      </c>
      <c r="B400" s="10" t="s">
        <v>2258</v>
      </c>
      <c r="C400" s="10" t="s">
        <v>276</v>
      </c>
      <c r="D400" s="10" t="s">
        <v>64</v>
      </c>
      <c r="E400" s="10" t="s">
        <v>65</v>
      </c>
      <c r="F400" s="10" t="s">
        <v>64</v>
      </c>
      <c r="G400" s="10" t="s">
        <v>211</v>
      </c>
      <c r="H400" s="10" t="s">
        <v>212</v>
      </c>
      <c r="I400" s="10" t="s">
        <v>213</v>
      </c>
      <c r="J400" s="10" t="s">
        <v>214</v>
      </c>
      <c r="K400" s="10"/>
      <c r="L400" s="10">
        <v>112</v>
      </c>
      <c r="M400" s="10">
        <v>112</v>
      </c>
      <c r="N400" s="10">
        <v>367</v>
      </c>
      <c r="O400" s="10">
        <v>367</v>
      </c>
      <c r="P400" s="10" t="s">
        <v>277</v>
      </c>
      <c r="Q400" s="10"/>
      <c r="R400" s="10" t="s">
        <v>278</v>
      </c>
      <c r="S400" s="10" t="s">
        <v>217</v>
      </c>
      <c r="T400" s="10" t="s">
        <v>279</v>
      </c>
      <c r="U400" s="11">
        <v>41368</v>
      </c>
      <c r="V400" s="10">
        <v>4</v>
      </c>
      <c r="W400" s="10">
        <v>4</v>
      </c>
      <c r="X400" s="10">
        <v>2013</v>
      </c>
      <c r="Y400" s="10">
        <f>-37.7605666667/-59.2988333333</f>
        <v>0.63678430997891289</v>
      </c>
      <c r="Z400" s="10" t="s">
        <v>72</v>
      </c>
      <c r="AA400" s="10">
        <v>-37.760566666700001</v>
      </c>
      <c r="AB400" s="10">
        <v>-59.298833333300003</v>
      </c>
      <c r="AC400" s="10"/>
      <c r="AD400" s="10" t="s">
        <v>73</v>
      </c>
      <c r="AE400" s="10" t="s">
        <v>74</v>
      </c>
      <c r="AF400" s="10"/>
      <c r="AG400" s="10"/>
      <c r="AH400" s="10"/>
      <c r="AI400" s="10"/>
      <c r="AJ400" s="10"/>
      <c r="AK400" s="10"/>
      <c r="AL400" s="10"/>
      <c r="AM400" s="10"/>
      <c r="AN400" s="10"/>
      <c r="AO400" s="10" t="s">
        <v>88</v>
      </c>
      <c r="AP400" s="20" t="str">
        <f t="shared" si="44"/>
        <v>15</v>
      </c>
      <c r="AQ400" s="10"/>
      <c r="AR400" s="10"/>
      <c r="AS400" s="10"/>
      <c r="AT400" s="10"/>
      <c r="AU400" s="10" t="s">
        <v>130</v>
      </c>
      <c r="AV400" s="20" t="str">
        <f t="shared" si="43"/>
        <v>19</v>
      </c>
      <c r="AW400" s="10"/>
      <c r="AX400" s="10"/>
      <c r="AY400" s="10"/>
      <c r="AZ400" s="10"/>
      <c r="BA400" s="10"/>
      <c r="BB400" s="10"/>
      <c r="BC400" s="10"/>
      <c r="BD400" s="10" t="s">
        <v>261</v>
      </c>
      <c r="BF400" s="10"/>
      <c r="BG400" s="10"/>
      <c r="BH400" s="10" t="s">
        <v>83</v>
      </c>
      <c r="BI400" s="10"/>
      <c r="BJ400" s="10"/>
      <c r="BK400" s="10"/>
      <c r="BL400" s="10" t="s">
        <v>113</v>
      </c>
      <c r="BM400" s="20" t="str">
        <f t="shared" si="40"/>
        <v>90</v>
      </c>
      <c r="BN400" s="10" t="s">
        <v>280</v>
      </c>
      <c r="BO400" s="20" t="str">
        <f t="shared" si="41"/>
        <v>188</v>
      </c>
      <c r="BP400" s="10"/>
      <c r="BQ400" s="10" t="s">
        <v>281</v>
      </c>
      <c r="BR400" s="20" t="str">
        <f t="shared" si="45"/>
        <v>19</v>
      </c>
      <c r="BS400" s="21">
        <f t="shared" si="42"/>
        <v>98</v>
      </c>
    </row>
    <row r="401" spans="1:72" x14ac:dyDescent="0.2">
      <c r="A401" s="7" t="s">
        <v>63</v>
      </c>
      <c r="B401" s="7" t="s">
        <v>2225</v>
      </c>
      <c r="C401" s="7" t="s">
        <v>902</v>
      </c>
      <c r="D401" s="7" t="s">
        <v>64</v>
      </c>
      <c r="E401" s="7" t="s">
        <v>65</v>
      </c>
      <c r="F401" s="7" t="s">
        <v>64</v>
      </c>
      <c r="G401" s="7" t="s">
        <v>615</v>
      </c>
      <c r="H401" s="7" t="s">
        <v>67</v>
      </c>
      <c r="I401" s="7" t="s">
        <v>788</v>
      </c>
      <c r="J401" s="7" t="s">
        <v>789</v>
      </c>
      <c r="K401" s="7" t="s">
        <v>822</v>
      </c>
      <c r="L401" s="7">
        <v>677</v>
      </c>
      <c r="M401" s="7">
        <v>677</v>
      </c>
      <c r="N401" s="7">
        <v>2220</v>
      </c>
      <c r="O401" s="7">
        <v>2220</v>
      </c>
      <c r="P401" s="7" t="s">
        <v>903</v>
      </c>
      <c r="Q401" s="7"/>
      <c r="R401" s="7" t="s">
        <v>904</v>
      </c>
      <c r="S401" s="7" t="s">
        <v>266</v>
      </c>
      <c r="T401" s="7" t="s">
        <v>905</v>
      </c>
      <c r="U401" s="9">
        <v>41119</v>
      </c>
      <c r="V401" s="7">
        <v>29</v>
      </c>
      <c r="W401" s="7">
        <v>7</v>
      </c>
      <c r="X401" s="7">
        <v>2012</v>
      </c>
      <c r="Y401" s="7" t="s">
        <v>906</v>
      </c>
      <c r="Z401" s="7" t="s">
        <v>72</v>
      </c>
      <c r="AA401" s="7">
        <v>53.542116666699997</v>
      </c>
      <c r="AB401" s="7">
        <v>-113.82325</v>
      </c>
      <c r="AC401" s="7"/>
      <c r="AD401" s="7" t="s">
        <v>73</v>
      </c>
      <c r="AE401" s="7" t="s">
        <v>74</v>
      </c>
      <c r="AF401" s="7"/>
      <c r="AG401" s="7"/>
      <c r="AH401" s="7"/>
      <c r="AI401" s="7" t="s">
        <v>75</v>
      </c>
      <c r="AJ401" s="7"/>
      <c r="AK401" s="7"/>
      <c r="AL401" s="7"/>
      <c r="AM401" s="7"/>
      <c r="AN401" s="7"/>
      <c r="AO401" s="7" t="s">
        <v>207</v>
      </c>
      <c r="AP401" s="20" t="str">
        <f t="shared" si="44"/>
        <v>13.5</v>
      </c>
      <c r="AQ401" s="7"/>
      <c r="AR401" s="7"/>
      <c r="AS401" s="7"/>
      <c r="AT401" s="7"/>
      <c r="AU401" s="7" t="s">
        <v>121</v>
      </c>
      <c r="AV401" s="20" t="str">
        <f t="shared" si="43"/>
        <v>18</v>
      </c>
      <c r="AW401" s="7"/>
      <c r="AX401" s="7"/>
      <c r="AY401" s="7"/>
      <c r="AZ401" s="7"/>
      <c r="BA401" s="7"/>
      <c r="BB401" s="7"/>
      <c r="BC401" s="7"/>
      <c r="BD401" s="7"/>
      <c r="BF401" s="7"/>
      <c r="BG401" s="7"/>
      <c r="BH401" s="7" t="s">
        <v>83</v>
      </c>
      <c r="BI401" s="7"/>
      <c r="BJ401" s="7"/>
      <c r="BK401" s="7"/>
      <c r="BL401" s="7" t="s">
        <v>79</v>
      </c>
      <c r="BM401" s="20" t="str">
        <f t="shared" si="40"/>
        <v>85</v>
      </c>
      <c r="BN401" s="7" t="s">
        <v>314</v>
      </c>
      <c r="BO401" s="20" t="str">
        <f t="shared" si="41"/>
        <v>183</v>
      </c>
      <c r="BP401" s="7"/>
      <c r="BQ401" s="7" t="s">
        <v>149</v>
      </c>
      <c r="BR401" s="20" t="str">
        <f t="shared" si="45"/>
        <v>16.5</v>
      </c>
      <c r="BS401" s="21">
        <f t="shared" si="42"/>
        <v>98</v>
      </c>
    </row>
    <row r="402" spans="1:72" x14ac:dyDescent="0.2">
      <c r="A402" t="s">
        <v>63</v>
      </c>
      <c r="B402" t="s">
        <v>2371</v>
      </c>
      <c r="C402" t="s">
        <v>2025</v>
      </c>
      <c r="D402" t="s">
        <v>64</v>
      </c>
      <c r="E402" t="s">
        <v>65</v>
      </c>
      <c r="F402" t="s">
        <v>64</v>
      </c>
      <c r="G402" t="s">
        <v>1886</v>
      </c>
      <c r="H402" t="s">
        <v>212</v>
      </c>
      <c r="I402" t="s">
        <v>1887</v>
      </c>
      <c r="J402" t="s">
        <v>2009</v>
      </c>
      <c r="L402">
        <v>276</v>
      </c>
      <c r="M402">
        <v>276</v>
      </c>
      <c r="N402">
        <v>276</v>
      </c>
      <c r="O402">
        <v>276</v>
      </c>
      <c r="P402" t="s">
        <v>2026</v>
      </c>
      <c r="R402" t="s">
        <v>2027</v>
      </c>
      <c r="T402" t="s">
        <v>2028</v>
      </c>
      <c r="U402" s="2">
        <v>41880</v>
      </c>
      <c r="V402">
        <v>29</v>
      </c>
      <c r="W402">
        <v>8</v>
      </c>
      <c r="X402">
        <v>2014</v>
      </c>
      <c r="Y402">
        <f>-17.3260333333/-63.2649</f>
        <v>0.27386486556210476</v>
      </c>
      <c r="Z402" t="s">
        <v>72</v>
      </c>
      <c r="AA402">
        <v>-17.3260333333</v>
      </c>
      <c r="AB402">
        <v>-63.264899999999997</v>
      </c>
      <c r="AC402">
        <v>100</v>
      </c>
      <c r="AD402" t="s">
        <v>73</v>
      </c>
      <c r="AE402" t="s">
        <v>74</v>
      </c>
      <c r="AO402" t="s">
        <v>76</v>
      </c>
      <c r="AP402" s="20" t="str">
        <f t="shared" si="44"/>
        <v>13</v>
      </c>
      <c r="AU402" t="s">
        <v>820</v>
      </c>
      <c r="AV402" s="20" t="str">
        <f t="shared" si="43"/>
        <v>18.4</v>
      </c>
      <c r="BD402" t="s">
        <v>152</v>
      </c>
      <c r="BH402" t="s">
        <v>78</v>
      </c>
      <c r="BL402" t="s">
        <v>1196</v>
      </c>
      <c r="BM402" s="20" t="str">
        <f t="shared" si="40"/>
        <v>86.5</v>
      </c>
      <c r="BN402" t="s">
        <v>242</v>
      </c>
      <c r="BO402" s="20" t="str">
        <f t="shared" si="41"/>
        <v>185</v>
      </c>
      <c r="BQ402" t="s">
        <v>694</v>
      </c>
      <c r="BR402" s="20" t="str">
        <f t="shared" si="45"/>
        <v>17.7</v>
      </c>
      <c r="BS402" s="21">
        <f t="shared" si="42"/>
        <v>98.5</v>
      </c>
      <c r="BT402" s="13"/>
    </row>
    <row r="403" spans="1:72" x14ac:dyDescent="0.2">
      <c r="A403" s="10" t="s">
        <v>63</v>
      </c>
      <c r="B403" s="10" t="s">
        <v>2278</v>
      </c>
      <c r="C403" s="10" t="s">
        <v>488</v>
      </c>
      <c r="D403" s="10" t="s">
        <v>64</v>
      </c>
      <c r="E403" s="10" t="s">
        <v>65</v>
      </c>
      <c r="F403" s="10" t="s">
        <v>64</v>
      </c>
      <c r="G403" s="10" t="s">
        <v>211</v>
      </c>
      <c r="H403" s="10" t="s">
        <v>212</v>
      </c>
      <c r="I403" s="10" t="s">
        <v>383</v>
      </c>
      <c r="J403" s="10" t="s">
        <v>443</v>
      </c>
      <c r="K403" s="10"/>
      <c r="L403" s="10">
        <v>107</v>
      </c>
      <c r="M403" s="10">
        <v>107</v>
      </c>
      <c r="N403" s="10">
        <v>352</v>
      </c>
      <c r="O403" s="10">
        <v>352</v>
      </c>
      <c r="P403" s="10" t="s">
        <v>489</v>
      </c>
      <c r="Q403" s="10"/>
      <c r="R403" s="10" t="s">
        <v>445</v>
      </c>
      <c r="S403" s="10" t="s">
        <v>250</v>
      </c>
      <c r="T403" s="10" t="s">
        <v>490</v>
      </c>
      <c r="U403" s="11">
        <v>41430</v>
      </c>
      <c r="V403" s="10">
        <v>5</v>
      </c>
      <c r="W403" s="10">
        <v>6</v>
      </c>
      <c r="X403" s="10">
        <v>2013</v>
      </c>
      <c r="Y403" s="10">
        <f>-29.904/-57.1526666667</f>
        <v>0.52323017881899747</v>
      </c>
      <c r="Z403" s="10" t="s">
        <v>72</v>
      </c>
      <c r="AA403" s="10">
        <v>-29.904</v>
      </c>
      <c r="AB403" s="10">
        <v>-57.1526666667</v>
      </c>
      <c r="AC403" s="10"/>
      <c r="AD403" s="10" t="s">
        <v>73</v>
      </c>
      <c r="AE403" s="10" t="s">
        <v>74</v>
      </c>
      <c r="AF403" s="10"/>
      <c r="AG403" s="10"/>
      <c r="AH403" s="10"/>
      <c r="AI403" s="10"/>
      <c r="AJ403" s="10"/>
      <c r="AK403" s="10"/>
      <c r="AL403" s="10"/>
      <c r="AM403" s="10"/>
      <c r="AN403" s="10"/>
      <c r="AO403" s="10" t="s">
        <v>344</v>
      </c>
      <c r="AP403" s="20" t="str">
        <f t="shared" si="44"/>
        <v>16</v>
      </c>
      <c r="AQ403" s="10"/>
      <c r="AR403" s="10"/>
      <c r="AS403" s="10"/>
      <c r="AT403" s="10"/>
      <c r="AU403" s="10" t="s">
        <v>121</v>
      </c>
      <c r="AV403" s="20" t="str">
        <f t="shared" si="43"/>
        <v>18</v>
      </c>
      <c r="AW403" s="10"/>
      <c r="AX403" s="10"/>
      <c r="AY403" s="10"/>
      <c r="AZ403" s="10"/>
      <c r="BA403" s="10"/>
      <c r="BB403" s="10"/>
      <c r="BC403" s="10"/>
      <c r="BD403" s="10" t="s">
        <v>152</v>
      </c>
      <c r="BF403" s="10"/>
      <c r="BG403" s="10"/>
      <c r="BH403" s="10" t="s">
        <v>78</v>
      </c>
      <c r="BI403" s="10"/>
      <c r="BJ403" s="10"/>
      <c r="BK403" s="10"/>
      <c r="BL403" s="10" t="s">
        <v>208</v>
      </c>
      <c r="BM403" s="20" t="str">
        <f t="shared" si="40"/>
        <v>80</v>
      </c>
      <c r="BN403" s="10" t="s">
        <v>142</v>
      </c>
      <c r="BO403" s="20" t="str">
        <f t="shared" si="41"/>
        <v>179</v>
      </c>
      <c r="BP403" s="10"/>
      <c r="BQ403" s="10" t="s">
        <v>133</v>
      </c>
      <c r="BR403" s="20" t="str">
        <f t="shared" si="45"/>
        <v>14</v>
      </c>
      <c r="BS403" s="21">
        <f t="shared" si="42"/>
        <v>99</v>
      </c>
    </row>
    <row r="404" spans="1:72" x14ac:dyDescent="0.2">
      <c r="A404" s="10" t="s">
        <v>63</v>
      </c>
      <c r="B404" s="10" t="s">
        <v>2293</v>
      </c>
      <c r="C404" s="10" t="s">
        <v>425</v>
      </c>
      <c r="D404" s="10" t="s">
        <v>64</v>
      </c>
      <c r="E404" s="10" t="s">
        <v>65</v>
      </c>
      <c r="F404" s="10" t="s">
        <v>64</v>
      </c>
      <c r="G404" s="10" t="s">
        <v>211</v>
      </c>
      <c r="H404" s="10" t="s">
        <v>212</v>
      </c>
      <c r="I404" s="10" t="s">
        <v>383</v>
      </c>
      <c r="J404" s="10" t="s">
        <v>384</v>
      </c>
      <c r="K404" s="10"/>
      <c r="L404" s="10">
        <v>1208</v>
      </c>
      <c r="M404" s="10">
        <v>1208</v>
      </c>
      <c r="N404" s="10">
        <v>3963</v>
      </c>
      <c r="O404" s="10">
        <v>3963</v>
      </c>
      <c r="P404" s="10" t="s">
        <v>426</v>
      </c>
      <c r="Q404" s="10"/>
      <c r="R404" s="10" t="s">
        <v>386</v>
      </c>
      <c r="S404" s="10" t="s">
        <v>305</v>
      </c>
      <c r="T404" s="10" t="s">
        <v>427</v>
      </c>
      <c r="U404" s="11">
        <v>41540</v>
      </c>
      <c r="V404" s="10">
        <v>23</v>
      </c>
      <c r="W404" s="10">
        <v>9</v>
      </c>
      <c r="X404" s="10">
        <v>2013</v>
      </c>
      <c r="Y404" s="10">
        <f>-15.6191666667/-47.9413333333</f>
        <v>0.3257975025039811</v>
      </c>
      <c r="Z404" s="10" t="s">
        <v>72</v>
      </c>
      <c r="AA404" s="10">
        <v>-15.6191666667</v>
      </c>
      <c r="AB404" s="10">
        <v>-47.941333333300001</v>
      </c>
      <c r="AC404" s="10"/>
      <c r="AD404" s="10" t="s">
        <v>73</v>
      </c>
      <c r="AE404" s="10" t="s">
        <v>74</v>
      </c>
      <c r="AF404" s="10"/>
      <c r="AG404" s="10"/>
      <c r="AH404" s="10"/>
      <c r="AI404" s="10"/>
      <c r="AJ404" s="10"/>
      <c r="AK404" s="10"/>
      <c r="AL404" s="10"/>
      <c r="AM404" s="10"/>
      <c r="AN404" s="10"/>
      <c r="AO404" s="10" t="s">
        <v>88</v>
      </c>
      <c r="AP404" s="20" t="str">
        <f t="shared" si="44"/>
        <v>15</v>
      </c>
      <c r="AQ404" s="10"/>
      <c r="AR404" s="10"/>
      <c r="AS404" s="10"/>
      <c r="AT404" s="10"/>
      <c r="AU404" s="10" t="s">
        <v>82</v>
      </c>
      <c r="AV404" s="20" t="str">
        <f t="shared" si="43"/>
        <v>17</v>
      </c>
      <c r="AW404" s="10"/>
      <c r="AX404" s="10"/>
      <c r="AY404" s="10"/>
      <c r="AZ404" s="10"/>
      <c r="BA404" s="10"/>
      <c r="BB404" s="10"/>
      <c r="BC404" s="10"/>
      <c r="BD404" s="10" t="s">
        <v>152</v>
      </c>
      <c r="BF404" s="10"/>
      <c r="BG404" s="10"/>
      <c r="BH404" s="10" t="s">
        <v>78</v>
      </c>
      <c r="BI404" s="10"/>
      <c r="BJ404" s="10"/>
      <c r="BK404" s="10"/>
      <c r="BL404" s="10" t="s">
        <v>147</v>
      </c>
      <c r="BM404" s="20" t="str">
        <f t="shared" si="40"/>
        <v>84</v>
      </c>
      <c r="BN404" s="10" t="s">
        <v>314</v>
      </c>
      <c r="BO404" s="20" t="str">
        <f t="shared" si="41"/>
        <v>183</v>
      </c>
      <c r="BP404" s="10"/>
      <c r="BQ404" s="10" t="s">
        <v>224</v>
      </c>
      <c r="BR404" s="20" t="str">
        <f t="shared" si="45"/>
        <v>14.25</v>
      </c>
      <c r="BS404" s="21">
        <f t="shared" si="42"/>
        <v>99</v>
      </c>
    </row>
    <row r="405" spans="1:72" x14ac:dyDescent="0.2">
      <c r="A405" t="s">
        <v>63</v>
      </c>
      <c r="B405" t="s">
        <v>2316</v>
      </c>
      <c r="C405" t="s">
        <v>2111</v>
      </c>
      <c r="D405" t="s">
        <v>64</v>
      </c>
      <c r="E405" t="s">
        <v>65</v>
      </c>
      <c r="F405" t="s">
        <v>64</v>
      </c>
      <c r="G405" t="s">
        <v>615</v>
      </c>
      <c r="H405" t="s">
        <v>67</v>
      </c>
      <c r="I405" t="s">
        <v>788</v>
      </c>
      <c r="J405" t="s">
        <v>789</v>
      </c>
      <c r="K405" t="s">
        <v>908</v>
      </c>
      <c r="L405">
        <v>768</v>
      </c>
      <c r="M405">
        <v>768</v>
      </c>
      <c r="N405">
        <v>2521</v>
      </c>
      <c r="O405">
        <v>2521</v>
      </c>
      <c r="P405" t="s">
        <v>909</v>
      </c>
      <c r="R405" t="s">
        <v>910</v>
      </c>
      <c r="S405" t="s">
        <v>911</v>
      </c>
      <c r="T405" t="s">
        <v>2112</v>
      </c>
      <c r="U405" s="1">
        <v>41119</v>
      </c>
      <c r="V405">
        <v>29</v>
      </c>
      <c r="W405">
        <v>7</v>
      </c>
      <c r="X405">
        <v>2012</v>
      </c>
      <c r="Y405" t="s">
        <v>913</v>
      </c>
      <c r="Z405" t="s">
        <v>72</v>
      </c>
      <c r="AA405">
        <v>53.395633333299998</v>
      </c>
      <c r="AB405">
        <v>-113.1895666667</v>
      </c>
      <c r="AD405" t="s">
        <v>73</v>
      </c>
      <c r="AE405" t="s">
        <v>74</v>
      </c>
      <c r="AI405" t="s">
        <v>75</v>
      </c>
      <c r="AO405" t="s">
        <v>638</v>
      </c>
      <c r="AP405" s="20" t="str">
        <f t="shared" si="44"/>
        <v>13.2</v>
      </c>
      <c r="AU405" t="s">
        <v>1310</v>
      </c>
      <c r="AV405" s="20" t="str">
        <f t="shared" si="43"/>
        <v>18.6</v>
      </c>
      <c r="BH405" t="s">
        <v>78</v>
      </c>
      <c r="BL405" t="s">
        <v>113</v>
      </c>
      <c r="BM405" s="20" t="str">
        <f t="shared" si="40"/>
        <v>90</v>
      </c>
      <c r="BN405" t="s">
        <v>618</v>
      </c>
      <c r="BO405" s="20" t="str">
        <f t="shared" si="41"/>
        <v>189</v>
      </c>
      <c r="BQ405" t="s">
        <v>793</v>
      </c>
      <c r="BR405" s="20" t="str">
        <f t="shared" si="45"/>
        <v>20.7</v>
      </c>
      <c r="BS405" s="21">
        <f t="shared" si="42"/>
        <v>99</v>
      </c>
    </row>
    <row r="406" spans="1:72" x14ac:dyDescent="0.2">
      <c r="A406" t="s">
        <v>63</v>
      </c>
      <c r="B406" t="s">
        <v>2326</v>
      </c>
      <c r="C406" t="s">
        <v>900</v>
      </c>
      <c r="D406" t="s">
        <v>64</v>
      </c>
      <c r="E406" t="s">
        <v>65</v>
      </c>
      <c r="F406" t="s">
        <v>64</v>
      </c>
      <c r="G406" t="s">
        <v>615</v>
      </c>
      <c r="H406" t="s">
        <v>67</v>
      </c>
      <c r="I406" t="s">
        <v>788</v>
      </c>
      <c r="J406" t="s">
        <v>789</v>
      </c>
      <c r="K406" t="s">
        <v>822</v>
      </c>
      <c r="L406">
        <v>712</v>
      </c>
      <c r="M406">
        <v>712</v>
      </c>
      <c r="N406">
        <v>2336</v>
      </c>
      <c r="O406">
        <v>2336</v>
      </c>
      <c r="P406" t="s">
        <v>886</v>
      </c>
      <c r="R406" t="s">
        <v>887</v>
      </c>
      <c r="S406" t="s">
        <v>888</v>
      </c>
      <c r="T406" t="s">
        <v>892</v>
      </c>
      <c r="U406" s="2">
        <v>41123</v>
      </c>
      <c r="V406">
        <v>2</v>
      </c>
      <c r="W406">
        <v>8</v>
      </c>
      <c r="X406">
        <v>2012</v>
      </c>
      <c r="Y406" t="s">
        <v>890</v>
      </c>
      <c r="Z406" t="s">
        <v>72</v>
      </c>
      <c r="AA406">
        <v>53.407866666700002</v>
      </c>
      <c r="AB406">
        <v>-113.90711666670001</v>
      </c>
      <c r="AD406" t="s">
        <v>73</v>
      </c>
      <c r="AE406" t="s">
        <v>74</v>
      </c>
      <c r="AI406" t="s">
        <v>75</v>
      </c>
      <c r="AO406" t="s">
        <v>88</v>
      </c>
      <c r="AP406" s="20" t="str">
        <f t="shared" si="44"/>
        <v>15</v>
      </c>
      <c r="AU406" t="s">
        <v>901</v>
      </c>
      <c r="AV406" s="20" t="str">
        <f t="shared" ref="AV406:AV437" si="46">LEFT(AU406,FIND("^^",SUBSTITUTE(AU406," ","^^",LEN(AU406)-LEN(SUBSTITUTE(AU406," ",""))))-1)</f>
        <v>19.25</v>
      </c>
      <c r="BH406" t="s">
        <v>78</v>
      </c>
      <c r="BL406" t="s">
        <v>191</v>
      </c>
      <c r="BM406" s="20" t="str">
        <f t="shared" si="40"/>
        <v>92</v>
      </c>
      <c r="BN406" t="s">
        <v>627</v>
      </c>
      <c r="BO406" s="20" t="str">
        <f t="shared" si="41"/>
        <v>191</v>
      </c>
      <c r="BQ406" t="s">
        <v>616</v>
      </c>
      <c r="BR406" s="20" t="str">
        <f t="shared" si="45"/>
        <v>21</v>
      </c>
      <c r="BS406" s="21">
        <f t="shared" si="42"/>
        <v>99</v>
      </c>
    </row>
    <row r="407" spans="1:72" x14ac:dyDescent="0.2">
      <c r="A407" t="s">
        <v>63</v>
      </c>
      <c r="B407" t="s">
        <v>2335</v>
      </c>
      <c r="C407" t="s">
        <v>1042</v>
      </c>
      <c r="D407" t="s">
        <v>64</v>
      </c>
      <c r="E407" t="s">
        <v>65</v>
      </c>
      <c r="F407" t="s">
        <v>64</v>
      </c>
      <c r="G407" t="s">
        <v>615</v>
      </c>
      <c r="H407" t="s">
        <v>67</v>
      </c>
      <c r="I407" t="s">
        <v>68</v>
      </c>
      <c r="J407" t="s">
        <v>69</v>
      </c>
      <c r="K407" t="s">
        <v>70</v>
      </c>
      <c r="L407">
        <v>700</v>
      </c>
      <c r="M407">
        <v>700</v>
      </c>
      <c r="N407">
        <v>2295</v>
      </c>
      <c r="O407">
        <v>2295</v>
      </c>
      <c r="P407" t="s">
        <v>71</v>
      </c>
      <c r="R407" t="s">
        <v>998</v>
      </c>
      <c r="S407" t="s">
        <v>999</v>
      </c>
      <c r="T407" t="s">
        <v>1000</v>
      </c>
      <c r="U407" s="2">
        <v>41171</v>
      </c>
      <c r="V407">
        <v>19</v>
      </c>
      <c r="W407">
        <v>9</v>
      </c>
      <c r="X407">
        <v>2012</v>
      </c>
      <c r="Y407" t="s">
        <v>1001</v>
      </c>
      <c r="Z407" t="s">
        <v>72</v>
      </c>
      <c r="AA407">
        <v>32.281350000000003</v>
      </c>
      <c r="AB407">
        <v>-110.94995</v>
      </c>
      <c r="AD407" t="s">
        <v>73</v>
      </c>
      <c r="AE407" t="s">
        <v>74</v>
      </c>
      <c r="AI407" t="s">
        <v>75</v>
      </c>
      <c r="AO407" t="s">
        <v>204</v>
      </c>
      <c r="AP407" s="20" t="str">
        <f t="shared" si="44"/>
        <v>15.5</v>
      </c>
      <c r="AU407" t="s">
        <v>679</v>
      </c>
      <c r="AV407" s="20" t="str">
        <f t="shared" si="46"/>
        <v>19.6</v>
      </c>
      <c r="BD407" t="s">
        <v>1043</v>
      </c>
      <c r="BH407" t="s">
        <v>78</v>
      </c>
      <c r="BL407" t="s">
        <v>1044</v>
      </c>
      <c r="BM407" s="20" t="str">
        <f t="shared" si="40"/>
        <v>71.5</v>
      </c>
      <c r="BN407" t="s">
        <v>302</v>
      </c>
      <c r="BO407" s="20" t="str">
        <f t="shared" si="41"/>
        <v>171</v>
      </c>
      <c r="BQ407" t="s">
        <v>1045</v>
      </c>
      <c r="BR407" s="20" t="str">
        <f t="shared" si="45"/>
        <v>22.0</v>
      </c>
      <c r="BS407" s="21">
        <f t="shared" si="42"/>
        <v>99.5</v>
      </c>
    </row>
    <row r="408" spans="1:72" x14ac:dyDescent="0.2">
      <c r="A408" s="7" t="s">
        <v>63</v>
      </c>
      <c r="B408" s="7" t="s">
        <v>2187</v>
      </c>
      <c r="C408" s="7" t="s">
        <v>1023</v>
      </c>
      <c r="D408" s="7" t="s">
        <v>64</v>
      </c>
      <c r="E408" s="7" t="s">
        <v>65</v>
      </c>
      <c r="F408" s="7" t="s">
        <v>64</v>
      </c>
      <c r="G408" s="7" t="s">
        <v>615</v>
      </c>
      <c r="H408" s="7" t="s">
        <v>67</v>
      </c>
      <c r="I408" s="7" t="s">
        <v>68</v>
      </c>
      <c r="J408" s="7" t="s">
        <v>69</v>
      </c>
      <c r="K408" s="7" t="s">
        <v>70</v>
      </c>
      <c r="L408" s="7">
        <v>719</v>
      </c>
      <c r="M408" s="7">
        <v>719</v>
      </c>
      <c r="N408" s="7">
        <v>2359</v>
      </c>
      <c r="O408" s="7">
        <v>2359</v>
      </c>
      <c r="P408" s="7" t="s">
        <v>823</v>
      </c>
      <c r="Q408" s="7"/>
      <c r="R408" s="7" t="s">
        <v>1024</v>
      </c>
      <c r="S408" s="7" t="s">
        <v>1025</v>
      </c>
      <c r="T408" s="7" t="s">
        <v>1026</v>
      </c>
      <c r="U408" s="9">
        <v>41165</v>
      </c>
      <c r="V408" s="7">
        <v>13</v>
      </c>
      <c r="W408" s="7">
        <v>9</v>
      </c>
      <c r="X408" s="7">
        <v>2012</v>
      </c>
      <c r="Y408" s="7" t="s">
        <v>1027</v>
      </c>
      <c r="Z408" s="7" t="s">
        <v>72</v>
      </c>
      <c r="AA408" s="7">
        <v>32.166966666699999</v>
      </c>
      <c r="AB408" s="7">
        <v>-111.0858833333</v>
      </c>
      <c r="AC408" s="7"/>
      <c r="AD408" s="7" t="s">
        <v>73</v>
      </c>
      <c r="AE408" s="7" t="s">
        <v>74</v>
      </c>
      <c r="AF408" s="7"/>
      <c r="AG408" s="7"/>
      <c r="AH408" s="7"/>
      <c r="AI408" s="7" t="s">
        <v>75</v>
      </c>
      <c r="AJ408" s="7"/>
      <c r="AK408" s="7"/>
      <c r="AL408" s="7"/>
      <c r="AM408" s="7"/>
      <c r="AN408" s="7"/>
      <c r="AO408" s="7" t="s">
        <v>634</v>
      </c>
      <c r="AP408" s="20" t="str">
        <f t="shared" si="44"/>
        <v>15.2</v>
      </c>
      <c r="AQ408" s="7"/>
      <c r="AR408" s="7"/>
      <c r="AS408" s="7"/>
      <c r="AT408" s="7"/>
      <c r="AU408" s="7" t="s">
        <v>620</v>
      </c>
      <c r="AV408" s="20" t="str">
        <f t="shared" si="46"/>
        <v>19.8</v>
      </c>
      <c r="AW408" s="7"/>
      <c r="AX408" s="7"/>
      <c r="AY408" s="7"/>
      <c r="AZ408" s="7"/>
      <c r="BA408" s="7"/>
      <c r="BB408" s="7"/>
      <c r="BC408" s="7"/>
      <c r="BD408" s="7" t="s">
        <v>1028</v>
      </c>
      <c r="BF408" s="7"/>
      <c r="BG408" s="7"/>
      <c r="BH408" s="7" t="s">
        <v>78</v>
      </c>
      <c r="BI408" s="7"/>
      <c r="BJ408" s="7"/>
      <c r="BK408" s="7"/>
      <c r="BL408" s="7" t="s">
        <v>191</v>
      </c>
      <c r="BM408" s="20" t="str">
        <f t="shared" si="40"/>
        <v>92</v>
      </c>
      <c r="BN408" s="7" t="s">
        <v>1029</v>
      </c>
      <c r="BO408" s="20" t="str">
        <f t="shared" si="41"/>
        <v>191.5</v>
      </c>
      <c r="BP408" s="7"/>
      <c r="BQ408" s="7" t="s">
        <v>689</v>
      </c>
      <c r="BR408" s="20" t="str">
        <f t="shared" si="45"/>
        <v>21.2</v>
      </c>
      <c r="BS408" s="21">
        <f t="shared" si="42"/>
        <v>99.5</v>
      </c>
    </row>
    <row r="409" spans="1:72" x14ac:dyDescent="0.2">
      <c r="A409" s="10" t="s">
        <v>63</v>
      </c>
      <c r="B409" s="10" t="s">
        <v>2285</v>
      </c>
      <c r="C409" s="10" t="s">
        <v>517</v>
      </c>
      <c r="D409" s="10" t="s">
        <v>64</v>
      </c>
      <c r="E409" s="10" t="s">
        <v>65</v>
      </c>
      <c r="F409" s="10" t="s">
        <v>64</v>
      </c>
      <c r="G409" s="10" t="s">
        <v>211</v>
      </c>
      <c r="H409" s="10" t="s">
        <v>212</v>
      </c>
      <c r="I409" s="10" t="s">
        <v>383</v>
      </c>
      <c r="J409" s="10" t="s">
        <v>492</v>
      </c>
      <c r="K409" s="10"/>
      <c r="L409" s="10">
        <v>85</v>
      </c>
      <c r="M409" s="10">
        <v>85</v>
      </c>
      <c r="N409" s="10">
        <v>279</v>
      </c>
      <c r="O409" s="10">
        <v>279</v>
      </c>
      <c r="P409" s="10" t="s">
        <v>518</v>
      </c>
      <c r="Q409" s="10"/>
      <c r="R409" s="10" t="s">
        <v>505</v>
      </c>
      <c r="S409" s="10" t="s">
        <v>495</v>
      </c>
      <c r="T409" s="10" t="s">
        <v>519</v>
      </c>
      <c r="U409" s="11">
        <v>41534</v>
      </c>
      <c r="V409" s="10">
        <v>17</v>
      </c>
      <c r="W409" s="10">
        <v>9</v>
      </c>
      <c r="X409" s="10">
        <v>2013</v>
      </c>
      <c r="Y409" s="10">
        <f>-8.7728333333/-63.84</f>
        <v>0.13741906850407268</v>
      </c>
      <c r="Z409" s="10" t="s">
        <v>72</v>
      </c>
      <c r="AA409" s="10">
        <v>-8.7728333332999995</v>
      </c>
      <c r="AB409" s="10">
        <v>-63.84</v>
      </c>
      <c r="AC409" s="10"/>
      <c r="AD409" s="10" t="s">
        <v>73</v>
      </c>
      <c r="AE409" s="10" t="s">
        <v>74</v>
      </c>
      <c r="AF409" s="10"/>
      <c r="AG409" s="10"/>
      <c r="AH409" s="10"/>
      <c r="AI409" s="10"/>
      <c r="AJ409" s="10"/>
      <c r="AK409" s="10"/>
      <c r="AL409" s="10"/>
      <c r="AM409" s="10"/>
      <c r="AN409" s="10"/>
      <c r="AO409" s="10" t="s">
        <v>88</v>
      </c>
      <c r="AP409" s="20" t="str">
        <f t="shared" si="44"/>
        <v>15</v>
      </c>
      <c r="AQ409" s="10"/>
      <c r="AR409" s="10"/>
      <c r="AS409" s="10"/>
      <c r="AT409" s="10"/>
      <c r="AU409" s="10" t="s">
        <v>130</v>
      </c>
      <c r="AV409" s="20" t="str">
        <f t="shared" si="46"/>
        <v>19</v>
      </c>
      <c r="AW409" s="10"/>
      <c r="AX409" s="10"/>
      <c r="AY409" s="10"/>
      <c r="AZ409" s="10"/>
      <c r="BA409" s="10"/>
      <c r="BB409" s="10"/>
      <c r="BC409" s="10"/>
      <c r="BD409" s="10" t="s">
        <v>152</v>
      </c>
      <c r="BF409" s="10"/>
      <c r="BG409" s="10"/>
      <c r="BH409" s="10" t="s">
        <v>78</v>
      </c>
      <c r="BI409" s="10"/>
      <c r="BJ409" s="10"/>
      <c r="BK409" s="10"/>
      <c r="BL409" s="10" t="s">
        <v>520</v>
      </c>
      <c r="BM409" s="20" t="str">
        <f t="shared" si="40"/>
        <v>93</v>
      </c>
      <c r="BN409" s="10" t="s">
        <v>521</v>
      </c>
      <c r="BO409" s="20" t="str">
        <f t="shared" si="41"/>
        <v>193</v>
      </c>
      <c r="BP409" s="10"/>
      <c r="BQ409" s="10" t="s">
        <v>522</v>
      </c>
      <c r="BR409" s="20" t="str">
        <f t="shared" si="45"/>
        <v>16.25</v>
      </c>
      <c r="BS409" s="21">
        <f t="shared" si="42"/>
        <v>100</v>
      </c>
    </row>
    <row r="410" spans="1:72" x14ac:dyDescent="0.2">
      <c r="A410" t="s">
        <v>63</v>
      </c>
      <c r="C410" t="s">
        <v>1293</v>
      </c>
      <c r="D410" t="s">
        <v>64</v>
      </c>
      <c r="E410" t="s">
        <v>65</v>
      </c>
      <c r="F410" t="s">
        <v>64</v>
      </c>
      <c r="G410" t="s">
        <v>615</v>
      </c>
      <c r="H410" t="s">
        <v>67</v>
      </c>
      <c r="I410" t="s">
        <v>68</v>
      </c>
      <c r="J410" t="s">
        <v>1136</v>
      </c>
      <c r="K410" t="s">
        <v>1210</v>
      </c>
      <c r="L410">
        <v>806</v>
      </c>
      <c r="M410">
        <v>806</v>
      </c>
      <c r="N410">
        <v>2645</v>
      </c>
      <c r="O410">
        <v>2645</v>
      </c>
      <c r="P410" t="s">
        <v>1280</v>
      </c>
      <c r="R410" t="s">
        <v>1281</v>
      </c>
      <c r="S410" t="s">
        <v>1282</v>
      </c>
      <c r="T410" t="s">
        <v>1283</v>
      </c>
      <c r="U410" s="2">
        <v>41071</v>
      </c>
      <c r="V410">
        <v>11</v>
      </c>
      <c r="W410">
        <v>6</v>
      </c>
      <c r="X410">
        <v>2012</v>
      </c>
      <c r="Y410" t="s">
        <v>1284</v>
      </c>
      <c r="Z410" t="s">
        <v>72</v>
      </c>
      <c r="AA410">
        <v>37.063749999999999</v>
      </c>
      <c r="AB410">
        <v>-113.5223333333</v>
      </c>
      <c r="AD410" t="s">
        <v>73</v>
      </c>
      <c r="AE410" t="s">
        <v>74</v>
      </c>
      <c r="AI410" t="s">
        <v>75</v>
      </c>
      <c r="AO410" t="s">
        <v>207</v>
      </c>
      <c r="AP410" s="20" t="str">
        <f t="shared" si="44"/>
        <v>13.5</v>
      </c>
      <c r="AU410" t="s">
        <v>820</v>
      </c>
      <c r="AV410" s="20" t="str">
        <f t="shared" si="46"/>
        <v>18.4</v>
      </c>
      <c r="BD410" t="s">
        <v>1294</v>
      </c>
      <c r="BE410" s="20" t="s">
        <v>241</v>
      </c>
      <c r="BH410" t="s">
        <v>78</v>
      </c>
      <c r="BL410" t="s">
        <v>147</v>
      </c>
      <c r="BM410" s="20" t="str">
        <f t="shared" si="40"/>
        <v>84</v>
      </c>
      <c r="BN410" t="s">
        <v>201</v>
      </c>
      <c r="BO410" s="20" t="str">
        <f t="shared" si="41"/>
        <v>184</v>
      </c>
      <c r="BQ410" t="s">
        <v>626</v>
      </c>
      <c r="BR410" s="20" t="str">
        <f t="shared" si="45"/>
        <v>19.5</v>
      </c>
      <c r="BS410" s="21">
        <f t="shared" si="42"/>
        <v>100</v>
      </c>
    </row>
    <row r="411" spans="1:72" x14ac:dyDescent="0.2">
      <c r="A411" t="s">
        <v>63</v>
      </c>
      <c r="B411" t="s">
        <v>2330</v>
      </c>
      <c r="C411" t="s">
        <v>1033</v>
      </c>
      <c r="D411" t="s">
        <v>64</v>
      </c>
      <c r="E411" t="s">
        <v>65</v>
      </c>
      <c r="F411" t="s">
        <v>64</v>
      </c>
      <c r="G411" t="s">
        <v>615</v>
      </c>
      <c r="H411" t="s">
        <v>67</v>
      </c>
      <c r="I411" t="s">
        <v>68</v>
      </c>
      <c r="J411" t="s">
        <v>69</v>
      </c>
      <c r="K411" t="s">
        <v>70</v>
      </c>
      <c r="L411">
        <v>719</v>
      </c>
      <c r="M411">
        <v>719</v>
      </c>
      <c r="N411">
        <v>2359</v>
      </c>
      <c r="O411">
        <v>2359</v>
      </c>
      <c r="P411" t="s">
        <v>823</v>
      </c>
      <c r="R411" t="s">
        <v>1024</v>
      </c>
      <c r="S411" t="s">
        <v>1025</v>
      </c>
      <c r="T411" t="s">
        <v>1026</v>
      </c>
      <c r="U411" s="2">
        <v>41165</v>
      </c>
      <c r="V411">
        <v>13</v>
      </c>
      <c r="W411">
        <v>9</v>
      </c>
      <c r="X411">
        <v>2012</v>
      </c>
      <c r="Y411" t="s">
        <v>1027</v>
      </c>
      <c r="Z411" t="s">
        <v>72</v>
      </c>
      <c r="AA411">
        <v>32.166966666699999</v>
      </c>
      <c r="AB411">
        <v>-111.0858833333</v>
      </c>
      <c r="AD411" t="s">
        <v>73</v>
      </c>
      <c r="AE411" t="s">
        <v>74</v>
      </c>
      <c r="AI411" t="s">
        <v>75</v>
      </c>
      <c r="AO411" t="s">
        <v>634</v>
      </c>
      <c r="AP411" s="20" t="str">
        <f t="shared" si="44"/>
        <v>15.2</v>
      </c>
      <c r="AU411" t="s">
        <v>675</v>
      </c>
      <c r="AV411" s="20" t="str">
        <f t="shared" si="46"/>
        <v>19.4</v>
      </c>
      <c r="BD411" t="s">
        <v>1034</v>
      </c>
      <c r="BE411" s="20" t="s">
        <v>241</v>
      </c>
      <c r="BH411" t="s">
        <v>78</v>
      </c>
      <c r="BL411" t="s">
        <v>191</v>
      </c>
      <c r="BM411" s="20" t="str">
        <f t="shared" si="40"/>
        <v>92</v>
      </c>
      <c r="BN411" t="s">
        <v>170</v>
      </c>
      <c r="BO411" s="20" t="str">
        <f t="shared" si="41"/>
        <v>192</v>
      </c>
      <c r="BQ411" t="s">
        <v>625</v>
      </c>
      <c r="BR411" s="20" t="str">
        <f t="shared" si="45"/>
        <v>26</v>
      </c>
      <c r="BS411" s="21">
        <f t="shared" si="42"/>
        <v>100</v>
      </c>
    </row>
    <row r="412" spans="1:72" x14ac:dyDescent="0.2">
      <c r="A412" s="13" t="s">
        <v>63</v>
      </c>
      <c r="B412" s="13"/>
      <c r="C412" s="13" t="s">
        <v>1920</v>
      </c>
      <c r="D412" s="13" t="s">
        <v>64</v>
      </c>
      <c r="E412" s="13" t="s">
        <v>65</v>
      </c>
      <c r="F412" s="13" t="s">
        <v>64</v>
      </c>
      <c r="G412" s="13" t="s">
        <v>1886</v>
      </c>
      <c r="H412" s="13" t="s">
        <v>212</v>
      </c>
      <c r="I412" s="13" t="s">
        <v>1887</v>
      </c>
      <c r="J412" s="13" t="s">
        <v>1888</v>
      </c>
      <c r="K412" s="13"/>
      <c r="L412" s="13">
        <v>3097</v>
      </c>
      <c r="M412" s="13">
        <v>3097</v>
      </c>
      <c r="N412" s="13">
        <v>3097</v>
      </c>
      <c r="O412" s="13">
        <v>3097</v>
      </c>
      <c r="P412" s="13" t="s">
        <v>1921</v>
      </c>
      <c r="Q412" s="13"/>
      <c r="R412" s="13" t="s">
        <v>1922</v>
      </c>
      <c r="S412" s="13"/>
      <c r="T412" s="13" t="s">
        <v>1923</v>
      </c>
      <c r="U412" s="14">
        <v>41865</v>
      </c>
      <c r="V412" s="13">
        <v>14</v>
      </c>
      <c r="W412" s="13">
        <v>8</v>
      </c>
      <c r="X412" s="13">
        <v>2014</v>
      </c>
      <c r="Y412" s="13">
        <f>-16.5891833333/-68.0691</f>
        <v>0.24371092512314688</v>
      </c>
      <c r="Z412" s="13" t="s">
        <v>72</v>
      </c>
      <c r="AA412" s="13">
        <v>-16.589183333299999</v>
      </c>
      <c r="AB412" s="13">
        <v>-68.069100000000006</v>
      </c>
      <c r="AC412" s="13">
        <v>100</v>
      </c>
      <c r="AD412" s="13" t="s">
        <v>73</v>
      </c>
      <c r="AE412" s="13" t="s">
        <v>74</v>
      </c>
      <c r="AF412" s="13"/>
      <c r="AG412" s="13"/>
      <c r="AH412" s="13"/>
      <c r="AI412" s="13" t="s">
        <v>75</v>
      </c>
      <c r="AJ412" s="13"/>
      <c r="AK412" s="13"/>
      <c r="AL412" s="13"/>
      <c r="AM412" s="13"/>
      <c r="AN412" s="13"/>
      <c r="AO412" s="13" t="s">
        <v>207</v>
      </c>
      <c r="AP412" s="20" t="str">
        <f t="shared" si="44"/>
        <v>13.5</v>
      </c>
      <c r="AQ412" s="13"/>
      <c r="AR412" s="13"/>
      <c r="AS412" s="13"/>
      <c r="AT412" s="13"/>
      <c r="AU412" s="13" t="s">
        <v>620</v>
      </c>
      <c r="AV412" s="20" t="str">
        <f t="shared" si="46"/>
        <v>19.8</v>
      </c>
      <c r="AW412" s="13"/>
      <c r="AX412" s="13"/>
      <c r="AY412" s="13"/>
      <c r="AZ412" s="13"/>
      <c r="BA412" s="13"/>
      <c r="BB412" s="13"/>
      <c r="BC412" s="13"/>
      <c r="BD412" s="13"/>
      <c r="BF412" s="13"/>
      <c r="BG412" s="13"/>
      <c r="BH412" s="13" t="s">
        <v>83</v>
      </c>
      <c r="BI412" s="13"/>
      <c r="BJ412" s="13"/>
      <c r="BK412" s="13"/>
      <c r="BL412" s="13" t="s">
        <v>79</v>
      </c>
      <c r="BM412" s="20" t="str">
        <f t="shared" si="40"/>
        <v>85</v>
      </c>
      <c r="BN412" s="13" t="s">
        <v>242</v>
      </c>
      <c r="BO412" s="20" t="str">
        <f t="shared" si="41"/>
        <v>185</v>
      </c>
      <c r="BP412" s="13"/>
      <c r="BQ412" s="13" t="s">
        <v>1884</v>
      </c>
      <c r="BR412" s="20" t="str">
        <f t="shared" si="45"/>
        <v>24.3</v>
      </c>
      <c r="BS412" s="21">
        <f t="shared" si="42"/>
        <v>100</v>
      </c>
    </row>
    <row r="413" spans="1:72" x14ac:dyDescent="0.2">
      <c r="A413" t="s">
        <v>63</v>
      </c>
      <c r="C413" t="s">
        <v>1547</v>
      </c>
      <c r="D413" t="s">
        <v>64</v>
      </c>
      <c r="E413" t="s">
        <v>65</v>
      </c>
      <c r="F413" t="s">
        <v>64</v>
      </c>
      <c r="G413" t="s">
        <v>211</v>
      </c>
      <c r="H413" t="s">
        <v>212</v>
      </c>
      <c r="I413" t="s">
        <v>701</v>
      </c>
      <c r="J413" t="s">
        <v>702</v>
      </c>
      <c r="L413">
        <v>3090</v>
      </c>
      <c r="M413">
        <v>3090</v>
      </c>
      <c r="N413">
        <v>10138</v>
      </c>
      <c r="O413">
        <v>10138</v>
      </c>
      <c r="P413" t="s">
        <v>1548</v>
      </c>
      <c r="R413" t="s">
        <v>1549</v>
      </c>
      <c r="T413" t="s">
        <v>1550</v>
      </c>
      <c r="U413" s="2">
        <v>41237</v>
      </c>
      <c r="V413">
        <v>24</v>
      </c>
      <c r="W413">
        <v>11</v>
      </c>
      <c r="X413">
        <v>2012</v>
      </c>
      <c r="Y413">
        <f>-0.4464833333/-78.4224833333</f>
        <v>5.6933077648462184E-3</v>
      </c>
      <c r="Z413" t="s">
        <v>72</v>
      </c>
      <c r="AA413">
        <v>-0.44648333330000001</v>
      </c>
      <c r="AB413">
        <v>-78.422483333299994</v>
      </c>
      <c r="AD413" t="s">
        <v>96</v>
      </c>
      <c r="AE413" t="s">
        <v>74</v>
      </c>
      <c r="AI413" t="s">
        <v>75</v>
      </c>
      <c r="AO413" t="s">
        <v>88</v>
      </c>
      <c r="AP413" s="20" t="str">
        <f t="shared" si="44"/>
        <v>15</v>
      </c>
      <c r="AU413" t="s">
        <v>130</v>
      </c>
      <c r="AV413" s="20" t="str">
        <f t="shared" si="46"/>
        <v>19</v>
      </c>
      <c r="BD413" t="s">
        <v>258</v>
      </c>
      <c r="BH413" t="s">
        <v>78</v>
      </c>
      <c r="BL413" t="s">
        <v>363</v>
      </c>
      <c r="BM413" s="20" t="str">
        <f t="shared" si="40"/>
        <v>72</v>
      </c>
      <c r="BN413" t="s">
        <v>161</v>
      </c>
      <c r="BO413" s="20" t="str">
        <f t="shared" si="41"/>
        <v>173</v>
      </c>
      <c r="BQ413" t="s">
        <v>1551</v>
      </c>
      <c r="BR413" s="20" t="str">
        <f t="shared" si="45"/>
        <v>15.75</v>
      </c>
      <c r="BS413" s="21">
        <f t="shared" si="42"/>
        <v>101</v>
      </c>
      <c r="BT413" s="13"/>
    </row>
    <row r="414" spans="1:72" x14ac:dyDescent="0.2">
      <c r="A414" s="10" t="s">
        <v>63</v>
      </c>
      <c r="B414" s="10" t="s">
        <v>2237</v>
      </c>
      <c r="C414" s="10" t="s">
        <v>240</v>
      </c>
      <c r="D414" s="10" t="s">
        <v>64</v>
      </c>
      <c r="E414" s="10" t="s">
        <v>65</v>
      </c>
      <c r="F414" s="10" t="s">
        <v>64</v>
      </c>
      <c r="G414" s="10" t="s">
        <v>211</v>
      </c>
      <c r="H414" s="10" t="s">
        <v>212</v>
      </c>
      <c r="I414" s="10" t="s">
        <v>213</v>
      </c>
      <c r="J414" s="10" t="s">
        <v>214</v>
      </c>
      <c r="K414" s="10"/>
      <c r="L414" s="10">
        <v>210</v>
      </c>
      <c r="M414" s="10">
        <v>210</v>
      </c>
      <c r="N414" s="10">
        <v>689</v>
      </c>
      <c r="O414" s="10">
        <v>689</v>
      </c>
      <c r="P414" s="10" t="s">
        <v>233</v>
      </c>
      <c r="Q414" s="10"/>
      <c r="R414" s="10" t="s">
        <v>234</v>
      </c>
      <c r="S414" s="10" t="s">
        <v>217</v>
      </c>
      <c r="T414" s="10" t="s">
        <v>235</v>
      </c>
      <c r="U414" s="11">
        <v>41309</v>
      </c>
      <c r="V414" s="10">
        <v>4</v>
      </c>
      <c r="W414" s="10">
        <v>2</v>
      </c>
      <c r="X414" s="10">
        <v>2013</v>
      </c>
      <c r="Y414" s="10">
        <f>-37.3161833333/-59.1023166667</f>
        <v>0.63138275177502556</v>
      </c>
      <c r="Z414" s="10" t="s">
        <v>72</v>
      </c>
      <c r="AA414" s="10">
        <v>-37.316183333300003</v>
      </c>
      <c r="AB414" s="10">
        <v>-59.102316666699998</v>
      </c>
      <c r="AC414" s="10"/>
      <c r="AD414" s="10" t="s">
        <v>73</v>
      </c>
      <c r="AE414" s="10" t="s">
        <v>74</v>
      </c>
      <c r="AF414" s="10"/>
      <c r="AG414" s="10"/>
      <c r="AH414" s="10"/>
      <c r="AI414" s="10"/>
      <c r="AJ414" s="10"/>
      <c r="AK414" s="10"/>
      <c r="AL414" s="10"/>
      <c r="AM414" s="10"/>
      <c r="AN414" s="10"/>
      <c r="AO414" s="10" t="s">
        <v>87</v>
      </c>
      <c r="AP414" s="20" t="str">
        <f t="shared" si="44"/>
        <v>14</v>
      </c>
      <c r="AQ414" s="10"/>
      <c r="AR414" s="10"/>
      <c r="AS414" s="10"/>
      <c r="AT414" s="10"/>
      <c r="AU414" s="10" t="s">
        <v>121</v>
      </c>
      <c r="AV414" s="20" t="str">
        <f t="shared" si="46"/>
        <v>18</v>
      </c>
      <c r="AW414" s="10"/>
      <c r="AX414" s="10"/>
      <c r="AY414" s="10"/>
      <c r="AZ414" s="10"/>
      <c r="BA414" s="10"/>
      <c r="BB414" s="10"/>
      <c r="BC414" s="10"/>
      <c r="BD414" s="10" t="s">
        <v>241</v>
      </c>
      <c r="BE414" s="20" t="s">
        <v>241</v>
      </c>
      <c r="BF414" s="10"/>
      <c r="BG414" s="10"/>
      <c r="BH414" s="10" t="s">
        <v>78</v>
      </c>
      <c r="BI414" s="10"/>
      <c r="BJ414" s="10"/>
      <c r="BK414" s="10"/>
      <c r="BL414" s="10" t="s">
        <v>147</v>
      </c>
      <c r="BM414" s="20" t="str">
        <f t="shared" si="40"/>
        <v>84</v>
      </c>
      <c r="BN414" s="10" t="s">
        <v>242</v>
      </c>
      <c r="BO414" s="20" t="str">
        <f t="shared" si="41"/>
        <v>185</v>
      </c>
      <c r="BP414" s="10"/>
      <c r="BQ414" s="10" t="s">
        <v>243</v>
      </c>
      <c r="BR414" s="20" t="str">
        <f t="shared" si="45"/>
        <v>16</v>
      </c>
      <c r="BS414" s="21">
        <f t="shared" si="42"/>
        <v>101</v>
      </c>
    </row>
    <row r="415" spans="1:72" x14ac:dyDescent="0.2">
      <c r="A415" t="s">
        <v>63</v>
      </c>
      <c r="C415" t="s">
        <v>1052</v>
      </c>
      <c r="D415" t="s">
        <v>64</v>
      </c>
      <c r="E415" t="s">
        <v>65</v>
      </c>
      <c r="F415" t="s">
        <v>64</v>
      </c>
      <c r="G415" t="s">
        <v>615</v>
      </c>
      <c r="H415" t="s">
        <v>67</v>
      </c>
      <c r="I415" t="s">
        <v>68</v>
      </c>
      <c r="J415" t="s">
        <v>1053</v>
      </c>
      <c r="K415" t="s">
        <v>1054</v>
      </c>
      <c r="L415">
        <v>733</v>
      </c>
      <c r="M415">
        <v>733</v>
      </c>
      <c r="N415">
        <v>2404</v>
      </c>
      <c r="O415">
        <v>2404</v>
      </c>
      <c r="P415" t="s">
        <v>1055</v>
      </c>
      <c r="R415" t="s">
        <v>1056</v>
      </c>
      <c r="S415" t="s">
        <v>1016</v>
      </c>
      <c r="T415" t="s">
        <v>1057</v>
      </c>
      <c r="U415" s="2">
        <v>41087</v>
      </c>
      <c r="V415">
        <v>27</v>
      </c>
      <c r="W415">
        <v>6</v>
      </c>
      <c r="X415">
        <v>2012</v>
      </c>
      <c r="Y415" t="s">
        <v>1058</v>
      </c>
      <c r="Z415" t="s">
        <v>72</v>
      </c>
      <c r="AA415">
        <v>47.317950000000003</v>
      </c>
      <c r="AB415">
        <v>-114.3276</v>
      </c>
      <c r="AD415" t="s">
        <v>73</v>
      </c>
      <c r="AE415" t="s">
        <v>74</v>
      </c>
      <c r="AI415" t="s">
        <v>75</v>
      </c>
      <c r="AO415" t="s">
        <v>640</v>
      </c>
      <c r="AP415" s="20" t="str">
        <f t="shared" si="44"/>
        <v>14.7</v>
      </c>
      <c r="AU415" t="s">
        <v>668</v>
      </c>
      <c r="AV415" s="20" t="str">
        <f t="shared" si="46"/>
        <v>19.7</v>
      </c>
      <c r="BD415" t="s">
        <v>1059</v>
      </c>
      <c r="BE415" s="20" t="s">
        <v>241</v>
      </c>
      <c r="BH415" t="s">
        <v>78</v>
      </c>
      <c r="BL415" t="s">
        <v>1060</v>
      </c>
      <c r="BM415" s="20" t="str">
        <f t="shared" si="40"/>
        <v>83.5</v>
      </c>
      <c r="BN415" t="s">
        <v>635</v>
      </c>
      <c r="BO415" s="20" t="str">
        <f t="shared" si="41"/>
        <v>184.5</v>
      </c>
      <c r="BQ415" t="s">
        <v>685</v>
      </c>
      <c r="BR415" s="20" t="str">
        <f t="shared" si="45"/>
        <v>29.5</v>
      </c>
      <c r="BS415" s="21">
        <f t="shared" si="42"/>
        <v>101</v>
      </c>
    </row>
    <row r="416" spans="1:72" x14ac:dyDescent="0.2">
      <c r="A416" s="7" t="s">
        <v>63</v>
      </c>
      <c r="B416" s="7" t="s">
        <v>2221</v>
      </c>
      <c r="C416" s="7" t="s">
        <v>931</v>
      </c>
      <c r="D416" s="7" t="s">
        <v>64</v>
      </c>
      <c r="E416" s="7" t="s">
        <v>65</v>
      </c>
      <c r="F416" s="7" t="s">
        <v>64</v>
      </c>
      <c r="G416" s="7" t="s">
        <v>615</v>
      </c>
      <c r="H416" s="7" t="s">
        <v>67</v>
      </c>
      <c r="I416" s="7" t="s">
        <v>788</v>
      </c>
      <c r="J416" s="7" t="s">
        <v>789</v>
      </c>
      <c r="K416" s="7" t="s">
        <v>925</v>
      </c>
      <c r="L416" s="7">
        <v>670</v>
      </c>
      <c r="M416" s="7">
        <v>670</v>
      </c>
      <c r="N416" s="7">
        <v>2197</v>
      </c>
      <c r="O416" s="7">
        <v>2197</v>
      </c>
      <c r="P416" s="7" t="s">
        <v>791</v>
      </c>
      <c r="Q416" s="7"/>
      <c r="R416" s="7" t="s">
        <v>932</v>
      </c>
      <c r="S416" s="7" t="s">
        <v>924</v>
      </c>
      <c r="T416" s="7" t="s">
        <v>933</v>
      </c>
      <c r="U416" s="9">
        <v>41115</v>
      </c>
      <c r="V416" s="7">
        <v>25</v>
      </c>
      <c r="W416" s="7">
        <v>7</v>
      </c>
      <c r="X416" s="7">
        <v>2012</v>
      </c>
      <c r="Y416" s="7" t="s">
        <v>934</v>
      </c>
      <c r="Z416" s="7" t="s">
        <v>72</v>
      </c>
      <c r="AA416" s="7">
        <v>53.7915666667</v>
      </c>
      <c r="AB416" s="7">
        <v>-113.3187666667</v>
      </c>
      <c r="AC416" s="7"/>
      <c r="AD416" s="7" t="s">
        <v>73</v>
      </c>
      <c r="AE416" s="7" t="s">
        <v>74</v>
      </c>
      <c r="AF416" s="7"/>
      <c r="AG416" s="7"/>
      <c r="AH416" s="7"/>
      <c r="AI416" s="7" t="s">
        <v>75</v>
      </c>
      <c r="AJ416" s="7"/>
      <c r="AK416" s="7"/>
      <c r="AL416" s="7"/>
      <c r="AM416" s="7"/>
      <c r="AN416" s="7"/>
      <c r="AO416" s="7" t="s">
        <v>87</v>
      </c>
      <c r="AP416" s="20" t="str">
        <f t="shared" si="44"/>
        <v>14</v>
      </c>
      <c r="AQ416" s="7"/>
      <c r="AR416" s="7"/>
      <c r="AS416" s="7"/>
      <c r="AT416" s="7"/>
      <c r="AU416" s="7" t="s">
        <v>344</v>
      </c>
      <c r="AV416" s="20" t="str">
        <f t="shared" si="46"/>
        <v>16</v>
      </c>
      <c r="AW416" s="7"/>
      <c r="AX416" s="7"/>
      <c r="AY416" s="7"/>
      <c r="AZ416" s="7"/>
      <c r="BA416" s="7"/>
      <c r="BB416" s="7"/>
      <c r="BC416" s="7"/>
      <c r="BD416" s="7"/>
      <c r="BF416" s="7"/>
      <c r="BG416" s="7"/>
      <c r="BH416" s="7" t="s">
        <v>78</v>
      </c>
      <c r="BI416" s="7"/>
      <c r="BJ416" s="7"/>
      <c r="BK416" s="7"/>
      <c r="BL416" s="7" t="s">
        <v>208</v>
      </c>
      <c r="BM416" s="20" t="str">
        <f t="shared" si="40"/>
        <v>80</v>
      </c>
      <c r="BN416" s="7" t="s">
        <v>580</v>
      </c>
      <c r="BO416" s="20" t="str">
        <f t="shared" si="41"/>
        <v>181</v>
      </c>
      <c r="BP416" s="7"/>
      <c r="BQ416" s="7" t="s">
        <v>684</v>
      </c>
      <c r="BR416" s="20" t="str">
        <f t="shared" si="45"/>
        <v>23.5</v>
      </c>
      <c r="BS416" s="21">
        <f t="shared" si="42"/>
        <v>101</v>
      </c>
    </row>
    <row r="417" spans="1:72" x14ac:dyDescent="0.2">
      <c r="A417" s="10" t="s">
        <v>63</v>
      </c>
      <c r="B417" s="10" t="s">
        <v>2246</v>
      </c>
      <c r="C417" s="10" t="s">
        <v>374</v>
      </c>
      <c r="D417" s="10" t="s">
        <v>64</v>
      </c>
      <c r="E417" s="10" t="s">
        <v>65</v>
      </c>
      <c r="F417" s="10" t="s">
        <v>64</v>
      </c>
      <c r="G417" s="10" t="s">
        <v>211</v>
      </c>
      <c r="H417" s="10" t="s">
        <v>212</v>
      </c>
      <c r="I417" s="10" t="s">
        <v>213</v>
      </c>
      <c r="J417" s="10" t="s">
        <v>354</v>
      </c>
      <c r="K417" s="10"/>
      <c r="L417" s="10">
        <v>26</v>
      </c>
      <c r="M417" s="10">
        <v>26</v>
      </c>
      <c r="N417" s="10">
        <v>85</v>
      </c>
      <c r="O417" s="10">
        <v>85</v>
      </c>
      <c r="P417" s="10" t="s">
        <v>369</v>
      </c>
      <c r="Q417" s="10"/>
      <c r="R417" s="10" t="s">
        <v>370</v>
      </c>
      <c r="S417" s="10" t="s">
        <v>371</v>
      </c>
      <c r="T417" s="10" t="s">
        <v>372</v>
      </c>
      <c r="U417" s="11">
        <v>41330</v>
      </c>
      <c r="V417" s="10">
        <v>20</v>
      </c>
      <c r="W417" s="10">
        <v>2</v>
      </c>
      <c r="X417" s="10">
        <v>2013</v>
      </c>
      <c r="Y417" s="10">
        <f>-54.7972333333/-68.2292666667</f>
        <v>0.80313384578768099</v>
      </c>
      <c r="Z417" s="10" t="s">
        <v>72</v>
      </c>
      <c r="AA417" s="10">
        <v>-54.797233333299999</v>
      </c>
      <c r="AB417" s="10">
        <v>-68.229266666699999</v>
      </c>
      <c r="AC417" s="10"/>
      <c r="AD417" s="10" t="s">
        <v>73</v>
      </c>
      <c r="AE417" s="10" t="s">
        <v>74</v>
      </c>
      <c r="AF417" s="10"/>
      <c r="AG417" s="10"/>
      <c r="AH417" s="10"/>
      <c r="AI417" s="10"/>
      <c r="AJ417" s="10"/>
      <c r="AK417" s="10"/>
      <c r="AL417" s="10"/>
      <c r="AM417" s="10"/>
      <c r="AN417" s="10"/>
      <c r="AO417" s="10" t="s">
        <v>77</v>
      </c>
      <c r="AP417" s="20" t="str">
        <f t="shared" si="44"/>
        <v>12</v>
      </c>
      <c r="AQ417" s="10"/>
      <c r="AR417" s="10"/>
      <c r="AS417" s="10"/>
      <c r="AT417" s="10"/>
      <c r="AU417" s="10" t="s">
        <v>82</v>
      </c>
      <c r="AV417" s="20" t="str">
        <f t="shared" si="46"/>
        <v>17</v>
      </c>
      <c r="AW417" s="10"/>
      <c r="AX417" s="10"/>
      <c r="AY417" s="10"/>
      <c r="AZ417" s="10"/>
      <c r="BA417" s="10"/>
      <c r="BB417" s="10"/>
      <c r="BC417" s="10"/>
      <c r="BD417" s="10" t="s">
        <v>152</v>
      </c>
      <c r="BF417" s="10"/>
      <c r="BG417" s="10"/>
      <c r="BH417" s="10" t="s">
        <v>78</v>
      </c>
      <c r="BI417" s="10"/>
      <c r="BJ417" s="10"/>
      <c r="BK417" s="10"/>
      <c r="BL417" s="10" t="s">
        <v>375</v>
      </c>
      <c r="BM417" s="20" t="str">
        <f t="shared" si="40"/>
        <v>73</v>
      </c>
      <c r="BN417" s="10" t="s">
        <v>132</v>
      </c>
      <c r="BO417" s="20" t="str">
        <f t="shared" si="41"/>
        <v>175</v>
      </c>
      <c r="BP417" s="10"/>
      <c r="BQ417" s="10" t="s">
        <v>340</v>
      </c>
      <c r="BR417" s="20" t="str">
        <f t="shared" si="45"/>
        <v>15</v>
      </c>
      <c r="BS417" s="21">
        <f t="shared" si="42"/>
        <v>102</v>
      </c>
      <c r="BT417" s="13"/>
    </row>
    <row r="418" spans="1:72" x14ac:dyDescent="0.2">
      <c r="A418" s="13" t="s">
        <v>63</v>
      </c>
      <c r="B418" s="13"/>
      <c r="C418" s="13" t="s">
        <v>1963</v>
      </c>
      <c r="D418" s="13" t="s">
        <v>64</v>
      </c>
      <c r="E418" s="13" t="s">
        <v>65</v>
      </c>
      <c r="F418" s="13" t="s">
        <v>64</v>
      </c>
      <c r="G418" s="13" t="s">
        <v>1886</v>
      </c>
      <c r="H418" s="13" t="s">
        <v>212</v>
      </c>
      <c r="I418" s="13" t="s">
        <v>1887</v>
      </c>
      <c r="J418" s="13" t="s">
        <v>1949</v>
      </c>
      <c r="K418" s="13"/>
      <c r="L418" s="13">
        <v>2530</v>
      </c>
      <c r="M418" s="13">
        <v>2530</v>
      </c>
      <c r="N418" s="13">
        <v>2530</v>
      </c>
      <c r="O418" s="13">
        <v>2530</v>
      </c>
      <c r="P418" s="13" t="s">
        <v>1960</v>
      </c>
      <c r="Q418" s="13"/>
      <c r="R418" s="13" t="s">
        <v>1961</v>
      </c>
      <c r="S418" s="13"/>
      <c r="T418" s="13" t="s">
        <v>1962</v>
      </c>
      <c r="U418" s="14">
        <v>41871</v>
      </c>
      <c r="V418" s="13">
        <v>20</v>
      </c>
      <c r="W418" s="13">
        <v>8</v>
      </c>
      <c r="X418" s="13">
        <v>2014</v>
      </c>
      <c r="Y418" s="13">
        <f>-17.4704666667/-66.3413166667</f>
        <v>0.26334217565309936</v>
      </c>
      <c r="Z418" s="13" t="s">
        <v>72</v>
      </c>
      <c r="AA418" s="13">
        <v>-17.470466666699998</v>
      </c>
      <c r="AB418" s="13">
        <v>-66.341316666699996</v>
      </c>
      <c r="AC418" s="13">
        <v>100</v>
      </c>
      <c r="AD418" s="13" t="s">
        <v>73</v>
      </c>
      <c r="AE418" s="13" t="s">
        <v>74</v>
      </c>
      <c r="AF418" s="13"/>
      <c r="AG418" s="13"/>
      <c r="AH418" s="13"/>
      <c r="AI418" s="13"/>
      <c r="AJ418" s="13"/>
      <c r="AK418" s="13"/>
      <c r="AL418" s="13"/>
      <c r="AM418" s="13"/>
      <c r="AN418" s="13"/>
      <c r="AO418" s="13" t="s">
        <v>88</v>
      </c>
      <c r="AP418" s="20" t="str">
        <f t="shared" si="44"/>
        <v>15</v>
      </c>
      <c r="AQ418" s="13"/>
      <c r="AR418" s="13"/>
      <c r="AS418" s="13"/>
      <c r="AT418" s="13"/>
      <c r="AU418" s="13" t="s">
        <v>130</v>
      </c>
      <c r="AV418" s="20" t="str">
        <f t="shared" si="46"/>
        <v>19</v>
      </c>
      <c r="AW418" s="13"/>
      <c r="AX418" s="13"/>
      <c r="AY418" s="13"/>
      <c r="AZ418" s="13"/>
      <c r="BA418" s="13"/>
      <c r="BB418" s="13"/>
      <c r="BC418" s="13"/>
      <c r="BD418" s="13" t="s">
        <v>1964</v>
      </c>
      <c r="BE418" s="20" t="s">
        <v>241</v>
      </c>
      <c r="BF418" s="13"/>
      <c r="BG418" s="13"/>
      <c r="BH418" s="13" t="s">
        <v>78</v>
      </c>
      <c r="BI418" s="13"/>
      <c r="BJ418" s="13"/>
      <c r="BK418" s="13"/>
      <c r="BL418" s="13" t="s">
        <v>451</v>
      </c>
      <c r="BM418" s="20" t="str">
        <f t="shared" si="40"/>
        <v>94</v>
      </c>
      <c r="BN418" s="13" t="s">
        <v>648</v>
      </c>
      <c r="BO418" s="20" t="str">
        <f t="shared" si="41"/>
        <v>196</v>
      </c>
      <c r="BP418" s="13"/>
      <c r="BQ418" s="13" t="s">
        <v>647</v>
      </c>
      <c r="BR418" s="20" t="str">
        <f t="shared" si="45"/>
        <v>25.5</v>
      </c>
      <c r="BS418" s="21">
        <f t="shared" si="42"/>
        <v>102</v>
      </c>
    </row>
    <row r="419" spans="1:72" x14ac:dyDescent="0.2">
      <c r="A419" t="s">
        <v>63</v>
      </c>
      <c r="B419" t="s">
        <v>2304</v>
      </c>
      <c r="C419" t="s">
        <v>2113</v>
      </c>
      <c r="D419" t="s">
        <v>64</v>
      </c>
      <c r="E419" t="s">
        <v>65</v>
      </c>
      <c r="F419" t="s">
        <v>64</v>
      </c>
      <c r="G419" t="s">
        <v>838</v>
      </c>
      <c r="H419" t="s">
        <v>67</v>
      </c>
      <c r="I419" t="s">
        <v>788</v>
      </c>
      <c r="J419" t="s">
        <v>789</v>
      </c>
      <c r="K419" t="s">
        <v>822</v>
      </c>
      <c r="L419">
        <v>719</v>
      </c>
      <c r="M419">
        <v>719</v>
      </c>
      <c r="N419">
        <v>2359</v>
      </c>
      <c r="O419">
        <v>2359</v>
      </c>
      <c r="P419" t="s">
        <v>823</v>
      </c>
      <c r="R419" t="s">
        <v>824</v>
      </c>
      <c r="S419" t="s">
        <v>825</v>
      </c>
      <c r="T419" t="s">
        <v>2114</v>
      </c>
      <c r="U419" s="1">
        <v>41121</v>
      </c>
      <c r="V419">
        <v>31</v>
      </c>
      <c r="W419">
        <v>7</v>
      </c>
      <c r="X419">
        <v>2012</v>
      </c>
      <c r="Y419" t="s">
        <v>827</v>
      </c>
      <c r="Z419" t="s">
        <v>72</v>
      </c>
      <c r="AA419">
        <v>53.4835666667</v>
      </c>
      <c r="AB419">
        <v>-114.1040833333</v>
      </c>
      <c r="AD419" t="s">
        <v>73</v>
      </c>
      <c r="AE419" t="s">
        <v>74</v>
      </c>
      <c r="AI419" t="s">
        <v>226</v>
      </c>
      <c r="AO419" t="s">
        <v>186</v>
      </c>
      <c r="AP419" s="20" t="str">
        <f t="shared" si="44"/>
        <v>14.5</v>
      </c>
      <c r="AU419" t="s">
        <v>82</v>
      </c>
      <c r="AV419" s="20" t="str">
        <f t="shared" si="46"/>
        <v>17</v>
      </c>
      <c r="BH419" t="s">
        <v>78</v>
      </c>
      <c r="BL419" t="s">
        <v>160</v>
      </c>
      <c r="BM419" s="20" t="str">
        <f t="shared" si="40"/>
        <v>86</v>
      </c>
      <c r="BN419" t="s">
        <v>280</v>
      </c>
      <c r="BO419" s="20" t="str">
        <f t="shared" si="41"/>
        <v>188</v>
      </c>
      <c r="BQ419" t="s">
        <v>651</v>
      </c>
      <c r="BR419" s="20" t="str">
        <f t="shared" si="45"/>
        <v>23.7</v>
      </c>
      <c r="BS419" s="21">
        <f t="shared" si="42"/>
        <v>102</v>
      </c>
    </row>
    <row r="420" spans="1:72" x14ac:dyDescent="0.2">
      <c r="A420" t="s">
        <v>63</v>
      </c>
      <c r="C420" t="s">
        <v>1918</v>
      </c>
      <c r="D420" t="s">
        <v>64</v>
      </c>
      <c r="E420" t="s">
        <v>65</v>
      </c>
      <c r="F420" t="s">
        <v>64</v>
      </c>
      <c r="G420" t="s">
        <v>1886</v>
      </c>
      <c r="H420" t="s">
        <v>212</v>
      </c>
      <c r="I420" t="s">
        <v>1887</v>
      </c>
      <c r="J420" t="s">
        <v>1888</v>
      </c>
      <c r="L420">
        <v>3276</v>
      </c>
      <c r="M420">
        <v>3276</v>
      </c>
      <c r="N420">
        <v>3276</v>
      </c>
      <c r="O420">
        <v>3276</v>
      </c>
      <c r="P420" t="s">
        <v>1914</v>
      </c>
      <c r="R420" t="s">
        <v>1915</v>
      </c>
      <c r="T420" t="s">
        <v>1916</v>
      </c>
      <c r="U420" s="2">
        <v>41864</v>
      </c>
      <c r="V420">
        <v>13</v>
      </c>
      <c r="W420">
        <v>8</v>
      </c>
      <c r="X420">
        <v>2014</v>
      </c>
      <c r="Y420">
        <f>-16.57415/-68.0785833333</f>
        <v>0.24345615299977766</v>
      </c>
      <c r="Z420" t="s">
        <v>72</v>
      </c>
      <c r="AA420">
        <v>-16.574149999999999</v>
      </c>
      <c r="AB420">
        <v>-68.078583333300003</v>
      </c>
      <c r="AC420">
        <v>100</v>
      </c>
      <c r="AD420" t="s">
        <v>73</v>
      </c>
      <c r="AE420" t="s">
        <v>74</v>
      </c>
      <c r="AO420" t="s">
        <v>874</v>
      </c>
      <c r="AP420" s="20" t="str">
        <f t="shared" si="44"/>
        <v>15.1</v>
      </c>
      <c r="AU420" t="s">
        <v>675</v>
      </c>
      <c r="AV420" s="20" t="str">
        <f t="shared" si="46"/>
        <v>19.4</v>
      </c>
      <c r="BD420" t="s">
        <v>152</v>
      </c>
      <c r="BH420" t="s">
        <v>78</v>
      </c>
      <c r="BL420" t="s">
        <v>1919</v>
      </c>
      <c r="BM420" s="20" t="str">
        <f t="shared" si="40"/>
        <v>91.5</v>
      </c>
      <c r="BN420" t="s">
        <v>664</v>
      </c>
      <c r="BO420" s="20" t="str">
        <f t="shared" si="41"/>
        <v>194</v>
      </c>
      <c r="BQ420" t="s">
        <v>686</v>
      </c>
      <c r="BR420" s="20" t="str">
        <f t="shared" si="45"/>
        <v>24.4</v>
      </c>
      <c r="BS420" s="21">
        <f t="shared" si="42"/>
        <v>102.5</v>
      </c>
    </row>
    <row r="421" spans="1:72" x14ac:dyDescent="0.2">
      <c r="A421" s="13" t="s">
        <v>63</v>
      </c>
      <c r="B421" s="13"/>
      <c r="C421" s="13" t="s">
        <v>2004</v>
      </c>
      <c r="D421" s="13" t="s">
        <v>64</v>
      </c>
      <c r="E421" s="13" t="s">
        <v>65</v>
      </c>
      <c r="F421" s="13" t="s">
        <v>64</v>
      </c>
      <c r="G421" s="13" t="s">
        <v>1886</v>
      </c>
      <c r="H421" s="13" t="s">
        <v>212</v>
      </c>
      <c r="I421" s="13" t="s">
        <v>1887</v>
      </c>
      <c r="J421" s="13" t="s">
        <v>1949</v>
      </c>
      <c r="K421" s="13"/>
      <c r="L421" s="13">
        <v>2571</v>
      </c>
      <c r="M421" s="13">
        <v>2571</v>
      </c>
      <c r="N421" s="13">
        <v>2571</v>
      </c>
      <c r="O421" s="13">
        <v>2571</v>
      </c>
      <c r="P421" s="13" t="s">
        <v>2005</v>
      </c>
      <c r="Q421" s="13"/>
      <c r="R421" s="13" t="s">
        <v>2006</v>
      </c>
      <c r="S421" s="13"/>
      <c r="T421" s="13" t="s">
        <v>2007</v>
      </c>
      <c r="U421" s="14">
        <v>41873</v>
      </c>
      <c r="V421" s="13">
        <v>22</v>
      </c>
      <c r="W421" s="13">
        <v>8</v>
      </c>
      <c r="X421" s="13">
        <v>2014</v>
      </c>
      <c r="Y421" s="13">
        <f>-17.4464333333/-66.16795</f>
        <v>0.26366894143312586</v>
      </c>
      <c r="Z421" s="13" t="s">
        <v>72</v>
      </c>
      <c r="AA421" s="13">
        <v>-17.4464333333</v>
      </c>
      <c r="AB421" s="13">
        <v>-66.167950000000005</v>
      </c>
      <c r="AC421" s="13">
        <v>100</v>
      </c>
      <c r="AD421" s="13" t="s">
        <v>73</v>
      </c>
      <c r="AE421" s="13" t="s">
        <v>74</v>
      </c>
      <c r="AF421" s="13"/>
      <c r="AG421" s="13"/>
      <c r="AH421" s="13"/>
      <c r="AI421" s="13"/>
      <c r="AJ421" s="13"/>
      <c r="AK421" s="13"/>
      <c r="AL421" s="13"/>
      <c r="AM421" s="13"/>
      <c r="AN421" s="13"/>
      <c r="AO421" s="13" t="s">
        <v>204</v>
      </c>
      <c r="AP421" s="20" t="str">
        <f t="shared" si="44"/>
        <v>15.5</v>
      </c>
      <c r="AQ421" s="13"/>
      <c r="AR421" s="13"/>
      <c r="AS421" s="13"/>
      <c r="AT421" s="13"/>
      <c r="AU421" s="13" t="s">
        <v>130</v>
      </c>
      <c r="AV421" s="20" t="str">
        <f t="shared" si="46"/>
        <v>19</v>
      </c>
      <c r="AW421" s="13"/>
      <c r="AX421" s="13"/>
      <c r="AY421" s="13"/>
      <c r="AZ421" s="13"/>
      <c r="BA421" s="13"/>
      <c r="BB421" s="13"/>
      <c r="BC421" s="13"/>
      <c r="BD421" s="13" t="s">
        <v>152</v>
      </c>
      <c r="BF421" s="13"/>
      <c r="BG421" s="13"/>
      <c r="BH421" s="13" t="s">
        <v>78</v>
      </c>
      <c r="BI421" s="13"/>
      <c r="BJ421" s="13"/>
      <c r="BK421" s="13"/>
      <c r="BL421" s="13" t="s">
        <v>191</v>
      </c>
      <c r="BM421" s="20" t="str">
        <f t="shared" si="40"/>
        <v>92</v>
      </c>
      <c r="BN421" s="13" t="s">
        <v>624</v>
      </c>
      <c r="BO421" s="20" t="str">
        <f t="shared" si="41"/>
        <v>195</v>
      </c>
      <c r="BP421" s="13"/>
      <c r="BQ421" s="13" t="s">
        <v>856</v>
      </c>
      <c r="BR421" s="20" t="str">
        <f t="shared" si="45"/>
        <v>17.8</v>
      </c>
      <c r="BS421" s="21">
        <f t="shared" si="42"/>
        <v>103</v>
      </c>
    </row>
    <row r="422" spans="1:72" x14ac:dyDescent="0.2">
      <c r="A422" t="s">
        <v>63</v>
      </c>
      <c r="B422" t="s">
        <v>2348</v>
      </c>
      <c r="C422" t="s">
        <v>955</v>
      </c>
      <c r="D422" t="s">
        <v>64</v>
      </c>
      <c r="E422" t="s">
        <v>65</v>
      </c>
      <c r="F422" t="s">
        <v>64</v>
      </c>
      <c r="G422" t="s">
        <v>615</v>
      </c>
      <c r="H422" t="s">
        <v>67</v>
      </c>
      <c r="I422" t="s">
        <v>68</v>
      </c>
      <c r="J422" t="s">
        <v>69</v>
      </c>
      <c r="K422" t="s">
        <v>70</v>
      </c>
      <c r="L422">
        <v>657</v>
      </c>
      <c r="M422">
        <v>657</v>
      </c>
      <c r="N422">
        <v>657</v>
      </c>
      <c r="O422">
        <v>657</v>
      </c>
      <c r="P422" t="s">
        <v>92</v>
      </c>
      <c r="R422" t="s">
        <v>956</v>
      </c>
      <c r="S422" t="s">
        <v>957</v>
      </c>
      <c r="T422" t="s">
        <v>958</v>
      </c>
      <c r="U422" s="2">
        <v>41032</v>
      </c>
      <c r="V422">
        <v>3</v>
      </c>
      <c r="W422">
        <v>5</v>
      </c>
      <c r="X422">
        <v>2012</v>
      </c>
      <c r="Y422" t="s">
        <v>959</v>
      </c>
      <c r="Z422" t="s">
        <v>72</v>
      </c>
      <c r="AA422">
        <v>32.479100000000003</v>
      </c>
      <c r="AB422">
        <v>-111.6599333333</v>
      </c>
      <c r="AD422" t="s">
        <v>73</v>
      </c>
      <c r="AE422" t="s">
        <v>74</v>
      </c>
      <c r="AI422" t="s">
        <v>75</v>
      </c>
      <c r="AO422" t="s">
        <v>344</v>
      </c>
      <c r="AP422" s="20" t="str">
        <f t="shared" si="44"/>
        <v>16</v>
      </c>
      <c r="AU422" t="s">
        <v>960</v>
      </c>
      <c r="AV422" s="20" t="str">
        <f t="shared" si="46"/>
        <v>18.8</v>
      </c>
      <c r="BD422" t="s">
        <v>152</v>
      </c>
      <c r="BH422" t="s">
        <v>78</v>
      </c>
      <c r="BL422" t="s">
        <v>123</v>
      </c>
      <c r="BM422" s="20" t="str">
        <f t="shared" si="40"/>
        <v>88</v>
      </c>
      <c r="BN422" t="s">
        <v>170</v>
      </c>
      <c r="BO422" s="20" t="str">
        <f t="shared" si="41"/>
        <v>192</v>
      </c>
      <c r="BQ422" t="s">
        <v>673</v>
      </c>
      <c r="BR422" s="20" t="str">
        <f t="shared" si="45"/>
        <v>20.5</v>
      </c>
      <c r="BS422" s="21">
        <f t="shared" si="42"/>
        <v>104</v>
      </c>
    </row>
    <row r="423" spans="1:72" x14ac:dyDescent="0.2">
      <c r="A423" t="s">
        <v>63</v>
      </c>
      <c r="B423" t="s">
        <v>2308</v>
      </c>
      <c r="C423" t="s">
        <v>2109</v>
      </c>
      <c r="D423" t="s">
        <v>64</v>
      </c>
      <c r="E423" t="s">
        <v>65</v>
      </c>
      <c r="F423" t="s">
        <v>64</v>
      </c>
      <c r="G423" t="s">
        <v>615</v>
      </c>
      <c r="H423" t="s">
        <v>67</v>
      </c>
      <c r="I423" t="s">
        <v>788</v>
      </c>
      <c r="J423" t="s">
        <v>789</v>
      </c>
      <c r="K423" t="s">
        <v>908</v>
      </c>
      <c r="L423">
        <v>747</v>
      </c>
      <c r="M423">
        <v>747</v>
      </c>
      <c r="N423">
        <v>2450</v>
      </c>
      <c r="O423">
        <v>2450</v>
      </c>
      <c r="P423" t="s">
        <v>916</v>
      </c>
      <c r="R423" t="s">
        <v>917</v>
      </c>
      <c r="S423" t="s">
        <v>918</v>
      </c>
      <c r="T423" t="s">
        <v>2110</v>
      </c>
      <c r="U423" s="1">
        <v>41116</v>
      </c>
      <c r="V423">
        <v>26</v>
      </c>
      <c r="W423">
        <v>7</v>
      </c>
      <c r="X423">
        <v>2012</v>
      </c>
      <c r="Y423" t="s">
        <v>920</v>
      </c>
      <c r="Z423" t="s">
        <v>72</v>
      </c>
      <c r="AA423">
        <v>53.439766666700002</v>
      </c>
      <c r="AB423">
        <v>-113.06955000000001</v>
      </c>
      <c r="AD423" t="s">
        <v>73</v>
      </c>
      <c r="AE423" t="s">
        <v>74</v>
      </c>
      <c r="AI423" t="s">
        <v>75</v>
      </c>
      <c r="AO423" t="s">
        <v>76</v>
      </c>
      <c r="AP423" s="20" t="str">
        <f t="shared" si="44"/>
        <v>13</v>
      </c>
      <c r="AU423" t="s">
        <v>88</v>
      </c>
      <c r="AV423" s="20" t="str">
        <f t="shared" si="46"/>
        <v>15</v>
      </c>
      <c r="BD423" t="s">
        <v>152</v>
      </c>
      <c r="BH423" t="s">
        <v>78</v>
      </c>
      <c r="BL423" t="s">
        <v>520</v>
      </c>
      <c r="BM423" s="20" t="str">
        <f t="shared" si="40"/>
        <v>93</v>
      </c>
      <c r="BN423" t="s">
        <v>670</v>
      </c>
      <c r="BO423" s="20" t="str">
        <f t="shared" si="41"/>
        <v>197</v>
      </c>
      <c r="BQ423" t="s">
        <v>642</v>
      </c>
      <c r="BR423" s="20" t="str">
        <f t="shared" si="45"/>
        <v>21.9</v>
      </c>
      <c r="BS423" s="21">
        <f t="shared" si="42"/>
        <v>104</v>
      </c>
    </row>
    <row r="424" spans="1:72" x14ac:dyDescent="0.2">
      <c r="A424" s="13" t="s">
        <v>63</v>
      </c>
      <c r="B424" s="13"/>
      <c r="C424" s="13" t="s">
        <v>1448</v>
      </c>
      <c r="D424" s="13" t="s">
        <v>64</v>
      </c>
      <c r="E424" s="13" t="s">
        <v>65</v>
      </c>
      <c r="F424" s="13" t="s">
        <v>64</v>
      </c>
      <c r="G424" s="13" t="s">
        <v>211</v>
      </c>
      <c r="H424" s="13" t="s">
        <v>212</v>
      </c>
      <c r="I424" s="13" t="s">
        <v>701</v>
      </c>
      <c r="J424" s="13" t="s">
        <v>702</v>
      </c>
      <c r="K424" s="13"/>
      <c r="L424" s="13">
        <v>1747</v>
      </c>
      <c r="M424" s="13">
        <v>1747</v>
      </c>
      <c r="N424" s="13">
        <v>5730</v>
      </c>
      <c r="O424" s="13">
        <v>5730</v>
      </c>
      <c r="P424" s="13" t="s">
        <v>1449</v>
      </c>
      <c r="Q424" s="13"/>
      <c r="R424" s="13" t="s">
        <v>1450</v>
      </c>
      <c r="S424" s="13"/>
      <c r="T424" s="13" t="s">
        <v>1451</v>
      </c>
      <c r="U424" s="14">
        <v>41250</v>
      </c>
      <c r="V424" s="13">
        <v>7</v>
      </c>
      <c r="W424" s="13">
        <v>12</v>
      </c>
      <c r="X424" s="13">
        <v>2012</v>
      </c>
      <c r="Y424" s="13" t="s">
        <v>1452</v>
      </c>
      <c r="Z424" s="13" t="s">
        <v>72</v>
      </c>
      <c r="AA424" s="13">
        <v>7.5999999999999998E-2</v>
      </c>
      <c r="AB424" s="13">
        <v>-78.695983333300006</v>
      </c>
      <c r="AC424" s="13"/>
      <c r="AD424" s="13" t="s">
        <v>96</v>
      </c>
      <c r="AE424" s="13" t="s">
        <v>74</v>
      </c>
      <c r="AF424" s="13"/>
      <c r="AG424" s="13"/>
      <c r="AH424" s="13"/>
      <c r="AI424" s="13" t="s">
        <v>75</v>
      </c>
      <c r="AJ424" s="13"/>
      <c r="AK424" s="13"/>
      <c r="AL424" s="13"/>
      <c r="AM424" s="13"/>
      <c r="AN424" s="13"/>
      <c r="AO424" s="13" t="s">
        <v>87</v>
      </c>
      <c r="AP424" s="20" t="str">
        <f t="shared" si="44"/>
        <v>14</v>
      </c>
      <c r="AQ424" s="13"/>
      <c r="AR424" s="13"/>
      <c r="AS424" s="13"/>
      <c r="AT424" s="13"/>
      <c r="AU424" s="13" t="s">
        <v>82</v>
      </c>
      <c r="AV424" s="20" t="str">
        <f t="shared" si="46"/>
        <v>17</v>
      </c>
      <c r="AW424" s="13"/>
      <c r="AX424" s="13"/>
      <c r="AY424" s="13"/>
      <c r="AZ424" s="13"/>
      <c r="BA424" s="13"/>
      <c r="BB424" s="13"/>
      <c r="BC424" s="13"/>
      <c r="BD424" s="13" t="s">
        <v>1372</v>
      </c>
      <c r="BF424" s="13"/>
      <c r="BG424" s="13"/>
      <c r="BH424" s="13" t="s">
        <v>83</v>
      </c>
      <c r="BI424" s="13"/>
      <c r="BJ424" s="13"/>
      <c r="BK424" s="13"/>
      <c r="BL424" s="13" t="s">
        <v>289</v>
      </c>
      <c r="BM424" s="20" t="str">
        <f t="shared" si="40"/>
        <v>69</v>
      </c>
      <c r="BN424" s="13" t="s">
        <v>161</v>
      </c>
      <c r="BO424" s="20" t="str">
        <f t="shared" si="41"/>
        <v>173</v>
      </c>
      <c r="BP424" s="13"/>
      <c r="BQ424" s="13" t="s">
        <v>206</v>
      </c>
      <c r="BR424" s="20" t="str">
        <f t="shared" si="45"/>
        <v>12.25</v>
      </c>
      <c r="BS424" s="21">
        <f t="shared" si="42"/>
        <v>104</v>
      </c>
    </row>
    <row r="425" spans="1:72" x14ac:dyDescent="0.2">
      <c r="A425" s="13" t="s">
        <v>63</v>
      </c>
      <c r="B425" s="13" t="s">
        <v>2377</v>
      </c>
      <c r="C425" s="13" t="s">
        <v>1533</v>
      </c>
      <c r="D425" s="13" t="s">
        <v>64</v>
      </c>
      <c r="E425" s="13" t="s">
        <v>65</v>
      </c>
      <c r="F425" s="13" t="s">
        <v>64</v>
      </c>
      <c r="G425" s="13" t="s">
        <v>211</v>
      </c>
      <c r="H425" s="13" t="s">
        <v>212</v>
      </c>
      <c r="I425" s="13" t="s">
        <v>701</v>
      </c>
      <c r="J425" s="13" t="s">
        <v>1466</v>
      </c>
      <c r="K425" s="13"/>
      <c r="L425" s="13">
        <v>429</v>
      </c>
      <c r="M425" s="13">
        <v>429</v>
      </c>
      <c r="N425" s="13">
        <v>1408</v>
      </c>
      <c r="O425" s="13">
        <v>1408</v>
      </c>
      <c r="P425" s="13" t="s">
        <v>1534</v>
      </c>
      <c r="Q425" s="13"/>
      <c r="R425" s="13" t="s">
        <v>1535</v>
      </c>
      <c r="S425" s="13"/>
      <c r="T425" s="13" t="s">
        <v>1536</v>
      </c>
      <c r="U425" s="14">
        <v>41254</v>
      </c>
      <c r="V425" s="13">
        <v>11</v>
      </c>
      <c r="W425" s="13">
        <v>12</v>
      </c>
      <c r="X425" s="13">
        <v>2012</v>
      </c>
      <c r="Y425" s="13">
        <f>-0.2439833333/-79.2613</f>
        <v>3.0782151352551621E-3</v>
      </c>
      <c r="Z425" s="13" t="s">
        <v>72</v>
      </c>
      <c r="AA425" s="13">
        <v>-0.24398333329999999</v>
      </c>
      <c r="AB425" s="13">
        <v>-79.261300000000006</v>
      </c>
      <c r="AC425" s="13"/>
      <c r="AD425" s="13" t="s">
        <v>96</v>
      </c>
      <c r="AE425" s="13" t="s">
        <v>74</v>
      </c>
      <c r="AF425" s="13"/>
      <c r="AG425" s="13"/>
      <c r="AH425" s="13"/>
      <c r="AI425" s="13" t="s">
        <v>75</v>
      </c>
      <c r="AJ425" s="13"/>
      <c r="AK425" s="13"/>
      <c r="AL425" s="13"/>
      <c r="AM425" s="13"/>
      <c r="AN425" s="13"/>
      <c r="AO425" s="13" t="s">
        <v>87</v>
      </c>
      <c r="AP425" s="20" t="str">
        <f t="shared" si="44"/>
        <v>14</v>
      </c>
      <c r="AQ425" s="13"/>
      <c r="AR425" s="13"/>
      <c r="AS425" s="13"/>
      <c r="AT425" s="13"/>
      <c r="AU425" s="13" t="s">
        <v>121</v>
      </c>
      <c r="AV425" s="20" t="str">
        <f t="shared" si="46"/>
        <v>18</v>
      </c>
      <c r="AW425" s="13"/>
      <c r="AX425" s="13"/>
      <c r="AY425" s="13"/>
      <c r="AZ425" s="13"/>
      <c r="BA425" s="13"/>
      <c r="BB425" s="13"/>
      <c r="BC425" s="13"/>
      <c r="BD425" s="13" t="s">
        <v>152</v>
      </c>
      <c r="BF425" s="13"/>
      <c r="BG425" s="13"/>
      <c r="BH425" s="13" t="s">
        <v>78</v>
      </c>
      <c r="BI425" s="13"/>
      <c r="BJ425" s="13"/>
      <c r="BK425" s="13"/>
      <c r="BL425" s="13" t="s">
        <v>229</v>
      </c>
      <c r="BM425" s="20" t="str">
        <f t="shared" si="40"/>
        <v>63</v>
      </c>
      <c r="BN425" s="13" t="s">
        <v>324</v>
      </c>
      <c r="BO425" s="20" t="str">
        <f t="shared" si="41"/>
        <v>168</v>
      </c>
      <c r="BP425" s="13"/>
      <c r="BQ425" s="13" t="s">
        <v>248</v>
      </c>
      <c r="BR425" s="20" t="str">
        <f t="shared" si="45"/>
        <v>10.25</v>
      </c>
      <c r="BS425" s="21">
        <f t="shared" si="42"/>
        <v>105</v>
      </c>
    </row>
    <row r="426" spans="1:72" x14ac:dyDescent="0.2">
      <c r="A426" s="10" t="s">
        <v>63</v>
      </c>
      <c r="B426" s="10" t="s">
        <v>2277</v>
      </c>
      <c r="C426" s="10" t="s">
        <v>481</v>
      </c>
      <c r="D426" s="10" t="s">
        <v>64</v>
      </c>
      <c r="E426" s="10" t="s">
        <v>65</v>
      </c>
      <c r="F426" s="10" t="s">
        <v>64</v>
      </c>
      <c r="G426" s="10" t="s">
        <v>211</v>
      </c>
      <c r="H426" s="10" t="s">
        <v>212</v>
      </c>
      <c r="I426" s="10" t="s">
        <v>383</v>
      </c>
      <c r="J426" s="10" t="s">
        <v>443</v>
      </c>
      <c r="K426" s="10"/>
      <c r="L426" s="10">
        <v>74</v>
      </c>
      <c r="M426" s="10">
        <v>74</v>
      </c>
      <c r="N426" s="10">
        <v>242</v>
      </c>
      <c r="O426" s="10">
        <v>242</v>
      </c>
      <c r="P426" s="10" t="s">
        <v>478</v>
      </c>
      <c r="Q426" s="10"/>
      <c r="R426" s="10" t="s">
        <v>445</v>
      </c>
      <c r="S426" s="10" t="s">
        <v>479</v>
      </c>
      <c r="T426" s="10" t="s">
        <v>480</v>
      </c>
      <c r="U426" s="11">
        <v>41430</v>
      </c>
      <c r="V426" s="10">
        <v>5</v>
      </c>
      <c r="W426" s="10">
        <v>6</v>
      </c>
      <c r="X426" s="10">
        <v>2013</v>
      </c>
      <c r="Y426" s="10">
        <f>-29.8241666667/-57.1931666667</f>
        <v>0.52146381123646968</v>
      </c>
      <c r="Z426" s="10" t="s">
        <v>72</v>
      </c>
      <c r="AA426" s="10">
        <v>-29.824166666699998</v>
      </c>
      <c r="AB426" s="10">
        <v>-57.193166666700002</v>
      </c>
      <c r="AC426" s="10"/>
      <c r="AD426" s="10" t="s">
        <v>73</v>
      </c>
      <c r="AE426" s="10" t="s">
        <v>74</v>
      </c>
      <c r="AF426" s="10"/>
      <c r="AG426" s="10"/>
      <c r="AH426" s="10"/>
      <c r="AI426" s="10"/>
      <c r="AJ426" s="10"/>
      <c r="AK426" s="10"/>
      <c r="AL426" s="10"/>
      <c r="AM426" s="10"/>
      <c r="AN426" s="10"/>
      <c r="AO426" s="10" t="s">
        <v>88</v>
      </c>
      <c r="AP426" s="20" t="str">
        <f t="shared" si="44"/>
        <v>15</v>
      </c>
      <c r="AQ426" s="10"/>
      <c r="AR426" s="10"/>
      <c r="AS426" s="10"/>
      <c r="AT426" s="10"/>
      <c r="AU426" s="10" t="s">
        <v>130</v>
      </c>
      <c r="AV426" s="20" t="str">
        <f t="shared" si="46"/>
        <v>19</v>
      </c>
      <c r="AW426" s="10"/>
      <c r="AX426" s="10"/>
      <c r="AY426" s="10"/>
      <c r="AZ426" s="10"/>
      <c r="BA426" s="10"/>
      <c r="BB426" s="10"/>
      <c r="BC426" s="10"/>
      <c r="BD426" s="10" t="s">
        <v>482</v>
      </c>
      <c r="BF426" s="10"/>
      <c r="BG426" s="10"/>
      <c r="BH426" s="10" t="s">
        <v>83</v>
      </c>
      <c r="BI426" s="10"/>
      <c r="BJ426" s="10"/>
      <c r="BK426" s="10"/>
      <c r="BL426" s="10" t="s">
        <v>174</v>
      </c>
      <c r="BM426" s="20" t="str">
        <f t="shared" si="40"/>
        <v>83</v>
      </c>
      <c r="BN426" s="10" t="s">
        <v>280</v>
      </c>
      <c r="BO426" s="20" t="str">
        <f t="shared" si="41"/>
        <v>188</v>
      </c>
      <c r="BP426" s="10"/>
      <c r="BQ426" s="10" t="s">
        <v>193</v>
      </c>
      <c r="BR426" s="20" t="str">
        <f t="shared" si="45"/>
        <v>18</v>
      </c>
      <c r="BS426" s="21">
        <f t="shared" si="42"/>
        <v>105</v>
      </c>
    </row>
    <row r="427" spans="1:72" x14ac:dyDescent="0.2">
      <c r="A427" t="s">
        <v>63</v>
      </c>
      <c r="C427" t="s">
        <v>1898</v>
      </c>
      <c r="D427" t="s">
        <v>64</v>
      </c>
      <c r="E427" t="s">
        <v>65</v>
      </c>
      <c r="F427" t="s">
        <v>64</v>
      </c>
      <c r="G427" t="s">
        <v>1886</v>
      </c>
      <c r="H427" t="s">
        <v>212</v>
      </c>
      <c r="I427" t="s">
        <v>1887</v>
      </c>
      <c r="J427" t="s">
        <v>1888</v>
      </c>
      <c r="L427">
        <v>3866</v>
      </c>
      <c r="M427">
        <v>3866</v>
      </c>
      <c r="N427">
        <v>3866</v>
      </c>
      <c r="O427">
        <v>3866</v>
      </c>
      <c r="P427" t="s">
        <v>1893</v>
      </c>
      <c r="R427" t="s">
        <v>1894</v>
      </c>
      <c r="S427" t="s">
        <v>1895</v>
      </c>
      <c r="T427" t="s">
        <v>1896</v>
      </c>
      <c r="U427" s="2">
        <v>41863</v>
      </c>
      <c r="V427">
        <v>12</v>
      </c>
      <c r="W427">
        <v>8</v>
      </c>
      <c r="X427">
        <v>2014</v>
      </c>
      <c r="Y427">
        <f>-16.5476833333/-68.0251166667</f>
        <v>0.24325843371027259</v>
      </c>
      <c r="Z427" t="s">
        <v>72</v>
      </c>
      <c r="AA427">
        <v>-16.5476833333</v>
      </c>
      <c r="AB427">
        <v>-68.025116666700001</v>
      </c>
      <c r="AC427">
        <v>100</v>
      </c>
      <c r="AD427" t="s">
        <v>73</v>
      </c>
      <c r="AE427" t="s">
        <v>74</v>
      </c>
      <c r="AO427" t="s">
        <v>88</v>
      </c>
      <c r="AP427" s="20" t="str">
        <f t="shared" si="44"/>
        <v>15</v>
      </c>
      <c r="AU427" t="s">
        <v>679</v>
      </c>
      <c r="AV427" s="20" t="str">
        <f t="shared" si="46"/>
        <v>19.6</v>
      </c>
      <c r="BD427" t="s">
        <v>1899</v>
      </c>
      <c r="BH427" t="s">
        <v>78</v>
      </c>
      <c r="BL427" t="s">
        <v>631</v>
      </c>
      <c r="BM427" s="20" t="str">
        <f t="shared" ref="BM427:BM490" si="47">LEFT(BL427,FIND("^^",SUBSTITUTE(BL427," ","^^",LEN(BL427)-LEN(SUBSTITUTE(BL427," ",""))))-1)</f>
        <v>97</v>
      </c>
      <c r="BN427" t="s">
        <v>632</v>
      </c>
      <c r="BO427" s="20" t="str">
        <f t="shared" ref="BO427:BO490" si="48">LEFT(BN427,FIND("^^",SUBSTITUTE(BN427," ","^^",LEN(BN427)-LEN(SUBSTITUTE(BN427," ",""))))-1)</f>
        <v>207</v>
      </c>
      <c r="BQ427" t="s">
        <v>661</v>
      </c>
      <c r="BR427" s="20" t="str">
        <f t="shared" si="45"/>
        <v>21.1</v>
      </c>
      <c r="BS427" s="21">
        <f t="shared" si="42"/>
        <v>110</v>
      </c>
    </row>
    <row r="428" spans="1:72" x14ac:dyDescent="0.2">
      <c r="A428" t="s">
        <v>63</v>
      </c>
      <c r="C428" t="s">
        <v>1409</v>
      </c>
      <c r="D428" t="s">
        <v>64</v>
      </c>
      <c r="E428" t="s">
        <v>65</v>
      </c>
      <c r="F428" t="s">
        <v>64</v>
      </c>
      <c r="G428" t="s">
        <v>211</v>
      </c>
      <c r="H428" t="s">
        <v>212</v>
      </c>
      <c r="I428" t="s">
        <v>701</v>
      </c>
      <c r="J428" t="s">
        <v>702</v>
      </c>
      <c r="L428">
        <v>1377</v>
      </c>
      <c r="M428">
        <v>1377</v>
      </c>
      <c r="N428">
        <v>4519</v>
      </c>
      <c r="O428">
        <v>4519</v>
      </c>
      <c r="P428" t="s">
        <v>1404</v>
      </c>
      <c r="R428" t="s">
        <v>1405</v>
      </c>
      <c r="T428" t="s">
        <v>1406</v>
      </c>
      <c r="U428" s="2">
        <v>41246</v>
      </c>
      <c r="V428">
        <v>3</v>
      </c>
      <c r="W428">
        <v>12</v>
      </c>
      <c r="X428">
        <v>2012</v>
      </c>
      <c r="Y428" t="s">
        <v>1407</v>
      </c>
      <c r="Z428" t="s">
        <v>72</v>
      </c>
      <c r="AA428">
        <v>7.4099999999999999E-2</v>
      </c>
      <c r="AB428">
        <v>-78.668116666700001</v>
      </c>
      <c r="AD428" t="s">
        <v>96</v>
      </c>
      <c r="AE428" t="s">
        <v>74</v>
      </c>
      <c r="AI428" t="s">
        <v>226</v>
      </c>
      <c r="AO428" t="s">
        <v>77</v>
      </c>
      <c r="AP428" s="20" t="str">
        <f t="shared" si="44"/>
        <v>12</v>
      </c>
      <c r="AU428" t="s">
        <v>82</v>
      </c>
      <c r="AV428" s="20" t="str">
        <f t="shared" si="46"/>
        <v>17</v>
      </c>
      <c r="BD428" t="s">
        <v>1410</v>
      </c>
      <c r="BH428" t="s">
        <v>83</v>
      </c>
      <c r="BL428" t="s">
        <v>136</v>
      </c>
      <c r="BM428" s="20" t="str">
        <f t="shared" si="47"/>
        <v>75</v>
      </c>
      <c r="BN428" t="s">
        <v>170</v>
      </c>
      <c r="BO428" s="20" t="str">
        <f t="shared" si="48"/>
        <v>192</v>
      </c>
      <c r="BQ428" t="s">
        <v>291</v>
      </c>
      <c r="BR428" s="20" t="str">
        <f t="shared" si="45"/>
        <v>8</v>
      </c>
      <c r="BS428" s="21">
        <f t="shared" si="42"/>
        <v>117</v>
      </c>
    </row>
    <row r="429" spans="1:72" x14ac:dyDescent="0.2">
      <c r="A429" t="s">
        <v>63</v>
      </c>
      <c r="C429" t="s">
        <v>1525</v>
      </c>
      <c r="D429" t="s">
        <v>64</v>
      </c>
      <c r="E429" t="s">
        <v>65</v>
      </c>
      <c r="F429" t="s">
        <v>64</v>
      </c>
      <c r="G429" t="s">
        <v>211</v>
      </c>
      <c r="H429" t="s">
        <v>212</v>
      </c>
      <c r="I429" t="s">
        <v>701</v>
      </c>
      <c r="J429" t="s">
        <v>1466</v>
      </c>
      <c r="L429">
        <v>481</v>
      </c>
      <c r="M429">
        <v>481</v>
      </c>
      <c r="N429">
        <v>1578</v>
      </c>
      <c r="O429">
        <v>1578</v>
      </c>
      <c r="P429" t="s">
        <v>1523</v>
      </c>
      <c r="R429" t="s">
        <v>1519</v>
      </c>
      <c r="T429" t="s">
        <v>1520</v>
      </c>
      <c r="U429" s="2">
        <v>41255</v>
      </c>
      <c r="V429">
        <v>12</v>
      </c>
      <c r="W429">
        <v>12</v>
      </c>
      <c r="X429">
        <v>2012</v>
      </c>
      <c r="Y429">
        <f>-0.29945/-79.2157833333</f>
        <v>3.7801810119085194E-3</v>
      </c>
      <c r="Z429" t="s">
        <v>72</v>
      </c>
      <c r="AA429">
        <v>-0.29944999999999999</v>
      </c>
      <c r="AB429">
        <v>-79.215783333299996</v>
      </c>
      <c r="AD429" t="s">
        <v>96</v>
      </c>
      <c r="AE429" t="s">
        <v>74</v>
      </c>
      <c r="AI429" t="s">
        <v>226</v>
      </c>
      <c r="AO429" t="s">
        <v>77</v>
      </c>
      <c r="AP429" s="20" t="str">
        <f t="shared" si="44"/>
        <v>12</v>
      </c>
      <c r="AU429" t="s">
        <v>88</v>
      </c>
      <c r="AV429" s="20" t="str">
        <f t="shared" si="46"/>
        <v>15</v>
      </c>
      <c r="BD429" t="s">
        <v>258</v>
      </c>
      <c r="BH429" t="s">
        <v>78</v>
      </c>
      <c r="BL429" t="s">
        <v>344</v>
      </c>
      <c r="BM429" s="20" t="str">
        <f t="shared" si="47"/>
        <v>16</v>
      </c>
      <c r="BN429" t="s">
        <v>1526</v>
      </c>
      <c r="BO429" s="20" t="str">
        <f t="shared" si="48"/>
        <v>134</v>
      </c>
      <c r="BQ429" t="s">
        <v>516</v>
      </c>
      <c r="BR429" s="20" t="str">
        <f t="shared" si="45"/>
        <v>7</v>
      </c>
      <c r="BS429" s="21">
        <f t="shared" si="42"/>
        <v>118</v>
      </c>
    </row>
    <row r="430" spans="1:72" x14ac:dyDescent="0.2">
      <c r="A430" s="10" t="s">
        <v>63</v>
      </c>
      <c r="B430" s="10" t="s">
        <v>2238</v>
      </c>
      <c r="C430" s="10" t="s">
        <v>244</v>
      </c>
      <c r="D430" s="10" t="s">
        <v>64</v>
      </c>
      <c r="E430" s="10" t="s">
        <v>65</v>
      </c>
      <c r="F430" s="10" t="s">
        <v>64</v>
      </c>
      <c r="G430" s="10" t="s">
        <v>211</v>
      </c>
      <c r="H430" s="10" t="s">
        <v>212</v>
      </c>
      <c r="I430" s="10" t="s">
        <v>213</v>
      </c>
      <c r="J430" s="10" t="s">
        <v>214</v>
      </c>
      <c r="K430" s="10"/>
      <c r="L430" s="10">
        <v>204</v>
      </c>
      <c r="M430" s="10">
        <v>204</v>
      </c>
      <c r="N430" s="10">
        <v>669</v>
      </c>
      <c r="O430" s="10">
        <v>669</v>
      </c>
      <c r="P430" s="10" t="s">
        <v>245</v>
      </c>
      <c r="Q430" s="10"/>
      <c r="R430" s="10" t="s">
        <v>216</v>
      </c>
      <c r="S430" s="10" t="s">
        <v>217</v>
      </c>
      <c r="T430" s="10" t="s">
        <v>246</v>
      </c>
      <c r="U430" s="11">
        <v>41310</v>
      </c>
      <c r="V430" s="10">
        <v>5</v>
      </c>
      <c r="W430" s="10">
        <v>2</v>
      </c>
      <c r="X430" s="10">
        <v>2013</v>
      </c>
      <c r="Y430" s="10">
        <f>-37.3188/-59.1054833333</f>
        <v>0.63139319561193086</v>
      </c>
      <c r="Z430" s="10" t="s">
        <v>72</v>
      </c>
      <c r="AA430" s="10">
        <v>-37.318800000000003</v>
      </c>
      <c r="AB430" s="10">
        <v>-59.1054833333</v>
      </c>
      <c r="AC430" s="10"/>
      <c r="AD430" s="10" t="s">
        <v>73</v>
      </c>
      <c r="AE430" s="10" t="s">
        <v>74</v>
      </c>
      <c r="AF430" s="10"/>
      <c r="AG430" s="10"/>
      <c r="AH430" s="10"/>
      <c r="AI430" s="10" t="s">
        <v>226</v>
      </c>
      <c r="AJ430" s="10"/>
      <c r="AK430" s="10"/>
      <c r="AL430" s="10"/>
      <c r="AM430" s="10"/>
      <c r="AN430" s="10"/>
      <c r="AO430" s="10" t="s">
        <v>227</v>
      </c>
      <c r="AP430" s="20" t="str">
        <f t="shared" si="44"/>
        <v>10</v>
      </c>
      <c r="AQ430" s="10"/>
      <c r="AR430" s="10"/>
      <c r="AS430" s="10"/>
      <c r="AT430" s="10"/>
      <c r="AU430" s="10" t="s">
        <v>82</v>
      </c>
      <c r="AV430" s="20" t="str">
        <f t="shared" si="46"/>
        <v>17</v>
      </c>
      <c r="AW430" s="10"/>
      <c r="AX430" s="10"/>
      <c r="AY430" s="10"/>
      <c r="AZ430" s="10"/>
      <c r="BA430" s="10"/>
      <c r="BB430" s="10"/>
      <c r="BC430" s="10"/>
      <c r="BD430" s="10" t="s">
        <v>247</v>
      </c>
      <c r="BF430" s="10"/>
      <c r="BG430" s="10"/>
      <c r="BH430" s="10" t="s">
        <v>83</v>
      </c>
      <c r="BI430" s="10"/>
      <c r="BJ430" s="10"/>
      <c r="BK430" s="10"/>
      <c r="BL430" s="10"/>
      <c r="BM430" s="20"/>
      <c r="BN430" s="10"/>
      <c r="BO430" s="20"/>
      <c r="BP430" s="10"/>
      <c r="BQ430" s="10" t="s">
        <v>248</v>
      </c>
      <c r="BR430" s="20" t="str">
        <f t="shared" si="45"/>
        <v>10.25</v>
      </c>
      <c r="BS430" s="21"/>
    </row>
  </sheetData>
  <sortState xmlns:xlrd2="http://schemas.microsoft.com/office/spreadsheetml/2017/richdata2" ref="A2:BT431">
    <sortCondition ref="BS2:BS43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EnvAdatProj_Nachman_Arctos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Mallory Ballinger</dc:creator>
  <cp:lastModifiedBy>Mallory Ballinger</cp:lastModifiedBy>
  <dcterms:created xsi:type="dcterms:W3CDTF">2021-03-03T17:57:53Z</dcterms:created>
  <dcterms:modified xsi:type="dcterms:W3CDTF">2021-03-16T02:47:12Z</dcterms:modified>
</cp:coreProperties>
</file>