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cio Castaneda\Dropbox\Frutillas\Contabilidad\2017 - 2\"/>
    </mc:Choice>
  </mc:AlternateContent>
  <bookViews>
    <workbookView xWindow="0" yWindow="0" windowWidth="7500" windowHeight="8976" activeTab="1" xr2:uid="{00000000-000D-0000-FFFF-FFFF00000000}"/>
  </bookViews>
  <sheets>
    <sheet name="Pedido base (copiar esta hoja)" sheetId="3" r:id="rId1"/>
    <sheet name="Sabado 19" sheetId="2" r:id="rId2"/>
    <sheet name="Sabado 26" sheetId="4" r:id="rId3"/>
  </sheets>
  <externalReferences>
    <externalReference r:id="rId4"/>
  </externalReference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4" i="4" l="1"/>
  <c r="B54" i="3" l="1"/>
  <c r="C54" i="3"/>
  <c r="D54" i="3"/>
  <c r="E54" i="3"/>
  <c r="F54" i="3"/>
  <c r="G54" i="3"/>
  <c r="H54" i="3"/>
  <c r="I54" i="3"/>
  <c r="J54" i="3"/>
  <c r="K54" i="3"/>
  <c r="T54" i="3"/>
  <c r="Q68" i="4"/>
  <c r="S44" i="4"/>
  <c r="R44" i="4"/>
  <c r="Q44" i="4"/>
  <c r="P44" i="4"/>
  <c r="N44" i="4"/>
  <c r="S39" i="4"/>
  <c r="R39" i="4"/>
  <c r="Q39" i="4"/>
  <c r="P39" i="4"/>
  <c r="P41" i="4" s="1"/>
  <c r="O39" i="4"/>
  <c r="O41" i="4" s="1"/>
  <c r="N39" i="4"/>
  <c r="T6" i="4"/>
  <c r="T32" i="4"/>
  <c r="T23" i="4"/>
  <c r="T5" i="4"/>
  <c r="T24" i="4"/>
  <c r="T15" i="4"/>
  <c r="T30" i="4"/>
  <c r="T10" i="4"/>
  <c r="T7" i="4"/>
  <c r="T14" i="4"/>
  <c r="T33" i="4"/>
  <c r="T21" i="4"/>
  <c r="T25" i="4"/>
  <c r="T17" i="4"/>
  <c r="T22" i="4"/>
  <c r="T20" i="4"/>
  <c r="T35" i="4"/>
  <c r="T16" i="4"/>
  <c r="T27" i="4"/>
  <c r="T28" i="4"/>
  <c r="T11" i="4"/>
  <c r="T19" i="4"/>
  <c r="T26" i="4"/>
  <c r="T36" i="4"/>
  <c r="T34" i="4"/>
  <c r="T8" i="4"/>
  <c r="T9" i="4"/>
  <c r="T12" i="4"/>
  <c r="T18" i="4"/>
  <c r="T29" i="4"/>
  <c r="T13" i="4"/>
  <c r="T31" i="4"/>
  <c r="Q48" i="4" l="1"/>
  <c r="R48" i="4"/>
  <c r="N41" i="4"/>
  <c r="N48" i="4"/>
  <c r="S48" i="4"/>
  <c r="N50" i="4"/>
  <c r="R41" i="4"/>
  <c r="O50" i="4"/>
  <c r="Q41" i="4"/>
  <c r="S41" i="4"/>
  <c r="O48" i="4"/>
  <c r="P50" i="4"/>
  <c r="P48" i="4"/>
  <c r="Q50" i="4"/>
  <c r="R50" i="4"/>
  <c r="S50" i="4"/>
  <c r="S52" i="4" l="1"/>
  <c r="Q52" i="4"/>
  <c r="R52" i="4"/>
  <c r="N52" i="4"/>
  <c r="N49" i="4"/>
  <c r="O52" i="4"/>
  <c r="P52" i="4"/>
  <c r="N51" i="4"/>
  <c r="N53" i="4" l="1"/>
  <c r="N70" i="4" s="1"/>
  <c r="B55" i="3" l="1"/>
  <c r="C55" i="3"/>
  <c r="B56" i="3"/>
  <c r="C56" i="3"/>
  <c r="B57" i="3"/>
  <c r="C57" i="3"/>
  <c r="D55" i="3"/>
  <c r="D56" i="3"/>
  <c r="D57" i="3"/>
  <c r="E55" i="3"/>
  <c r="E56" i="3"/>
  <c r="E57" i="3"/>
  <c r="F55" i="3"/>
  <c r="F56" i="3"/>
  <c r="F57" i="3"/>
  <c r="G55" i="3"/>
  <c r="G56" i="3"/>
  <c r="G57" i="3"/>
  <c r="H55" i="3"/>
  <c r="H56" i="3"/>
  <c r="H57" i="3"/>
  <c r="I55" i="3"/>
  <c r="I56" i="3"/>
  <c r="I57" i="3"/>
  <c r="J55" i="3"/>
  <c r="J56" i="3"/>
  <c r="J57" i="3"/>
  <c r="T55" i="3"/>
  <c r="T56" i="3"/>
  <c r="T57" i="3"/>
  <c r="B50" i="3"/>
  <c r="C50" i="3"/>
  <c r="B51" i="3"/>
  <c r="C51" i="3"/>
  <c r="B52" i="3"/>
  <c r="C52" i="3"/>
  <c r="D50" i="3"/>
  <c r="D51" i="3"/>
  <c r="D52" i="3"/>
  <c r="E50" i="3"/>
  <c r="E51" i="3"/>
  <c r="E52" i="3"/>
  <c r="F50" i="3"/>
  <c r="F51" i="3"/>
  <c r="F52" i="3"/>
  <c r="G50" i="3"/>
  <c r="G51" i="3"/>
  <c r="G52" i="3"/>
  <c r="H50" i="3"/>
  <c r="H51" i="3"/>
  <c r="H52" i="3"/>
  <c r="I50" i="3"/>
  <c r="I51" i="3"/>
  <c r="I52" i="3"/>
  <c r="J50" i="3"/>
  <c r="J51" i="3"/>
  <c r="J52" i="3"/>
  <c r="T50" i="3"/>
  <c r="T51" i="3"/>
  <c r="T52" i="3"/>
  <c r="B8" i="3" l="1"/>
  <c r="C8" i="3"/>
  <c r="B24" i="3"/>
  <c r="C24" i="3"/>
  <c r="B37" i="3"/>
  <c r="C37" i="3"/>
  <c r="B10" i="3"/>
  <c r="C10" i="3"/>
  <c r="B13" i="3"/>
  <c r="C13" i="3"/>
  <c r="B14" i="3"/>
  <c r="C14" i="3"/>
  <c r="B15" i="3"/>
  <c r="C15" i="3"/>
  <c r="B16" i="3"/>
  <c r="C16" i="3"/>
  <c r="B17" i="3"/>
  <c r="C17" i="3"/>
  <c r="B20" i="3"/>
  <c r="C20" i="3"/>
  <c r="B21" i="3"/>
  <c r="C21" i="3"/>
  <c r="B19" i="3"/>
  <c r="C19" i="3"/>
  <c r="B22" i="3"/>
  <c r="C22" i="3"/>
  <c r="B27" i="3"/>
  <c r="C27" i="3"/>
  <c r="B28" i="3"/>
  <c r="C28" i="3"/>
  <c r="B30" i="3"/>
  <c r="C30" i="3"/>
  <c r="B31" i="3"/>
  <c r="C31" i="3"/>
  <c r="B32" i="3"/>
  <c r="C32" i="3"/>
  <c r="B33" i="3"/>
  <c r="C33" i="3"/>
  <c r="B34" i="3"/>
  <c r="C34" i="3"/>
  <c r="B38" i="3"/>
  <c r="C38" i="3"/>
  <c r="B39" i="3"/>
  <c r="C39" i="3"/>
  <c r="B43" i="3"/>
  <c r="C43" i="3"/>
  <c r="B42" i="3"/>
  <c r="C42" i="3"/>
  <c r="B44" i="3"/>
  <c r="C44" i="3"/>
  <c r="B45" i="3"/>
  <c r="C45" i="3"/>
  <c r="B47" i="3"/>
  <c r="C47" i="3"/>
  <c r="B53" i="3"/>
  <c r="C53" i="3"/>
  <c r="B5" i="3"/>
  <c r="C5" i="3"/>
  <c r="B6" i="3"/>
  <c r="C6" i="3"/>
  <c r="B7" i="3"/>
  <c r="C7" i="3"/>
  <c r="B9" i="3"/>
  <c r="C9" i="3"/>
  <c r="B11" i="3"/>
  <c r="C11" i="3"/>
  <c r="B12" i="3"/>
  <c r="C12" i="3"/>
  <c r="B18" i="3"/>
  <c r="C18" i="3"/>
  <c r="B23" i="3"/>
  <c r="C23" i="3"/>
  <c r="B25" i="3"/>
  <c r="C25" i="3"/>
  <c r="B26" i="3"/>
  <c r="C26" i="3"/>
  <c r="B29" i="3"/>
  <c r="C29" i="3"/>
  <c r="B35" i="3"/>
  <c r="C35" i="3"/>
  <c r="B36" i="3"/>
  <c r="C36" i="3"/>
  <c r="B40" i="3"/>
  <c r="C40" i="3"/>
  <c r="B41" i="3"/>
  <c r="C41" i="3"/>
  <c r="B46" i="3"/>
  <c r="C46" i="3"/>
  <c r="B48" i="3"/>
  <c r="C48" i="3"/>
  <c r="B49" i="3"/>
  <c r="C49" i="3"/>
  <c r="Q84" i="3"/>
  <c r="S65" i="3"/>
  <c r="R65" i="3"/>
  <c r="Q65" i="3"/>
  <c r="P65" i="3"/>
  <c r="O65" i="3"/>
  <c r="N65" i="3"/>
  <c r="S60" i="3"/>
  <c r="R60" i="3"/>
  <c r="Q60" i="3"/>
  <c r="O60" i="3"/>
  <c r="O62" i="3" s="1"/>
  <c r="T49" i="3"/>
  <c r="K49" i="3"/>
  <c r="J49" i="3"/>
  <c r="I49" i="3"/>
  <c r="H49" i="3"/>
  <c r="G49" i="3"/>
  <c r="F49" i="3"/>
  <c r="E49" i="3"/>
  <c r="D49" i="3"/>
  <c r="T48" i="3"/>
  <c r="K48" i="3"/>
  <c r="J48" i="3"/>
  <c r="I48" i="3"/>
  <c r="H48" i="3"/>
  <c r="G48" i="3"/>
  <c r="F48" i="3"/>
  <c r="E48" i="3"/>
  <c r="D48" i="3"/>
  <c r="T46" i="3"/>
  <c r="K46" i="3"/>
  <c r="J46" i="3"/>
  <c r="I46" i="3"/>
  <c r="H46" i="3"/>
  <c r="G46" i="3"/>
  <c r="F46" i="3"/>
  <c r="E46" i="3"/>
  <c r="D46" i="3"/>
  <c r="T41" i="3"/>
  <c r="K41" i="3"/>
  <c r="J41" i="3"/>
  <c r="I41" i="3"/>
  <c r="H41" i="3"/>
  <c r="G41" i="3"/>
  <c r="F41" i="3"/>
  <c r="E41" i="3"/>
  <c r="D41" i="3"/>
  <c r="T40" i="3"/>
  <c r="K40" i="3"/>
  <c r="J40" i="3"/>
  <c r="I40" i="3"/>
  <c r="H40" i="3"/>
  <c r="G40" i="3"/>
  <c r="F40" i="3"/>
  <c r="E40" i="3"/>
  <c r="D40" i="3"/>
  <c r="T36" i="3"/>
  <c r="K36" i="3"/>
  <c r="J36" i="3"/>
  <c r="I36" i="3"/>
  <c r="H36" i="3"/>
  <c r="G36" i="3"/>
  <c r="F36" i="3"/>
  <c r="E36" i="3"/>
  <c r="D36" i="3"/>
  <c r="T35" i="3"/>
  <c r="K35" i="3"/>
  <c r="J35" i="3"/>
  <c r="I35" i="3"/>
  <c r="H35" i="3"/>
  <c r="G35" i="3"/>
  <c r="F35" i="3"/>
  <c r="E35" i="3"/>
  <c r="D35" i="3"/>
  <c r="T29" i="3"/>
  <c r="K29" i="3"/>
  <c r="J29" i="3"/>
  <c r="I29" i="3"/>
  <c r="H29" i="3"/>
  <c r="G29" i="3"/>
  <c r="F29" i="3"/>
  <c r="E29" i="3"/>
  <c r="D29" i="3"/>
  <c r="T26" i="3"/>
  <c r="K26" i="3"/>
  <c r="J26" i="3"/>
  <c r="I26" i="3"/>
  <c r="H26" i="3"/>
  <c r="G26" i="3"/>
  <c r="F26" i="3"/>
  <c r="E26" i="3"/>
  <c r="D26" i="3"/>
  <c r="T25" i="3"/>
  <c r="K25" i="3"/>
  <c r="J25" i="3"/>
  <c r="I25" i="3"/>
  <c r="H25" i="3"/>
  <c r="G25" i="3"/>
  <c r="F25" i="3"/>
  <c r="E25" i="3"/>
  <c r="D25" i="3"/>
  <c r="T23" i="3"/>
  <c r="K23" i="3"/>
  <c r="J23" i="3"/>
  <c r="I23" i="3"/>
  <c r="H23" i="3"/>
  <c r="G23" i="3"/>
  <c r="F23" i="3"/>
  <c r="E23" i="3"/>
  <c r="D23" i="3"/>
  <c r="T18" i="3"/>
  <c r="K18" i="3"/>
  <c r="J18" i="3"/>
  <c r="I18" i="3"/>
  <c r="H18" i="3"/>
  <c r="G18" i="3"/>
  <c r="F18" i="3"/>
  <c r="E18" i="3"/>
  <c r="D18" i="3"/>
  <c r="T12" i="3"/>
  <c r="K12" i="3"/>
  <c r="J12" i="3"/>
  <c r="I12" i="3"/>
  <c r="H12" i="3"/>
  <c r="G12" i="3"/>
  <c r="F12" i="3"/>
  <c r="E12" i="3"/>
  <c r="D12" i="3"/>
  <c r="T11" i="3"/>
  <c r="K11" i="3"/>
  <c r="J11" i="3"/>
  <c r="I11" i="3"/>
  <c r="H11" i="3"/>
  <c r="G11" i="3"/>
  <c r="F11" i="3"/>
  <c r="E11" i="3"/>
  <c r="D11" i="3"/>
  <c r="T9" i="3"/>
  <c r="K9" i="3"/>
  <c r="J9" i="3"/>
  <c r="I9" i="3"/>
  <c r="H9" i="3"/>
  <c r="G9" i="3"/>
  <c r="F9" i="3"/>
  <c r="E9" i="3"/>
  <c r="D9" i="3"/>
  <c r="T7" i="3"/>
  <c r="K7" i="3"/>
  <c r="J7" i="3"/>
  <c r="I7" i="3"/>
  <c r="H7" i="3"/>
  <c r="G7" i="3"/>
  <c r="F7" i="3"/>
  <c r="E7" i="3"/>
  <c r="D7" i="3"/>
  <c r="T6" i="3"/>
  <c r="K6" i="3"/>
  <c r="J6" i="3"/>
  <c r="I6" i="3"/>
  <c r="H6" i="3"/>
  <c r="G6" i="3"/>
  <c r="F6" i="3"/>
  <c r="E6" i="3"/>
  <c r="D6" i="3"/>
  <c r="T5" i="3"/>
  <c r="K5" i="3"/>
  <c r="J5" i="3"/>
  <c r="I5" i="3"/>
  <c r="H5" i="3"/>
  <c r="G5" i="3"/>
  <c r="F5" i="3"/>
  <c r="E5" i="3"/>
  <c r="D5" i="3"/>
  <c r="T53" i="3"/>
  <c r="K53" i="3"/>
  <c r="J53" i="3"/>
  <c r="I53" i="3"/>
  <c r="H53" i="3"/>
  <c r="G53" i="3"/>
  <c r="F53" i="3"/>
  <c r="E53" i="3"/>
  <c r="D53" i="3"/>
  <c r="T47" i="3"/>
  <c r="K47" i="3"/>
  <c r="J47" i="3"/>
  <c r="I47" i="3"/>
  <c r="H47" i="3"/>
  <c r="G47" i="3"/>
  <c r="F47" i="3"/>
  <c r="E47" i="3"/>
  <c r="D47" i="3"/>
  <c r="T45" i="3"/>
  <c r="K45" i="3"/>
  <c r="J45" i="3"/>
  <c r="I45" i="3"/>
  <c r="H45" i="3"/>
  <c r="G45" i="3"/>
  <c r="F45" i="3"/>
  <c r="E45" i="3"/>
  <c r="D45" i="3"/>
  <c r="T44" i="3"/>
  <c r="K44" i="3"/>
  <c r="J44" i="3"/>
  <c r="I44" i="3"/>
  <c r="H44" i="3"/>
  <c r="G44" i="3"/>
  <c r="F44" i="3"/>
  <c r="E44" i="3"/>
  <c r="D44" i="3"/>
  <c r="T42" i="3"/>
  <c r="K42" i="3"/>
  <c r="J42" i="3"/>
  <c r="I42" i="3"/>
  <c r="H42" i="3"/>
  <c r="G42" i="3"/>
  <c r="F42" i="3"/>
  <c r="E42" i="3"/>
  <c r="D42" i="3"/>
  <c r="T43" i="3"/>
  <c r="K43" i="3"/>
  <c r="J43" i="3"/>
  <c r="I43" i="3"/>
  <c r="H43" i="3"/>
  <c r="G43" i="3"/>
  <c r="F43" i="3"/>
  <c r="E43" i="3"/>
  <c r="D43" i="3"/>
  <c r="T39" i="3"/>
  <c r="K39" i="3"/>
  <c r="J39" i="3"/>
  <c r="I39" i="3"/>
  <c r="H39" i="3"/>
  <c r="G39" i="3"/>
  <c r="F39" i="3"/>
  <c r="E39" i="3"/>
  <c r="D39" i="3"/>
  <c r="T38" i="3"/>
  <c r="K38" i="3"/>
  <c r="J38" i="3"/>
  <c r="I38" i="3"/>
  <c r="H38" i="3"/>
  <c r="G38" i="3"/>
  <c r="F38" i="3"/>
  <c r="E38" i="3"/>
  <c r="D38" i="3"/>
  <c r="T34" i="3"/>
  <c r="K34" i="3"/>
  <c r="J34" i="3"/>
  <c r="I34" i="3"/>
  <c r="H34" i="3"/>
  <c r="G34" i="3"/>
  <c r="F34" i="3"/>
  <c r="E34" i="3"/>
  <c r="D34" i="3"/>
  <c r="T33" i="3"/>
  <c r="K33" i="3"/>
  <c r="J33" i="3"/>
  <c r="I33" i="3"/>
  <c r="H33" i="3"/>
  <c r="G33" i="3"/>
  <c r="F33" i="3"/>
  <c r="E33" i="3"/>
  <c r="D33" i="3"/>
  <c r="T32" i="3"/>
  <c r="K32" i="3"/>
  <c r="J32" i="3"/>
  <c r="I32" i="3"/>
  <c r="H32" i="3"/>
  <c r="G32" i="3"/>
  <c r="F32" i="3"/>
  <c r="E32" i="3"/>
  <c r="D32" i="3"/>
  <c r="T31" i="3"/>
  <c r="K31" i="3"/>
  <c r="J31" i="3"/>
  <c r="I31" i="3"/>
  <c r="H31" i="3"/>
  <c r="G31" i="3"/>
  <c r="F31" i="3"/>
  <c r="E31" i="3"/>
  <c r="D31" i="3"/>
  <c r="T30" i="3"/>
  <c r="K30" i="3"/>
  <c r="J30" i="3"/>
  <c r="I30" i="3"/>
  <c r="H30" i="3"/>
  <c r="G30" i="3"/>
  <c r="F30" i="3"/>
  <c r="E30" i="3"/>
  <c r="D30" i="3"/>
  <c r="T28" i="3"/>
  <c r="K28" i="3"/>
  <c r="J28" i="3"/>
  <c r="I28" i="3"/>
  <c r="H28" i="3"/>
  <c r="G28" i="3"/>
  <c r="F28" i="3"/>
  <c r="E28" i="3"/>
  <c r="D28" i="3"/>
  <c r="T27" i="3"/>
  <c r="K27" i="3"/>
  <c r="J27" i="3"/>
  <c r="I27" i="3"/>
  <c r="H27" i="3"/>
  <c r="G27" i="3"/>
  <c r="F27" i="3"/>
  <c r="E27" i="3"/>
  <c r="D27" i="3"/>
  <c r="T22" i="3"/>
  <c r="K22" i="3"/>
  <c r="J22" i="3"/>
  <c r="I22" i="3"/>
  <c r="H22" i="3"/>
  <c r="G22" i="3"/>
  <c r="F22" i="3"/>
  <c r="E22" i="3"/>
  <c r="D22" i="3"/>
  <c r="T19" i="3"/>
  <c r="K19" i="3"/>
  <c r="J19" i="3"/>
  <c r="I19" i="3"/>
  <c r="H19" i="3"/>
  <c r="G19" i="3"/>
  <c r="F19" i="3"/>
  <c r="E19" i="3"/>
  <c r="D19" i="3"/>
  <c r="T21" i="3"/>
  <c r="K21" i="3"/>
  <c r="J21" i="3"/>
  <c r="I21" i="3"/>
  <c r="H21" i="3"/>
  <c r="G21" i="3"/>
  <c r="F21" i="3"/>
  <c r="E21" i="3"/>
  <c r="D21" i="3"/>
  <c r="T20" i="3"/>
  <c r="K20" i="3"/>
  <c r="J20" i="3"/>
  <c r="I20" i="3"/>
  <c r="H20" i="3"/>
  <c r="G20" i="3"/>
  <c r="F20" i="3"/>
  <c r="E20" i="3"/>
  <c r="D20" i="3"/>
  <c r="T17" i="3"/>
  <c r="N60" i="3"/>
  <c r="K17" i="3"/>
  <c r="J17" i="3"/>
  <c r="I17" i="3"/>
  <c r="H17" i="3"/>
  <c r="G17" i="3"/>
  <c r="F17" i="3"/>
  <c r="E17" i="3"/>
  <c r="D17" i="3"/>
  <c r="T16" i="3"/>
  <c r="K16" i="3"/>
  <c r="J16" i="3"/>
  <c r="I16" i="3"/>
  <c r="H16" i="3"/>
  <c r="G16" i="3"/>
  <c r="F16" i="3"/>
  <c r="E16" i="3"/>
  <c r="D16" i="3"/>
  <c r="T15" i="3"/>
  <c r="K15" i="3"/>
  <c r="J15" i="3"/>
  <c r="I15" i="3"/>
  <c r="H15" i="3"/>
  <c r="G15" i="3"/>
  <c r="F15" i="3"/>
  <c r="E15" i="3"/>
  <c r="D15" i="3"/>
  <c r="T14" i="3"/>
  <c r="K14" i="3"/>
  <c r="J14" i="3"/>
  <c r="I14" i="3"/>
  <c r="H14" i="3"/>
  <c r="G14" i="3"/>
  <c r="F14" i="3"/>
  <c r="E14" i="3"/>
  <c r="D14" i="3"/>
  <c r="T13" i="3"/>
  <c r="K13" i="3"/>
  <c r="J13" i="3"/>
  <c r="I13" i="3"/>
  <c r="H13" i="3"/>
  <c r="G13" i="3"/>
  <c r="F13" i="3"/>
  <c r="E13" i="3"/>
  <c r="D13" i="3"/>
  <c r="T10" i="3"/>
  <c r="K10" i="3"/>
  <c r="J10" i="3"/>
  <c r="I10" i="3"/>
  <c r="H10" i="3"/>
  <c r="G10" i="3"/>
  <c r="F10" i="3"/>
  <c r="E10" i="3"/>
  <c r="D10" i="3"/>
  <c r="T37" i="3"/>
  <c r="K37" i="3"/>
  <c r="J37" i="3"/>
  <c r="I37" i="3"/>
  <c r="H37" i="3"/>
  <c r="G37" i="3"/>
  <c r="F37" i="3"/>
  <c r="E37" i="3"/>
  <c r="D37" i="3"/>
  <c r="T24" i="3"/>
  <c r="K24" i="3"/>
  <c r="J24" i="3"/>
  <c r="I24" i="3"/>
  <c r="H24" i="3"/>
  <c r="G24" i="3"/>
  <c r="F24" i="3"/>
  <c r="E24" i="3"/>
  <c r="D24" i="3"/>
  <c r="T8" i="3"/>
  <c r="K8" i="3"/>
  <c r="J8" i="3"/>
  <c r="I8" i="3"/>
  <c r="H8" i="3"/>
  <c r="G8" i="3"/>
  <c r="F8" i="3"/>
  <c r="E8" i="3"/>
  <c r="D8" i="3"/>
  <c r="R69" i="3" l="1"/>
  <c r="Q69" i="3"/>
  <c r="S69" i="3"/>
  <c r="Q62" i="3"/>
  <c r="N62" i="3"/>
  <c r="N69" i="3"/>
  <c r="N71" i="3"/>
  <c r="P60" i="3"/>
  <c r="R62" i="3"/>
  <c r="O71" i="3"/>
  <c r="S62" i="3"/>
  <c r="O69" i="3"/>
  <c r="Q71" i="3"/>
  <c r="R71" i="3"/>
  <c r="S71" i="3"/>
  <c r="Q84" i="2"/>
  <c r="S65" i="2"/>
  <c r="R65" i="2"/>
  <c r="Q65" i="2"/>
  <c r="P65" i="2"/>
  <c r="O65" i="2"/>
  <c r="N65" i="2"/>
  <c r="S60" i="2"/>
  <c r="S71" i="2" s="1"/>
  <c r="R60" i="2"/>
  <c r="Q60" i="2"/>
  <c r="Q69" i="2" s="1"/>
  <c r="T57" i="2"/>
  <c r="T42" i="2"/>
  <c r="T56" i="2"/>
  <c r="T55" i="2"/>
  <c r="T54" i="2"/>
  <c r="T41" i="2"/>
  <c r="T48" i="2"/>
  <c r="T40" i="2"/>
  <c r="T53" i="2"/>
  <c r="T39" i="2"/>
  <c r="T52" i="2"/>
  <c r="T47" i="2"/>
  <c r="T46" i="2"/>
  <c r="T51" i="2"/>
  <c r="T45" i="2"/>
  <c r="T38" i="2"/>
  <c r="T50" i="2"/>
  <c r="T49" i="2"/>
  <c r="T44" i="2"/>
  <c r="T43" i="2"/>
  <c r="T37" i="2"/>
  <c r="T31" i="2"/>
  <c r="T33" i="2"/>
  <c r="T23" i="2"/>
  <c r="T16" i="2"/>
  <c r="T22" i="2"/>
  <c r="T36" i="2"/>
  <c r="T14" i="2"/>
  <c r="T13" i="2"/>
  <c r="T7" i="2"/>
  <c r="T32" i="2"/>
  <c r="T15" i="2"/>
  <c r="T30" i="2"/>
  <c r="T29" i="2"/>
  <c r="T28" i="2"/>
  <c r="T35" i="2"/>
  <c r="T10" i="2"/>
  <c r="T11" i="2"/>
  <c r="T27" i="2"/>
  <c r="T26" i="2"/>
  <c r="T6" i="2"/>
  <c r="P6" i="2"/>
  <c r="P60" i="2" s="1"/>
  <c r="T34" i="2"/>
  <c r="O25" i="2"/>
  <c r="O60" i="2" s="1"/>
  <c r="N25" i="2"/>
  <c r="N60" i="2" s="1"/>
  <c r="T20" i="2"/>
  <c r="T19" i="2"/>
  <c r="T12" i="2"/>
  <c r="T24" i="2"/>
  <c r="T17" i="2"/>
  <c r="T18" i="2"/>
  <c r="T5" i="2"/>
  <c r="T9" i="2"/>
  <c r="T21" i="2"/>
  <c r="T8" i="2"/>
  <c r="R73" i="3" l="1"/>
  <c r="S73" i="3"/>
  <c r="Q73" i="3"/>
  <c r="R69" i="2"/>
  <c r="S69" i="2"/>
  <c r="S73" i="2" s="1"/>
  <c r="N73" i="3"/>
  <c r="O73" i="3"/>
  <c r="P62" i="3"/>
  <c r="P69" i="3"/>
  <c r="N70" i="3" s="1"/>
  <c r="P71" i="3"/>
  <c r="N72" i="3" s="1"/>
  <c r="P62" i="2"/>
  <c r="P69" i="2"/>
  <c r="P71" i="2"/>
  <c r="O62" i="2"/>
  <c r="O69" i="2"/>
  <c r="O71" i="2"/>
  <c r="N62" i="2"/>
  <c r="N69" i="2"/>
  <c r="N71" i="2"/>
  <c r="Q62" i="2"/>
  <c r="R62" i="2"/>
  <c r="S62" i="2"/>
  <c r="T25" i="2"/>
  <c r="Q71" i="2"/>
  <c r="Q73" i="2" s="1"/>
  <c r="R71" i="2"/>
  <c r="P73" i="3" l="1"/>
  <c r="N74" i="3" s="1"/>
  <c r="N86" i="3" s="1"/>
  <c r="R73" i="2"/>
  <c r="O73" i="2"/>
  <c r="N70" i="2"/>
  <c r="P73" i="2"/>
  <c r="N73" i="2"/>
  <c r="N72" i="2"/>
  <c r="N74" i="2" l="1"/>
  <c r="N86" i="2" s="1"/>
</calcChain>
</file>

<file path=xl/sharedStrings.xml><?xml version="1.0" encoding="utf-8"?>
<sst xmlns="http://schemas.openxmlformats.org/spreadsheetml/2006/main" count="1044" uniqueCount="306">
  <si>
    <t>Nombre</t>
  </si>
  <si>
    <t>Apellido</t>
  </si>
  <si>
    <t>Direccion</t>
  </si>
  <si>
    <t>Comuna</t>
  </si>
  <si>
    <t>Cargo</t>
  </si>
  <si>
    <t>Paltas</t>
  </si>
  <si>
    <t>Sector</t>
  </si>
  <si>
    <t>Pedido</t>
  </si>
  <si>
    <t>Kg</t>
  </si>
  <si>
    <t>Unidades</t>
  </si>
  <si>
    <t>Pedir</t>
  </si>
  <si>
    <t>P 2 kg</t>
  </si>
  <si>
    <t>Productos</t>
  </si>
  <si>
    <t>Precios</t>
  </si>
  <si>
    <t>Unidad</t>
  </si>
  <si>
    <t>Jefes</t>
  </si>
  <si>
    <t>Costos</t>
  </si>
  <si>
    <t>Total</t>
  </si>
  <si>
    <t>Ingresos</t>
  </si>
  <si>
    <t>Utilidad</t>
  </si>
  <si>
    <t>Producto</t>
  </si>
  <si>
    <t>Contabilidad</t>
  </si>
  <si>
    <t>N 500 gr</t>
  </si>
  <si>
    <t>Nueces</t>
  </si>
  <si>
    <t>Universidad</t>
  </si>
  <si>
    <t>Telefono</t>
  </si>
  <si>
    <t>Mail</t>
  </si>
  <si>
    <t>Gastos</t>
  </si>
  <si>
    <t>Descripcion</t>
  </si>
  <si>
    <t>Costo</t>
  </si>
  <si>
    <t>Formato</t>
  </si>
  <si>
    <t>Subtotal</t>
  </si>
  <si>
    <t>Naranjas</t>
  </si>
  <si>
    <t>N 2 kg</t>
  </si>
  <si>
    <t>Mandarinas</t>
  </si>
  <si>
    <t>Quesos</t>
  </si>
  <si>
    <t>Tomate Cherry</t>
  </si>
  <si>
    <t>M 2 kg</t>
  </si>
  <si>
    <t>Q 1050 gr</t>
  </si>
  <si>
    <t>T 1 kg</t>
  </si>
  <si>
    <t>Juli (Maquilaje y reparto)</t>
  </si>
  <si>
    <t>Ric</t>
  </si>
  <si>
    <t>Gustavo</t>
  </si>
  <si>
    <t>Eichholz</t>
  </si>
  <si>
    <t>Rocio</t>
  </si>
  <si>
    <t>Entregado</t>
  </si>
  <si>
    <t>SI</t>
  </si>
  <si>
    <t>Amalia</t>
  </si>
  <si>
    <t>Abogabir</t>
  </si>
  <si>
    <t>Maida</t>
  </si>
  <si>
    <t>Andrews</t>
  </si>
  <si>
    <t>Martin</t>
  </si>
  <si>
    <t>Araos</t>
  </si>
  <si>
    <t>Agustin</t>
  </si>
  <si>
    <t>Barba</t>
  </si>
  <si>
    <t>Javi</t>
  </si>
  <si>
    <t>Bernaus</t>
  </si>
  <si>
    <t>Paul</t>
  </si>
  <si>
    <t>Brenner</t>
  </si>
  <si>
    <t>Majo</t>
  </si>
  <si>
    <t>Castañeda</t>
  </si>
  <si>
    <t>Ignacio</t>
  </si>
  <si>
    <t>Angeles</t>
  </si>
  <si>
    <t>Celume</t>
  </si>
  <si>
    <t>Antonia</t>
  </si>
  <si>
    <t>Cisternas</t>
  </si>
  <si>
    <t>Josefa</t>
  </si>
  <si>
    <t>Covarrubias</t>
  </si>
  <si>
    <t>Florencia</t>
  </si>
  <si>
    <t>Croxatto</t>
  </si>
  <si>
    <t>Joaquin</t>
  </si>
  <si>
    <t>Daly</t>
  </si>
  <si>
    <t>Del Rio</t>
  </si>
  <si>
    <t>Constanza</t>
  </si>
  <si>
    <t>Delfau</t>
  </si>
  <si>
    <t>Pilar</t>
  </si>
  <si>
    <t>Edwards</t>
  </si>
  <si>
    <t>Maria Luisa</t>
  </si>
  <si>
    <t>Fernandez</t>
  </si>
  <si>
    <t>Rodrigo</t>
  </si>
  <si>
    <t>Isidora</t>
  </si>
  <si>
    <t>Tere</t>
  </si>
  <si>
    <t>Diego</t>
  </si>
  <si>
    <t>Figueroa</t>
  </si>
  <si>
    <t>Matias</t>
  </si>
  <si>
    <t>Flores</t>
  </si>
  <si>
    <t>Benjamin</t>
  </si>
  <si>
    <t>Hartmann</t>
  </si>
  <si>
    <t>Mauricio</t>
  </si>
  <si>
    <t>Hernandez</t>
  </si>
  <si>
    <t>Andres</t>
  </si>
  <si>
    <t>Infante</t>
  </si>
  <si>
    <t>Margarita</t>
  </si>
  <si>
    <t>Joglar</t>
  </si>
  <si>
    <t>Jungk</t>
  </si>
  <si>
    <t>Krumm</t>
  </si>
  <si>
    <t>Juan Diego</t>
  </si>
  <si>
    <t>Lyon</t>
  </si>
  <si>
    <t>Bernardita</t>
  </si>
  <si>
    <t>Mackenney</t>
  </si>
  <si>
    <t>Michella</t>
  </si>
  <si>
    <t>Mascarello</t>
  </si>
  <si>
    <t>Vicente</t>
  </si>
  <si>
    <t>Mayol</t>
  </si>
  <si>
    <t>Jesu</t>
  </si>
  <si>
    <t>Mckay</t>
  </si>
  <si>
    <t>Morales</t>
  </si>
  <si>
    <t>Josefina</t>
  </si>
  <si>
    <t>Nazer</t>
  </si>
  <si>
    <t>Raimundo</t>
  </si>
  <si>
    <t>Opazo</t>
  </si>
  <si>
    <t>Sofia</t>
  </si>
  <si>
    <t>Ovalle</t>
  </si>
  <si>
    <t>Francesco</t>
  </si>
  <si>
    <t>Pamparana</t>
  </si>
  <si>
    <t>Lukas</t>
  </si>
  <si>
    <t>Quense</t>
  </si>
  <si>
    <t>Rafa</t>
  </si>
  <si>
    <t>Quiroga</t>
  </si>
  <si>
    <t>Barbara</t>
  </si>
  <si>
    <t>Rodriguez</t>
  </si>
  <si>
    <t>Fede</t>
  </si>
  <si>
    <t>Schilling</t>
  </si>
  <si>
    <t>Carola</t>
  </si>
  <si>
    <t>Schumann</t>
  </si>
  <si>
    <t>Cata</t>
  </si>
  <si>
    <t>Tondreau</t>
  </si>
  <si>
    <t>Juan</t>
  </si>
  <si>
    <t>Undurraga</t>
  </si>
  <si>
    <t>Cristobal</t>
  </si>
  <si>
    <t>Valdes</t>
  </si>
  <si>
    <t>Valencia</t>
  </si>
  <si>
    <t>Pablo</t>
  </si>
  <si>
    <t>Vial</t>
  </si>
  <si>
    <t>Pedro</t>
  </si>
  <si>
    <t>Gabriel</t>
  </si>
  <si>
    <t>Villela</t>
  </si>
  <si>
    <t>Paula</t>
  </si>
  <si>
    <t>Encargado</t>
  </si>
  <si>
    <t>Vicho Gabilondo</t>
  </si>
  <si>
    <t>NO</t>
  </si>
  <si>
    <t>Comentario</t>
  </si>
  <si>
    <t>Pagado</t>
  </si>
  <si>
    <t>19 de Agosto de 2017</t>
  </si>
  <si>
    <t>San Jose De La Sierra 1105</t>
  </si>
  <si>
    <t>Las Condes</t>
  </si>
  <si>
    <t>Quinchamali</t>
  </si>
  <si>
    <t>UDD</t>
  </si>
  <si>
    <t>JEFE</t>
  </si>
  <si>
    <t>paulmartinbrenner@hotmail.com</t>
  </si>
  <si>
    <t>Lukas Quense</t>
  </si>
  <si>
    <t>Condominio Sta Teresita P14 Sta Ester De Liray</t>
  </si>
  <si>
    <t>Chicureo</t>
  </si>
  <si>
    <t>Lo Pinto</t>
  </si>
  <si>
    <t>matifloresdonetch@hotmail.com</t>
  </si>
  <si>
    <t>Ignacio Castañeda</t>
  </si>
  <si>
    <t>Camino del ayuntamiento 2087</t>
  </si>
  <si>
    <t>Lo Barnechea</t>
  </si>
  <si>
    <t>La Dehesa</t>
  </si>
  <si>
    <t>Newland</t>
  </si>
  <si>
    <t>cotenazer@hotmail.com</t>
  </si>
  <si>
    <t>Joaquin Eichholz</t>
  </si>
  <si>
    <t>Camino La Fuente 2174</t>
  </si>
  <si>
    <t>San Carlos</t>
  </si>
  <si>
    <t>pvillelacaerols@gmail.com</t>
  </si>
  <si>
    <t>Cerro La Campana 2311 Casa 2</t>
  </si>
  <si>
    <t>Los Trapenses</t>
  </si>
  <si>
    <t>UAI</t>
  </si>
  <si>
    <t>jbernaus@alumnos.uai.cl</t>
  </si>
  <si>
    <t>Punta de Aguilas Norte 9300 Casa 12</t>
  </si>
  <si>
    <t>UAndes</t>
  </si>
  <si>
    <t>mjcastaneda@miuandes.cl</t>
  </si>
  <si>
    <t>Los Olivos 12179</t>
  </si>
  <si>
    <t>UC</t>
  </si>
  <si>
    <t>fcroxatto@uc.cl</t>
  </si>
  <si>
    <t>Polo 1 de Manquehue Casa 112</t>
  </si>
  <si>
    <t>Piedra Roja</t>
  </si>
  <si>
    <t>CSA</t>
  </si>
  <si>
    <t>dalyjoaquin@gmail.com</t>
  </si>
  <si>
    <t>Valle del monasterio 2664</t>
  </si>
  <si>
    <t>jpdelrio@uc.cl</t>
  </si>
  <si>
    <t>Calle Parque 12700 Casa 1</t>
  </si>
  <si>
    <t>conidelfau@gmail.com</t>
  </si>
  <si>
    <t>El Roquerio 2028</t>
  </si>
  <si>
    <t>piliedwards@gmail.com</t>
  </si>
  <si>
    <t>La Invernada 7005</t>
  </si>
  <si>
    <t>Vitacura</t>
  </si>
  <si>
    <t>Santa Maria</t>
  </si>
  <si>
    <t>UCH</t>
  </si>
  <si>
    <t>guisa97@hotmail.com</t>
  </si>
  <si>
    <t>Las Hualtatas 4555 Casa 9</t>
  </si>
  <si>
    <t>rfernandezdelrio@uc.cl</t>
  </si>
  <si>
    <t>Casa De Piedra 2628</t>
  </si>
  <si>
    <t>ifernandez1@miuandes.cl</t>
  </si>
  <si>
    <t>Las Lavandulas 10006</t>
  </si>
  <si>
    <t>diegofiba2@gmail.com</t>
  </si>
  <si>
    <t>Camino De Las Ermitas 3804</t>
  </si>
  <si>
    <t>andres_infanter@hotmail.com</t>
  </si>
  <si>
    <t>Camino Los Trapenses 4860 Casa 9</t>
  </si>
  <si>
    <t>magui.joglar22@gmail.com</t>
  </si>
  <si>
    <t>La Cienaga 12315</t>
  </si>
  <si>
    <t>matiask7@gmail.com</t>
  </si>
  <si>
    <t>Las Hualtatas 10725</t>
  </si>
  <si>
    <t>Estoril</t>
  </si>
  <si>
    <t>juandiegolyon@gmail.com</t>
  </si>
  <si>
    <t>La Fontana 11221</t>
  </si>
  <si>
    <t>bmackenney@uc.cl</t>
  </si>
  <si>
    <t>Quinchamali 14326</t>
  </si>
  <si>
    <t>miki.mascarello@gmail.com</t>
  </si>
  <si>
    <t>Paseo Pie Andino 6500 Casa O</t>
  </si>
  <si>
    <t>Monte Tabor</t>
  </si>
  <si>
    <t>vmayol@live.cl</t>
  </si>
  <si>
    <t>Av Contralmirante Fernandez Vial 10455</t>
  </si>
  <si>
    <t>opazoraimundo@gmail.com</t>
  </si>
  <si>
    <t>Manuel Guzman Maturana 1900 Casa 9</t>
  </si>
  <si>
    <t>maovallel@udd.cl</t>
  </si>
  <si>
    <t>Santa Rita 1017</t>
  </si>
  <si>
    <t>CPH</t>
  </si>
  <si>
    <t>rafaquiroga7@gmail.com</t>
  </si>
  <si>
    <t>josefinaquiroga7@hotmail.com</t>
  </si>
  <si>
    <t>Raimapu 6744</t>
  </si>
  <si>
    <t>barodriguez@dsstgo.cl</t>
  </si>
  <si>
    <t>Pedro Canisio 1103 Dpto 142</t>
  </si>
  <si>
    <t>Manquehue</t>
  </si>
  <si>
    <t>cschumann@alumnos.uai.cl</t>
  </si>
  <si>
    <t>Francisco de Aguirre 4155</t>
  </si>
  <si>
    <t>Vespucio</t>
  </si>
  <si>
    <t>catalinatp_97@hotmail.com</t>
  </si>
  <si>
    <t>Las Campanas 681, Hacienda Chicureo</t>
  </si>
  <si>
    <t>antovalencia@mac.com</t>
  </si>
  <si>
    <t>Padre Ted Huard 4144</t>
  </si>
  <si>
    <t>pedrovialbo@gmail.com</t>
  </si>
  <si>
    <t>Pachica 8279</t>
  </si>
  <si>
    <t>Colon</t>
  </si>
  <si>
    <t>pabcontrerasm@udd.cl</t>
  </si>
  <si>
    <t>Las Estrellas 14043</t>
  </si>
  <si>
    <t>TIPS</t>
  </si>
  <si>
    <t>gk.alaluf@icloud.com</t>
  </si>
  <si>
    <t>Condominio El Algarrobal 2 Casa Z-95</t>
  </si>
  <si>
    <t>CLSA</t>
  </si>
  <si>
    <t>amalia.abr@gmail.com</t>
  </si>
  <si>
    <t>Martin De Zamora 5245, Torre 2, Dpto 52</t>
  </si>
  <si>
    <t>VMA</t>
  </si>
  <si>
    <t>maidaandrews25@gmail.com</t>
  </si>
  <si>
    <t>Cristal De Roca 10542</t>
  </si>
  <si>
    <t>araos.m13@gmail.com</t>
  </si>
  <si>
    <t>SOCIO</t>
  </si>
  <si>
    <t>icastanedaw@gmail.com</t>
  </si>
  <si>
    <t>Calle Parque 12700 Casa 38</t>
  </si>
  <si>
    <t>antocisternas@hotmail.com</t>
  </si>
  <si>
    <t>Camino Las Flores 12163</t>
  </si>
  <si>
    <t>Saint George</t>
  </si>
  <si>
    <t>josefacovarrubias@gmail.com</t>
  </si>
  <si>
    <t>Estrella Del Norte 980 Dpto 154</t>
  </si>
  <si>
    <t>Alto Las Condes</t>
  </si>
  <si>
    <t>joaquin.eichholz@gmail.com</t>
  </si>
  <si>
    <t>Las Torcazas 3080</t>
  </si>
  <si>
    <t>Colina</t>
  </si>
  <si>
    <t>Highlands</t>
  </si>
  <si>
    <t>terefernandez99@yahoo.com</t>
  </si>
  <si>
    <t>Camino Otonal 1368 Casa 6</t>
  </si>
  <si>
    <t>hartmann12@gmail.com</t>
  </si>
  <si>
    <t>Julia Bernstein 607 Casa G-40</t>
  </si>
  <si>
    <t>La Reina</t>
  </si>
  <si>
    <t>mauhernand@fen.uchile.cl</t>
  </si>
  <si>
    <t>Pasaje Pie Andino 4209A</t>
  </si>
  <si>
    <t>rtjungk@miuandes.cl</t>
  </si>
  <si>
    <t>Blvd Jardin De Los Pajaros 4700 Casa 5</t>
  </si>
  <si>
    <t>CLA</t>
  </si>
  <si>
    <t>jesumckayg@hotmail.com</t>
  </si>
  <si>
    <t>Los Trapenses 3230</t>
  </si>
  <si>
    <t>morales.villar25@gmail.com</t>
  </si>
  <si>
    <t>Parque Las Garzas 16, Condominio Las Banadadas</t>
  </si>
  <si>
    <t>pancho.pamparana@gmail.com</t>
  </si>
  <si>
    <t>Cerro Cortadera 9897</t>
  </si>
  <si>
    <t>lukas.quense@gmail.com</t>
  </si>
  <si>
    <t>Laura Tromben 5754</t>
  </si>
  <si>
    <t>Aleman</t>
  </si>
  <si>
    <t>federico.schilling@gmail.com</t>
  </si>
  <si>
    <t>Huilquehue 4367</t>
  </si>
  <si>
    <t>jundurraga3@miuandes.cl</t>
  </si>
  <si>
    <t>Los Queltehues 11524</t>
  </si>
  <si>
    <t>Cordillera</t>
  </si>
  <si>
    <t>cristobalvaldes99@gmail.com</t>
  </si>
  <si>
    <t>FECHA</t>
  </si>
  <si>
    <t>JEFES</t>
  </si>
  <si>
    <t>Max Santamaria</t>
  </si>
  <si>
    <t>Christian Merino</t>
  </si>
  <si>
    <t>Gustavo Worner</t>
  </si>
  <si>
    <t>Trinidad</t>
  </si>
  <si>
    <t>Montt</t>
  </si>
  <si>
    <t>Ossa</t>
  </si>
  <si>
    <t>La Radial</t>
  </si>
  <si>
    <t>Rocio Luque</t>
  </si>
  <si>
    <t>Ric Jungk</t>
  </si>
  <si>
    <t>Tomas Mantero</t>
  </si>
  <si>
    <t>Benja Valenzuela</t>
  </si>
  <si>
    <t>Diego Delmonaco</t>
  </si>
  <si>
    <t>Santa Cruz</t>
  </si>
  <si>
    <t>Rio Maule 475</t>
  </si>
  <si>
    <t>imontt@miuandes.cl</t>
  </si>
  <si>
    <t>Escribano Diego Rutal 2471</t>
  </si>
  <si>
    <t>trinidadossag@gmail.com</t>
  </si>
  <si>
    <t>La Cata (vendedora nueva), ya se llevo 3 Naranjas, 1 Mandarina y 1 Tomate Cherry, para que se los cobres.</t>
  </si>
  <si>
    <t>Si</t>
  </si>
  <si>
    <t>26 de Agosto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</si>
</sst>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#,##0_ ;\-#,##0\ "/>
    <numFmt numFmtId="166" formatCode="&quot;+&quot;00\ 0\ 0000\ 0000"/>
    <numFmt numFmtId="167" formatCode="#,##0.0_ ;\-#,##0.0\ "/>
    <numFmt numFmtId="168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6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80">
    <xf numFmtId="164" fontId="0" fillId="0" borderId="0" xfId="0"/>
    <xf numFmtId="164" fontId="0" fillId="0" borderId="0" xfId="0" applyAlignment="1">
      <alignment horizontal="center"/>
    </xf>
    <xf numFmtId="164" fontId="0" fillId="0" borderId="0" xfId="0" applyAlignment="1">
      <alignment horizontal="center" vertical="center"/>
    </xf>
    <xf numFmtId="164" fontId="0" fillId="0" borderId="2" xfId="0" applyBorder="1"/>
    <xf numFmtId="0" fontId="0" fillId="0" borderId="2" xfId="0" applyNumberFormat="1" applyBorder="1"/>
    <xf numFmtId="164" fontId="0" fillId="0" borderId="2" xfId="0" applyNumberFormat="1" applyBorder="1"/>
    <xf numFmtId="164" fontId="0" fillId="0" borderId="10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4" fillId="0" borderId="0" xfId="0" applyFont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4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/>
    <xf numFmtId="164" fontId="4" fillId="0" borderId="0" xfId="0" applyFont="1" applyBorder="1" applyAlignment="1">
      <alignment horizontal="center" vertical="center"/>
    </xf>
    <xf numFmtId="164" fontId="0" fillId="0" borderId="0" xfId="0" applyBorder="1" applyAlignment="1">
      <alignment horizontal="center"/>
    </xf>
    <xf numFmtId="164" fontId="0" fillId="0" borderId="28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4" fontId="0" fillId="0" borderId="11" xfId="0" applyNumberFormat="1" applyBorder="1"/>
    <xf numFmtId="164" fontId="0" fillId="0" borderId="9" xfId="0" applyNumberFormat="1" applyBorder="1"/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4" fontId="0" fillId="0" borderId="12" xfId="0" applyNumberFormat="1" applyBorder="1"/>
    <xf numFmtId="164" fontId="0" fillId="0" borderId="13" xfId="0" applyNumberFormat="1" applyBorder="1"/>
    <xf numFmtId="164" fontId="0" fillId="0" borderId="16" xfId="0" applyNumberFormat="1" applyBorder="1"/>
    <xf numFmtId="164" fontId="0" fillId="0" borderId="14" xfId="0" applyBorder="1"/>
    <xf numFmtId="164" fontId="0" fillId="0" borderId="10" xfId="0" applyBorder="1"/>
    <xf numFmtId="165" fontId="0" fillId="0" borderId="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4" fontId="4" fillId="0" borderId="28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7" fillId="0" borderId="0" xfId="0" applyFont="1" applyBorder="1" applyAlignment="1">
      <alignment horizontal="center" vertical="center" textRotation="90"/>
    </xf>
    <xf numFmtId="164" fontId="0" fillId="0" borderId="0" xfId="0" applyBorder="1"/>
    <xf numFmtId="165" fontId="0" fillId="0" borderId="0" xfId="0" applyNumberFormat="1" applyBorder="1" applyAlignment="1">
      <alignment horizontal="center" vertical="center"/>
    </xf>
    <xf numFmtId="164" fontId="0" fillId="0" borderId="26" xfId="0" applyBorder="1" applyAlignment="1">
      <alignment horizontal="center" vertical="center"/>
    </xf>
    <xf numFmtId="164" fontId="0" fillId="0" borderId="27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4" fontId="0" fillId="0" borderId="9" xfId="0" applyBorder="1"/>
    <xf numFmtId="166" fontId="0" fillId="0" borderId="10" xfId="0" applyNumberFormat="1" applyBorder="1" applyAlignment="1">
      <alignment horizontal="center" vertical="center"/>
    </xf>
    <xf numFmtId="164" fontId="0" fillId="0" borderId="11" xfId="0" applyBorder="1"/>
    <xf numFmtId="0" fontId="0" fillId="0" borderId="13" xfId="0" applyNumberFormat="1" applyBorder="1"/>
    <xf numFmtId="164" fontId="6" fillId="0" borderId="20" xfId="0" applyFont="1" applyBorder="1" applyAlignment="1">
      <alignment vertical="center" textRotation="90"/>
    </xf>
    <xf numFmtId="164" fontId="6" fillId="0" borderId="0" xfId="0" applyFont="1" applyBorder="1" applyAlignment="1">
      <alignment vertical="center" textRotation="90"/>
    </xf>
    <xf numFmtId="164" fontId="6" fillId="0" borderId="21" xfId="0" applyFont="1" applyBorder="1" applyAlignment="1">
      <alignment vertical="center" textRotation="90"/>
    </xf>
    <xf numFmtId="43" fontId="0" fillId="0" borderId="10" xfId="4" applyFont="1" applyBorder="1" applyAlignment="1">
      <alignment horizontal="left" vertical="center"/>
    </xf>
    <xf numFmtId="43" fontId="0" fillId="0" borderId="2" xfId="4" applyFont="1" applyBorder="1" applyAlignment="1">
      <alignment horizontal="left" vertical="center"/>
    </xf>
    <xf numFmtId="43" fontId="0" fillId="0" borderId="13" xfId="4" applyFont="1" applyBorder="1" applyAlignment="1">
      <alignment horizontal="left" vertical="center"/>
    </xf>
    <xf numFmtId="164" fontId="0" fillId="0" borderId="0" xfId="0" applyAlignment="1"/>
    <xf numFmtId="164" fontId="4" fillId="0" borderId="8" xfId="0" applyFont="1" applyBorder="1" applyAlignment="1">
      <alignment vertical="center"/>
    </xf>
    <xf numFmtId="164" fontId="11" fillId="0" borderId="0" xfId="0" applyFont="1" applyBorder="1" applyAlignment="1">
      <alignment vertical="center" textRotation="90"/>
    </xf>
    <xf numFmtId="164" fontId="0" fillId="0" borderId="15" xfId="0" applyBorder="1"/>
    <xf numFmtId="164" fontId="0" fillId="0" borderId="12" xfId="0" applyBorder="1"/>
    <xf numFmtId="164" fontId="0" fillId="0" borderId="13" xfId="0" applyBorder="1"/>
    <xf numFmtId="164" fontId="0" fillId="0" borderId="16" xfId="0" applyBorder="1"/>
    <xf numFmtId="43" fontId="0" fillId="0" borderId="0" xfId="4" applyFont="1" applyBorder="1" applyAlignment="1">
      <alignment horizontal="left" vertical="center"/>
    </xf>
    <xf numFmtId="43" fontId="0" fillId="0" borderId="6" xfId="4" applyFont="1" applyBorder="1" applyAlignment="1">
      <alignment horizontal="left" vertical="center"/>
    </xf>
    <xf numFmtId="166" fontId="0" fillId="0" borderId="0" xfId="0" applyNumberFormat="1" applyBorder="1" applyAlignment="1">
      <alignment horizontal="center" vertical="center"/>
    </xf>
    <xf numFmtId="164" fontId="0" fillId="0" borderId="25" xfId="5" applyNumberFormat="1" applyFont="1" applyFill="1" applyBorder="1" applyAlignment="1">
      <alignment vertical="center"/>
    </xf>
    <xf numFmtId="164" fontId="0" fillId="0" borderId="1" xfId="5" applyNumberFormat="1" applyFont="1" applyFill="1" applyBorder="1" applyAlignment="1">
      <alignment vertical="center"/>
    </xf>
    <xf numFmtId="164" fontId="0" fillId="0" borderId="8" xfId="0" applyNumberFormat="1" applyFont="1" applyFill="1" applyBorder="1" applyAlignment="1">
      <alignment vertical="center"/>
    </xf>
    <xf numFmtId="164" fontId="4" fillId="0" borderId="0" xfId="0" applyFont="1" applyBorder="1" applyAlignment="1">
      <alignment horizontal="center"/>
    </xf>
    <xf numFmtId="168" fontId="0" fillId="0" borderId="2" xfId="0" applyNumberFormat="1" applyBorder="1" applyAlignment="1">
      <alignment horizontal="center" vertical="center"/>
    </xf>
    <xf numFmtId="167" fontId="0" fillId="0" borderId="15" xfId="0" applyNumberFormat="1" applyBorder="1" applyAlignment="1">
      <alignment horizontal="center" vertical="center"/>
    </xf>
    <xf numFmtId="164" fontId="0" fillId="0" borderId="0" xfId="0" applyAlignment="1">
      <alignment horizontal="left"/>
    </xf>
    <xf numFmtId="164" fontId="0" fillId="0" borderId="28" xfId="0" applyBorder="1" applyAlignment="1">
      <alignment horizontal="left" vertical="center"/>
    </xf>
    <xf numFmtId="165" fontId="0" fillId="0" borderId="3" xfId="0" applyNumberFormat="1" applyBorder="1" applyAlignment="1">
      <alignment horizontal="left" vertical="center"/>
    </xf>
    <xf numFmtId="165" fontId="0" fillId="0" borderId="2" xfId="0" applyNumberFormat="1" applyBorder="1" applyAlignment="1">
      <alignment horizontal="left" vertical="center"/>
    </xf>
    <xf numFmtId="165" fontId="0" fillId="0" borderId="6" xfId="0" applyNumberFormat="1" applyBorder="1" applyAlignment="1">
      <alignment horizontal="left" vertical="center"/>
    </xf>
    <xf numFmtId="164" fontId="4" fillId="0" borderId="20" xfId="0" applyFont="1" applyBorder="1" applyAlignment="1">
      <alignment horizontal="center" vertical="center"/>
    </xf>
    <xf numFmtId="164" fontId="4" fillId="0" borderId="29" xfId="0" applyFont="1" applyBorder="1" applyAlignment="1">
      <alignment horizontal="center" vertical="center"/>
    </xf>
    <xf numFmtId="164" fontId="4" fillId="0" borderId="30" xfId="0" applyFont="1" applyBorder="1" applyAlignment="1">
      <alignment horizontal="center" vertical="center"/>
    </xf>
    <xf numFmtId="164" fontId="4" fillId="0" borderId="29" xfId="0" applyFont="1" applyBorder="1" applyAlignment="1">
      <alignment horizontal="center" vertical="center"/>
    </xf>
    <xf numFmtId="164" fontId="4" fillId="0" borderId="30" xfId="0" applyFont="1" applyBorder="1" applyAlignment="1">
      <alignment horizontal="center" vertical="center"/>
    </xf>
    <xf numFmtId="164" fontId="4" fillId="0" borderId="20" xfId="0" applyFont="1" applyBorder="1" applyAlignment="1">
      <alignment horizontal="center" vertical="center"/>
    </xf>
    <xf numFmtId="164" fontId="4" fillId="0" borderId="0" xfId="0" applyFont="1" applyBorder="1" applyAlignment="1">
      <alignment horizontal="center" vertical="center"/>
    </xf>
    <xf numFmtId="164" fontId="0" fillId="0" borderId="10" xfId="0" applyBorder="1" applyAlignment="1">
      <alignment horizontal="left"/>
    </xf>
    <xf numFmtId="164" fontId="0" fillId="0" borderId="11" xfId="0" applyBorder="1" applyAlignment="1">
      <alignment horizontal="left"/>
    </xf>
    <xf numFmtId="164" fontId="0" fillId="0" borderId="2" xfId="0" applyBorder="1" applyAlignment="1">
      <alignment horizontal="left"/>
    </xf>
    <xf numFmtId="164" fontId="0" fillId="0" borderId="11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164" fontId="0" fillId="0" borderId="13" xfId="0" applyBorder="1" applyAlignment="1">
      <alignment horizontal="left"/>
    </xf>
    <xf numFmtId="0" fontId="0" fillId="0" borderId="2" xfId="0" applyNumberFormat="1" applyBorder="1" applyAlignment="1">
      <alignment horizontal="center" vertical="center"/>
    </xf>
    <xf numFmtId="164" fontId="0" fillId="0" borderId="27" xfId="0" applyBorder="1" applyAlignment="1">
      <alignment horizontal="left" vertical="center"/>
    </xf>
    <xf numFmtId="165" fontId="0" fillId="0" borderId="14" xfId="0" applyNumberFormat="1" applyBorder="1" applyAlignment="1">
      <alignment horizontal="left" vertical="center"/>
    </xf>
    <xf numFmtId="165" fontId="0" fillId="0" borderId="15" xfId="0" applyNumberFormat="1" applyBorder="1" applyAlignment="1">
      <alignment horizontal="left" vertical="center"/>
    </xf>
    <xf numFmtId="0" fontId="0" fillId="0" borderId="13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0" fontId="0" fillId="0" borderId="10" xfId="0" applyNumberFormat="1" applyBorder="1" applyAlignment="1">
      <alignment horizontal="left"/>
    </xf>
    <xf numFmtId="164" fontId="12" fillId="0" borderId="0" xfId="0" applyFont="1"/>
    <xf numFmtId="164" fontId="12" fillId="0" borderId="0" xfId="0" applyFont="1" applyAlignment="1">
      <alignment horizontal="left"/>
    </xf>
    <xf numFmtId="164" fontId="12" fillId="0" borderId="0" xfId="0" applyFont="1" applyAlignment="1">
      <alignment horizontal="center"/>
    </xf>
    <xf numFmtId="164" fontId="15" fillId="0" borderId="0" xfId="0" applyFont="1" applyBorder="1" applyAlignment="1">
      <alignment horizontal="center"/>
    </xf>
    <xf numFmtId="164" fontId="15" fillId="0" borderId="28" xfId="0" applyFont="1" applyBorder="1" applyAlignment="1">
      <alignment horizontal="center"/>
    </xf>
    <xf numFmtId="164" fontId="12" fillId="0" borderId="0" xfId="0" applyFont="1" applyAlignment="1">
      <alignment horizontal="center" vertical="center"/>
    </xf>
    <xf numFmtId="164" fontId="12" fillId="0" borderId="26" xfId="0" applyFont="1" applyBorder="1" applyAlignment="1">
      <alignment horizontal="center" vertical="center"/>
    </xf>
    <xf numFmtId="164" fontId="12" fillId="0" borderId="27" xfId="0" applyFont="1" applyBorder="1" applyAlignment="1">
      <alignment horizontal="center" vertical="center"/>
    </xf>
    <xf numFmtId="164" fontId="12" fillId="0" borderId="27" xfId="0" applyFont="1" applyBorder="1" applyAlignment="1">
      <alignment horizontal="left" vertical="center"/>
    </xf>
    <xf numFmtId="164" fontId="12" fillId="0" borderId="9" xfId="0" applyNumberFormat="1" applyFont="1" applyBorder="1"/>
    <xf numFmtId="164" fontId="12" fillId="0" borderId="10" xfId="0" applyNumberFormat="1" applyFont="1" applyBorder="1"/>
    <xf numFmtId="166" fontId="12" fillId="0" borderId="2" xfId="0" applyNumberFormat="1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horizontal="left" vertical="center"/>
    </xf>
    <xf numFmtId="164" fontId="12" fillId="0" borderId="11" xfId="0" applyFont="1" applyBorder="1"/>
    <xf numFmtId="164" fontId="12" fillId="0" borderId="2" xfId="0" applyFont="1" applyBorder="1"/>
    <xf numFmtId="165" fontId="12" fillId="0" borderId="2" xfId="0" applyNumberFormat="1" applyFont="1" applyBorder="1" applyAlignment="1">
      <alignment horizontal="center" vertical="center"/>
    </xf>
    <xf numFmtId="165" fontId="12" fillId="0" borderId="15" xfId="0" applyNumberFormat="1" applyFont="1" applyBorder="1" applyAlignment="1">
      <alignment horizontal="left" vertical="center"/>
    </xf>
    <xf numFmtId="164" fontId="12" fillId="0" borderId="11" xfId="0" applyNumberFormat="1" applyFont="1" applyBorder="1"/>
    <xf numFmtId="164" fontId="12" fillId="0" borderId="2" xfId="0" applyNumberFormat="1" applyFont="1" applyBorder="1"/>
    <xf numFmtId="164" fontId="12" fillId="0" borderId="12" xfId="0" applyFont="1" applyBorder="1"/>
    <xf numFmtId="164" fontId="12" fillId="0" borderId="13" xfId="0" applyFont="1" applyBorder="1"/>
    <xf numFmtId="165" fontId="12" fillId="0" borderId="13" xfId="0" applyNumberFormat="1" applyFont="1" applyBorder="1" applyAlignment="1">
      <alignment horizontal="center" vertical="center"/>
    </xf>
    <xf numFmtId="165" fontId="12" fillId="0" borderId="16" xfId="0" applyNumberFormat="1" applyFont="1" applyBorder="1" applyAlignment="1">
      <alignment horizontal="left" vertical="center"/>
    </xf>
    <xf numFmtId="164" fontId="16" fillId="0" borderId="0" xfId="0" applyFont="1" applyBorder="1" applyAlignment="1">
      <alignment horizontal="center" vertical="center" textRotation="90"/>
    </xf>
    <xf numFmtId="164" fontId="12" fillId="0" borderId="0" xfId="0" applyFont="1" applyBorder="1"/>
    <xf numFmtId="166" fontId="12" fillId="0" borderId="0" xfId="0" applyNumberFormat="1" applyFont="1" applyBorder="1" applyAlignment="1">
      <alignment horizontal="center" vertical="center"/>
    </xf>
    <xf numFmtId="43" fontId="12" fillId="0" borderId="0" xfId="4" applyFont="1" applyBorder="1" applyAlignment="1">
      <alignment horizontal="left" vertical="center"/>
    </xf>
    <xf numFmtId="165" fontId="12" fillId="0" borderId="0" xfId="0" applyNumberFormat="1" applyFont="1" applyBorder="1" applyAlignment="1">
      <alignment horizontal="center" vertical="center"/>
    </xf>
    <xf numFmtId="164" fontId="15" fillId="0" borderId="30" xfId="0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horizontal="center" vertical="center"/>
    </xf>
    <xf numFmtId="165" fontId="12" fillId="0" borderId="11" xfId="0" applyNumberFormat="1" applyFont="1" applyBorder="1" applyAlignment="1">
      <alignment horizontal="center" vertical="center"/>
    </xf>
    <xf numFmtId="168" fontId="12" fillId="0" borderId="2" xfId="0" applyNumberFormat="1" applyFont="1" applyBorder="1" applyAlignment="1">
      <alignment horizontal="center" vertical="center"/>
    </xf>
    <xf numFmtId="167" fontId="12" fillId="0" borderId="15" xfId="0" applyNumberFormat="1" applyFont="1" applyBorder="1" applyAlignment="1">
      <alignment horizontal="center" vertical="center"/>
    </xf>
    <xf numFmtId="165" fontId="12" fillId="0" borderId="15" xfId="0" applyNumberFormat="1" applyFont="1" applyBorder="1" applyAlignment="1">
      <alignment horizontal="center" vertical="center"/>
    </xf>
    <xf numFmtId="165" fontId="12" fillId="0" borderId="12" xfId="0" applyNumberFormat="1" applyFont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164" fontId="15" fillId="0" borderId="20" xfId="0" applyFont="1" applyBorder="1" applyAlignment="1">
      <alignment horizontal="center" vertical="center"/>
    </xf>
    <xf numFmtId="164" fontId="14" fillId="0" borderId="20" xfId="0" applyFont="1" applyBorder="1" applyAlignment="1">
      <alignment vertical="center" textRotation="90"/>
    </xf>
    <xf numFmtId="164" fontId="14" fillId="0" borderId="0" xfId="0" applyFont="1" applyBorder="1" applyAlignment="1">
      <alignment vertical="center" textRotation="90"/>
    </xf>
    <xf numFmtId="164" fontId="14" fillId="0" borderId="21" xfId="0" applyFont="1" applyBorder="1" applyAlignment="1">
      <alignment vertical="center" textRotation="90"/>
    </xf>
    <xf numFmtId="164" fontId="15" fillId="0" borderId="0" xfId="0" applyFont="1" applyAlignment="1">
      <alignment horizontal="center" vertical="center"/>
    </xf>
    <xf numFmtId="164" fontId="12" fillId="0" borderId="9" xfId="0" applyFont="1" applyBorder="1"/>
    <xf numFmtId="164" fontId="12" fillId="0" borderId="10" xfId="0" applyFont="1" applyBorder="1"/>
    <xf numFmtId="164" fontId="12" fillId="0" borderId="14" xfId="0" applyFont="1" applyBorder="1"/>
    <xf numFmtId="164" fontId="12" fillId="0" borderId="15" xfId="0" applyFont="1" applyBorder="1"/>
    <xf numFmtId="164" fontId="12" fillId="0" borderId="16" xfId="0" applyFont="1" applyBorder="1"/>
    <xf numFmtId="164" fontId="12" fillId="0" borderId="10" xfId="0" applyNumberFormat="1" applyFont="1" applyBorder="1" applyAlignment="1">
      <alignment horizontal="center"/>
    </xf>
    <xf numFmtId="164" fontId="12" fillId="0" borderId="14" xfId="0" applyNumberFormat="1" applyFont="1" applyBorder="1"/>
    <xf numFmtId="164" fontId="12" fillId="0" borderId="15" xfId="0" applyNumberFormat="1" applyFont="1" applyBorder="1"/>
    <xf numFmtId="164" fontId="12" fillId="0" borderId="12" xfId="0" applyNumberFormat="1" applyFont="1" applyBorder="1"/>
    <xf numFmtId="164" fontId="12" fillId="0" borderId="13" xfId="0" applyNumberFormat="1" applyFont="1" applyBorder="1"/>
    <xf numFmtId="164" fontId="12" fillId="0" borderId="16" xfId="0" applyNumberFormat="1" applyFont="1" applyBorder="1"/>
    <xf numFmtId="164" fontId="15" fillId="0" borderId="8" xfId="0" applyFont="1" applyBorder="1" applyAlignment="1">
      <alignment vertical="center"/>
    </xf>
    <xf numFmtId="164" fontId="15" fillId="0" borderId="0" xfId="0" applyFont="1" applyFill="1" applyBorder="1" applyAlignment="1">
      <alignment horizontal="center" vertical="center"/>
    </xf>
    <xf numFmtId="164" fontId="12" fillId="0" borderId="25" xfId="5" applyNumberFormat="1" applyFont="1" applyFill="1" applyBorder="1" applyAlignment="1">
      <alignment vertical="center"/>
    </xf>
    <xf numFmtId="164" fontId="12" fillId="0" borderId="0" xfId="0" applyNumberFormat="1" applyFont="1" applyFill="1" applyBorder="1"/>
    <xf numFmtId="164" fontId="12" fillId="0" borderId="1" xfId="5" applyNumberFormat="1" applyFont="1" applyFill="1" applyBorder="1" applyAlignment="1">
      <alignment vertical="center"/>
    </xf>
    <xf numFmtId="164" fontId="12" fillId="0" borderId="8" xfId="0" applyNumberFormat="1" applyFont="1" applyFill="1" applyBorder="1" applyAlignment="1">
      <alignment vertical="center"/>
    </xf>
    <xf numFmtId="164" fontId="15" fillId="0" borderId="29" xfId="0" applyFont="1" applyBorder="1" applyAlignment="1">
      <alignment horizontal="center" vertical="center"/>
    </xf>
    <xf numFmtId="164" fontId="17" fillId="0" borderId="0" xfId="0" applyFont="1" applyBorder="1" applyAlignment="1">
      <alignment vertical="center" textRotation="90"/>
    </xf>
    <xf numFmtId="164" fontId="12" fillId="0" borderId="0" xfId="0" applyFont="1" applyAlignment="1"/>
    <xf numFmtId="164" fontId="15" fillId="0" borderId="0" xfId="0" applyFont="1" applyBorder="1" applyAlignment="1">
      <alignment horizontal="center" vertical="center"/>
    </xf>
    <xf numFmtId="164" fontId="12" fillId="0" borderId="0" xfId="0" applyFont="1" applyBorder="1" applyAlignment="1">
      <alignment horizontal="center"/>
    </xf>
    <xf numFmtId="165" fontId="0" fillId="0" borderId="2" xfId="0" applyNumberFormat="1" applyFont="1" applyBorder="1" applyAlignment="1">
      <alignment horizontal="center" vertical="center"/>
    </xf>
    <xf numFmtId="164" fontId="7" fillId="0" borderId="17" xfId="0" applyFont="1" applyBorder="1" applyAlignment="1">
      <alignment horizontal="center" vertical="center" textRotation="90"/>
    </xf>
    <xf numFmtId="164" fontId="7" fillId="0" borderId="20" xfId="0" applyFont="1" applyBorder="1" applyAlignment="1">
      <alignment horizontal="center" vertical="center" textRotation="90"/>
    </xf>
    <xf numFmtId="164" fontId="7" fillId="0" borderId="22" xfId="0" applyFont="1" applyBorder="1" applyAlignment="1">
      <alignment horizontal="center" vertical="center" textRotation="90"/>
    </xf>
    <xf numFmtId="164" fontId="9" fillId="0" borderId="29" xfId="0" applyFont="1" applyBorder="1" applyAlignment="1">
      <alignment horizontal="center" vertical="center"/>
    </xf>
    <xf numFmtId="164" fontId="9" fillId="0" borderId="30" xfId="0" applyFont="1" applyBorder="1" applyAlignment="1">
      <alignment horizontal="center" vertical="center"/>
    </xf>
    <xf numFmtId="164" fontId="9" fillId="0" borderId="31" xfId="0" applyFont="1" applyBorder="1" applyAlignment="1">
      <alignment horizontal="center" vertical="center"/>
    </xf>
    <xf numFmtId="164" fontId="6" fillId="0" borderId="29" xfId="0" applyFont="1" applyBorder="1" applyAlignment="1">
      <alignment horizontal="center" vertical="center"/>
    </xf>
    <xf numFmtId="164" fontId="6" fillId="0" borderId="30" xfId="0" applyFont="1" applyBorder="1" applyAlignment="1">
      <alignment horizontal="center" vertical="center"/>
    </xf>
    <xf numFmtId="164" fontId="6" fillId="0" borderId="31" xfId="0" applyFont="1" applyBorder="1" applyAlignment="1">
      <alignment horizontal="center" vertical="center"/>
    </xf>
    <xf numFmtId="164" fontId="11" fillId="0" borderId="26" xfId="0" applyFont="1" applyBorder="1" applyAlignment="1">
      <alignment horizontal="center" vertical="center" textRotation="90"/>
    </xf>
    <xf numFmtId="164" fontId="11" fillId="0" borderId="27" xfId="0" applyFont="1" applyBorder="1" applyAlignment="1">
      <alignment horizontal="center" vertical="center" textRotation="90"/>
    </xf>
    <xf numFmtId="164" fontId="11" fillId="0" borderId="28" xfId="0" applyFont="1" applyBorder="1" applyAlignment="1">
      <alignment horizontal="center" vertical="center" textRotation="90"/>
    </xf>
    <xf numFmtId="164" fontId="4" fillId="0" borderId="17" xfId="0" applyFont="1" applyBorder="1" applyAlignment="1">
      <alignment horizontal="center" vertical="center"/>
    </xf>
    <xf numFmtId="164" fontId="4" fillId="0" borderId="18" xfId="0" applyFont="1" applyBorder="1" applyAlignment="1">
      <alignment horizontal="center" vertical="center"/>
    </xf>
    <xf numFmtId="164" fontId="4" fillId="0" borderId="19" xfId="0" applyFont="1" applyBorder="1" applyAlignment="1">
      <alignment horizontal="center" vertical="center"/>
    </xf>
    <xf numFmtId="164" fontId="4" fillId="0" borderId="20" xfId="0" applyFont="1" applyBorder="1" applyAlignment="1">
      <alignment horizontal="center" vertical="center"/>
    </xf>
    <xf numFmtId="164" fontId="4" fillId="0" borderId="0" xfId="0" applyFont="1" applyBorder="1" applyAlignment="1">
      <alignment horizontal="center" vertical="center"/>
    </xf>
    <xf numFmtId="164" fontId="4" fillId="0" borderId="21" xfId="0" applyFont="1" applyBorder="1" applyAlignment="1">
      <alignment horizontal="center" vertical="center"/>
    </xf>
    <xf numFmtId="164" fontId="4" fillId="0" borderId="22" xfId="0" applyFont="1" applyBorder="1" applyAlignment="1">
      <alignment horizontal="center" vertical="center"/>
    </xf>
    <xf numFmtId="164" fontId="4" fillId="0" borderId="23" xfId="0" applyFont="1" applyBorder="1" applyAlignment="1">
      <alignment horizontal="center" vertical="center"/>
    </xf>
    <xf numFmtId="164" fontId="4" fillId="0" borderId="24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35" xfId="0" applyFont="1" applyBorder="1" applyAlignment="1">
      <alignment horizontal="center" vertical="center"/>
    </xf>
    <xf numFmtId="164" fontId="0" fillId="0" borderId="6" xfId="0" applyFont="1" applyBorder="1" applyAlignment="1">
      <alignment horizontal="center" vertical="center"/>
    </xf>
    <xf numFmtId="164" fontId="0" fillId="0" borderId="7" xfId="0" applyFont="1" applyBorder="1" applyAlignment="1">
      <alignment horizontal="center" vertical="center"/>
    </xf>
    <xf numFmtId="164" fontId="4" fillId="0" borderId="33" xfId="0" applyFont="1" applyBorder="1" applyAlignment="1">
      <alignment horizontal="center" vertical="center"/>
    </xf>
    <xf numFmtId="164" fontId="4" fillId="0" borderId="34" xfId="0" applyFont="1" applyBorder="1" applyAlignment="1">
      <alignment horizontal="center" vertical="center"/>
    </xf>
    <xf numFmtId="164" fontId="4" fillId="0" borderId="36" xfId="0" applyFont="1" applyBorder="1" applyAlignment="1">
      <alignment horizontal="center" vertical="center"/>
    </xf>
    <xf numFmtId="164" fontId="4" fillId="0" borderId="29" xfId="0" applyFont="1" applyBorder="1" applyAlignment="1">
      <alignment horizontal="center" vertical="center"/>
    </xf>
    <xf numFmtId="164" fontId="4" fillId="0" borderId="30" xfId="0" applyFont="1" applyBorder="1" applyAlignment="1">
      <alignment horizontal="center" vertical="center"/>
    </xf>
    <xf numFmtId="164" fontId="4" fillId="0" borderId="31" xfId="0" applyFont="1" applyBorder="1" applyAlignment="1">
      <alignment horizontal="center" vertical="center"/>
    </xf>
    <xf numFmtId="164" fontId="8" fillId="0" borderId="29" xfId="0" applyNumberFormat="1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/>
    </xf>
    <xf numFmtId="164" fontId="8" fillId="0" borderId="31" xfId="0" applyNumberFormat="1" applyFont="1" applyBorder="1" applyAlignment="1">
      <alignment horizontal="center" vertical="center"/>
    </xf>
    <xf numFmtId="164" fontId="8" fillId="0" borderId="22" xfId="0" applyNumberFormat="1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5" fillId="0" borderId="17" xfId="0" applyFont="1" applyBorder="1" applyAlignment="1">
      <alignment horizontal="center" vertical="center"/>
    </xf>
    <xf numFmtId="164" fontId="5" fillId="0" borderId="18" xfId="0" applyFont="1" applyBorder="1" applyAlignment="1">
      <alignment horizontal="center" vertical="center"/>
    </xf>
    <xf numFmtId="164" fontId="5" fillId="0" borderId="19" xfId="0" applyFont="1" applyBorder="1" applyAlignment="1">
      <alignment horizontal="center" vertical="center"/>
    </xf>
    <xf numFmtId="164" fontId="5" fillId="0" borderId="20" xfId="0" applyFont="1" applyBorder="1" applyAlignment="1">
      <alignment horizontal="center" vertical="center"/>
    </xf>
    <xf numFmtId="164" fontId="5" fillId="0" borderId="0" xfId="0" applyFont="1" applyBorder="1" applyAlignment="1">
      <alignment horizontal="center" vertical="center"/>
    </xf>
    <xf numFmtId="164" fontId="5" fillId="0" borderId="21" xfId="0" applyFont="1" applyBorder="1" applyAlignment="1">
      <alignment horizontal="center" vertical="center"/>
    </xf>
    <xf numFmtId="164" fontId="5" fillId="0" borderId="22" xfId="0" applyFont="1" applyBorder="1" applyAlignment="1">
      <alignment horizontal="center" vertical="center"/>
    </xf>
    <xf numFmtId="164" fontId="5" fillId="0" borderId="23" xfId="0" applyFont="1" applyBorder="1" applyAlignment="1">
      <alignment horizontal="center" vertical="center"/>
    </xf>
    <xf numFmtId="164" fontId="5" fillId="0" borderId="24" xfId="0" applyFont="1" applyBorder="1" applyAlignment="1">
      <alignment horizontal="center" vertical="center"/>
    </xf>
    <xf numFmtId="164" fontId="0" fillId="0" borderId="32" xfId="0" applyFont="1" applyBorder="1" applyAlignment="1">
      <alignment horizontal="center" vertical="center"/>
    </xf>
    <xf numFmtId="164" fontId="0" fillId="0" borderId="3" xfId="0" applyFont="1" applyBorder="1" applyAlignment="1">
      <alignment horizontal="center" vertical="center"/>
    </xf>
    <xf numFmtId="164" fontId="0" fillId="0" borderId="4" xfId="0" applyFont="1" applyBorder="1" applyAlignment="1">
      <alignment horizontal="center" vertical="center"/>
    </xf>
    <xf numFmtId="164" fontId="0" fillId="0" borderId="11" xfId="0" applyFont="1" applyBorder="1" applyAlignment="1">
      <alignment horizontal="center" vertical="center"/>
    </xf>
    <xf numFmtId="164" fontId="0" fillId="0" borderId="2" xfId="0" applyFont="1" applyBorder="1" applyAlignment="1">
      <alignment horizontal="center" vertical="center"/>
    </xf>
    <xf numFmtId="164" fontId="0" fillId="0" borderId="5" xfId="0" applyFont="1" applyBorder="1" applyAlignment="1">
      <alignment horizontal="center" vertical="center"/>
    </xf>
    <xf numFmtId="164" fontId="7" fillId="0" borderId="26" xfId="0" applyFont="1" applyBorder="1" applyAlignment="1">
      <alignment horizontal="center" vertical="center" textRotation="90"/>
    </xf>
    <xf numFmtId="164" fontId="7" fillId="0" borderId="27" xfId="0" applyFont="1" applyBorder="1" applyAlignment="1">
      <alignment horizontal="center" vertical="center" textRotation="90"/>
    </xf>
    <xf numFmtId="164" fontId="7" fillId="0" borderId="28" xfId="0" applyFont="1" applyBorder="1" applyAlignment="1">
      <alignment horizontal="center" vertical="center" textRotation="90"/>
    </xf>
    <xf numFmtId="164" fontId="15" fillId="0" borderId="33" xfId="0" applyFont="1" applyBorder="1" applyAlignment="1">
      <alignment horizontal="center" vertical="center"/>
    </xf>
    <xf numFmtId="164" fontId="15" fillId="0" borderId="34" xfId="0" applyFont="1" applyBorder="1" applyAlignment="1">
      <alignment horizontal="center" vertical="center"/>
    </xf>
    <xf numFmtId="164" fontId="15" fillId="0" borderId="36" xfId="0" applyFont="1" applyBorder="1" applyAlignment="1">
      <alignment horizontal="center" vertical="center"/>
    </xf>
    <xf numFmtId="164" fontId="15" fillId="0" borderId="29" xfId="0" applyFont="1" applyBorder="1" applyAlignment="1">
      <alignment horizontal="center" vertical="center"/>
    </xf>
    <xf numFmtId="164" fontId="15" fillId="0" borderId="30" xfId="0" applyFont="1" applyBorder="1" applyAlignment="1">
      <alignment horizontal="center" vertical="center"/>
    </xf>
    <xf numFmtId="164" fontId="15" fillId="0" borderId="31" xfId="0" applyFont="1" applyBorder="1" applyAlignment="1">
      <alignment horizontal="center" vertical="center"/>
    </xf>
    <xf numFmtId="164" fontId="18" fillId="0" borderId="29" xfId="0" applyNumberFormat="1" applyFont="1" applyBorder="1" applyAlignment="1">
      <alignment horizontal="center" vertical="center"/>
    </xf>
    <xf numFmtId="164" fontId="18" fillId="0" borderId="30" xfId="0" applyNumberFormat="1" applyFont="1" applyBorder="1" applyAlignment="1">
      <alignment horizontal="center" vertical="center"/>
    </xf>
    <xf numFmtId="164" fontId="18" fillId="0" borderId="31" xfId="0" applyNumberFormat="1" applyFont="1" applyBorder="1" applyAlignment="1">
      <alignment horizontal="center" vertical="center"/>
    </xf>
    <xf numFmtId="164" fontId="12" fillId="0" borderId="37" xfId="0" applyFont="1" applyBorder="1" applyAlignment="1">
      <alignment horizontal="center" vertical="center"/>
    </xf>
    <xf numFmtId="164" fontId="12" fillId="0" borderId="38" xfId="0" applyFont="1" applyBorder="1" applyAlignment="1">
      <alignment horizontal="center" vertical="center"/>
    </xf>
    <xf numFmtId="164" fontId="12" fillId="0" borderId="39" xfId="0" applyFont="1" applyBorder="1" applyAlignment="1">
      <alignment horizontal="center" vertical="center"/>
    </xf>
    <xf numFmtId="164" fontId="12" fillId="0" borderId="11" xfId="0" applyFont="1" applyBorder="1" applyAlignment="1">
      <alignment horizontal="center" vertical="center"/>
    </xf>
    <xf numFmtId="164" fontId="12" fillId="0" borderId="2" xfId="0" applyFont="1" applyBorder="1" applyAlignment="1">
      <alignment horizontal="center" vertical="center"/>
    </xf>
    <xf numFmtId="164" fontId="12" fillId="0" borderId="5" xfId="0" applyFont="1" applyBorder="1" applyAlignment="1">
      <alignment horizontal="center" vertical="center"/>
    </xf>
    <xf numFmtId="164" fontId="12" fillId="0" borderId="35" xfId="0" applyFont="1" applyBorder="1" applyAlignment="1">
      <alignment horizontal="center" vertical="center"/>
    </xf>
    <xf numFmtId="164" fontId="12" fillId="0" borderId="6" xfId="0" applyFont="1" applyBorder="1" applyAlignment="1">
      <alignment horizontal="center" vertical="center"/>
    </xf>
    <xf numFmtId="164" fontId="12" fillId="0" borderId="7" xfId="0" applyFont="1" applyBorder="1" applyAlignment="1">
      <alignment horizontal="center" vertical="center"/>
    </xf>
    <xf numFmtId="164" fontId="13" fillId="0" borderId="29" xfId="0" applyFont="1" applyBorder="1" applyAlignment="1">
      <alignment horizontal="center" vertical="center"/>
    </xf>
    <xf numFmtId="164" fontId="13" fillId="0" borderId="30" xfId="0" applyFont="1" applyBorder="1" applyAlignment="1">
      <alignment horizontal="center" vertical="center"/>
    </xf>
    <xf numFmtId="164" fontId="13" fillId="0" borderId="31" xfId="0" applyFont="1" applyBorder="1" applyAlignment="1">
      <alignment horizontal="center" vertical="center"/>
    </xf>
    <xf numFmtId="164" fontId="14" fillId="0" borderId="29" xfId="0" applyFont="1" applyBorder="1" applyAlignment="1">
      <alignment horizontal="center" vertical="center"/>
    </xf>
    <xf numFmtId="164" fontId="14" fillId="0" borderId="30" xfId="0" applyFont="1" applyBorder="1" applyAlignment="1">
      <alignment horizontal="center" vertical="center"/>
    </xf>
    <xf numFmtId="164" fontId="14" fillId="0" borderId="31" xfId="0" applyFont="1" applyBorder="1" applyAlignment="1">
      <alignment horizontal="center" vertical="center"/>
    </xf>
    <xf numFmtId="164" fontId="16" fillId="0" borderId="17" xfId="0" applyFont="1" applyBorder="1" applyAlignment="1">
      <alignment horizontal="center" vertical="center" textRotation="90"/>
    </xf>
    <xf numFmtId="164" fontId="16" fillId="0" borderId="20" xfId="0" applyFont="1" applyBorder="1" applyAlignment="1">
      <alignment horizontal="center" vertical="center" textRotation="90"/>
    </xf>
    <xf numFmtId="164" fontId="16" fillId="0" borderId="22" xfId="0" applyFont="1" applyBorder="1" applyAlignment="1">
      <alignment horizontal="center" vertical="center" textRotation="90"/>
    </xf>
    <xf numFmtId="164" fontId="17" fillId="0" borderId="26" xfId="0" applyFont="1" applyBorder="1" applyAlignment="1">
      <alignment horizontal="center" vertical="center" textRotation="90"/>
    </xf>
    <xf numFmtId="164" fontId="17" fillId="0" borderId="27" xfId="0" applyFont="1" applyBorder="1" applyAlignment="1">
      <alignment horizontal="center" vertical="center" textRotation="90"/>
    </xf>
    <xf numFmtId="164" fontId="17" fillId="0" borderId="28" xfId="0" applyFont="1" applyBorder="1" applyAlignment="1">
      <alignment horizontal="center" vertical="center" textRotation="90"/>
    </xf>
    <xf numFmtId="164" fontId="15" fillId="0" borderId="17" xfId="0" applyFont="1" applyBorder="1" applyAlignment="1">
      <alignment horizontal="center" vertical="center"/>
    </xf>
    <xf numFmtId="164" fontId="15" fillId="0" borderId="18" xfId="0" applyFont="1" applyBorder="1" applyAlignment="1">
      <alignment horizontal="center" vertical="center"/>
    </xf>
    <xf numFmtId="164" fontId="15" fillId="0" borderId="19" xfId="0" applyFont="1" applyBorder="1" applyAlignment="1">
      <alignment horizontal="center" vertical="center"/>
    </xf>
    <xf numFmtId="164" fontId="15" fillId="0" borderId="20" xfId="0" applyFont="1" applyBorder="1" applyAlignment="1">
      <alignment horizontal="center" vertical="center"/>
    </xf>
    <xf numFmtId="164" fontId="15" fillId="0" borderId="0" xfId="0" applyFont="1" applyBorder="1" applyAlignment="1">
      <alignment horizontal="center" vertical="center"/>
    </xf>
    <xf numFmtId="164" fontId="15" fillId="0" borderId="21" xfId="0" applyFont="1" applyBorder="1" applyAlignment="1">
      <alignment horizontal="center" vertical="center"/>
    </xf>
    <xf numFmtId="164" fontId="15" fillId="0" borderId="22" xfId="0" applyFont="1" applyBorder="1" applyAlignment="1">
      <alignment horizontal="center" vertical="center"/>
    </xf>
    <xf numFmtId="164" fontId="15" fillId="0" borderId="23" xfId="0" applyFont="1" applyBorder="1" applyAlignment="1">
      <alignment horizontal="center" vertical="center"/>
    </xf>
    <xf numFmtId="164" fontId="15" fillId="0" borderId="24" xfId="0" applyFont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164" fontId="18" fillId="0" borderId="22" xfId="0" applyNumberFormat="1" applyFont="1" applyBorder="1" applyAlignment="1">
      <alignment horizontal="center" vertical="center"/>
    </xf>
    <xf numFmtId="164" fontId="18" fillId="0" borderId="23" xfId="0" applyNumberFormat="1" applyFont="1" applyBorder="1" applyAlignment="1">
      <alignment horizontal="center" vertical="center"/>
    </xf>
    <xf numFmtId="164" fontId="18" fillId="0" borderId="24" xfId="0" applyNumberFormat="1" applyFont="1" applyBorder="1" applyAlignment="1">
      <alignment horizontal="center" vertical="center"/>
    </xf>
    <xf numFmtId="164" fontId="19" fillId="0" borderId="17" xfId="0" applyFont="1" applyBorder="1" applyAlignment="1">
      <alignment horizontal="center" vertical="center"/>
    </xf>
    <xf numFmtId="164" fontId="19" fillId="0" borderId="18" xfId="0" applyFont="1" applyBorder="1" applyAlignment="1">
      <alignment horizontal="center" vertical="center"/>
    </xf>
    <xf numFmtId="164" fontId="19" fillId="0" borderId="19" xfId="0" applyFont="1" applyBorder="1" applyAlignment="1">
      <alignment horizontal="center" vertical="center"/>
    </xf>
    <xf numFmtId="164" fontId="19" fillId="0" borderId="20" xfId="0" applyFont="1" applyBorder="1" applyAlignment="1">
      <alignment horizontal="center" vertical="center"/>
    </xf>
    <xf numFmtId="164" fontId="19" fillId="0" borderId="0" xfId="0" applyFont="1" applyBorder="1" applyAlignment="1">
      <alignment horizontal="center" vertical="center"/>
    </xf>
    <xf numFmtId="164" fontId="19" fillId="0" borderId="21" xfId="0" applyFont="1" applyBorder="1" applyAlignment="1">
      <alignment horizontal="center" vertical="center"/>
    </xf>
    <xf numFmtId="164" fontId="19" fillId="0" borderId="22" xfId="0" applyFont="1" applyBorder="1" applyAlignment="1">
      <alignment horizontal="center" vertical="center"/>
    </xf>
    <xf numFmtId="164" fontId="19" fillId="0" borderId="23" xfId="0" applyFont="1" applyBorder="1" applyAlignment="1">
      <alignment horizontal="center" vertical="center"/>
    </xf>
    <xf numFmtId="164" fontId="19" fillId="0" borderId="24" xfId="0" applyFont="1" applyBorder="1" applyAlignment="1">
      <alignment horizontal="center" vertical="center"/>
    </xf>
    <xf numFmtId="164" fontId="12" fillId="0" borderId="32" xfId="0" applyFont="1" applyBorder="1" applyAlignment="1">
      <alignment horizontal="center" vertical="center"/>
    </xf>
    <xf numFmtId="164" fontId="12" fillId="0" borderId="3" xfId="0" applyFont="1" applyBorder="1" applyAlignment="1">
      <alignment horizontal="center" vertical="center"/>
    </xf>
    <xf numFmtId="164" fontId="12" fillId="0" borderId="4" xfId="0" applyFont="1" applyBorder="1" applyAlignment="1">
      <alignment horizontal="center" vertical="center"/>
    </xf>
    <xf numFmtId="164" fontId="0" fillId="0" borderId="26" xfId="0" applyFont="1" applyBorder="1" applyAlignment="1">
      <alignment horizontal="center" vertical="center"/>
    </xf>
    <xf numFmtId="164" fontId="0" fillId="0" borderId="27" xfId="0" applyFont="1" applyBorder="1" applyAlignment="1">
      <alignment horizontal="center" vertical="center"/>
    </xf>
  </cellXfs>
  <cellStyles count="6">
    <cellStyle name="Bueno" xfId="1" builtinId="26" customBuiltin="1"/>
    <cellStyle name="Incorrecto" xfId="2" builtinId="27" customBuiltin="1"/>
    <cellStyle name="Millares" xfId="4" builtinId="3"/>
    <cellStyle name="Moneda" xfId="5" builtinId="4"/>
    <cellStyle name="Neutral" xfId="3" builtinId="28" customBuiltin="1"/>
    <cellStyle name="Normal" xfId="0" builtinId="0" customBuiltin="1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6" formatCode="&quot;+&quot;00\ 0\ 0000\ 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4" formatCode="_-&quot;$&quot;\ * #,##0_-;\-&quot;$&quot;\ * #,##0_-;_-&quot;$&quot;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4" formatCode="_-&quot;$&quot;\ * #,##0_-;\-&quot;$&quot;\ * #,##0_-;_-&quot;$&quot;\ 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_-&quot;$&quot;\ * #,##0_-;\-&quot;$&quot;\ * #,##0_-;_-&quot;$&quot;\ * &quot;-&quot;??_-;_-@_-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_-&quot;$&quot;\ * #,##0_-;\-&quot;$&quot;\ * #,##0_-;_-&quot;$&quot;\ * &quot;-&quot;??_-;_-@_-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_-&quot;$&quot;\ * #,##0_-;\-&quot;$&quot;\ * #,##0_-;_-&quot;$&quot;\ * &quot;-&quot;??_-;_-@_-"/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4" formatCode="_-&quot;$&quot;\ * #,##0_-;\-&quot;$&quot;\ * #,##0_-;_-&quot;$&quot;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4" formatCode="_-&quot;$&quot;\ * #,##0_-;\-&quot;$&quot;\ * #,##0_-;_-&quot;$&quot;\ 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_-&quot;$&quot;\ * #,##0_-;\-&quot;$&quot;\ * #,##0_-;_-&quot;$&quot;\ * &quot;-&quot;??_-;_-@_-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nacio%20Castaneda/Dropbox/Frutillas/Jefes%202017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s"/>
      <sheetName val="Nombre completo"/>
      <sheetName val="Apodos"/>
    </sheetNames>
    <sheetDataSet>
      <sheetData sheetId="0">
        <row r="2">
          <cell r="A2" t="str">
            <v>Amalia</v>
          </cell>
          <cell r="B2" t="str">
            <v>Abogabir</v>
          </cell>
          <cell r="C2" t="str">
            <v>Condominio El Algarrobal 2 Casa Z-95</v>
          </cell>
          <cell r="D2" t="str">
            <v>Chicureo</v>
          </cell>
          <cell r="E2" t="str">
            <v>Piedra Roja</v>
          </cell>
          <cell r="F2" t="str">
            <v>CLSA</v>
          </cell>
          <cell r="G2" t="str">
            <v>JEFE</v>
          </cell>
          <cell r="H2">
            <v>56982328250</v>
          </cell>
          <cell r="I2" t="str">
            <v>amalia.abr@gmail.com</v>
          </cell>
          <cell r="J2" t="str">
            <v>Joaquin Eichholz</v>
          </cell>
        </row>
        <row r="3">
          <cell r="A3" t="str">
            <v>Maida</v>
          </cell>
          <cell r="B3" t="str">
            <v>Andrews</v>
          </cell>
          <cell r="C3" t="str">
            <v>Martin De Zamora 5245, Torre 2, Dpto 52</v>
          </cell>
          <cell r="D3" t="str">
            <v>Las Condes</v>
          </cell>
          <cell r="E3" t="str">
            <v>Manquehue</v>
          </cell>
          <cell r="F3" t="str">
            <v>VMA</v>
          </cell>
          <cell r="G3" t="str">
            <v>JEFE</v>
          </cell>
          <cell r="H3">
            <v>56954219968</v>
          </cell>
          <cell r="I3" t="str">
            <v>maidaandrews25@gmail.com</v>
          </cell>
          <cell r="J3" t="str">
            <v>Joaquin Eichholz</v>
          </cell>
        </row>
        <row r="4">
          <cell r="A4" t="str">
            <v>Gabriel</v>
          </cell>
          <cell r="B4" t="str">
            <v>Araneda</v>
          </cell>
          <cell r="C4" t="str">
            <v>Apoquindo 6797 Dpto 203-3</v>
          </cell>
          <cell r="D4" t="str">
            <v>Las Condes</v>
          </cell>
          <cell r="E4" t="str">
            <v>Manquehue</v>
          </cell>
          <cell r="F4" t="str">
            <v>UDD</v>
          </cell>
          <cell r="G4" t="str">
            <v>JEFE</v>
          </cell>
          <cell r="H4">
            <v>56976237859</v>
          </cell>
          <cell r="I4" t="str">
            <v>garanedaa@udd.cl</v>
          </cell>
          <cell r="J4" t="str">
            <v>Lukas Quense</v>
          </cell>
        </row>
        <row r="5">
          <cell r="A5" t="str">
            <v>Martin</v>
          </cell>
          <cell r="B5" t="str">
            <v>Araos</v>
          </cell>
          <cell r="C5" t="str">
            <v>Cristal De Roca 10542</v>
          </cell>
          <cell r="D5" t="str">
            <v>Chicureo</v>
          </cell>
          <cell r="E5" t="str">
            <v>La Radial</v>
          </cell>
          <cell r="F5" t="str">
            <v>Santa Cruz</v>
          </cell>
          <cell r="G5" t="str">
            <v>JEFE</v>
          </cell>
          <cell r="H5">
            <v>56962094749</v>
          </cell>
          <cell r="I5" t="str">
            <v>araos.m13@gmail.com</v>
          </cell>
          <cell r="J5" t="str">
            <v>Lukas Quense</v>
          </cell>
        </row>
        <row r="6">
          <cell r="A6" t="str">
            <v>Javi</v>
          </cell>
          <cell r="B6" t="str">
            <v>Bernaus</v>
          </cell>
          <cell r="C6" t="str">
            <v>Cerro La Campana 2311 Casa 2</v>
          </cell>
          <cell r="D6" t="str">
            <v>Lo Barnechea</v>
          </cell>
          <cell r="E6" t="str">
            <v>Los Trapenses</v>
          </cell>
          <cell r="F6" t="str">
            <v>UAI</v>
          </cell>
          <cell r="G6" t="str">
            <v>JEFE</v>
          </cell>
          <cell r="H6">
            <v>56993333225</v>
          </cell>
          <cell r="I6" t="str">
            <v>jbernaus@alumnos.uai.cl</v>
          </cell>
          <cell r="J6" t="str">
            <v>Ignacio Castañeda</v>
          </cell>
        </row>
        <row r="7">
          <cell r="A7" t="str">
            <v>Paul</v>
          </cell>
          <cell r="B7" t="str">
            <v>Brenner</v>
          </cell>
          <cell r="C7" t="str">
            <v>San Jose De La Sierra 1105</v>
          </cell>
          <cell r="D7" t="str">
            <v>Las Condes</v>
          </cell>
          <cell r="E7" t="str">
            <v>Quinchamali</v>
          </cell>
          <cell r="F7" t="str">
            <v>UDD</v>
          </cell>
          <cell r="G7" t="str">
            <v>JEFE</v>
          </cell>
          <cell r="H7">
            <v>56955324629</v>
          </cell>
          <cell r="I7" t="str">
            <v>paulmartinbrenner@hotmail.com</v>
          </cell>
          <cell r="J7" t="str">
            <v>Lukas Quense</v>
          </cell>
        </row>
        <row r="8">
          <cell r="A8" t="str">
            <v>Alvaro</v>
          </cell>
          <cell r="B8" t="str">
            <v>Caeviedes</v>
          </cell>
          <cell r="C8" t="str">
            <v>Cerro El Paico 9756</v>
          </cell>
          <cell r="D8" t="str">
            <v>Lo Barnechea</v>
          </cell>
          <cell r="E8" t="str">
            <v>Los Trapenses</v>
          </cell>
          <cell r="F8" t="str">
            <v>UC</v>
          </cell>
          <cell r="G8" t="str">
            <v>JEFE</v>
          </cell>
          <cell r="H8">
            <v>56963033603</v>
          </cell>
          <cell r="I8" t="str">
            <v>acaeviedes@uc.cl</v>
          </cell>
          <cell r="J8" t="str">
            <v>Joaquin Eichholz</v>
          </cell>
        </row>
        <row r="9">
          <cell r="A9" t="str">
            <v>Ignacio</v>
          </cell>
          <cell r="B9" t="str">
            <v>Castañeda</v>
          </cell>
          <cell r="C9" t="str">
            <v>Punta de Aguilas Norte 9300 Casa 12</v>
          </cell>
          <cell r="D9" t="str">
            <v>Lo Barnechea</v>
          </cell>
          <cell r="E9" t="str">
            <v>Los Trapenses</v>
          </cell>
          <cell r="F9" t="str">
            <v>UC</v>
          </cell>
          <cell r="G9" t="str">
            <v>SOCIO</v>
          </cell>
          <cell r="H9">
            <v>56982328250</v>
          </cell>
          <cell r="I9" t="str">
            <v>icastanedaw@gmail.com</v>
          </cell>
          <cell r="J9" t="str">
            <v>Ignacio Castañeda</v>
          </cell>
        </row>
        <row r="10">
          <cell r="A10" t="str">
            <v>Majo</v>
          </cell>
          <cell r="B10" t="str">
            <v>Castañeda</v>
          </cell>
          <cell r="C10" t="str">
            <v>Punta de Aguilas Norte 9300 Casa 12</v>
          </cell>
          <cell r="D10" t="str">
            <v>Lo Barnechea</v>
          </cell>
          <cell r="E10" t="str">
            <v>Los Trapenses</v>
          </cell>
          <cell r="F10" t="str">
            <v>UAndes</v>
          </cell>
          <cell r="G10" t="str">
            <v>JEFE</v>
          </cell>
          <cell r="H10">
            <v>56982328251</v>
          </cell>
          <cell r="I10" t="str">
            <v>mjcastaneda@miuandes.cl</v>
          </cell>
          <cell r="J10" t="str">
            <v>Ignacio Castañeda</v>
          </cell>
        </row>
        <row r="11">
          <cell r="A11" t="str">
            <v>Vicky</v>
          </cell>
          <cell r="B11" t="str">
            <v>Chaparro</v>
          </cell>
          <cell r="C11" t="str">
            <v>Carolina Rabat 780 Casa 8</v>
          </cell>
          <cell r="D11" t="str">
            <v>Vitacura</v>
          </cell>
          <cell r="E11" t="str">
            <v>Santa Maria</v>
          </cell>
          <cell r="F11" t="str">
            <v>UDD</v>
          </cell>
          <cell r="G11" t="str">
            <v>JEFE</v>
          </cell>
          <cell r="H11">
            <v>56968348679</v>
          </cell>
          <cell r="I11" t="str">
            <v>mchaparroh@udd.cl</v>
          </cell>
          <cell r="J11" t="str">
            <v>Ignacio Castañeda</v>
          </cell>
        </row>
        <row r="12">
          <cell r="A12" t="str">
            <v>Antonia</v>
          </cell>
          <cell r="B12" t="str">
            <v>Cisternas</v>
          </cell>
          <cell r="C12" t="str">
            <v>Calle Parque 12700 Casa 38</v>
          </cell>
          <cell r="D12" t="str">
            <v>Lo Barnechea</v>
          </cell>
          <cell r="E12" t="str">
            <v>Los Trapenses</v>
          </cell>
          <cell r="G12" t="str">
            <v>JEFE</v>
          </cell>
          <cell r="H12">
            <v>56944346775</v>
          </cell>
          <cell r="I12" t="str">
            <v>antocisternas@hotmail.com</v>
          </cell>
          <cell r="J12" t="str">
            <v>Lukas Quense</v>
          </cell>
        </row>
        <row r="13">
          <cell r="A13" t="str">
            <v>Josefa</v>
          </cell>
          <cell r="B13" t="str">
            <v>Covarrubias</v>
          </cell>
          <cell r="C13" t="str">
            <v>Camino Las Flores 12163</v>
          </cell>
          <cell r="D13" t="str">
            <v>Las Condes</v>
          </cell>
          <cell r="E13" t="str">
            <v>San Carlos</v>
          </cell>
          <cell r="F13" t="str">
            <v>Saint George</v>
          </cell>
          <cell r="G13" t="str">
            <v>JEFE</v>
          </cell>
          <cell r="H13">
            <v>56995346870</v>
          </cell>
          <cell r="I13" t="str">
            <v>josefacovarrubias@gmail.com</v>
          </cell>
          <cell r="J13" t="str">
            <v>Joaquin Eichholz</v>
          </cell>
        </row>
        <row r="14">
          <cell r="A14" t="str">
            <v>Florencia</v>
          </cell>
          <cell r="B14" t="str">
            <v>Croxatto</v>
          </cell>
          <cell r="C14" t="str">
            <v>Los Olivos 12179</v>
          </cell>
          <cell r="D14" t="str">
            <v>Las Condes</v>
          </cell>
          <cell r="E14" t="str">
            <v>San Carlos</v>
          </cell>
          <cell r="F14" t="str">
            <v>UC</v>
          </cell>
          <cell r="G14" t="str">
            <v>JEFE</v>
          </cell>
          <cell r="H14">
            <v>56963061299</v>
          </cell>
          <cell r="I14" t="str">
            <v>fcroxatto@uc.cl</v>
          </cell>
          <cell r="J14" t="str">
            <v>Joaquin Eichholz</v>
          </cell>
        </row>
        <row r="15">
          <cell r="A15" t="str">
            <v>Joaquin</v>
          </cell>
          <cell r="B15" t="str">
            <v>Daly</v>
          </cell>
          <cell r="C15" t="str">
            <v>Polo 1 de Manquehue Casa 112</v>
          </cell>
          <cell r="D15" t="str">
            <v>Chicureo</v>
          </cell>
          <cell r="E15" t="str">
            <v>Piedra Roja</v>
          </cell>
          <cell r="F15" t="str">
            <v>CSA</v>
          </cell>
          <cell r="G15" t="str">
            <v>JEFE</v>
          </cell>
          <cell r="H15">
            <v>56979987750</v>
          </cell>
          <cell r="I15" t="str">
            <v>dalyjoaquin@gmail.com</v>
          </cell>
          <cell r="J15" t="str">
            <v>Lukas Quense</v>
          </cell>
        </row>
        <row r="16">
          <cell r="A16" t="str">
            <v>Dominique</v>
          </cell>
          <cell r="B16" t="str">
            <v>Daroch</v>
          </cell>
          <cell r="C16" t="str">
            <v>El Algarrobal 2 Casa U2</v>
          </cell>
          <cell r="D16" t="str">
            <v>Chicureo</v>
          </cell>
          <cell r="E16" t="str">
            <v>Vespucio</v>
          </cell>
          <cell r="F16" t="str">
            <v>Highlands</v>
          </cell>
          <cell r="G16" t="str">
            <v>JEFE</v>
          </cell>
          <cell r="H16">
            <v>56974474437</v>
          </cell>
          <cell r="I16" t="str">
            <v>dominique_daroch@hotmail.com</v>
          </cell>
          <cell r="J16" t="str">
            <v>Ignacio Castañeda</v>
          </cell>
        </row>
        <row r="17">
          <cell r="A17" t="str">
            <v>Camila</v>
          </cell>
          <cell r="B17" t="str">
            <v>De La Sotta</v>
          </cell>
          <cell r="C17" t="str">
            <v>Jose de Moraleda 4837</v>
          </cell>
          <cell r="D17" t="str">
            <v>Las Condes</v>
          </cell>
          <cell r="E17" t="str">
            <v>Vespucio</v>
          </cell>
          <cell r="F17" t="str">
            <v>UDD</v>
          </cell>
          <cell r="G17" t="str">
            <v>JEFE</v>
          </cell>
          <cell r="H17">
            <v>56967289638</v>
          </cell>
          <cell r="I17" t="str">
            <v>camila.delasotta@gmail.com</v>
          </cell>
          <cell r="J17" t="str">
            <v>Ignacio Castañeda</v>
          </cell>
        </row>
        <row r="18">
          <cell r="A18" t="str">
            <v>Javi</v>
          </cell>
          <cell r="B18" t="str">
            <v>Del Rio</v>
          </cell>
          <cell r="C18" t="str">
            <v>Valle del monasterio 2664</v>
          </cell>
          <cell r="D18" t="str">
            <v>Lo Barnechea</v>
          </cell>
          <cell r="E18" t="str">
            <v>Los Trapenses</v>
          </cell>
          <cell r="F18" t="str">
            <v>UC</v>
          </cell>
          <cell r="G18" t="str">
            <v>JEFE</v>
          </cell>
          <cell r="H18">
            <v>56967898535</v>
          </cell>
          <cell r="I18" t="str">
            <v>jpdelrio@uc.cl</v>
          </cell>
          <cell r="J18" t="str">
            <v>Ignacio Castañeda</v>
          </cell>
        </row>
        <row r="19">
          <cell r="A19" t="str">
            <v>Amelia</v>
          </cell>
          <cell r="B19" t="str">
            <v>Del Rio</v>
          </cell>
          <cell r="C19" t="str">
            <v>Candelaria Goyenechea 5765</v>
          </cell>
          <cell r="D19" t="str">
            <v>Vitacura</v>
          </cell>
          <cell r="E19" t="str">
            <v>Manquehue</v>
          </cell>
          <cell r="F19" t="str">
            <v>UCH</v>
          </cell>
          <cell r="G19" t="str">
            <v>JEFE</v>
          </cell>
          <cell r="H19">
            <v>56998222891</v>
          </cell>
          <cell r="I19" t="str">
            <v>adelrioa@fen.uchile.cl</v>
          </cell>
          <cell r="J19" t="str">
            <v>Ignacio Castañeda</v>
          </cell>
        </row>
        <row r="20">
          <cell r="A20" t="str">
            <v>Constanza</v>
          </cell>
          <cell r="B20" t="str">
            <v>Delfau</v>
          </cell>
          <cell r="C20" t="str">
            <v>Calle Parque 12700 Casa 1</v>
          </cell>
          <cell r="D20" t="str">
            <v>Lo Barnechea</v>
          </cell>
          <cell r="E20" t="str">
            <v>La Dehesa</v>
          </cell>
          <cell r="F20" t="str">
            <v>UC</v>
          </cell>
          <cell r="G20" t="str">
            <v>JEFE</v>
          </cell>
          <cell r="H20">
            <v>56991889995</v>
          </cell>
          <cell r="I20" t="str">
            <v>conidelfau@gmail.com</v>
          </cell>
          <cell r="J20" t="str">
            <v>Ignacio Castañeda</v>
          </cell>
        </row>
        <row r="21">
          <cell r="A21" t="str">
            <v>Pilar</v>
          </cell>
          <cell r="B21" t="str">
            <v>Edwards</v>
          </cell>
          <cell r="C21" t="str">
            <v>El Roquerio 2028</v>
          </cell>
          <cell r="D21" t="str">
            <v>Lo Barnechea</v>
          </cell>
          <cell r="E21" t="str">
            <v>Los Trapenses</v>
          </cell>
          <cell r="F21" t="str">
            <v>UDD</v>
          </cell>
          <cell r="G21" t="str">
            <v>JEFE</v>
          </cell>
          <cell r="H21">
            <v>56983708702</v>
          </cell>
          <cell r="I21" t="str">
            <v>piliedwards@gmail.com</v>
          </cell>
          <cell r="J21" t="str">
            <v>Joaquin Eichholz</v>
          </cell>
        </row>
        <row r="22">
          <cell r="A22" t="str">
            <v>Joaquin</v>
          </cell>
          <cell r="B22" t="str">
            <v>Eichholz</v>
          </cell>
          <cell r="C22" t="str">
            <v>Estrella Del Norte 980 Dpto 154</v>
          </cell>
          <cell r="D22" t="str">
            <v>Las Condes</v>
          </cell>
          <cell r="E22" t="str">
            <v>Alto Las Condes</v>
          </cell>
          <cell r="F22" t="str">
            <v>UC</v>
          </cell>
          <cell r="G22" t="str">
            <v>SOCIO</v>
          </cell>
          <cell r="H22">
            <v>56996324787</v>
          </cell>
          <cell r="I22" t="str">
            <v>joaquin.eichholz@gmail.com</v>
          </cell>
          <cell r="J22" t="str">
            <v>Joaquin Eichholz</v>
          </cell>
        </row>
        <row r="23">
          <cell r="A23" t="str">
            <v>Maria Jesus</v>
          </cell>
          <cell r="B23" t="str">
            <v>Elias</v>
          </cell>
          <cell r="C23" t="str">
            <v>Manquehue Norte 555</v>
          </cell>
          <cell r="D23" t="str">
            <v>Las Condes</v>
          </cell>
          <cell r="E23" t="str">
            <v>Manquehue</v>
          </cell>
          <cell r="F23" t="str">
            <v>UDD</v>
          </cell>
          <cell r="G23" t="str">
            <v>JEFE</v>
          </cell>
          <cell r="H23">
            <v>56958589916</v>
          </cell>
          <cell r="I23" t="str">
            <v>meliasm@udd.cl</v>
          </cell>
          <cell r="J23" t="str">
            <v>Lukas Quense</v>
          </cell>
        </row>
        <row r="24">
          <cell r="A24" t="str">
            <v>Rafael</v>
          </cell>
          <cell r="B24" t="str">
            <v>Errazuriz</v>
          </cell>
          <cell r="C24" t="str">
            <v>Pasaje La Aurora 1883</v>
          </cell>
          <cell r="D24" t="str">
            <v>Vitacura</v>
          </cell>
          <cell r="E24" t="str">
            <v>Estoril</v>
          </cell>
          <cell r="F24" t="str">
            <v>UDD</v>
          </cell>
          <cell r="G24" t="str">
            <v>JEFE</v>
          </cell>
          <cell r="H24">
            <v>56995483434</v>
          </cell>
          <cell r="I24" t="str">
            <v>rerrazurizf@udd.cl</v>
          </cell>
          <cell r="J24" t="str">
            <v>Joaquin Eichholz</v>
          </cell>
        </row>
        <row r="25">
          <cell r="A25" t="str">
            <v>Isidora</v>
          </cell>
          <cell r="B25" t="str">
            <v>Fernandez</v>
          </cell>
          <cell r="C25" t="str">
            <v>Casa De Piedra 2628</v>
          </cell>
          <cell r="D25" t="str">
            <v>Las Condes</v>
          </cell>
          <cell r="E25" t="str">
            <v>San Carlos</v>
          </cell>
          <cell r="F25" t="str">
            <v>UAndes</v>
          </cell>
          <cell r="G25" t="str">
            <v>JEFE</v>
          </cell>
          <cell r="H25">
            <v>56997550244</v>
          </cell>
          <cell r="I25" t="str">
            <v>ifernandez1@miuandes.cl</v>
          </cell>
          <cell r="J25" t="str">
            <v>Joaquin Eichholz</v>
          </cell>
        </row>
        <row r="26">
          <cell r="A26" t="str">
            <v>Maria Luisa</v>
          </cell>
          <cell r="B26" t="str">
            <v>Fernandez</v>
          </cell>
          <cell r="C26" t="str">
            <v>La Invernada 7005</v>
          </cell>
          <cell r="D26" t="str">
            <v>Vitacura</v>
          </cell>
          <cell r="E26" t="str">
            <v>Santa Maria</v>
          </cell>
          <cell r="F26" t="str">
            <v>UCH</v>
          </cell>
          <cell r="G26" t="str">
            <v>JEFE</v>
          </cell>
          <cell r="H26">
            <v>56982978895</v>
          </cell>
          <cell r="I26" t="str">
            <v>guisa97@hotmail.com</v>
          </cell>
          <cell r="J26" t="str">
            <v>Lukas Quense</v>
          </cell>
        </row>
        <row r="27">
          <cell r="A27" t="str">
            <v>Rodrigo</v>
          </cell>
          <cell r="B27" t="str">
            <v>Fernandez</v>
          </cell>
          <cell r="C27" t="str">
            <v>Las Hualtatas 4555 Casa 9</v>
          </cell>
          <cell r="D27" t="str">
            <v>Lo Barnechea</v>
          </cell>
          <cell r="E27" t="str">
            <v>Los Trapenses</v>
          </cell>
          <cell r="F27" t="str">
            <v>UC</v>
          </cell>
          <cell r="G27" t="str">
            <v>JEFE</v>
          </cell>
          <cell r="H27">
            <v>56986194003</v>
          </cell>
          <cell r="I27" t="str">
            <v>rfernandezdelrio@uc.cl</v>
          </cell>
          <cell r="J27" t="str">
            <v>Lukas Quense</v>
          </cell>
        </row>
        <row r="28">
          <cell r="A28" t="str">
            <v>Tere</v>
          </cell>
          <cell r="B28" t="str">
            <v>Fernandez</v>
          </cell>
          <cell r="C28" t="str">
            <v>Las Torcazas 3080</v>
          </cell>
          <cell r="D28" t="str">
            <v>Chicureo</v>
          </cell>
          <cell r="E28" t="str">
            <v>Colina</v>
          </cell>
          <cell r="F28" t="str">
            <v>Highlands</v>
          </cell>
          <cell r="G28" t="str">
            <v>JEFE</v>
          </cell>
          <cell r="H28">
            <v>56965542496</v>
          </cell>
          <cell r="I28" t="str">
            <v>terefernandez99@yahoo.com</v>
          </cell>
          <cell r="J28" t="str">
            <v>Lukas Quense</v>
          </cell>
        </row>
        <row r="29">
          <cell r="A29" t="str">
            <v>Diego</v>
          </cell>
          <cell r="B29" t="str">
            <v>Figueroa</v>
          </cell>
          <cell r="C29" t="str">
            <v>Las Lavandulas 10006</v>
          </cell>
          <cell r="D29" t="str">
            <v>Las Condes</v>
          </cell>
          <cell r="E29" t="str">
            <v>San Carlos</v>
          </cell>
          <cell r="G29" t="str">
            <v>JEFE</v>
          </cell>
          <cell r="H29">
            <v>56979579233</v>
          </cell>
          <cell r="I29" t="str">
            <v>diegofiba2@gmail.com</v>
          </cell>
          <cell r="J29" t="str">
            <v>Joaquin Eichholz</v>
          </cell>
        </row>
        <row r="30">
          <cell r="A30" t="str">
            <v>Matias</v>
          </cell>
          <cell r="B30" t="str">
            <v>Flores</v>
          </cell>
          <cell r="C30" t="str">
            <v>Condominio Sta Teresita P14 Sta Ester De Liray</v>
          </cell>
          <cell r="D30" t="str">
            <v>Chicureo</v>
          </cell>
          <cell r="E30" t="str">
            <v>Lo Pinto</v>
          </cell>
          <cell r="F30" t="str">
            <v>UDD</v>
          </cell>
          <cell r="G30" t="str">
            <v>JEFE</v>
          </cell>
          <cell r="H30">
            <v>56986351953</v>
          </cell>
          <cell r="I30" t="str">
            <v>matifloresdonetch@hotmail.com</v>
          </cell>
          <cell r="J30" t="str">
            <v>Ignacio Castañeda</v>
          </cell>
        </row>
        <row r="31">
          <cell r="A31" t="str">
            <v>Benjamin</v>
          </cell>
          <cell r="B31" t="str">
            <v>Hartmann</v>
          </cell>
          <cell r="C31" t="str">
            <v>Camino Otonal 1368 Casa 6</v>
          </cell>
          <cell r="D31" t="str">
            <v>Las Condes</v>
          </cell>
          <cell r="E31" t="str">
            <v>San Carlos</v>
          </cell>
          <cell r="F31" t="str">
            <v>UC</v>
          </cell>
          <cell r="G31" t="str">
            <v>JEFE</v>
          </cell>
          <cell r="H31">
            <v>56982958975</v>
          </cell>
          <cell r="I31" t="str">
            <v>hartmann12@gmail.com</v>
          </cell>
          <cell r="J31" t="str">
            <v>Ignacio Castañeda</v>
          </cell>
        </row>
        <row r="32">
          <cell r="A32" t="str">
            <v>Mauricio</v>
          </cell>
          <cell r="B32" t="str">
            <v>Hernandez</v>
          </cell>
          <cell r="C32" t="str">
            <v>Julia Bernstein 607 Casa G-40</v>
          </cell>
          <cell r="D32" t="str">
            <v>La Reina</v>
          </cell>
          <cell r="E32" t="str">
            <v>La Reina</v>
          </cell>
          <cell r="F32" t="str">
            <v>UCH</v>
          </cell>
          <cell r="G32" t="str">
            <v>JEFE</v>
          </cell>
          <cell r="H32">
            <v>56965951459</v>
          </cell>
          <cell r="I32" t="str">
            <v>mauhernand@fen.uchile.cl</v>
          </cell>
          <cell r="J32" t="str">
            <v>Lukas Quense</v>
          </cell>
        </row>
        <row r="33">
          <cell r="A33" t="str">
            <v>Andres</v>
          </cell>
          <cell r="B33" t="str">
            <v>Infante</v>
          </cell>
          <cell r="C33" t="str">
            <v>Camino De Las Ermitas 3804</v>
          </cell>
          <cell r="D33" t="str">
            <v>Lo Barnechea</v>
          </cell>
          <cell r="E33" t="str">
            <v>Los Trapenses</v>
          </cell>
          <cell r="F33" t="str">
            <v>UAI</v>
          </cell>
          <cell r="G33" t="str">
            <v>JEFE</v>
          </cell>
          <cell r="H33">
            <v>56979891544</v>
          </cell>
          <cell r="I33" t="str">
            <v>andres_infanter@hotmail.com</v>
          </cell>
          <cell r="J33" t="str">
            <v>Lukas Quense</v>
          </cell>
        </row>
        <row r="34">
          <cell r="A34" t="str">
            <v>Cata</v>
          </cell>
          <cell r="B34" t="str">
            <v>Izcue</v>
          </cell>
          <cell r="F34" t="str">
            <v>Los Andes</v>
          </cell>
          <cell r="G34" t="str">
            <v>JEFE</v>
          </cell>
          <cell r="H34">
            <v>56995952212</v>
          </cell>
          <cell r="I34" t="str">
            <v>cataizcue@gmail.com</v>
          </cell>
          <cell r="J34" t="str">
            <v>Lukas Quense</v>
          </cell>
        </row>
        <row r="35">
          <cell r="A35" t="str">
            <v>Margarita</v>
          </cell>
          <cell r="B35" t="str">
            <v>Joglar</v>
          </cell>
          <cell r="C35" t="str">
            <v>Camino Los Trapenses 4860 Casa 9</v>
          </cell>
          <cell r="D35" t="str">
            <v>Lo Barnechea</v>
          </cell>
          <cell r="E35" t="str">
            <v>Los Trapenses</v>
          </cell>
          <cell r="G35" t="str">
            <v>JEFE</v>
          </cell>
          <cell r="H35">
            <v>56963124612</v>
          </cell>
          <cell r="I35" t="str">
            <v>magui.joglar22@gmail.com</v>
          </cell>
          <cell r="J35" t="str">
            <v>Lukas Quense</v>
          </cell>
        </row>
        <row r="36">
          <cell r="A36" t="str">
            <v>Ric</v>
          </cell>
          <cell r="B36" t="str">
            <v>Jungk</v>
          </cell>
          <cell r="C36" t="str">
            <v>Pasaje Pie Andino 4209A</v>
          </cell>
          <cell r="D36" t="str">
            <v>Lo Barnechea</v>
          </cell>
          <cell r="E36" t="str">
            <v>La Dehesa</v>
          </cell>
          <cell r="F36" t="str">
            <v>UAndes</v>
          </cell>
          <cell r="G36" t="str">
            <v>JEFE</v>
          </cell>
          <cell r="H36">
            <v>56966477967</v>
          </cell>
          <cell r="I36" t="str">
            <v>rtjungk@miuandes.cl</v>
          </cell>
          <cell r="J36" t="str">
            <v>Ignacio Castañeda</v>
          </cell>
        </row>
        <row r="37">
          <cell r="A37" t="str">
            <v>Matias</v>
          </cell>
          <cell r="B37" t="str">
            <v>Krumm</v>
          </cell>
          <cell r="C37" t="str">
            <v>La Cienaga 12315</v>
          </cell>
          <cell r="D37" t="str">
            <v>Lo Barnechea</v>
          </cell>
          <cell r="E37" t="str">
            <v>La Dehesa</v>
          </cell>
          <cell r="F37" t="str">
            <v>UAI</v>
          </cell>
          <cell r="G37" t="str">
            <v>JEFE</v>
          </cell>
          <cell r="H37">
            <v>56988587944</v>
          </cell>
          <cell r="I37" t="str">
            <v>matiask7@gmail.com</v>
          </cell>
          <cell r="J37" t="str">
            <v>Lukas Quense</v>
          </cell>
        </row>
        <row r="38">
          <cell r="A38" t="str">
            <v>Juan Diego</v>
          </cell>
          <cell r="B38" t="str">
            <v>Lyon</v>
          </cell>
          <cell r="C38" t="str">
            <v>Las Hualtatas 10725</v>
          </cell>
          <cell r="D38" t="str">
            <v>Vitacura</v>
          </cell>
          <cell r="E38" t="str">
            <v>Estoril</v>
          </cell>
          <cell r="F38" t="str">
            <v>UAndes</v>
          </cell>
          <cell r="G38" t="str">
            <v>JEFE</v>
          </cell>
          <cell r="H38">
            <v>56977684576</v>
          </cell>
          <cell r="I38" t="str">
            <v>juandiegolyon@gmail.com</v>
          </cell>
          <cell r="J38" t="str">
            <v>Joaquin Eichholz</v>
          </cell>
        </row>
        <row r="39">
          <cell r="A39" t="str">
            <v>Bernardita</v>
          </cell>
          <cell r="B39" t="str">
            <v>Mackenney</v>
          </cell>
          <cell r="C39" t="str">
            <v>La Fontana 11221</v>
          </cell>
          <cell r="D39" t="str">
            <v>Las Condes</v>
          </cell>
          <cell r="E39" t="str">
            <v>San Carlos</v>
          </cell>
          <cell r="F39" t="str">
            <v>UC</v>
          </cell>
          <cell r="G39" t="str">
            <v>JEFE</v>
          </cell>
          <cell r="H39">
            <v>56978785698</v>
          </cell>
          <cell r="I39" t="str">
            <v>bmackenney@uc.cl</v>
          </cell>
          <cell r="J39" t="str">
            <v>Joaquin Eichholz</v>
          </cell>
        </row>
        <row r="40">
          <cell r="A40" t="str">
            <v>Michella</v>
          </cell>
          <cell r="B40" t="str">
            <v>Mascarello</v>
          </cell>
          <cell r="C40" t="str">
            <v>Quinchamali 14336</v>
          </cell>
          <cell r="D40" t="str">
            <v>Las Condes</v>
          </cell>
          <cell r="E40" t="str">
            <v>Quinchamali</v>
          </cell>
          <cell r="F40" t="str">
            <v>UC</v>
          </cell>
          <cell r="G40" t="str">
            <v>JEFE</v>
          </cell>
          <cell r="H40">
            <v>56979878976</v>
          </cell>
          <cell r="I40" t="str">
            <v>miki.mascarello@gmail.com</v>
          </cell>
          <cell r="J40" t="str">
            <v>Joaquin Eichholz</v>
          </cell>
        </row>
        <row r="41">
          <cell r="A41" t="str">
            <v>Vicente</v>
          </cell>
          <cell r="B41" t="str">
            <v>Mayol</v>
          </cell>
          <cell r="C41" t="str">
            <v>Paseo Pie Andino 6500 Casa O</v>
          </cell>
          <cell r="D41" t="str">
            <v>Lo Barnechea</v>
          </cell>
          <cell r="E41" t="str">
            <v>Los Trapenses</v>
          </cell>
          <cell r="F41" t="str">
            <v>Monte Tabor</v>
          </cell>
          <cell r="G41" t="str">
            <v>JEFE</v>
          </cell>
          <cell r="H41">
            <v>56978189115</v>
          </cell>
          <cell r="I41" t="str">
            <v>vmayol@live.cl</v>
          </cell>
          <cell r="J41" t="str">
            <v>Lukas Quense</v>
          </cell>
        </row>
        <row r="42">
          <cell r="A42" t="str">
            <v>Jesu</v>
          </cell>
          <cell r="B42" t="str">
            <v>Mckay</v>
          </cell>
          <cell r="C42" t="str">
            <v>Blvd Jardin De Los Pajaros 4700 Casa 5</v>
          </cell>
          <cell r="D42" t="str">
            <v>Lo Barnechea</v>
          </cell>
          <cell r="E42" t="str">
            <v>Los Trapenses</v>
          </cell>
          <cell r="F42" t="str">
            <v>CLA</v>
          </cell>
          <cell r="G42" t="str">
            <v>JEFE</v>
          </cell>
          <cell r="H42">
            <v>56971837517</v>
          </cell>
          <cell r="I42" t="str">
            <v>jesumckayg@hotmail.com</v>
          </cell>
          <cell r="J42" t="str">
            <v>Joaquin Eichholz</v>
          </cell>
        </row>
        <row r="43">
          <cell r="A43" t="str">
            <v>Ignacio</v>
          </cell>
          <cell r="B43" t="str">
            <v>Montt</v>
          </cell>
          <cell r="C43" t="str">
            <v>Rio Maule 475</v>
          </cell>
          <cell r="D43" t="str">
            <v>Las Condes</v>
          </cell>
          <cell r="E43" t="str">
            <v>Estoril</v>
          </cell>
          <cell r="G43" t="str">
            <v>JEFE</v>
          </cell>
          <cell r="H43">
            <v>56954243532</v>
          </cell>
          <cell r="I43" t="str">
            <v>imontt@miuandes.cl</v>
          </cell>
          <cell r="J43" t="str">
            <v>Joaquin Eichholz</v>
          </cell>
        </row>
        <row r="44">
          <cell r="A44" t="str">
            <v>Rodrigo</v>
          </cell>
          <cell r="B44" t="str">
            <v>Morales</v>
          </cell>
          <cell r="C44" t="str">
            <v>Los Trapenses 3230</v>
          </cell>
          <cell r="D44" t="str">
            <v>Lo Barnechea</v>
          </cell>
          <cell r="E44" t="str">
            <v>Los Trapenses</v>
          </cell>
          <cell r="F44" t="str">
            <v>UDD</v>
          </cell>
          <cell r="G44" t="str">
            <v>JEFE</v>
          </cell>
          <cell r="H44">
            <v>56975684552</v>
          </cell>
          <cell r="I44" t="str">
            <v>morales.villar25@gmail.com</v>
          </cell>
          <cell r="J44" t="str">
            <v>Ignacio Castañeda</v>
          </cell>
        </row>
        <row r="45">
          <cell r="A45" t="str">
            <v>Ignacio</v>
          </cell>
          <cell r="B45" t="str">
            <v>Morales</v>
          </cell>
          <cell r="C45" t="str">
            <v>Cristobal Colon 4696 Dpto 1403</v>
          </cell>
          <cell r="D45" t="str">
            <v>Las Condes</v>
          </cell>
          <cell r="E45" t="str">
            <v>Colon</v>
          </cell>
          <cell r="F45" t="str">
            <v>UC</v>
          </cell>
          <cell r="G45" t="str">
            <v>JEFE</v>
          </cell>
          <cell r="H45">
            <v>56993024442</v>
          </cell>
          <cell r="I45" t="str">
            <v>ibmorales@uc.cl</v>
          </cell>
          <cell r="J45" t="str">
            <v>Lukas Quense</v>
          </cell>
        </row>
        <row r="46">
          <cell r="A46" t="str">
            <v>Josefina</v>
          </cell>
          <cell r="B46" t="str">
            <v>Nazer</v>
          </cell>
          <cell r="C46" t="str">
            <v>Camino del ayuntamiento 2087</v>
          </cell>
          <cell r="D46" t="str">
            <v>Lo Barnechea</v>
          </cell>
          <cell r="E46" t="str">
            <v>La Dehesa</v>
          </cell>
          <cell r="F46" t="str">
            <v>Newland</v>
          </cell>
          <cell r="G46" t="str">
            <v>JEFE</v>
          </cell>
          <cell r="H46">
            <v>56998246537</v>
          </cell>
          <cell r="I46" t="str">
            <v>cotenazer@hotmail.com</v>
          </cell>
          <cell r="J46" t="str">
            <v>Joaquin Eichholz</v>
          </cell>
        </row>
        <row r="47">
          <cell r="A47" t="str">
            <v>Raimundo</v>
          </cell>
          <cell r="B47" t="str">
            <v>Opazo</v>
          </cell>
        </row>
        <row r="48">
          <cell r="A48" t="str">
            <v>Trinidad</v>
          </cell>
          <cell r="B48" t="str">
            <v>Ossa</v>
          </cell>
        </row>
        <row r="49">
          <cell r="A49" t="str">
            <v>Sofia</v>
          </cell>
          <cell r="B49" t="str">
            <v>Ovalle</v>
          </cell>
        </row>
        <row r="50">
          <cell r="A50" t="str">
            <v>Francesco</v>
          </cell>
          <cell r="B50" t="str">
            <v>Pamparana</v>
          </cell>
          <cell r="C50" t="str">
            <v>Parque Las Garzas 16, Condominio Las Banadadas</v>
          </cell>
          <cell r="D50" t="str">
            <v>Chicureo</v>
          </cell>
          <cell r="E50" t="str">
            <v>Piedra Roja</v>
          </cell>
          <cell r="F50" t="str">
            <v>UDD</v>
          </cell>
          <cell r="G50" t="str">
            <v>JEFE</v>
          </cell>
          <cell r="H50">
            <v>56984695829</v>
          </cell>
          <cell r="I50" t="str">
            <v>pancho.pamparana@gmail.com</v>
          </cell>
          <cell r="J50" t="str">
            <v>Lukas Quense</v>
          </cell>
        </row>
        <row r="51">
          <cell r="A51" t="str">
            <v>Trinidad</v>
          </cell>
          <cell r="B51" t="str">
            <v>Pereira</v>
          </cell>
          <cell r="C51" t="str">
            <v>Punta de Aguilas 4311</v>
          </cell>
          <cell r="D51" t="str">
            <v>Lo Barnechea</v>
          </cell>
          <cell r="E51" t="str">
            <v>Los Trapenses</v>
          </cell>
          <cell r="F51" t="str">
            <v>UAB</v>
          </cell>
          <cell r="G51" t="str">
            <v>JEFE</v>
          </cell>
          <cell r="H51">
            <v>56968320616</v>
          </cell>
          <cell r="I51" t="str">
            <v>trinipereira@gmail.com</v>
          </cell>
          <cell r="J51" t="str">
            <v>Ignacio Castañeda</v>
          </cell>
        </row>
        <row r="52">
          <cell r="A52" t="str">
            <v>Agustina</v>
          </cell>
          <cell r="B52" t="str">
            <v>Pineda</v>
          </cell>
          <cell r="C52" t="str">
            <v>Artigas 643</v>
          </cell>
          <cell r="D52" t="str">
            <v>Vitacura</v>
          </cell>
          <cell r="E52" t="str">
            <v>Santa Maria</v>
          </cell>
          <cell r="F52" t="str">
            <v>Pacifico</v>
          </cell>
          <cell r="G52" t="str">
            <v>JEFE</v>
          </cell>
          <cell r="H52">
            <v>56991997991</v>
          </cell>
          <cell r="I52" t="str">
            <v>agustina-pineda@hotmail.com</v>
          </cell>
        </row>
        <row r="53">
          <cell r="A53" t="str">
            <v>Benjamin</v>
          </cell>
          <cell r="B53" t="str">
            <v>Piña</v>
          </cell>
          <cell r="C53" t="str">
            <v>La Cienaga 12184</v>
          </cell>
          <cell r="D53" t="str">
            <v>Lo Barnechea</v>
          </cell>
          <cell r="E53" t="str">
            <v>La Dehesa</v>
          </cell>
          <cell r="F53" t="str">
            <v>Uandes</v>
          </cell>
          <cell r="G53" t="str">
            <v>JEFE</v>
          </cell>
          <cell r="H53">
            <v>56974529859</v>
          </cell>
          <cell r="I53" t="str">
            <v>pina.benjamin@gmail.com</v>
          </cell>
        </row>
        <row r="54">
          <cell r="A54" t="str">
            <v>Lukas</v>
          </cell>
          <cell r="B54" t="str">
            <v>Quense</v>
          </cell>
          <cell r="C54" t="str">
            <v>Cerro Cortadera 9897</v>
          </cell>
          <cell r="D54" t="str">
            <v>Lo Barnechea</v>
          </cell>
          <cell r="E54" t="str">
            <v>Los Trapenses</v>
          </cell>
          <cell r="F54" t="str">
            <v>UC</v>
          </cell>
          <cell r="G54" t="str">
            <v>SOCIO</v>
          </cell>
          <cell r="H54">
            <v>56987217393</v>
          </cell>
          <cell r="I54" t="str">
            <v>lukas.quense@gmail.com</v>
          </cell>
        </row>
        <row r="55">
          <cell r="C55" t="str">
            <v>Santa Rita 1017</v>
          </cell>
          <cell r="D55" t="str">
            <v>Las Condes</v>
          </cell>
          <cell r="E55" t="str">
            <v>San Carlos</v>
          </cell>
          <cell r="F55" t="str">
            <v>UC</v>
          </cell>
          <cell r="G55" t="str">
            <v>JEFE</v>
          </cell>
          <cell r="H55">
            <v>56981207671</v>
          </cell>
          <cell r="I55" t="str">
            <v>josefinaquiroga7@hotmail.com</v>
          </cell>
        </row>
        <row r="56">
          <cell r="C56" t="str">
            <v>Santa Rita 1017</v>
          </cell>
          <cell r="D56" t="str">
            <v>Las Condes</v>
          </cell>
          <cell r="E56" t="str">
            <v>San Carlos</v>
          </cell>
          <cell r="F56" t="str">
            <v>CPH</v>
          </cell>
          <cell r="G56" t="str">
            <v>JEFE</v>
          </cell>
          <cell r="H56">
            <v>56995408498</v>
          </cell>
          <cell r="I56" t="str">
            <v>rafaquiroga7@gmail.com</v>
          </cell>
        </row>
        <row r="57">
          <cell r="C57" t="str">
            <v>Raimapu 6744</v>
          </cell>
          <cell r="D57" t="str">
            <v>Vitacura</v>
          </cell>
          <cell r="E57" t="str">
            <v>Santa Maria</v>
          </cell>
          <cell r="F57" t="str">
            <v>Aleman</v>
          </cell>
          <cell r="G57" t="str">
            <v>JEFE</v>
          </cell>
          <cell r="H57">
            <v>56956481962</v>
          </cell>
          <cell r="I57" t="str">
            <v>barodriguez@dsstgo.cl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523" displayName="Tabla523" ref="B4:U57" totalsRowShown="0" headerRowDxfId="123" headerRowBorderDxfId="122" tableBorderDxfId="121" totalsRowBorderDxfId="120">
  <autoFilter ref="B4:U57" xr:uid="{00000000-0009-0000-0100-000002000000}"/>
  <sortState ref="B5:U54">
    <sortCondition ref="C4:C54"/>
  </sortState>
  <tableColumns count="20">
    <tableColumn id="1" xr3:uid="{00000000-0010-0000-0000-000001000000}" name="Nombre" dataDxfId="119"/>
    <tableColumn id="2" xr3:uid="{00000000-0010-0000-0000-000002000000}" name="Apellido" dataDxfId="118" totalsRowDxfId="117"/>
    <tableColumn id="3" xr3:uid="{00000000-0010-0000-0000-000003000000}" name="Direccion" dataDxfId="116" totalsRowDxfId="115">
      <calculatedColumnFormula>[1]Personas!C2</calculatedColumnFormula>
    </tableColumn>
    <tableColumn id="4" xr3:uid="{00000000-0010-0000-0000-000004000000}" name="Comuna" dataDxfId="114" totalsRowDxfId="113">
      <calculatedColumnFormula>[1]Personas!D2</calculatedColumnFormula>
    </tableColumn>
    <tableColumn id="20" xr3:uid="{00000000-0010-0000-0000-000014000000}" name="Sector" dataDxfId="112" totalsRowDxfId="111">
      <calculatedColumnFormula>[1]Personas!E2</calculatedColumnFormula>
    </tableColumn>
    <tableColumn id="21" xr3:uid="{00000000-0010-0000-0000-000015000000}" name="Universidad" dataDxfId="110" totalsRowDxfId="109">
      <calculatedColumnFormula>[1]Personas!F2</calculatedColumnFormula>
    </tableColumn>
    <tableColumn id="22" xr3:uid="{00000000-0010-0000-0000-000016000000}" name="Cargo" dataDxfId="108" totalsRowDxfId="107">
      <calculatedColumnFormula>[1]Personas!G2</calculatedColumnFormula>
    </tableColumn>
    <tableColumn id="19" xr3:uid="{00000000-0010-0000-0000-000013000000}" name="Telefono" dataDxfId="106" totalsRowDxfId="105">
      <calculatedColumnFormula>[1]Personas!H2</calculatedColumnFormula>
    </tableColumn>
    <tableColumn id="12" xr3:uid="{00000000-0010-0000-0000-00000C000000}" name="Mail" dataDxfId="104" totalsRowDxfId="103" dataCellStyle="Millares">
      <calculatedColumnFormula>[1]Personas!I2</calculatedColumnFormula>
    </tableColumn>
    <tableColumn id="29" xr3:uid="{00000000-0010-0000-0000-00001D000000}" name="Encargado" dataDxfId="102" totalsRowDxfId="101" dataCellStyle="Millares"/>
    <tableColumn id="28" xr3:uid="{00000000-0010-0000-0000-00001C000000}" name="Entregado" dataDxfId="100" totalsRowDxfId="99"/>
    <tableColumn id="5" xr3:uid="{00000000-0010-0000-0000-000005000000}" name="Pagado" dataDxfId="98" totalsRowDxfId="97"/>
    <tableColumn id="7" xr3:uid="{00000000-0010-0000-0000-000007000000}" name="N 2 kg" dataDxfId="96" totalsRowDxfId="95"/>
    <tableColumn id="8" xr3:uid="{00000000-0010-0000-0000-000008000000}" name="M 2 kg" dataDxfId="94" totalsRowDxfId="93"/>
    <tableColumn id="9" xr3:uid="{00000000-0010-0000-0000-000009000000}" name="P 2 kg" dataDxfId="92" totalsRowDxfId="91"/>
    <tableColumn id="10" xr3:uid="{00000000-0010-0000-0000-00000A000000}" name="Q 1050 gr" dataDxfId="90" totalsRowDxfId="89"/>
    <tableColumn id="13" xr3:uid="{00000000-0010-0000-0000-00000D000000}" name="T 1 kg" dataDxfId="88" totalsRowDxfId="87"/>
    <tableColumn id="14" xr3:uid="{00000000-0010-0000-0000-00000E000000}" name="N 500 gr" dataDxfId="86" totalsRowDxfId="85"/>
    <tableColumn id="23" xr3:uid="{00000000-0010-0000-0000-000017000000}" name="Total" dataDxfId="84" totalsRowDxfId="83">
      <calculatedColumnFormula>SUM(Tabla523[[#This Row],[N 2 kg]:[N 500 gr]])</calculatedColumnFormula>
    </tableColumn>
    <tableColumn id="30" xr3:uid="{00000000-0010-0000-0000-00001E000000}" name="Comentario" dataDxfId="82" totalsRowDxfId="8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52" displayName="Tabla52" ref="B4:U57" totalsRowShown="0" headerRowDxfId="80" headerRowBorderDxfId="79" tableBorderDxfId="78" totalsRowBorderDxfId="77">
  <autoFilter ref="B4:U57" xr:uid="{00000000-0009-0000-0100-000001000000}"/>
  <sortState ref="B5:U57">
    <sortCondition ref="M4:M57"/>
  </sortState>
  <tableColumns count="20">
    <tableColumn id="1" xr3:uid="{00000000-0010-0000-0100-000001000000}" name="Nombre" dataDxfId="76"/>
    <tableColumn id="2" xr3:uid="{00000000-0010-0000-0100-000002000000}" name="Apellido" dataDxfId="75"/>
    <tableColumn id="3" xr3:uid="{00000000-0010-0000-0100-000003000000}" name="Direccion" dataDxfId="74"/>
    <tableColumn id="4" xr3:uid="{00000000-0010-0000-0100-000004000000}" name="Comuna" dataDxfId="73"/>
    <tableColumn id="20" xr3:uid="{00000000-0010-0000-0100-000014000000}" name="Sector" dataDxfId="72"/>
    <tableColumn id="21" xr3:uid="{00000000-0010-0000-0100-000015000000}" name="Universidad" dataDxfId="71"/>
    <tableColumn id="22" xr3:uid="{00000000-0010-0000-0100-000016000000}" name="Cargo" dataDxfId="70"/>
    <tableColumn id="19" xr3:uid="{00000000-0010-0000-0100-000013000000}" name="Telefono" dataDxfId="69" totalsRowDxfId="68"/>
    <tableColumn id="12" xr3:uid="{00000000-0010-0000-0100-00000C000000}" name="Mail" dataDxfId="67" totalsRowDxfId="66" dataCellStyle="Millares"/>
    <tableColumn id="29" xr3:uid="{00000000-0010-0000-0100-00001D000000}" name="Encargado" dataDxfId="65" totalsRowDxfId="64" dataCellStyle="Millares"/>
    <tableColumn id="28" xr3:uid="{00000000-0010-0000-0100-00001C000000}" name="Entregado" dataDxfId="63" totalsRowDxfId="62"/>
    <tableColumn id="5" xr3:uid="{00000000-0010-0000-0100-000005000000}" name="Pagado" dataDxfId="61" totalsRowDxfId="60"/>
    <tableColumn id="7" xr3:uid="{00000000-0010-0000-0100-000007000000}" name="Naranjas" dataDxfId="59" totalsRowDxfId="58"/>
    <tableColumn id="8" xr3:uid="{00000000-0010-0000-0100-000008000000}" name="Mandarinas" dataDxfId="57" totalsRowDxfId="56"/>
    <tableColumn id="9" xr3:uid="{00000000-0010-0000-0100-000009000000}" name="Paltas" dataDxfId="55" totalsRowDxfId="54"/>
    <tableColumn id="10" xr3:uid="{00000000-0010-0000-0100-00000A000000}" name="Quesos" dataDxfId="53" totalsRowDxfId="52"/>
    <tableColumn id="13" xr3:uid="{00000000-0010-0000-0100-00000D000000}" name="Tomate Cherry" dataDxfId="51" totalsRowDxfId="50"/>
    <tableColumn id="14" xr3:uid="{00000000-0010-0000-0100-00000E000000}" name="Nueces" dataDxfId="49" totalsRowDxfId="48"/>
    <tableColumn id="23" xr3:uid="{00000000-0010-0000-0100-000017000000}" name="Total" dataDxfId="47" totalsRowDxfId="46">
      <calculatedColumnFormula>SUM(Tabla52[[#This Row],[Naranjas]:[Nueces]])</calculatedColumnFormula>
    </tableColumn>
    <tableColumn id="30" xr3:uid="{00000000-0010-0000-0100-00001E000000}" name="Comentario" dataDxfId="45" totalsRowDxfId="4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5234" displayName="Tabla5234" ref="B4:U36" totalsRowShown="0" headerRowDxfId="40" headerRowBorderDxfId="39" tableBorderDxfId="38" totalsRowBorderDxfId="37">
  <autoFilter ref="B4:U36" xr:uid="{00000000-0009-0000-0100-000003000000}"/>
  <sortState ref="B5:U36">
    <sortCondition ref="M4:M36"/>
  </sortState>
  <tableColumns count="20">
    <tableColumn id="1" xr3:uid="{00000000-0010-0000-0200-000001000000}" name="Nombre" dataDxfId="36"/>
    <tableColumn id="2" xr3:uid="{00000000-0010-0000-0200-000002000000}" name="Apellido" dataDxfId="35" totalsRowDxfId="34"/>
    <tableColumn id="3" xr3:uid="{00000000-0010-0000-0200-000003000000}" name="Direccion" dataDxfId="33" totalsRowDxfId="32"/>
    <tableColumn id="4" xr3:uid="{00000000-0010-0000-0200-000004000000}" name="Comuna" dataDxfId="31" totalsRowDxfId="30"/>
    <tableColumn id="20" xr3:uid="{00000000-0010-0000-0200-000014000000}" name="Sector" dataDxfId="29" totalsRowDxfId="28"/>
    <tableColumn id="21" xr3:uid="{00000000-0010-0000-0200-000015000000}" name="Universidad" dataDxfId="27" totalsRowDxfId="26"/>
    <tableColumn id="22" xr3:uid="{00000000-0010-0000-0200-000016000000}" name="Cargo" dataDxfId="25" totalsRowDxfId="24"/>
    <tableColumn id="19" xr3:uid="{00000000-0010-0000-0200-000013000000}" name="Telefono" dataDxfId="23"/>
    <tableColumn id="12" xr3:uid="{00000000-0010-0000-0200-00000C000000}" name="Mail" dataDxfId="22" totalsRowDxfId="21" dataCellStyle="Millares"/>
    <tableColumn id="29" xr3:uid="{00000000-0010-0000-0200-00001D000000}" name="Encargado" dataDxfId="20" totalsRowDxfId="19" dataCellStyle="Millares"/>
    <tableColumn id="28" xr3:uid="{00000000-0010-0000-0200-00001C000000}" name="Entregado" dataDxfId="18" totalsRowDxfId="17"/>
    <tableColumn id="5" xr3:uid="{00000000-0010-0000-0200-000005000000}" name="Pagado" dataDxfId="16"/>
    <tableColumn id="7" xr3:uid="{00000000-0010-0000-0200-000007000000}" name="Naranjas" dataDxfId="15" totalsRowDxfId="14"/>
    <tableColumn id="8" xr3:uid="{00000000-0010-0000-0200-000008000000}" name="Mandarinas" dataDxfId="13" totalsRowDxfId="12"/>
    <tableColumn id="9" xr3:uid="{00000000-0010-0000-0200-000009000000}" name="Paltas" dataDxfId="11" totalsRowDxfId="10"/>
    <tableColumn id="10" xr3:uid="{00000000-0010-0000-0200-00000A000000}" name="Quesos" dataDxfId="9" totalsRowDxfId="8"/>
    <tableColumn id="13" xr3:uid="{00000000-0010-0000-0200-00000D000000}" name="Tomate Cherry" dataDxfId="7" totalsRowDxfId="6"/>
    <tableColumn id="14" xr3:uid="{00000000-0010-0000-0200-00000E000000}" name="Nueces" dataDxfId="5" totalsRowDxfId="4"/>
    <tableColumn id="23" xr3:uid="{00000000-0010-0000-0200-000017000000}" name="Total" dataDxfId="3" totalsRowDxfId="2">
      <calculatedColumnFormula>SUM(Tabla5234[[#This Row],[Naranjas]:[Nueces]])</calculatedColumnFormula>
    </tableColumn>
    <tableColumn id="30" xr3:uid="{00000000-0010-0000-0200-00001E000000}" name="Comentario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/>
  </sheetPr>
  <dimension ref="A1:U95"/>
  <sheetViews>
    <sheetView zoomScale="85" zoomScaleNormal="85" zoomScalePageLayoutView="85" workbookViewId="0">
      <pane xSplit="3" ySplit="4" topLeftCell="D23" activePane="bottomRight" state="frozen"/>
      <selection pane="topRight" activeCell="D1" sqref="D1"/>
      <selection pane="bottomLeft" activeCell="A5" sqref="A5"/>
      <selection pane="bottomRight" activeCell="L55" sqref="L55"/>
    </sheetView>
  </sheetViews>
  <sheetFormatPr baseColWidth="10" defaultColWidth="11.44140625" defaultRowHeight="14.4" outlineLevelRow="1" outlineLevelCol="1" x14ac:dyDescent="0.3"/>
  <cols>
    <col min="2" max="2" width="12.44140625" customWidth="1"/>
    <col min="3" max="3" width="15.33203125" customWidth="1"/>
    <col min="4" max="4" width="38" hidden="1" customWidth="1" outlineLevel="1"/>
    <col min="5" max="5" width="15.109375" hidden="1" customWidth="1" outlineLevel="1"/>
    <col min="6" max="6" width="16.5546875" hidden="1" customWidth="1" outlineLevel="1"/>
    <col min="7" max="7" width="14.6640625" hidden="1" customWidth="1" outlineLevel="1"/>
    <col min="8" max="8" width="10.5546875" hidden="1" customWidth="1" outlineLevel="1"/>
    <col min="9" max="9" width="18.44140625" hidden="1" customWidth="1" outlineLevel="1"/>
    <col min="10" max="11" width="33.5546875" hidden="1" customWidth="1" outlineLevel="1"/>
    <col min="12" max="12" width="10.77734375" customWidth="1" collapsed="1"/>
    <col min="13" max="13" width="10.77734375" customWidth="1"/>
    <col min="14" max="19" width="15.44140625" customWidth="1"/>
    <col min="21" max="21" width="71.44140625" style="67" customWidth="1"/>
  </cols>
  <sheetData>
    <row r="1" spans="1:21" ht="15" thickBot="1" x14ac:dyDescent="0.35"/>
    <row r="2" spans="1:21" ht="29.7" customHeight="1" thickBot="1" x14ac:dyDescent="0.35">
      <c r="B2" s="167" t="s">
        <v>284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  <c r="N2" s="170" t="s">
        <v>12</v>
      </c>
      <c r="O2" s="171"/>
      <c r="P2" s="171"/>
      <c r="Q2" s="171"/>
      <c r="R2" s="171"/>
      <c r="S2" s="172"/>
    </row>
    <row r="3" spans="1:21" s="1" customFormat="1" ht="15" thickBot="1" x14ac:dyDescent="0.35">
      <c r="L3" s="64"/>
      <c r="M3" s="64"/>
      <c r="N3" s="33" t="s">
        <v>32</v>
      </c>
      <c r="O3" s="33" t="s">
        <v>34</v>
      </c>
      <c r="P3" s="33" t="s">
        <v>5</v>
      </c>
      <c r="Q3" s="33" t="s">
        <v>35</v>
      </c>
      <c r="R3" s="33" t="s">
        <v>36</v>
      </c>
      <c r="S3" s="33" t="s">
        <v>23</v>
      </c>
      <c r="U3" s="67"/>
    </row>
    <row r="4" spans="1:21" s="2" customFormat="1" ht="15" thickBot="1" x14ac:dyDescent="0.35">
      <c r="B4" s="38" t="s">
        <v>0</v>
      </c>
      <c r="C4" s="38" t="s">
        <v>1</v>
      </c>
      <c r="D4" s="38" t="s">
        <v>2</v>
      </c>
      <c r="E4" s="38" t="s">
        <v>3</v>
      </c>
      <c r="F4" s="38" t="s">
        <v>6</v>
      </c>
      <c r="G4" s="38" t="s">
        <v>24</v>
      </c>
      <c r="H4" s="38" t="s">
        <v>4</v>
      </c>
      <c r="I4" s="38" t="s">
        <v>25</v>
      </c>
      <c r="J4" s="38" t="s">
        <v>26</v>
      </c>
      <c r="K4" s="38" t="s">
        <v>138</v>
      </c>
      <c r="L4" s="38" t="s">
        <v>45</v>
      </c>
      <c r="M4" s="38" t="s">
        <v>142</v>
      </c>
      <c r="N4" s="38" t="s">
        <v>33</v>
      </c>
      <c r="O4" s="38" t="s">
        <v>37</v>
      </c>
      <c r="P4" s="38" t="s">
        <v>11</v>
      </c>
      <c r="Q4" s="38" t="s">
        <v>38</v>
      </c>
      <c r="R4" s="39" t="s">
        <v>39</v>
      </c>
      <c r="S4" s="39" t="s">
        <v>22</v>
      </c>
      <c r="T4" s="39" t="s">
        <v>17</v>
      </c>
      <c r="U4" s="90" t="s">
        <v>141</v>
      </c>
    </row>
    <row r="5" spans="1:21" ht="14.7" customHeight="1" outlineLevel="1" x14ac:dyDescent="0.3">
      <c r="A5" s="164" t="s">
        <v>285</v>
      </c>
      <c r="B5" s="41" t="str">
        <f>[1]Personas!A2</f>
        <v>Amalia</v>
      </c>
      <c r="C5" s="30" t="str">
        <f>[1]Personas!B2</f>
        <v>Abogabir</v>
      </c>
      <c r="D5" s="30" t="str">
        <f>[1]Personas!C2</f>
        <v>Condominio El Algarrobal 2 Casa Z-95</v>
      </c>
      <c r="E5" s="30" t="str">
        <f>[1]Personas!D2</f>
        <v>Chicureo</v>
      </c>
      <c r="F5" s="30" t="str">
        <f>[1]Personas!E2</f>
        <v>Piedra Roja</v>
      </c>
      <c r="G5" s="30" t="str">
        <f>[1]Personas!F2</f>
        <v>CLSA</v>
      </c>
      <c r="H5" s="30" t="str">
        <f>[1]Personas!G2</f>
        <v>JEFE</v>
      </c>
      <c r="I5" s="42">
        <f>[1]Personas!H2</f>
        <v>56982328250</v>
      </c>
      <c r="J5" s="48" t="str">
        <f>[1]Personas!I2</f>
        <v>amalia.abr@gmail.com</v>
      </c>
      <c r="K5" s="48" t="str">
        <f>[1]Personas!J2</f>
        <v>Joaquin Eichholz</v>
      </c>
      <c r="L5" s="12"/>
      <c r="M5" s="12"/>
      <c r="N5" s="12"/>
      <c r="O5" s="12"/>
      <c r="P5" s="12"/>
      <c r="Q5" s="12"/>
      <c r="R5" s="12"/>
      <c r="S5" s="12"/>
      <c r="T5" s="12">
        <f>SUM(Tabla523[[#This Row],[N 2 kg]:[N 500 gr]])</f>
        <v>0</v>
      </c>
      <c r="U5" s="91"/>
    </row>
    <row r="6" spans="1:21" outlineLevel="1" x14ac:dyDescent="0.3">
      <c r="A6" s="165"/>
      <c r="B6" s="43" t="str">
        <f>[1]Personas!A3</f>
        <v>Maida</v>
      </c>
      <c r="C6" s="3" t="str">
        <f>[1]Personas!B3</f>
        <v>Andrews</v>
      </c>
      <c r="D6" s="3" t="str">
        <f>[1]Personas!C3</f>
        <v>Martin De Zamora 5245, Torre 2, Dpto 52</v>
      </c>
      <c r="E6" s="3" t="str">
        <f>[1]Personas!D3</f>
        <v>Las Condes</v>
      </c>
      <c r="F6" s="3" t="str">
        <f>[1]Personas!E3</f>
        <v>Manquehue</v>
      </c>
      <c r="G6" s="3" t="str">
        <f>[1]Personas!F3</f>
        <v>VMA</v>
      </c>
      <c r="H6" s="3" t="str">
        <f>[1]Personas!G3</f>
        <v>JEFE</v>
      </c>
      <c r="I6" s="40">
        <f>[1]Personas!H3</f>
        <v>56954219968</v>
      </c>
      <c r="J6" s="49" t="str">
        <f>[1]Personas!I3</f>
        <v>maidaandrews25@gmail.com</v>
      </c>
      <c r="K6" s="49" t="str">
        <f>[1]Personas!J3</f>
        <v>Joaquin Eichholz</v>
      </c>
      <c r="L6" s="31"/>
      <c r="M6" s="31"/>
      <c r="N6" s="31"/>
      <c r="O6" s="31"/>
      <c r="P6" s="31"/>
      <c r="Q6" s="31"/>
      <c r="R6" s="31"/>
      <c r="S6" s="31"/>
      <c r="T6" s="31">
        <f>SUM(Tabla523[[#This Row],[N 2 kg]:[N 500 gr]])</f>
        <v>0</v>
      </c>
      <c r="U6" s="92"/>
    </row>
    <row r="7" spans="1:21" outlineLevel="1" x14ac:dyDescent="0.3">
      <c r="A7" s="165"/>
      <c r="B7" s="43" t="str">
        <f>[1]Personas!A4</f>
        <v>Gabriel</v>
      </c>
      <c r="C7" s="3" t="str">
        <f>[1]Personas!B4</f>
        <v>Araneda</v>
      </c>
      <c r="D7" s="3" t="str">
        <f>[1]Personas!C4</f>
        <v>Apoquindo 6797 Dpto 203-3</v>
      </c>
      <c r="E7" s="3" t="str">
        <f>[1]Personas!D4</f>
        <v>Las Condes</v>
      </c>
      <c r="F7" s="3" t="str">
        <f>[1]Personas!E4</f>
        <v>Manquehue</v>
      </c>
      <c r="G7" s="3" t="str">
        <f>[1]Personas!F4</f>
        <v>UDD</v>
      </c>
      <c r="H7" s="3" t="str">
        <f>[1]Personas!G4</f>
        <v>JEFE</v>
      </c>
      <c r="I7" s="40">
        <f>[1]Personas!H4</f>
        <v>56976237859</v>
      </c>
      <c r="J7" s="49" t="str">
        <f>[1]Personas!I4</f>
        <v>garanedaa@udd.cl</v>
      </c>
      <c r="K7" s="49" t="str">
        <f>[1]Personas!J4</f>
        <v>Lukas Quense</v>
      </c>
      <c r="L7" s="31"/>
      <c r="M7" s="31"/>
      <c r="N7" s="31"/>
      <c r="O7" s="31"/>
      <c r="P7" s="31"/>
      <c r="Q7" s="31"/>
      <c r="R7" s="31"/>
      <c r="S7" s="31"/>
      <c r="T7" s="31">
        <f>SUM(Tabla523[[#This Row],[N 2 kg]:[N 500 gr]])</f>
        <v>0</v>
      </c>
      <c r="U7" s="92"/>
    </row>
    <row r="8" spans="1:21" outlineLevel="1" x14ac:dyDescent="0.3">
      <c r="A8" s="165"/>
      <c r="B8" s="43" t="str">
        <f>[1]Personas!A5</f>
        <v>Martin</v>
      </c>
      <c r="C8" s="3" t="str">
        <f>[1]Personas!B5</f>
        <v>Araos</v>
      </c>
      <c r="D8" s="3" t="str">
        <f>[1]Personas!C5</f>
        <v>Cristal De Roca 10542</v>
      </c>
      <c r="E8" s="3" t="str">
        <f>[1]Personas!D5</f>
        <v>Chicureo</v>
      </c>
      <c r="F8" s="3" t="str">
        <f>[1]Personas!E5</f>
        <v>La Radial</v>
      </c>
      <c r="G8" s="3" t="str">
        <f>[1]Personas!F5</f>
        <v>Santa Cruz</v>
      </c>
      <c r="H8" s="3" t="str">
        <f>[1]Personas!G5</f>
        <v>JEFE</v>
      </c>
      <c r="I8" s="40">
        <f>[1]Personas!H5</f>
        <v>56962094749</v>
      </c>
      <c r="J8" s="49" t="str">
        <f>[1]Personas!I5</f>
        <v>araos.m13@gmail.com</v>
      </c>
      <c r="K8" s="49" t="str">
        <f>[1]Personas!J5</f>
        <v>Lukas Quense</v>
      </c>
      <c r="L8" s="31"/>
      <c r="M8" s="31"/>
      <c r="N8" s="31"/>
      <c r="O8" s="31"/>
      <c r="P8" s="31"/>
      <c r="Q8" s="31"/>
      <c r="R8" s="31"/>
      <c r="S8" s="31"/>
      <c r="T8" s="31">
        <f>SUM(Tabla523[[#This Row],[N 2 kg]:[N 500 gr]])</f>
        <v>0</v>
      </c>
      <c r="U8" s="92"/>
    </row>
    <row r="9" spans="1:21" outlineLevel="1" x14ac:dyDescent="0.3">
      <c r="A9" s="165"/>
      <c r="B9" s="43" t="str">
        <f>[1]Personas!A6</f>
        <v>Javi</v>
      </c>
      <c r="C9" s="3" t="str">
        <f>[1]Personas!B6</f>
        <v>Bernaus</v>
      </c>
      <c r="D9" s="3" t="str">
        <f>[1]Personas!C6</f>
        <v>Cerro La Campana 2311 Casa 2</v>
      </c>
      <c r="E9" s="3" t="str">
        <f>[1]Personas!D6</f>
        <v>Lo Barnechea</v>
      </c>
      <c r="F9" s="3" t="str">
        <f>[1]Personas!E6</f>
        <v>Los Trapenses</v>
      </c>
      <c r="G9" s="3" t="str">
        <f>[1]Personas!F6</f>
        <v>UAI</v>
      </c>
      <c r="H9" s="3" t="str">
        <f>[1]Personas!G6</f>
        <v>JEFE</v>
      </c>
      <c r="I9" s="40">
        <f>[1]Personas!H6</f>
        <v>56993333225</v>
      </c>
      <c r="J9" s="49" t="str">
        <f>[1]Personas!I6</f>
        <v>jbernaus@alumnos.uai.cl</v>
      </c>
      <c r="K9" s="49" t="str">
        <f>[1]Personas!J6</f>
        <v>Ignacio Castañeda</v>
      </c>
      <c r="L9" s="31"/>
      <c r="M9" s="31"/>
      <c r="N9" s="31"/>
      <c r="O9" s="31"/>
      <c r="P9" s="31"/>
      <c r="Q9" s="31"/>
      <c r="R9" s="31"/>
      <c r="S9" s="31"/>
      <c r="T9" s="31">
        <f>SUM(Tabla523[[#This Row],[N 2 kg]:[N 500 gr]])</f>
        <v>0</v>
      </c>
      <c r="U9" s="92"/>
    </row>
    <row r="10" spans="1:21" outlineLevel="1" x14ac:dyDescent="0.3">
      <c r="A10" s="165"/>
      <c r="B10" s="43" t="str">
        <f>[1]Personas!A7</f>
        <v>Paul</v>
      </c>
      <c r="C10" s="3" t="str">
        <f>[1]Personas!B7</f>
        <v>Brenner</v>
      </c>
      <c r="D10" s="3" t="str">
        <f>[1]Personas!C7</f>
        <v>San Jose De La Sierra 1105</v>
      </c>
      <c r="E10" s="3" t="str">
        <f>[1]Personas!D7</f>
        <v>Las Condes</v>
      </c>
      <c r="F10" s="3" t="str">
        <f>[1]Personas!E7</f>
        <v>Quinchamali</v>
      </c>
      <c r="G10" s="3" t="str">
        <f>[1]Personas!F7</f>
        <v>UDD</v>
      </c>
      <c r="H10" s="3" t="str">
        <f>[1]Personas!G7</f>
        <v>JEFE</v>
      </c>
      <c r="I10" s="40">
        <f>[1]Personas!H7</f>
        <v>56955324629</v>
      </c>
      <c r="J10" s="49" t="str">
        <f>[1]Personas!I7</f>
        <v>paulmartinbrenner@hotmail.com</v>
      </c>
      <c r="K10" s="49" t="str">
        <f>[1]Personas!J7</f>
        <v>Lukas Quense</v>
      </c>
      <c r="L10" s="31"/>
      <c r="M10" s="31"/>
      <c r="N10" s="31"/>
      <c r="O10" s="31"/>
      <c r="P10" s="31"/>
      <c r="Q10" s="31"/>
      <c r="R10" s="31"/>
      <c r="S10" s="31"/>
      <c r="T10" s="31">
        <f>SUM(Tabla523[[#This Row],[N 2 kg]:[N 500 gr]])</f>
        <v>0</v>
      </c>
      <c r="U10" s="92"/>
    </row>
    <row r="11" spans="1:21" outlineLevel="1" x14ac:dyDescent="0.3">
      <c r="A11" s="165"/>
      <c r="B11" s="43" t="str">
        <f>[1]Personas!A8</f>
        <v>Alvaro</v>
      </c>
      <c r="C11" s="3" t="str">
        <f>[1]Personas!B8</f>
        <v>Caeviedes</v>
      </c>
      <c r="D11" s="3" t="str">
        <f>[1]Personas!C8</f>
        <v>Cerro El Paico 9756</v>
      </c>
      <c r="E11" s="3" t="str">
        <f>[1]Personas!D8</f>
        <v>Lo Barnechea</v>
      </c>
      <c r="F11" s="3" t="str">
        <f>[1]Personas!E8</f>
        <v>Los Trapenses</v>
      </c>
      <c r="G11" s="3" t="str">
        <f>[1]Personas!F8</f>
        <v>UC</v>
      </c>
      <c r="H11" s="3" t="str">
        <f>[1]Personas!G8</f>
        <v>JEFE</v>
      </c>
      <c r="I11" s="40">
        <f>[1]Personas!H8</f>
        <v>56963033603</v>
      </c>
      <c r="J11" s="49" t="str">
        <f>[1]Personas!I8</f>
        <v>acaeviedes@uc.cl</v>
      </c>
      <c r="K11" s="49" t="str">
        <f>[1]Personas!J8</f>
        <v>Joaquin Eichholz</v>
      </c>
      <c r="L11" s="31"/>
      <c r="M11" s="31"/>
      <c r="N11" s="31"/>
      <c r="O11" s="31"/>
      <c r="P11" s="31"/>
      <c r="Q11" s="31"/>
      <c r="R11" s="31"/>
      <c r="S11" s="31"/>
      <c r="T11" s="31">
        <f>SUM(Tabla523[[#This Row],[N 2 kg]:[N 500 gr]])</f>
        <v>0</v>
      </c>
      <c r="U11" s="92"/>
    </row>
    <row r="12" spans="1:21" outlineLevel="1" x14ac:dyDescent="0.3">
      <c r="A12" s="165"/>
      <c r="B12" s="43" t="str">
        <f>[1]Personas!A9</f>
        <v>Ignacio</v>
      </c>
      <c r="C12" s="3" t="str">
        <f>[1]Personas!B9</f>
        <v>Castañeda</v>
      </c>
      <c r="D12" s="3" t="str">
        <f>[1]Personas!C9</f>
        <v>Punta de Aguilas Norte 9300 Casa 12</v>
      </c>
      <c r="E12" s="3" t="str">
        <f>[1]Personas!D9</f>
        <v>Lo Barnechea</v>
      </c>
      <c r="F12" s="3" t="str">
        <f>[1]Personas!E9</f>
        <v>Los Trapenses</v>
      </c>
      <c r="G12" s="3" t="str">
        <f>[1]Personas!F9</f>
        <v>UC</v>
      </c>
      <c r="H12" s="3" t="str">
        <f>[1]Personas!G9</f>
        <v>SOCIO</v>
      </c>
      <c r="I12" s="40">
        <f>[1]Personas!H9</f>
        <v>56982328250</v>
      </c>
      <c r="J12" s="49" t="str">
        <f>[1]Personas!I9</f>
        <v>icastanedaw@gmail.com</v>
      </c>
      <c r="K12" s="49" t="str">
        <f>[1]Personas!J9</f>
        <v>Ignacio Castañeda</v>
      </c>
      <c r="L12" s="31"/>
      <c r="M12" s="31"/>
      <c r="N12" s="31"/>
      <c r="O12" s="31"/>
      <c r="P12" s="31"/>
      <c r="Q12" s="31"/>
      <c r="R12" s="31"/>
      <c r="S12" s="31"/>
      <c r="T12" s="31">
        <f>SUM(Tabla523[[#This Row],[N 2 kg]:[N 500 gr]])</f>
        <v>0</v>
      </c>
      <c r="U12" s="92"/>
    </row>
    <row r="13" spans="1:21" outlineLevel="1" x14ac:dyDescent="0.3">
      <c r="A13" s="165"/>
      <c r="B13" s="43" t="str">
        <f>[1]Personas!A10</f>
        <v>Majo</v>
      </c>
      <c r="C13" s="3" t="str">
        <f>[1]Personas!B10</f>
        <v>Castañeda</v>
      </c>
      <c r="D13" s="3" t="str">
        <f>[1]Personas!C10</f>
        <v>Punta de Aguilas Norte 9300 Casa 12</v>
      </c>
      <c r="E13" s="3" t="str">
        <f>[1]Personas!D10</f>
        <v>Lo Barnechea</v>
      </c>
      <c r="F13" s="3" t="str">
        <f>[1]Personas!E10</f>
        <v>Los Trapenses</v>
      </c>
      <c r="G13" s="3" t="str">
        <f>[1]Personas!F10</f>
        <v>UAndes</v>
      </c>
      <c r="H13" s="3" t="str">
        <f>[1]Personas!G10</f>
        <v>JEFE</v>
      </c>
      <c r="I13" s="40">
        <f>[1]Personas!H10</f>
        <v>56982328251</v>
      </c>
      <c r="J13" s="49" t="str">
        <f>[1]Personas!I10</f>
        <v>mjcastaneda@miuandes.cl</v>
      </c>
      <c r="K13" s="49" t="str">
        <f>[1]Personas!J10</f>
        <v>Ignacio Castañeda</v>
      </c>
      <c r="L13" s="31"/>
      <c r="M13" s="31"/>
      <c r="N13" s="31"/>
      <c r="O13" s="31"/>
      <c r="P13" s="31"/>
      <c r="Q13" s="31"/>
      <c r="R13" s="31"/>
      <c r="S13" s="31"/>
      <c r="T13" s="31">
        <f>SUM(Tabla523[[#This Row],[N 2 kg]:[N 500 gr]])</f>
        <v>0</v>
      </c>
      <c r="U13" s="92"/>
    </row>
    <row r="14" spans="1:21" outlineLevel="1" x14ac:dyDescent="0.3">
      <c r="A14" s="165"/>
      <c r="B14" s="43" t="str">
        <f>[1]Personas!A11</f>
        <v>Vicky</v>
      </c>
      <c r="C14" s="3" t="str">
        <f>[1]Personas!B11</f>
        <v>Chaparro</v>
      </c>
      <c r="D14" s="3" t="str">
        <f>[1]Personas!C11</f>
        <v>Carolina Rabat 780 Casa 8</v>
      </c>
      <c r="E14" s="3" t="str">
        <f>[1]Personas!D11</f>
        <v>Vitacura</v>
      </c>
      <c r="F14" s="3" t="str">
        <f>[1]Personas!E11</f>
        <v>Santa Maria</v>
      </c>
      <c r="G14" s="3" t="str">
        <f>[1]Personas!F11</f>
        <v>UDD</v>
      </c>
      <c r="H14" s="3" t="str">
        <f>[1]Personas!G11</f>
        <v>JEFE</v>
      </c>
      <c r="I14" s="40">
        <f>[1]Personas!H11</f>
        <v>56968348679</v>
      </c>
      <c r="J14" s="49" t="str">
        <f>[1]Personas!I11</f>
        <v>mchaparroh@udd.cl</v>
      </c>
      <c r="K14" s="49" t="str">
        <f>[1]Personas!J11</f>
        <v>Ignacio Castañeda</v>
      </c>
      <c r="L14" s="31"/>
      <c r="M14" s="31"/>
      <c r="N14" s="31"/>
      <c r="O14" s="31"/>
      <c r="P14" s="31"/>
      <c r="Q14" s="31"/>
      <c r="R14" s="31"/>
      <c r="S14" s="31"/>
      <c r="T14" s="31">
        <f>SUM(Tabla523[[#This Row],[N 2 kg]:[N 500 gr]])</f>
        <v>0</v>
      </c>
      <c r="U14" s="92"/>
    </row>
    <row r="15" spans="1:21" outlineLevel="1" x14ac:dyDescent="0.3">
      <c r="A15" s="165"/>
      <c r="B15" s="43" t="str">
        <f>[1]Personas!A12</f>
        <v>Antonia</v>
      </c>
      <c r="C15" s="3" t="str">
        <f>[1]Personas!B12</f>
        <v>Cisternas</v>
      </c>
      <c r="D15" s="3" t="str">
        <f>[1]Personas!C12</f>
        <v>Calle Parque 12700 Casa 38</v>
      </c>
      <c r="E15" s="3" t="str">
        <f>[1]Personas!D12</f>
        <v>Lo Barnechea</v>
      </c>
      <c r="F15" s="3" t="str">
        <f>[1]Personas!E12</f>
        <v>Los Trapenses</v>
      </c>
      <c r="G15" s="3">
        <f>[1]Personas!F12</f>
        <v>0</v>
      </c>
      <c r="H15" s="3" t="str">
        <f>[1]Personas!G12</f>
        <v>JEFE</v>
      </c>
      <c r="I15" s="40">
        <f>[1]Personas!H12</f>
        <v>56944346775</v>
      </c>
      <c r="J15" s="49" t="str">
        <f>[1]Personas!I12</f>
        <v>antocisternas@hotmail.com</v>
      </c>
      <c r="K15" s="49" t="str">
        <f>[1]Personas!J12</f>
        <v>Lukas Quense</v>
      </c>
      <c r="L15" s="31"/>
      <c r="M15" s="31"/>
      <c r="N15" s="31"/>
      <c r="O15" s="31"/>
      <c r="P15" s="31"/>
      <c r="Q15" s="31"/>
      <c r="R15" s="31"/>
      <c r="S15" s="31"/>
      <c r="T15" s="31">
        <f>SUM(Tabla523[[#This Row],[N 2 kg]:[N 500 gr]])</f>
        <v>0</v>
      </c>
      <c r="U15" s="92"/>
    </row>
    <row r="16" spans="1:21" outlineLevel="1" x14ac:dyDescent="0.3">
      <c r="A16" s="165"/>
      <c r="B16" s="43" t="str">
        <f>[1]Personas!A13</f>
        <v>Josefa</v>
      </c>
      <c r="C16" s="3" t="str">
        <f>[1]Personas!B13</f>
        <v>Covarrubias</v>
      </c>
      <c r="D16" s="3" t="str">
        <f>[1]Personas!C13</f>
        <v>Camino Las Flores 12163</v>
      </c>
      <c r="E16" s="3" t="str">
        <f>[1]Personas!D13</f>
        <v>Las Condes</v>
      </c>
      <c r="F16" s="3" t="str">
        <f>[1]Personas!E13</f>
        <v>San Carlos</v>
      </c>
      <c r="G16" s="3" t="str">
        <f>[1]Personas!F13</f>
        <v>Saint George</v>
      </c>
      <c r="H16" s="3" t="str">
        <f>[1]Personas!G13</f>
        <v>JEFE</v>
      </c>
      <c r="I16" s="40">
        <f>[1]Personas!H13</f>
        <v>56995346870</v>
      </c>
      <c r="J16" s="49" t="str">
        <f>[1]Personas!I13</f>
        <v>josefacovarrubias@gmail.com</v>
      </c>
      <c r="K16" s="49" t="str">
        <f>[1]Personas!J13</f>
        <v>Joaquin Eichholz</v>
      </c>
      <c r="L16" s="31"/>
      <c r="M16" s="31"/>
      <c r="N16" s="31"/>
      <c r="O16" s="31"/>
      <c r="P16" s="31"/>
      <c r="Q16" s="31"/>
      <c r="R16" s="31"/>
      <c r="S16" s="31"/>
      <c r="T16" s="31">
        <f>SUM(Tabla523[[#This Row],[N 2 kg]:[N 500 gr]])</f>
        <v>0</v>
      </c>
      <c r="U16" s="92"/>
    </row>
    <row r="17" spans="1:21" outlineLevel="1" x14ac:dyDescent="0.3">
      <c r="A17" s="165"/>
      <c r="B17" s="43" t="str">
        <f>[1]Personas!A14</f>
        <v>Florencia</v>
      </c>
      <c r="C17" s="3" t="str">
        <f>[1]Personas!B14</f>
        <v>Croxatto</v>
      </c>
      <c r="D17" s="3" t="str">
        <f>[1]Personas!C14</f>
        <v>Los Olivos 12179</v>
      </c>
      <c r="E17" s="3" t="str">
        <f>[1]Personas!D14</f>
        <v>Las Condes</v>
      </c>
      <c r="F17" s="3" t="str">
        <f>[1]Personas!E14</f>
        <v>San Carlos</v>
      </c>
      <c r="G17" s="3" t="str">
        <f>[1]Personas!F14</f>
        <v>UC</v>
      </c>
      <c r="H17" s="3" t="str">
        <f>[1]Personas!G14</f>
        <v>JEFE</v>
      </c>
      <c r="I17" s="40">
        <f>[1]Personas!H14</f>
        <v>56963061299</v>
      </c>
      <c r="J17" s="49" t="str">
        <f>[1]Personas!I14</f>
        <v>fcroxatto@uc.cl</v>
      </c>
      <c r="K17" s="49" t="str">
        <f>[1]Personas!J14</f>
        <v>Joaquin Eichholz</v>
      </c>
      <c r="L17" s="31"/>
      <c r="M17" s="31"/>
      <c r="N17" s="31"/>
      <c r="O17" s="31"/>
      <c r="P17" s="31"/>
      <c r="Q17" s="31"/>
      <c r="R17" s="31"/>
      <c r="S17" s="31"/>
      <c r="T17" s="31">
        <f>SUM(Tabla523[[#This Row],[N 2 kg]:[N 500 gr]])</f>
        <v>0</v>
      </c>
      <c r="U17" s="92"/>
    </row>
    <row r="18" spans="1:21" outlineLevel="1" x14ac:dyDescent="0.3">
      <c r="A18" s="165"/>
      <c r="B18" s="43" t="str">
        <f>[1]Personas!A15</f>
        <v>Joaquin</v>
      </c>
      <c r="C18" s="3" t="str">
        <f>[1]Personas!B15</f>
        <v>Daly</v>
      </c>
      <c r="D18" s="3" t="str">
        <f>[1]Personas!C15</f>
        <v>Polo 1 de Manquehue Casa 112</v>
      </c>
      <c r="E18" s="3" t="str">
        <f>[1]Personas!D15</f>
        <v>Chicureo</v>
      </c>
      <c r="F18" s="3" t="str">
        <f>[1]Personas!E15</f>
        <v>Piedra Roja</v>
      </c>
      <c r="G18" s="3" t="str">
        <f>[1]Personas!F15</f>
        <v>CSA</v>
      </c>
      <c r="H18" s="3" t="str">
        <f>[1]Personas!G15</f>
        <v>JEFE</v>
      </c>
      <c r="I18" s="40">
        <f>[1]Personas!H15</f>
        <v>56979987750</v>
      </c>
      <c r="J18" s="49" t="str">
        <f>[1]Personas!I15</f>
        <v>dalyjoaquin@gmail.com</v>
      </c>
      <c r="K18" s="49" t="str">
        <f>[1]Personas!J15</f>
        <v>Lukas Quense</v>
      </c>
      <c r="L18" s="31"/>
      <c r="M18" s="31"/>
      <c r="N18" s="31"/>
      <c r="O18" s="31"/>
      <c r="P18" s="31"/>
      <c r="Q18" s="31"/>
      <c r="R18" s="31"/>
      <c r="S18" s="31"/>
      <c r="T18" s="31">
        <f>SUM(Tabla523[[#This Row],[N 2 kg]:[N 500 gr]])</f>
        <v>0</v>
      </c>
      <c r="U18" s="92"/>
    </row>
    <row r="19" spans="1:21" outlineLevel="1" x14ac:dyDescent="0.3">
      <c r="A19" s="165"/>
      <c r="B19" s="43" t="str">
        <f>[1]Personas!A16</f>
        <v>Dominique</v>
      </c>
      <c r="C19" s="3" t="str">
        <f>[1]Personas!B16</f>
        <v>Daroch</v>
      </c>
      <c r="D19" s="3" t="str">
        <f>[1]Personas!C16</f>
        <v>El Algarrobal 2 Casa U2</v>
      </c>
      <c r="E19" s="3" t="str">
        <f>[1]Personas!D16</f>
        <v>Chicureo</v>
      </c>
      <c r="F19" s="3" t="str">
        <f>[1]Personas!E16</f>
        <v>Vespucio</v>
      </c>
      <c r="G19" s="3" t="str">
        <f>[1]Personas!F16</f>
        <v>Highlands</v>
      </c>
      <c r="H19" s="3" t="str">
        <f>[1]Personas!G16</f>
        <v>JEFE</v>
      </c>
      <c r="I19" s="40">
        <f>[1]Personas!H16</f>
        <v>56974474437</v>
      </c>
      <c r="J19" s="49" t="str">
        <f>[1]Personas!I16</f>
        <v>dominique_daroch@hotmail.com</v>
      </c>
      <c r="K19" s="49" t="str">
        <f>[1]Personas!J16</f>
        <v>Ignacio Castañeda</v>
      </c>
      <c r="L19" s="31"/>
      <c r="M19" s="31"/>
      <c r="N19" s="31"/>
      <c r="O19" s="31"/>
      <c r="P19" s="31"/>
      <c r="Q19" s="31"/>
      <c r="R19" s="31"/>
      <c r="S19" s="31"/>
      <c r="T19" s="31">
        <f>SUM(Tabla523[[#This Row],[N 2 kg]:[N 500 gr]])</f>
        <v>0</v>
      </c>
      <c r="U19" s="92"/>
    </row>
    <row r="20" spans="1:21" outlineLevel="1" x14ac:dyDescent="0.3">
      <c r="A20" s="165"/>
      <c r="B20" s="43" t="str">
        <f>[1]Personas!A17</f>
        <v>Camila</v>
      </c>
      <c r="C20" s="3" t="str">
        <f>[1]Personas!B17</f>
        <v>De La Sotta</v>
      </c>
      <c r="D20" s="3" t="str">
        <f>[1]Personas!C17</f>
        <v>Jose de Moraleda 4837</v>
      </c>
      <c r="E20" s="3" t="str">
        <f>[1]Personas!D17</f>
        <v>Las Condes</v>
      </c>
      <c r="F20" s="3" t="str">
        <f>[1]Personas!E17</f>
        <v>Vespucio</v>
      </c>
      <c r="G20" s="3" t="str">
        <f>[1]Personas!F17</f>
        <v>UDD</v>
      </c>
      <c r="H20" s="3" t="str">
        <f>[1]Personas!G17</f>
        <v>JEFE</v>
      </c>
      <c r="I20" s="40">
        <f>[1]Personas!H17</f>
        <v>56967289638</v>
      </c>
      <c r="J20" s="49" t="str">
        <f>[1]Personas!I17</f>
        <v>camila.delasotta@gmail.com</v>
      </c>
      <c r="K20" s="49" t="str">
        <f>[1]Personas!J17</f>
        <v>Ignacio Castañeda</v>
      </c>
      <c r="L20" s="31"/>
      <c r="M20" s="31"/>
      <c r="N20" s="31"/>
      <c r="O20" s="31"/>
      <c r="P20" s="31"/>
      <c r="Q20" s="31"/>
      <c r="R20" s="31"/>
      <c r="S20" s="31"/>
      <c r="T20" s="31">
        <f>SUM(Tabla523[[#This Row],[N 2 kg]:[N 500 gr]])</f>
        <v>0</v>
      </c>
      <c r="U20" s="92"/>
    </row>
    <row r="21" spans="1:21" outlineLevel="1" x14ac:dyDescent="0.3">
      <c r="A21" s="165"/>
      <c r="B21" s="43" t="str">
        <f>[1]Personas!A18</f>
        <v>Javi</v>
      </c>
      <c r="C21" s="3" t="str">
        <f>[1]Personas!B18</f>
        <v>Del Rio</v>
      </c>
      <c r="D21" s="3" t="str">
        <f>[1]Personas!C18</f>
        <v>Valle del monasterio 2664</v>
      </c>
      <c r="E21" s="3" t="str">
        <f>[1]Personas!D18</f>
        <v>Lo Barnechea</v>
      </c>
      <c r="F21" s="3" t="str">
        <f>[1]Personas!E18</f>
        <v>Los Trapenses</v>
      </c>
      <c r="G21" s="3" t="str">
        <f>[1]Personas!F18</f>
        <v>UC</v>
      </c>
      <c r="H21" s="3" t="str">
        <f>[1]Personas!G18</f>
        <v>JEFE</v>
      </c>
      <c r="I21" s="40">
        <f>[1]Personas!H18</f>
        <v>56967898535</v>
      </c>
      <c r="J21" s="49" t="str">
        <f>[1]Personas!I18</f>
        <v>jpdelrio@uc.cl</v>
      </c>
      <c r="K21" s="49" t="str">
        <f>[1]Personas!J18</f>
        <v>Ignacio Castañeda</v>
      </c>
      <c r="L21" s="31"/>
      <c r="M21" s="31"/>
      <c r="N21" s="31"/>
      <c r="O21" s="31"/>
      <c r="P21" s="31"/>
      <c r="Q21" s="31"/>
      <c r="R21" s="31"/>
      <c r="S21" s="31"/>
      <c r="T21" s="31">
        <f>SUM(Tabla523[[#This Row],[N 2 kg]:[N 500 gr]])</f>
        <v>0</v>
      </c>
      <c r="U21" s="92"/>
    </row>
    <row r="22" spans="1:21" outlineLevel="1" x14ac:dyDescent="0.3">
      <c r="A22" s="165"/>
      <c r="B22" s="43" t="str">
        <f>[1]Personas!A20</f>
        <v>Constanza</v>
      </c>
      <c r="C22" s="3" t="str">
        <f>[1]Personas!B20</f>
        <v>Delfau</v>
      </c>
      <c r="D22" s="3" t="str">
        <f>[1]Personas!C20</f>
        <v>Calle Parque 12700 Casa 1</v>
      </c>
      <c r="E22" s="3" t="str">
        <f>[1]Personas!D20</f>
        <v>Lo Barnechea</v>
      </c>
      <c r="F22" s="3" t="str">
        <f>[1]Personas!E20</f>
        <v>La Dehesa</v>
      </c>
      <c r="G22" s="3" t="str">
        <f>[1]Personas!F20</f>
        <v>UC</v>
      </c>
      <c r="H22" s="3" t="str">
        <f>[1]Personas!G20</f>
        <v>JEFE</v>
      </c>
      <c r="I22" s="40">
        <f>[1]Personas!H20</f>
        <v>56991889995</v>
      </c>
      <c r="J22" s="49" t="str">
        <f>[1]Personas!I20</f>
        <v>conidelfau@gmail.com</v>
      </c>
      <c r="K22" s="49" t="str">
        <f>[1]Personas!J20</f>
        <v>Ignacio Castañeda</v>
      </c>
      <c r="L22" s="31"/>
      <c r="M22" s="31"/>
      <c r="N22" s="31"/>
      <c r="O22" s="31"/>
      <c r="P22" s="31"/>
      <c r="Q22" s="31"/>
      <c r="R22" s="31"/>
      <c r="S22" s="31"/>
      <c r="T22" s="31">
        <f>SUM(Tabla523[[#This Row],[N 2 kg]:[N 500 gr]])</f>
        <v>0</v>
      </c>
      <c r="U22" s="92"/>
    </row>
    <row r="23" spans="1:21" outlineLevel="1" x14ac:dyDescent="0.3">
      <c r="A23" s="165"/>
      <c r="B23" s="43" t="str">
        <f>[1]Personas!A19</f>
        <v>Amelia</v>
      </c>
      <c r="C23" s="3" t="str">
        <f>[1]Personas!B19</f>
        <v>Del Rio</v>
      </c>
      <c r="D23" s="3" t="str">
        <f>[1]Personas!C19</f>
        <v>Candelaria Goyenechea 5765</v>
      </c>
      <c r="E23" s="3" t="str">
        <f>[1]Personas!D19</f>
        <v>Vitacura</v>
      </c>
      <c r="F23" s="3" t="str">
        <f>[1]Personas!E19</f>
        <v>Manquehue</v>
      </c>
      <c r="G23" s="3" t="str">
        <f>[1]Personas!F19</f>
        <v>UCH</v>
      </c>
      <c r="H23" s="3" t="str">
        <f>[1]Personas!G19</f>
        <v>JEFE</v>
      </c>
      <c r="I23" s="40">
        <f>[1]Personas!H19</f>
        <v>56998222891</v>
      </c>
      <c r="J23" s="49" t="str">
        <f>[1]Personas!I19</f>
        <v>adelrioa@fen.uchile.cl</v>
      </c>
      <c r="K23" s="49" t="str">
        <f>[1]Personas!J19</f>
        <v>Ignacio Castañeda</v>
      </c>
      <c r="L23" s="31"/>
      <c r="M23" s="31"/>
      <c r="N23" s="31"/>
      <c r="O23" s="31"/>
      <c r="P23" s="31"/>
      <c r="Q23" s="31"/>
      <c r="R23" s="31"/>
      <c r="S23" s="31"/>
      <c r="T23" s="31">
        <f>SUM(Tabla523[[#This Row],[N 2 kg]:[N 500 gr]])</f>
        <v>0</v>
      </c>
      <c r="U23" s="92"/>
    </row>
    <row r="24" spans="1:21" outlineLevel="1" x14ac:dyDescent="0.3">
      <c r="A24" s="165"/>
      <c r="B24" s="43" t="str">
        <f>[1]Personas!A21</f>
        <v>Pilar</v>
      </c>
      <c r="C24" s="3" t="str">
        <f>[1]Personas!B21</f>
        <v>Edwards</v>
      </c>
      <c r="D24" s="3" t="str">
        <f>[1]Personas!C21</f>
        <v>El Roquerio 2028</v>
      </c>
      <c r="E24" s="3" t="str">
        <f>[1]Personas!D21</f>
        <v>Lo Barnechea</v>
      </c>
      <c r="F24" s="3" t="str">
        <f>[1]Personas!E21</f>
        <v>Los Trapenses</v>
      </c>
      <c r="G24" s="3" t="str">
        <f>[1]Personas!F21</f>
        <v>UDD</v>
      </c>
      <c r="H24" s="3" t="str">
        <f>[1]Personas!G21</f>
        <v>JEFE</v>
      </c>
      <c r="I24" s="40">
        <f>[1]Personas!H21</f>
        <v>56983708702</v>
      </c>
      <c r="J24" s="49" t="str">
        <f>[1]Personas!I21</f>
        <v>piliedwards@gmail.com</v>
      </c>
      <c r="K24" s="49" t="str">
        <f>[1]Personas!J21</f>
        <v>Joaquin Eichholz</v>
      </c>
      <c r="L24" s="31"/>
      <c r="M24" s="31"/>
      <c r="N24" s="31"/>
      <c r="O24" s="31"/>
      <c r="P24" s="31"/>
      <c r="Q24" s="31"/>
      <c r="R24" s="31"/>
      <c r="S24" s="31"/>
      <c r="T24" s="31">
        <f>SUM(Tabla523[[#This Row],[N 2 kg]:[N 500 gr]])</f>
        <v>0</v>
      </c>
      <c r="U24" s="92"/>
    </row>
    <row r="25" spans="1:21" outlineLevel="1" x14ac:dyDescent="0.3">
      <c r="A25" s="165"/>
      <c r="B25" s="43" t="str">
        <f>[1]Personas!A22</f>
        <v>Joaquin</v>
      </c>
      <c r="C25" s="3" t="str">
        <f>[1]Personas!B22</f>
        <v>Eichholz</v>
      </c>
      <c r="D25" s="3" t="str">
        <f>[1]Personas!C22</f>
        <v>Estrella Del Norte 980 Dpto 154</v>
      </c>
      <c r="E25" s="3" t="str">
        <f>[1]Personas!D22</f>
        <v>Las Condes</v>
      </c>
      <c r="F25" s="3" t="str">
        <f>[1]Personas!E22</f>
        <v>Alto Las Condes</v>
      </c>
      <c r="G25" s="3" t="str">
        <f>[1]Personas!F22</f>
        <v>UC</v>
      </c>
      <c r="H25" s="3" t="str">
        <f>[1]Personas!G22</f>
        <v>SOCIO</v>
      </c>
      <c r="I25" s="40">
        <f>[1]Personas!H22</f>
        <v>56996324787</v>
      </c>
      <c r="J25" s="49" t="str">
        <f>[1]Personas!I22</f>
        <v>joaquin.eichholz@gmail.com</v>
      </c>
      <c r="K25" s="49" t="str">
        <f>[1]Personas!J22</f>
        <v>Joaquin Eichholz</v>
      </c>
      <c r="L25" s="31"/>
      <c r="M25" s="31"/>
      <c r="N25" s="31"/>
      <c r="O25" s="31"/>
      <c r="P25" s="31"/>
      <c r="Q25" s="31"/>
      <c r="R25" s="31"/>
      <c r="S25" s="31"/>
      <c r="T25" s="31">
        <f>SUM(Tabla523[[#This Row],[N 2 kg]:[N 500 gr]])</f>
        <v>0</v>
      </c>
      <c r="U25" s="92"/>
    </row>
    <row r="26" spans="1:21" outlineLevel="1" x14ac:dyDescent="0.3">
      <c r="A26" s="165"/>
      <c r="B26" s="43" t="str">
        <f>[1]Personas!A23</f>
        <v>Maria Jesus</v>
      </c>
      <c r="C26" s="3" t="str">
        <f>[1]Personas!B23</f>
        <v>Elias</v>
      </c>
      <c r="D26" s="3" t="str">
        <f>[1]Personas!C23</f>
        <v>Manquehue Norte 555</v>
      </c>
      <c r="E26" s="3" t="str">
        <f>[1]Personas!D23</f>
        <v>Las Condes</v>
      </c>
      <c r="F26" s="3" t="str">
        <f>[1]Personas!E23</f>
        <v>Manquehue</v>
      </c>
      <c r="G26" s="3" t="str">
        <f>[1]Personas!F23</f>
        <v>UDD</v>
      </c>
      <c r="H26" s="3" t="str">
        <f>[1]Personas!G23</f>
        <v>JEFE</v>
      </c>
      <c r="I26" s="40">
        <f>[1]Personas!H23</f>
        <v>56958589916</v>
      </c>
      <c r="J26" s="49" t="str">
        <f>[1]Personas!I23</f>
        <v>meliasm@udd.cl</v>
      </c>
      <c r="K26" s="49" t="str">
        <f>[1]Personas!J23</f>
        <v>Lukas Quense</v>
      </c>
      <c r="L26" s="31"/>
      <c r="M26" s="31"/>
      <c r="N26" s="31"/>
      <c r="O26" s="31"/>
      <c r="P26" s="31"/>
      <c r="Q26" s="31"/>
      <c r="R26" s="31"/>
      <c r="S26" s="31"/>
      <c r="T26" s="31">
        <f>SUM(Tabla523[[#This Row],[N 2 kg]:[N 500 gr]])</f>
        <v>0</v>
      </c>
      <c r="U26" s="92"/>
    </row>
    <row r="27" spans="1:21" outlineLevel="1" x14ac:dyDescent="0.3">
      <c r="A27" s="165"/>
      <c r="B27" s="43" t="str">
        <f>[1]Personas!A24</f>
        <v>Rafael</v>
      </c>
      <c r="C27" s="3" t="str">
        <f>[1]Personas!B24</f>
        <v>Errazuriz</v>
      </c>
      <c r="D27" s="3" t="str">
        <f>[1]Personas!C24</f>
        <v>Pasaje La Aurora 1883</v>
      </c>
      <c r="E27" s="3" t="str">
        <f>[1]Personas!D24</f>
        <v>Vitacura</v>
      </c>
      <c r="F27" s="3" t="str">
        <f>[1]Personas!E24</f>
        <v>Estoril</v>
      </c>
      <c r="G27" s="3" t="str">
        <f>[1]Personas!F24</f>
        <v>UDD</v>
      </c>
      <c r="H27" s="3" t="str">
        <f>[1]Personas!G24</f>
        <v>JEFE</v>
      </c>
      <c r="I27" s="40">
        <f>[1]Personas!H24</f>
        <v>56995483434</v>
      </c>
      <c r="J27" s="49" t="str">
        <f>[1]Personas!I24</f>
        <v>rerrazurizf@udd.cl</v>
      </c>
      <c r="K27" s="49" t="str">
        <f>[1]Personas!J24</f>
        <v>Joaquin Eichholz</v>
      </c>
      <c r="L27" s="31"/>
      <c r="M27" s="31"/>
      <c r="N27" s="31"/>
      <c r="O27" s="31"/>
      <c r="P27" s="31"/>
      <c r="Q27" s="31"/>
      <c r="R27" s="31"/>
      <c r="S27" s="31"/>
      <c r="T27" s="31">
        <f>SUM(Tabla523[[#This Row],[N 2 kg]:[N 500 gr]])</f>
        <v>0</v>
      </c>
      <c r="U27" s="92"/>
    </row>
    <row r="28" spans="1:21" outlineLevel="1" x14ac:dyDescent="0.3">
      <c r="A28" s="165"/>
      <c r="B28" s="43" t="str">
        <f>[1]Personas!A25</f>
        <v>Isidora</v>
      </c>
      <c r="C28" s="3" t="str">
        <f>[1]Personas!B25</f>
        <v>Fernandez</v>
      </c>
      <c r="D28" s="3" t="str">
        <f>[1]Personas!C25</f>
        <v>Casa De Piedra 2628</v>
      </c>
      <c r="E28" s="3" t="str">
        <f>[1]Personas!D25</f>
        <v>Las Condes</v>
      </c>
      <c r="F28" s="3" t="str">
        <f>[1]Personas!E25</f>
        <v>San Carlos</v>
      </c>
      <c r="G28" s="3" t="str">
        <f>[1]Personas!F25</f>
        <v>UAndes</v>
      </c>
      <c r="H28" s="3" t="str">
        <f>[1]Personas!G25</f>
        <v>JEFE</v>
      </c>
      <c r="I28" s="40">
        <f>[1]Personas!H25</f>
        <v>56997550244</v>
      </c>
      <c r="J28" s="49" t="str">
        <f>[1]Personas!I25</f>
        <v>ifernandez1@miuandes.cl</v>
      </c>
      <c r="K28" s="49" t="str">
        <f>[1]Personas!J25</f>
        <v>Joaquin Eichholz</v>
      </c>
      <c r="L28" s="31"/>
      <c r="M28" s="31"/>
      <c r="N28" s="31"/>
      <c r="O28" s="31"/>
      <c r="P28" s="31"/>
      <c r="Q28" s="31"/>
      <c r="R28" s="31"/>
      <c r="S28" s="31"/>
      <c r="T28" s="31">
        <f>SUM(Tabla523[[#This Row],[N 2 kg]:[N 500 gr]])</f>
        <v>0</v>
      </c>
      <c r="U28" s="92"/>
    </row>
    <row r="29" spans="1:21" outlineLevel="1" x14ac:dyDescent="0.3">
      <c r="A29" s="165"/>
      <c r="B29" s="43" t="str">
        <f>[1]Personas!A26</f>
        <v>Maria Luisa</v>
      </c>
      <c r="C29" s="3" t="str">
        <f>[1]Personas!B26</f>
        <v>Fernandez</v>
      </c>
      <c r="D29" s="3" t="str">
        <f>[1]Personas!C26</f>
        <v>La Invernada 7005</v>
      </c>
      <c r="E29" s="3" t="str">
        <f>[1]Personas!D26</f>
        <v>Vitacura</v>
      </c>
      <c r="F29" s="3" t="str">
        <f>[1]Personas!E26</f>
        <v>Santa Maria</v>
      </c>
      <c r="G29" s="3" t="str">
        <f>[1]Personas!F26</f>
        <v>UCH</v>
      </c>
      <c r="H29" s="3" t="str">
        <f>[1]Personas!G26</f>
        <v>JEFE</v>
      </c>
      <c r="I29" s="40">
        <f>[1]Personas!H26</f>
        <v>56982978895</v>
      </c>
      <c r="J29" s="49" t="str">
        <f>[1]Personas!I26</f>
        <v>guisa97@hotmail.com</v>
      </c>
      <c r="K29" s="49" t="str">
        <f>[1]Personas!J26</f>
        <v>Lukas Quense</v>
      </c>
      <c r="L29" s="31"/>
      <c r="M29" s="31"/>
      <c r="N29" s="31"/>
      <c r="O29" s="31"/>
      <c r="P29" s="31"/>
      <c r="Q29" s="31"/>
      <c r="R29" s="31"/>
      <c r="S29" s="31"/>
      <c r="T29" s="31">
        <f>SUM(Tabla523[[#This Row],[N 2 kg]:[N 500 gr]])</f>
        <v>0</v>
      </c>
      <c r="U29" s="92"/>
    </row>
    <row r="30" spans="1:21" outlineLevel="1" x14ac:dyDescent="0.3">
      <c r="A30" s="165"/>
      <c r="B30" s="43" t="str">
        <f>[1]Personas!A27</f>
        <v>Rodrigo</v>
      </c>
      <c r="C30" s="3" t="str">
        <f>[1]Personas!B27</f>
        <v>Fernandez</v>
      </c>
      <c r="D30" s="3" t="str">
        <f>[1]Personas!C27</f>
        <v>Las Hualtatas 4555 Casa 9</v>
      </c>
      <c r="E30" s="3" t="str">
        <f>[1]Personas!D27</f>
        <v>Lo Barnechea</v>
      </c>
      <c r="F30" s="3" t="str">
        <f>[1]Personas!E27</f>
        <v>Los Trapenses</v>
      </c>
      <c r="G30" s="3" t="str">
        <f>[1]Personas!F27</f>
        <v>UC</v>
      </c>
      <c r="H30" s="3" t="str">
        <f>[1]Personas!G27</f>
        <v>JEFE</v>
      </c>
      <c r="I30" s="40">
        <f>[1]Personas!H27</f>
        <v>56986194003</v>
      </c>
      <c r="J30" s="49" t="str">
        <f>[1]Personas!I27</f>
        <v>rfernandezdelrio@uc.cl</v>
      </c>
      <c r="K30" s="49" t="str">
        <f>[1]Personas!J27</f>
        <v>Lukas Quense</v>
      </c>
      <c r="L30" s="31"/>
      <c r="M30" s="31"/>
      <c r="N30" s="31"/>
      <c r="O30" s="31"/>
      <c r="P30" s="31"/>
      <c r="Q30" s="31"/>
      <c r="R30" s="31"/>
      <c r="S30" s="31"/>
      <c r="T30" s="31">
        <f>SUM(Tabla523[[#This Row],[N 2 kg]:[N 500 gr]])</f>
        <v>0</v>
      </c>
      <c r="U30" s="92"/>
    </row>
    <row r="31" spans="1:21" outlineLevel="1" x14ac:dyDescent="0.3">
      <c r="A31" s="165"/>
      <c r="B31" s="43" t="str">
        <f>[1]Personas!A28</f>
        <v>Tere</v>
      </c>
      <c r="C31" s="3" t="str">
        <f>[1]Personas!B28</f>
        <v>Fernandez</v>
      </c>
      <c r="D31" s="3" t="str">
        <f>[1]Personas!C28</f>
        <v>Las Torcazas 3080</v>
      </c>
      <c r="E31" s="3" t="str">
        <f>[1]Personas!D28</f>
        <v>Chicureo</v>
      </c>
      <c r="F31" s="3" t="str">
        <f>[1]Personas!E28</f>
        <v>Colina</v>
      </c>
      <c r="G31" s="3" t="str">
        <f>[1]Personas!F28</f>
        <v>Highlands</v>
      </c>
      <c r="H31" s="3" t="str">
        <f>[1]Personas!G28</f>
        <v>JEFE</v>
      </c>
      <c r="I31" s="40">
        <f>[1]Personas!H28</f>
        <v>56965542496</v>
      </c>
      <c r="J31" s="49" t="str">
        <f>[1]Personas!I28</f>
        <v>terefernandez99@yahoo.com</v>
      </c>
      <c r="K31" s="49" t="str">
        <f>[1]Personas!J28</f>
        <v>Lukas Quense</v>
      </c>
      <c r="L31" s="31"/>
      <c r="M31" s="31"/>
      <c r="N31" s="31"/>
      <c r="O31" s="31"/>
      <c r="P31" s="31"/>
      <c r="Q31" s="31"/>
      <c r="R31" s="31"/>
      <c r="S31" s="31"/>
      <c r="T31" s="31">
        <f>SUM(Tabla523[[#This Row],[N 2 kg]:[N 500 gr]])</f>
        <v>0</v>
      </c>
      <c r="U31" s="92"/>
    </row>
    <row r="32" spans="1:21" outlineLevel="1" x14ac:dyDescent="0.3">
      <c r="A32" s="165"/>
      <c r="B32" s="43" t="str">
        <f>[1]Personas!A29</f>
        <v>Diego</v>
      </c>
      <c r="C32" s="3" t="str">
        <f>[1]Personas!B29</f>
        <v>Figueroa</v>
      </c>
      <c r="D32" s="3" t="str">
        <f>[1]Personas!C29</f>
        <v>Las Lavandulas 10006</v>
      </c>
      <c r="E32" s="3" t="str">
        <f>[1]Personas!D29</f>
        <v>Las Condes</v>
      </c>
      <c r="F32" s="3" t="str">
        <f>[1]Personas!E29</f>
        <v>San Carlos</v>
      </c>
      <c r="G32" s="3">
        <f>[1]Personas!F29</f>
        <v>0</v>
      </c>
      <c r="H32" s="3" t="str">
        <f>[1]Personas!G29</f>
        <v>JEFE</v>
      </c>
      <c r="I32" s="40">
        <f>[1]Personas!H29</f>
        <v>56979579233</v>
      </c>
      <c r="J32" s="49" t="str">
        <f>[1]Personas!I29</f>
        <v>diegofiba2@gmail.com</v>
      </c>
      <c r="K32" s="49" t="str">
        <f>[1]Personas!J29</f>
        <v>Joaquin Eichholz</v>
      </c>
      <c r="L32" s="31"/>
      <c r="M32" s="31"/>
      <c r="N32" s="31"/>
      <c r="O32" s="31"/>
      <c r="P32" s="31"/>
      <c r="Q32" s="31"/>
      <c r="R32" s="31"/>
      <c r="S32" s="31"/>
      <c r="T32" s="31">
        <f>SUM(Tabla523[[#This Row],[N 2 kg]:[N 500 gr]])</f>
        <v>0</v>
      </c>
      <c r="U32" s="92"/>
    </row>
    <row r="33" spans="1:21" outlineLevel="1" x14ac:dyDescent="0.3">
      <c r="A33" s="165"/>
      <c r="B33" s="43" t="str">
        <f>[1]Personas!A30</f>
        <v>Matias</v>
      </c>
      <c r="C33" s="3" t="str">
        <f>[1]Personas!B30</f>
        <v>Flores</v>
      </c>
      <c r="D33" s="3" t="str">
        <f>[1]Personas!C30</f>
        <v>Condominio Sta Teresita P14 Sta Ester De Liray</v>
      </c>
      <c r="E33" s="3" t="str">
        <f>[1]Personas!D30</f>
        <v>Chicureo</v>
      </c>
      <c r="F33" s="3" t="str">
        <f>[1]Personas!E30</f>
        <v>Lo Pinto</v>
      </c>
      <c r="G33" s="3" t="str">
        <f>[1]Personas!F30</f>
        <v>UDD</v>
      </c>
      <c r="H33" s="3" t="str">
        <f>[1]Personas!G30</f>
        <v>JEFE</v>
      </c>
      <c r="I33" s="40">
        <f>[1]Personas!H30</f>
        <v>56986351953</v>
      </c>
      <c r="J33" s="49" t="str">
        <f>[1]Personas!I30</f>
        <v>matifloresdonetch@hotmail.com</v>
      </c>
      <c r="K33" s="49" t="str">
        <f>[1]Personas!J30</f>
        <v>Ignacio Castañeda</v>
      </c>
      <c r="L33" s="31"/>
      <c r="M33" s="31"/>
      <c r="N33" s="31"/>
      <c r="O33" s="31"/>
      <c r="P33" s="31"/>
      <c r="Q33" s="31"/>
      <c r="R33" s="31"/>
      <c r="S33" s="31"/>
      <c r="T33" s="31">
        <f>SUM(Tabla523[[#This Row],[N 2 kg]:[N 500 gr]])</f>
        <v>0</v>
      </c>
      <c r="U33" s="92"/>
    </row>
    <row r="34" spans="1:21" outlineLevel="1" x14ac:dyDescent="0.3">
      <c r="A34" s="165"/>
      <c r="B34" s="43" t="str">
        <f>[1]Personas!A31</f>
        <v>Benjamin</v>
      </c>
      <c r="C34" s="3" t="str">
        <f>[1]Personas!B31</f>
        <v>Hartmann</v>
      </c>
      <c r="D34" s="3" t="str">
        <f>[1]Personas!C31</f>
        <v>Camino Otonal 1368 Casa 6</v>
      </c>
      <c r="E34" s="3" t="str">
        <f>[1]Personas!D31</f>
        <v>Las Condes</v>
      </c>
      <c r="F34" s="3" t="str">
        <f>[1]Personas!E31</f>
        <v>San Carlos</v>
      </c>
      <c r="G34" s="3" t="str">
        <f>[1]Personas!F31</f>
        <v>UC</v>
      </c>
      <c r="H34" s="3" t="str">
        <f>[1]Personas!G31</f>
        <v>JEFE</v>
      </c>
      <c r="I34" s="40">
        <f>[1]Personas!H31</f>
        <v>56982958975</v>
      </c>
      <c r="J34" s="49" t="str">
        <f>[1]Personas!I31</f>
        <v>hartmann12@gmail.com</v>
      </c>
      <c r="K34" s="49" t="str">
        <f>[1]Personas!J31</f>
        <v>Ignacio Castañeda</v>
      </c>
      <c r="L34" s="31"/>
      <c r="M34" s="31"/>
      <c r="N34" s="31"/>
      <c r="O34" s="31"/>
      <c r="P34" s="31"/>
      <c r="Q34" s="31"/>
      <c r="R34" s="31"/>
      <c r="S34" s="31"/>
      <c r="T34" s="31">
        <f>SUM(Tabla523[[#This Row],[N 2 kg]:[N 500 gr]])</f>
        <v>0</v>
      </c>
      <c r="U34" s="92"/>
    </row>
    <row r="35" spans="1:21" outlineLevel="1" x14ac:dyDescent="0.3">
      <c r="A35" s="165"/>
      <c r="B35" s="43" t="str">
        <f>[1]Personas!A32</f>
        <v>Mauricio</v>
      </c>
      <c r="C35" s="3" t="str">
        <f>[1]Personas!B32</f>
        <v>Hernandez</v>
      </c>
      <c r="D35" s="3" t="str">
        <f>[1]Personas!C32</f>
        <v>Julia Bernstein 607 Casa G-40</v>
      </c>
      <c r="E35" s="3" t="str">
        <f>[1]Personas!D32</f>
        <v>La Reina</v>
      </c>
      <c r="F35" s="3" t="str">
        <f>[1]Personas!E32</f>
        <v>La Reina</v>
      </c>
      <c r="G35" s="3" t="str">
        <f>[1]Personas!F32</f>
        <v>UCH</v>
      </c>
      <c r="H35" s="3" t="str">
        <f>[1]Personas!G32</f>
        <v>JEFE</v>
      </c>
      <c r="I35" s="40">
        <f>[1]Personas!H32</f>
        <v>56965951459</v>
      </c>
      <c r="J35" s="49" t="str">
        <f>[1]Personas!I32</f>
        <v>mauhernand@fen.uchile.cl</v>
      </c>
      <c r="K35" s="49" t="str">
        <f>[1]Personas!J32</f>
        <v>Lukas Quense</v>
      </c>
      <c r="L35" s="31"/>
      <c r="M35" s="31"/>
      <c r="N35" s="31"/>
      <c r="O35" s="31"/>
      <c r="P35" s="31"/>
      <c r="Q35" s="31"/>
      <c r="R35" s="31"/>
      <c r="S35" s="31"/>
      <c r="T35" s="31">
        <f>SUM(Tabla523[[#This Row],[N 2 kg]:[N 500 gr]])</f>
        <v>0</v>
      </c>
      <c r="U35" s="92"/>
    </row>
    <row r="36" spans="1:21" outlineLevel="1" x14ac:dyDescent="0.3">
      <c r="A36" s="165"/>
      <c r="B36" s="43" t="str">
        <f>[1]Personas!A33</f>
        <v>Andres</v>
      </c>
      <c r="C36" s="3" t="str">
        <f>[1]Personas!B33</f>
        <v>Infante</v>
      </c>
      <c r="D36" s="3" t="str">
        <f>[1]Personas!C33</f>
        <v>Camino De Las Ermitas 3804</v>
      </c>
      <c r="E36" s="3" t="str">
        <f>[1]Personas!D33</f>
        <v>Lo Barnechea</v>
      </c>
      <c r="F36" s="3" t="str">
        <f>[1]Personas!E33</f>
        <v>Los Trapenses</v>
      </c>
      <c r="G36" s="3" t="str">
        <f>[1]Personas!F33</f>
        <v>UAI</v>
      </c>
      <c r="H36" s="3" t="str">
        <f>[1]Personas!G33</f>
        <v>JEFE</v>
      </c>
      <c r="I36" s="40">
        <f>[1]Personas!H33</f>
        <v>56979891544</v>
      </c>
      <c r="J36" s="49" t="str">
        <f>[1]Personas!I33</f>
        <v>andres_infanter@hotmail.com</v>
      </c>
      <c r="K36" s="49" t="str">
        <f>[1]Personas!J33</f>
        <v>Lukas Quense</v>
      </c>
      <c r="L36" s="31"/>
      <c r="M36" s="31"/>
      <c r="N36" s="31"/>
      <c r="O36" s="31"/>
      <c r="P36" s="31"/>
      <c r="Q36" s="31"/>
      <c r="R36" s="31"/>
      <c r="S36" s="31"/>
      <c r="T36" s="31">
        <f>SUM(Tabla523[[#This Row],[N 2 kg]:[N 500 gr]])</f>
        <v>0</v>
      </c>
      <c r="U36" s="92"/>
    </row>
    <row r="37" spans="1:21" outlineLevel="1" x14ac:dyDescent="0.3">
      <c r="A37" s="165"/>
      <c r="B37" s="43" t="str">
        <f>[1]Personas!A34</f>
        <v>Cata</v>
      </c>
      <c r="C37" s="3" t="str">
        <f>[1]Personas!B34</f>
        <v>Izcue</v>
      </c>
      <c r="D37" s="3" t="str">
        <f>[1]Personas!C38</f>
        <v>Las Hualtatas 10725</v>
      </c>
      <c r="E37" s="3" t="str">
        <f>[1]Personas!D38</f>
        <v>Vitacura</v>
      </c>
      <c r="F37" s="3" t="str">
        <f>[1]Personas!E38</f>
        <v>Estoril</v>
      </c>
      <c r="G37" s="3" t="str">
        <f>[1]Personas!F34</f>
        <v>Los Andes</v>
      </c>
      <c r="H37" s="3" t="str">
        <f>[1]Personas!G34</f>
        <v>JEFE</v>
      </c>
      <c r="I37" s="40">
        <f>[1]Personas!H34</f>
        <v>56995952212</v>
      </c>
      <c r="J37" s="49" t="str">
        <f>[1]Personas!I34</f>
        <v>cataizcue@gmail.com</v>
      </c>
      <c r="K37" s="49" t="str">
        <f>[1]Personas!J34</f>
        <v>Lukas Quense</v>
      </c>
      <c r="L37" s="31"/>
      <c r="M37" s="31"/>
      <c r="N37" s="31"/>
      <c r="O37" s="31"/>
      <c r="P37" s="31"/>
      <c r="Q37" s="31"/>
      <c r="R37" s="31"/>
      <c r="S37" s="31"/>
      <c r="T37" s="31">
        <f>SUM(Tabla523[[#This Row],[N 2 kg]:[N 500 gr]])</f>
        <v>0</v>
      </c>
      <c r="U37" s="92"/>
    </row>
    <row r="38" spans="1:21" outlineLevel="1" x14ac:dyDescent="0.3">
      <c r="A38" s="165"/>
      <c r="B38" s="43" t="str">
        <f>[1]Personas!A35</f>
        <v>Margarita</v>
      </c>
      <c r="C38" s="3" t="str">
        <f>[1]Personas!B35</f>
        <v>Joglar</v>
      </c>
      <c r="D38" s="3" t="str">
        <f>[1]Personas!C35</f>
        <v>Camino Los Trapenses 4860 Casa 9</v>
      </c>
      <c r="E38" s="3" t="str">
        <f>[1]Personas!D35</f>
        <v>Lo Barnechea</v>
      </c>
      <c r="F38" s="3" t="str">
        <f>[1]Personas!E35</f>
        <v>Los Trapenses</v>
      </c>
      <c r="G38" s="3">
        <f>[1]Personas!F35</f>
        <v>0</v>
      </c>
      <c r="H38" s="3" t="str">
        <f>[1]Personas!G35</f>
        <v>JEFE</v>
      </c>
      <c r="I38" s="40">
        <f>[1]Personas!H35</f>
        <v>56963124612</v>
      </c>
      <c r="J38" s="49" t="str">
        <f>[1]Personas!I35</f>
        <v>magui.joglar22@gmail.com</v>
      </c>
      <c r="K38" s="49" t="str">
        <f>[1]Personas!J35</f>
        <v>Lukas Quense</v>
      </c>
      <c r="L38" s="31"/>
      <c r="M38" s="31"/>
      <c r="N38" s="31"/>
      <c r="O38" s="31"/>
      <c r="P38" s="31"/>
      <c r="Q38" s="31"/>
      <c r="R38" s="31"/>
      <c r="S38" s="31"/>
      <c r="T38" s="31">
        <f>SUM(Tabla523[[#This Row],[N 2 kg]:[N 500 gr]])</f>
        <v>0</v>
      </c>
      <c r="U38" s="92"/>
    </row>
    <row r="39" spans="1:21" outlineLevel="1" x14ac:dyDescent="0.3">
      <c r="A39" s="165"/>
      <c r="B39" s="43" t="str">
        <f>[1]Personas!A36</f>
        <v>Ric</v>
      </c>
      <c r="C39" s="3" t="str">
        <f>[1]Personas!B36</f>
        <v>Jungk</v>
      </c>
      <c r="D39" s="3" t="str">
        <f>[1]Personas!C36</f>
        <v>Pasaje Pie Andino 4209A</v>
      </c>
      <c r="E39" s="3" t="str">
        <f>[1]Personas!D36</f>
        <v>Lo Barnechea</v>
      </c>
      <c r="F39" s="3" t="str">
        <f>[1]Personas!E36</f>
        <v>La Dehesa</v>
      </c>
      <c r="G39" s="3" t="str">
        <f>[1]Personas!F36</f>
        <v>UAndes</v>
      </c>
      <c r="H39" s="3" t="str">
        <f>[1]Personas!G36</f>
        <v>JEFE</v>
      </c>
      <c r="I39" s="40">
        <f>[1]Personas!H36</f>
        <v>56966477967</v>
      </c>
      <c r="J39" s="49" t="str">
        <f>[1]Personas!I36</f>
        <v>rtjungk@miuandes.cl</v>
      </c>
      <c r="K39" s="49" t="str">
        <f>[1]Personas!J36</f>
        <v>Ignacio Castañeda</v>
      </c>
      <c r="L39" s="31"/>
      <c r="M39" s="31"/>
      <c r="N39" s="31"/>
      <c r="O39" s="31"/>
      <c r="P39" s="31"/>
      <c r="Q39" s="31"/>
      <c r="R39" s="31"/>
      <c r="S39" s="31"/>
      <c r="T39" s="31">
        <f>SUM(Tabla523[[#This Row],[N 2 kg]:[N 500 gr]])</f>
        <v>0</v>
      </c>
      <c r="U39" s="92"/>
    </row>
    <row r="40" spans="1:21" outlineLevel="1" x14ac:dyDescent="0.3">
      <c r="A40" s="165"/>
      <c r="B40" s="43" t="str">
        <f>[1]Personas!A37</f>
        <v>Matias</v>
      </c>
      <c r="C40" s="3" t="str">
        <f>[1]Personas!B37</f>
        <v>Krumm</v>
      </c>
      <c r="D40" s="3" t="str">
        <f>[1]Personas!C37</f>
        <v>La Cienaga 12315</v>
      </c>
      <c r="E40" s="3" t="str">
        <f>[1]Personas!D37</f>
        <v>Lo Barnechea</v>
      </c>
      <c r="F40" s="3" t="str">
        <f>[1]Personas!E37</f>
        <v>La Dehesa</v>
      </c>
      <c r="G40" s="3" t="str">
        <f>[1]Personas!F37</f>
        <v>UAI</v>
      </c>
      <c r="H40" s="3" t="str">
        <f>[1]Personas!G37</f>
        <v>JEFE</v>
      </c>
      <c r="I40" s="40">
        <f>[1]Personas!H37</f>
        <v>56988587944</v>
      </c>
      <c r="J40" s="49" t="str">
        <f>[1]Personas!I37</f>
        <v>matiask7@gmail.com</v>
      </c>
      <c r="K40" s="49" t="str">
        <f>[1]Personas!J37</f>
        <v>Lukas Quense</v>
      </c>
      <c r="L40" s="31"/>
      <c r="M40" s="31"/>
      <c r="N40" s="31"/>
      <c r="O40" s="31"/>
      <c r="P40" s="31"/>
      <c r="Q40" s="31"/>
      <c r="R40" s="31"/>
      <c r="S40" s="31"/>
      <c r="T40" s="31">
        <f>SUM(Tabla523[[#This Row],[N 2 kg]:[N 500 gr]])</f>
        <v>0</v>
      </c>
      <c r="U40" s="92"/>
    </row>
    <row r="41" spans="1:21" outlineLevel="1" x14ac:dyDescent="0.3">
      <c r="A41" s="165"/>
      <c r="B41" s="43" t="str">
        <f>[1]Personas!A38</f>
        <v>Juan Diego</v>
      </c>
      <c r="C41" s="3" t="str">
        <f>[1]Personas!B38</f>
        <v>Lyon</v>
      </c>
      <c r="D41" s="3" t="e">
        <f>[1]Personas!#REF!</f>
        <v>#REF!</v>
      </c>
      <c r="E41" s="3" t="e">
        <f>[1]Personas!#REF!</f>
        <v>#REF!</v>
      </c>
      <c r="F41" s="3" t="e">
        <f>[1]Personas!#REF!</f>
        <v>#REF!</v>
      </c>
      <c r="G41" s="3" t="str">
        <f>[1]Personas!F38</f>
        <v>UAndes</v>
      </c>
      <c r="H41" s="3" t="str">
        <f>[1]Personas!G38</f>
        <v>JEFE</v>
      </c>
      <c r="I41" s="40">
        <f>[1]Personas!H38</f>
        <v>56977684576</v>
      </c>
      <c r="J41" s="49" t="str">
        <f>[1]Personas!I38</f>
        <v>juandiegolyon@gmail.com</v>
      </c>
      <c r="K41" s="49" t="str">
        <f>[1]Personas!J38</f>
        <v>Joaquin Eichholz</v>
      </c>
      <c r="L41" s="31"/>
      <c r="M41" s="31"/>
      <c r="N41" s="31"/>
      <c r="O41" s="31"/>
      <c r="P41" s="31"/>
      <c r="Q41" s="31"/>
      <c r="R41" s="31"/>
      <c r="S41" s="31"/>
      <c r="T41" s="31">
        <f>SUM(Tabla523[[#This Row],[N 2 kg]:[N 500 gr]])</f>
        <v>0</v>
      </c>
      <c r="U41" s="92"/>
    </row>
    <row r="42" spans="1:21" outlineLevel="1" x14ac:dyDescent="0.3">
      <c r="A42" s="165"/>
      <c r="B42" s="43" t="str">
        <f>[1]Personas!A39</f>
        <v>Bernardita</v>
      </c>
      <c r="C42" s="3" t="str">
        <f>[1]Personas!B39</f>
        <v>Mackenney</v>
      </c>
      <c r="D42" s="3" t="str">
        <f>[1]Personas!C39</f>
        <v>La Fontana 11221</v>
      </c>
      <c r="E42" s="3" t="str">
        <f>[1]Personas!D39</f>
        <v>Las Condes</v>
      </c>
      <c r="F42" s="3" t="str">
        <f>[1]Personas!E39</f>
        <v>San Carlos</v>
      </c>
      <c r="G42" s="3" t="str">
        <f>[1]Personas!F39</f>
        <v>UC</v>
      </c>
      <c r="H42" s="3" t="str">
        <f>[1]Personas!G39</f>
        <v>JEFE</v>
      </c>
      <c r="I42" s="40">
        <f>[1]Personas!H39</f>
        <v>56978785698</v>
      </c>
      <c r="J42" s="49" t="str">
        <f>[1]Personas!I39</f>
        <v>bmackenney@uc.cl</v>
      </c>
      <c r="K42" s="49" t="str">
        <f>[1]Personas!J39</f>
        <v>Joaquin Eichholz</v>
      </c>
      <c r="L42" s="31"/>
      <c r="M42" s="31"/>
      <c r="N42" s="31"/>
      <c r="O42" s="31"/>
      <c r="P42" s="31"/>
      <c r="Q42" s="31"/>
      <c r="R42" s="31"/>
      <c r="S42" s="31"/>
      <c r="T42" s="31">
        <f>SUM(Tabla523[[#This Row],[N 2 kg]:[N 500 gr]])</f>
        <v>0</v>
      </c>
      <c r="U42" s="92"/>
    </row>
    <row r="43" spans="1:21" outlineLevel="1" x14ac:dyDescent="0.3">
      <c r="A43" s="165"/>
      <c r="B43" s="43" t="str">
        <f>[1]Personas!A40</f>
        <v>Michella</v>
      </c>
      <c r="C43" s="3" t="str">
        <f>[1]Personas!B40</f>
        <v>Mascarello</v>
      </c>
      <c r="D43" s="3" t="str">
        <f>[1]Personas!C40</f>
        <v>Quinchamali 14336</v>
      </c>
      <c r="E43" s="3" t="str">
        <f>[1]Personas!D40</f>
        <v>Las Condes</v>
      </c>
      <c r="F43" s="3" t="str">
        <f>[1]Personas!E40</f>
        <v>Quinchamali</v>
      </c>
      <c r="G43" s="3" t="str">
        <f>[1]Personas!F40</f>
        <v>UC</v>
      </c>
      <c r="H43" s="3" t="str">
        <f>[1]Personas!G40</f>
        <v>JEFE</v>
      </c>
      <c r="I43" s="40">
        <f>[1]Personas!H40</f>
        <v>56979878976</v>
      </c>
      <c r="J43" s="49" t="str">
        <f>[1]Personas!I40</f>
        <v>miki.mascarello@gmail.com</v>
      </c>
      <c r="K43" s="49" t="str">
        <f>[1]Personas!J40</f>
        <v>Joaquin Eichholz</v>
      </c>
      <c r="L43" s="31"/>
      <c r="M43" s="31"/>
      <c r="N43" s="31"/>
      <c r="O43" s="31"/>
      <c r="P43" s="31"/>
      <c r="Q43" s="31"/>
      <c r="R43" s="31"/>
      <c r="S43" s="31"/>
      <c r="T43" s="31">
        <f>SUM(Tabla523[[#This Row],[N 2 kg]:[N 500 gr]])</f>
        <v>0</v>
      </c>
      <c r="U43" s="92"/>
    </row>
    <row r="44" spans="1:21" outlineLevel="1" x14ac:dyDescent="0.3">
      <c r="A44" s="165"/>
      <c r="B44" s="43" t="str">
        <f>[1]Personas!A41</f>
        <v>Vicente</v>
      </c>
      <c r="C44" s="3" t="str">
        <f>[1]Personas!B41</f>
        <v>Mayol</v>
      </c>
      <c r="D44" s="3" t="str">
        <f>[1]Personas!C41</f>
        <v>Paseo Pie Andino 6500 Casa O</v>
      </c>
      <c r="E44" s="3" t="str">
        <f>[1]Personas!D41</f>
        <v>Lo Barnechea</v>
      </c>
      <c r="F44" s="3" t="str">
        <f>[1]Personas!E41</f>
        <v>Los Trapenses</v>
      </c>
      <c r="G44" s="3" t="str">
        <f>[1]Personas!F41</f>
        <v>Monte Tabor</v>
      </c>
      <c r="H44" s="3" t="str">
        <f>[1]Personas!G41</f>
        <v>JEFE</v>
      </c>
      <c r="I44" s="40">
        <f>[1]Personas!H41</f>
        <v>56978189115</v>
      </c>
      <c r="J44" s="49" t="str">
        <f>[1]Personas!I41</f>
        <v>vmayol@live.cl</v>
      </c>
      <c r="K44" s="49" t="str">
        <f>[1]Personas!J41</f>
        <v>Lukas Quense</v>
      </c>
      <c r="L44" s="31"/>
      <c r="M44" s="31"/>
      <c r="N44" s="31"/>
      <c r="O44" s="31"/>
      <c r="P44" s="31"/>
      <c r="Q44" s="31"/>
      <c r="R44" s="31"/>
      <c r="S44" s="31"/>
      <c r="T44" s="31">
        <f>SUM(Tabla523[[#This Row],[N 2 kg]:[N 500 gr]])</f>
        <v>0</v>
      </c>
      <c r="U44" s="92"/>
    </row>
    <row r="45" spans="1:21" outlineLevel="1" x14ac:dyDescent="0.3">
      <c r="A45" s="165"/>
      <c r="B45" s="22" t="str">
        <f>[1]Personas!A43</f>
        <v>Ignacio</v>
      </c>
      <c r="C45" s="5" t="str">
        <f>[1]Personas!B43</f>
        <v>Montt</v>
      </c>
      <c r="D45" s="4" t="str">
        <f>[1]Personas!C43</f>
        <v>Rio Maule 475</v>
      </c>
      <c r="E45" s="4" t="str">
        <f>[1]Personas!D43</f>
        <v>Las Condes</v>
      </c>
      <c r="F45" s="4" t="str">
        <f>[1]Personas!E43</f>
        <v>Estoril</v>
      </c>
      <c r="G45" s="4">
        <f>[1]Personas!F43</f>
        <v>0</v>
      </c>
      <c r="H45" s="4" t="str">
        <f>[1]Personas!G43</f>
        <v>JEFE</v>
      </c>
      <c r="I45" s="40">
        <f>[1]Personas!H43</f>
        <v>56954243532</v>
      </c>
      <c r="J45" s="49" t="str">
        <f>[1]Personas!I43</f>
        <v>imontt@miuandes.cl</v>
      </c>
      <c r="K45" s="49" t="str">
        <f>[1]Personas!J43</f>
        <v>Joaquin Eichholz</v>
      </c>
      <c r="L45" s="31"/>
      <c r="M45" s="31"/>
      <c r="N45" s="31"/>
      <c r="O45" s="31"/>
      <c r="P45" s="31"/>
      <c r="Q45" s="31"/>
      <c r="R45" s="31"/>
      <c r="S45" s="31"/>
      <c r="T45" s="31">
        <f>SUM(Tabla523[[#This Row],[N 2 kg]:[N 500 gr]])</f>
        <v>0</v>
      </c>
      <c r="U45" s="92"/>
    </row>
    <row r="46" spans="1:21" outlineLevel="1" x14ac:dyDescent="0.3">
      <c r="A46" s="165"/>
      <c r="B46" s="43" t="str">
        <f>[1]Personas!A42</f>
        <v>Jesu</v>
      </c>
      <c r="C46" s="3" t="str">
        <f>[1]Personas!B42</f>
        <v>Mckay</v>
      </c>
      <c r="D46" s="3" t="str">
        <f>[1]Personas!C42</f>
        <v>Blvd Jardin De Los Pajaros 4700 Casa 5</v>
      </c>
      <c r="E46" s="3" t="str">
        <f>[1]Personas!D42</f>
        <v>Lo Barnechea</v>
      </c>
      <c r="F46" s="3" t="str">
        <f>[1]Personas!E42</f>
        <v>Los Trapenses</v>
      </c>
      <c r="G46" s="3" t="str">
        <f>[1]Personas!F42</f>
        <v>CLA</v>
      </c>
      <c r="H46" s="3" t="str">
        <f>[1]Personas!G42</f>
        <v>JEFE</v>
      </c>
      <c r="I46" s="40">
        <f>[1]Personas!H42</f>
        <v>56971837517</v>
      </c>
      <c r="J46" s="49" t="str">
        <f>[1]Personas!I42</f>
        <v>jesumckayg@hotmail.com</v>
      </c>
      <c r="K46" s="49" t="str">
        <f>[1]Personas!J42</f>
        <v>Joaquin Eichholz</v>
      </c>
      <c r="L46" s="31"/>
      <c r="M46" s="31"/>
      <c r="N46" s="31"/>
      <c r="O46" s="31"/>
      <c r="P46" s="31"/>
      <c r="Q46" s="31"/>
      <c r="R46" s="31"/>
      <c r="S46" s="31"/>
      <c r="T46" s="31">
        <f>SUM(Tabla523[[#This Row],[N 2 kg]:[N 500 gr]])</f>
        <v>0</v>
      </c>
      <c r="U46" s="92"/>
    </row>
    <row r="47" spans="1:21" outlineLevel="1" x14ac:dyDescent="0.3">
      <c r="A47" s="165"/>
      <c r="B47" s="22" t="str">
        <f>[1]Personas!A44</f>
        <v>Rodrigo</v>
      </c>
      <c r="C47" s="5" t="str">
        <f>[1]Personas!B44</f>
        <v>Morales</v>
      </c>
      <c r="D47" s="4" t="str">
        <f>[1]Personas!C44</f>
        <v>Los Trapenses 3230</v>
      </c>
      <c r="E47" s="4" t="str">
        <f>[1]Personas!D44</f>
        <v>Lo Barnechea</v>
      </c>
      <c r="F47" s="4" t="str">
        <f>[1]Personas!E44</f>
        <v>Los Trapenses</v>
      </c>
      <c r="G47" s="4" t="str">
        <f>[1]Personas!F44</f>
        <v>UDD</v>
      </c>
      <c r="H47" s="4" t="str">
        <f>[1]Personas!G44</f>
        <v>JEFE</v>
      </c>
      <c r="I47" s="40">
        <f>[1]Personas!H44</f>
        <v>56975684552</v>
      </c>
      <c r="J47" s="49" t="str">
        <f>[1]Personas!I44</f>
        <v>morales.villar25@gmail.com</v>
      </c>
      <c r="K47" s="49" t="str">
        <f>[1]Personas!J44</f>
        <v>Ignacio Castañeda</v>
      </c>
      <c r="L47" s="31"/>
      <c r="M47" s="31"/>
      <c r="N47" s="31"/>
      <c r="O47" s="31"/>
      <c r="P47" s="31"/>
      <c r="Q47" s="31"/>
      <c r="R47" s="31"/>
      <c r="S47" s="31"/>
      <c r="T47" s="31">
        <f>SUM(Tabla523[[#This Row],[N 2 kg]:[N 500 gr]])</f>
        <v>0</v>
      </c>
      <c r="U47" s="92"/>
    </row>
    <row r="48" spans="1:21" outlineLevel="1" x14ac:dyDescent="0.3">
      <c r="A48" s="165"/>
      <c r="B48" s="22" t="str">
        <f>[1]Personas!A45</f>
        <v>Ignacio</v>
      </c>
      <c r="C48" s="5" t="str">
        <f>[1]Personas!B45</f>
        <v>Morales</v>
      </c>
      <c r="D48" s="4" t="str">
        <f>[1]Personas!C45</f>
        <v>Cristobal Colon 4696 Dpto 1403</v>
      </c>
      <c r="E48" s="4" t="str">
        <f>[1]Personas!D45</f>
        <v>Las Condes</v>
      </c>
      <c r="F48" s="4" t="str">
        <f>[1]Personas!E45</f>
        <v>Colon</v>
      </c>
      <c r="G48" s="4" t="str">
        <f>[1]Personas!F45</f>
        <v>UC</v>
      </c>
      <c r="H48" s="4" t="str">
        <f>[1]Personas!G45</f>
        <v>JEFE</v>
      </c>
      <c r="I48" s="40">
        <f>[1]Personas!H45</f>
        <v>56993024442</v>
      </c>
      <c r="J48" s="49" t="str">
        <f>[1]Personas!I45</f>
        <v>ibmorales@uc.cl</v>
      </c>
      <c r="K48" s="49" t="str">
        <f>[1]Personas!J45</f>
        <v>Lukas Quense</v>
      </c>
      <c r="L48" s="31"/>
      <c r="M48" s="31"/>
      <c r="N48" s="31"/>
      <c r="O48" s="31"/>
      <c r="P48" s="31"/>
      <c r="Q48" s="31"/>
      <c r="R48" s="31"/>
      <c r="S48" s="31"/>
      <c r="T48" s="31">
        <f>SUM(Tabla523[[#This Row],[N 2 kg]:[N 500 gr]])</f>
        <v>0</v>
      </c>
      <c r="U48" s="92"/>
    </row>
    <row r="49" spans="1:21" outlineLevel="1" x14ac:dyDescent="0.3">
      <c r="A49" s="165"/>
      <c r="B49" s="22" t="str">
        <f>[1]Personas!A46</f>
        <v>Josefina</v>
      </c>
      <c r="C49" s="5" t="str">
        <f>[1]Personas!B46</f>
        <v>Nazer</v>
      </c>
      <c r="D49" s="4" t="str">
        <f>[1]Personas!C46</f>
        <v>Camino del ayuntamiento 2087</v>
      </c>
      <c r="E49" s="4" t="str">
        <f>[1]Personas!D46</f>
        <v>Lo Barnechea</v>
      </c>
      <c r="F49" s="4" t="str">
        <f>[1]Personas!E46</f>
        <v>La Dehesa</v>
      </c>
      <c r="G49" s="4" t="str">
        <f>[1]Personas!F46</f>
        <v>Newland</v>
      </c>
      <c r="H49" s="4" t="str">
        <f>[1]Personas!G46</f>
        <v>JEFE</v>
      </c>
      <c r="I49" s="40">
        <f>[1]Personas!H46</f>
        <v>56998246537</v>
      </c>
      <c r="J49" s="49" t="str">
        <f>[1]Personas!I46</f>
        <v>cotenazer@hotmail.com</v>
      </c>
      <c r="K49" s="49" t="str">
        <f>[1]Personas!J46</f>
        <v>Joaquin Eichholz</v>
      </c>
      <c r="L49" s="31"/>
      <c r="M49" s="31"/>
      <c r="N49" s="31"/>
      <c r="O49" s="31"/>
      <c r="P49" s="31"/>
      <c r="Q49" s="31"/>
      <c r="R49" s="31"/>
      <c r="S49" s="31"/>
      <c r="T49" s="31">
        <f>SUM(Tabla523[[#This Row],[N 2 kg]:[N 500 gr]])</f>
        <v>0</v>
      </c>
      <c r="U49" s="92"/>
    </row>
    <row r="50" spans="1:21" outlineLevel="1" x14ac:dyDescent="0.3">
      <c r="A50" s="165"/>
      <c r="B50" s="22" t="str">
        <f>[1]Personas!A47</f>
        <v>Raimundo</v>
      </c>
      <c r="C50" s="5" t="str">
        <f>[1]Personas!B47</f>
        <v>Opazo</v>
      </c>
      <c r="D50" s="4" t="str">
        <f>[1]Personas!C52</f>
        <v>Artigas 643</v>
      </c>
      <c r="E50" s="4" t="str">
        <f>[1]Personas!D52</f>
        <v>Vitacura</v>
      </c>
      <c r="F50" s="4" t="str">
        <f>[1]Personas!E52</f>
        <v>Santa Maria</v>
      </c>
      <c r="G50" s="4" t="str">
        <f>[1]Personas!F52</f>
        <v>Pacifico</v>
      </c>
      <c r="H50" s="4" t="str">
        <f>[1]Personas!G52</f>
        <v>JEFE</v>
      </c>
      <c r="I50" s="89">
        <f>[1]Personas!H52</f>
        <v>56991997991</v>
      </c>
      <c r="J50" s="49" t="str">
        <f>[1]Personas!I52</f>
        <v>agustina-pineda@hotmail.com</v>
      </c>
      <c r="K50" s="49"/>
      <c r="L50" s="31"/>
      <c r="M50" s="31"/>
      <c r="N50" s="31"/>
      <c r="O50" s="31"/>
      <c r="P50" s="31"/>
      <c r="Q50" s="31"/>
      <c r="R50" s="31"/>
      <c r="S50" s="31"/>
      <c r="T50" s="31">
        <f>SUM(Tabla523[[#This Row],[N 2 kg]:[N 500 gr]])</f>
        <v>0</v>
      </c>
      <c r="U50" s="92"/>
    </row>
    <row r="51" spans="1:21" outlineLevel="1" x14ac:dyDescent="0.3">
      <c r="A51" s="165"/>
      <c r="B51" s="22" t="str">
        <f>[1]Personas!A48</f>
        <v>Trinidad</v>
      </c>
      <c r="C51" s="5" t="str">
        <f>[1]Personas!B48</f>
        <v>Ossa</v>
      </c>
      <c r="D51" s="4" t="str">
        <f>[1]Personas!C53</f>
        <v>La Cienaga 12184</v>
      </c>
      <c r="E51" s="4" t="str">
        <f>[1]Personas!D53</f>
        <v>Lo Barnechea</v>
      </c>
      <c r="F51" s="4" t="str">
        <f>[1]Personas!E53</f>
        <v>La Dehesa</v>
      </c>
      <c r="G51" s="4" t="str">
        <f>[1]Personas!F53</f>
        <v>Uandes</v>
      </c>
      <c r="H51" s="4" t="str">
        <f>[1]Personas!G53</f>
        <v>JEFE</v>
      </c>
      <c r="I51" s="89">
        <f>[1]Personas!H53</f>
        <v>56974529859</v>
      </c>
      <c r="J51" s="49" t="str">
        <f>[1]Personas!I53</f>
        <v>pina.benjamin@gmail.com</v>
      </c>
      <c r="K51" s="49"/>
      <c r="L51" s="31"/>
      <c r="M51" s="31"/>
      <c r="N51" s="31"/>
      <c r="O51" s="31"/>
      <c r="P51" s="31"/>
      <c r="Q51" s="31"/>
      <c r="R51" s="31"/>
      <c r="S51" s="31"/>
      <c r="T51" s="31">
        <f>SUM(Tabla523[[#This Row],[N 2 kg]:[N 500 gr]])</f>
        <v>0</v>
      </c>
      <c r="U51" s="92"/>
    </row>
    <row r="52" spans="1:21" outlineLevel="1" x14ac:dyDescent="0.3">
      <c r="A52" s="165"/>
      <c r="B52" s="22" t="str">
        <f>[1]Personas!A49</f>
        <v>Sofia</v>
      </c>
      <c r="C52" s="5" t="str">
        <f>[1]Personas!B49</f>
        <v>Ovalle</v>
      </c>
      <c r="D52" s="4" t="str">
        <f>[1]Personas!C54</f>
        <v>Cerro Cortadera 9897</v>
      </c>
      <c r="E52" s="4" t="str">
        <f>[1]Personas!D54</f>
        <v>Lo Barnechea</v>
      </c>
      <c r="F52" s="4" t="str">
        <f>[1]Personas!E54</f>
        <v>Los Trapenses</v>
      </c>
      <c r="G52" s="4" t="str">
        <f>[1]Personas!F54</f>
        <v>UC</v>
      </c>
      <c r="H52" s="4" t="str">
        <f>[1]Personas!G54</f>
        <v>SOCIO</v>
      </c>
      <c r="I52" s="89">
        <f>[1]Personas!H54</f>
        <v>56987217393</v>
      </c>
      <c r="J52" s="49" t="str">
        <f>[1]Personas!I54</f>
        <v>lukas.quense@gmail.com</v>
      </c>
      <c r="K52" s="49"/>
      <c r="L52" s="31"/>
      <c r="M52" s="31"/>
      <c r="N52" s="31"/>
      <c r="O52" s="31"/>
      <c r="P52" s="31"/>
      <c r="Q52" s="31"/>
      <c r="R52" s="31"/>
      <c r="S52" s="31"/>
      <c r="T52" s="31">
        <f>SUM(Tabla523[[#This Row],[N 2 kg]:[N 500 gr]])</f>
        <v>0</v>
      </c>
      <c r="U52" s="92"/>
    </row>
    <row r="53" spans="1:21" outlineLevel="1" x14ac:dyDescent="0.3">
      <c r="A53" s="165"/>
      <c r="B53" s="22" t="str">
        <f>[1]Personas!A50</f>
        <v>Francesco</v>
      </c>
      <c r="C53" s="5" t="str">
        <f>[1]Personas!B50</f>
        <v>Pamparana</v>
      </c>
      <c r="D53" s="4" t="str">
        <f>[1]Personas!C50</f>
        <v>Parque Las Garzas 16, Condominio Las Banadadas</v>
      </c>
      <c r="E53" s="4" t="str">
        <f>[1]Personas!D50</f>
        <v>Chicureo</v>
      </c>
      <c r="F53" s="4" t="str">
        <f>[1]Personas!E50</f>
        <v>Piedra Roja</v>
      </c>
      <c r="G53" s="4" t="str">
        <f>[1]Personas!F50</f>
        <v>UDD</v>
      </c>
      <c r="H53" s="4" t="str">
        <f>[1]Personas!G50</f>
        <v>JEFE</v>
      </c>
      <c r="I53" s="40">
        <f>[1]Personas!H50</f>
        <v>56984695829</v>
      </c>
      <c r="J53" s="49" t="str">
        <f>[1]Personas!I50</f>
        <v>pancho.pamparana@gmail.com</v>
      </c>
      <c r="K53" s="49" t="str">
        <f>[1]Personas!J50</f>
        <v>Lukas Quense</v>
      </c>
      <c r="L53" s="31"/>
      <c r="M53" s="31"/>
      <c r="N53" s="31"/>
      <c r="O53" s="31"/>
      <c r="P53" s="31"/>
      <c r="Q53" s="31"/>
      <c r="R53" s="31"/>
      <c r="S53" s="31"/>
      <c r="T53" s="31">
        <f>SUM(Tabla523[[#This Row],[N 2 kg]:[N 500 gr]])</f>
        <v>0</v>
      </c>
      <c r="U53" s="92"/>
    </row>
    <row r="54" spans="1:21" outlineLevel="1" x14ac:dyDescent="0.3">
      <c r="A54" s="165"/>
      <c r="B54" s="22" t="str">
        <f>[1]Personas!A51</f>
        <v>Trinidad</v>
      </c>
      <c r="C54" s="5" t="str">
        <f>[1]Personas!B51</f>
        <v>Pereira</v>
      </c>
      <c r="D54" s="4" t="str">
        <f>[1]Personas!C51</f>
        <v>Punta de Aguilas 4311</v>
      </c>
      <c r="E54" s="4" t="str">
        <f>[1]Personas!D51</f>
        <v>Lo Barnechea</v>
      </c>
      <c r="F54" s="4" t="str">
        <f>[1]Personas!E51</f>
        <v>Los Trapenses</v>
      </c>
      <c r="G54" s="4" t="str">
        <f>[1]Personas!F51</f>
        <v>UAB</v>
      </c>
      <c r="H54" s="4" t="str">
        <f>[1]Personas!G51</f>
        <v>JEFE</v>
      </c>
      <c r="I54" s="40">
        <f>[1]Personas!H51</f>
        <v>56968320616</v>
      </c>
      <c r="J54" s="49" t="str">
        <f>[1]Personas!I51</f>
        <v>trinipereira@gmail.com</v>
      </c>
      <c r="K54" s="49" t="str">
        <f>[1]Personas!J51</f>
        <v>Ignacio Castañeda</v>
      </c>
      <c r="L54" s="31"/>
      <c r="M54" s="31"/>
      <c r="N54" s="31"/>
      <c r="O54" s="31"/>
      <c r="P54" s="31"/>
      <c r="Q54" s="31"/>
      <c r="R54" s="31"/>
      <c r="S54" s="31"/>
      <c r="T54" s="31">
        <f>SUM(Tabla523[[#This Row],[N 2 kg]:[N 500 gr]])</f>
        <v>0</v>
      </c>
      <c r="U54" s="92"/>
    </row>
    <row r="55" spans="1:21" outlineLevel="1" x14ac:dyDescent="0.3">
      <c r="A55" s="165"/>
      <c r="B55" s="22" t="str">
        <f>[1]Personas!A52</f>
        <v>Agustina</v>
      </c>
      <c r="C55" s="5" t="str">
        <f>[1]Personas!B52</f>
        <v>Pineda</v>
      </c>
      <c r="D55" s="4" t="str">
        <f>[1]Personas!C55</f>
        <v>Santa Rita 1017</v>
      </c>
      <c r="E55" s="4" t="str">
        <f>[1]Personas!D55</f>
        <v>Las Condes</v>
      </c>
      <c r="F55" s="4" t="str">
        <f>[1]Personas!E55</f>
        <v>San Carlos</v>
      </c>
      <c r="G55" s="4" t="str">
        <f>[1]Personas!F55</f>
        <v>UC</v>
      </c>
      <c r="H55" s="4" t="str">
        <f>[1]Personas!G55</f>
        <v>JEFE</v>
      </c>
      <c r="I55" s="89">
        <f>[1]Personas!H55</f>
        <v>56981207671</v>
      </c>
      <c r="J55" s="49" t="str">
        <f>[1]Personas!I55</f>
        <v>josefinaquiroga7@hotmail.com</v>
      </c>
      <c r="K55" s="49"/>
      <c r="L55" s="31"/>
      <c r="M55" s="31"/>
      <c r="N55" s="31"/>
      <c r="O55" s="31"/>
      <c r="P55" s="31"/>
      <c r="Q55" s="31"/>
      <c r="R55" s="31"/>
      <c r="S55" s="31"/>
      <c r="T55" s="31">
        <f>SUM(Tabla523[[#This Row],[N 2 kg]:[N 500 gr]])</f>
        <v>0</v>
      </c>
      <c r="U55" s="92"/>
    </row>
    <row r="56" spans="1:21" outlineLevel="1" x14ac:dyDescent="0.3">
      <c r="A56" s="165"/>
      <c r="B56" s="22" t="str">
        <f>[1]Personas!A53</f>
        <v>Benjamin</v>
      </c>
      <c r="C56" s="5" t="str">
        <f>[1]Personas!B53</f>
        <v>Piña</v>
      </c>
      <c r="D56" s="4" t="str">
        <f>[1]Personas!C56</f>
        <v>Santa Rita 1017</v>
      </c>
      <c r="E56" s="4" t="str">
        <f>[1]Personas!D56</f>
        <v>Las Condes</v>
      </c>
      <c r="F56" s="4" t="str">
        <f>[1]Personas!E56</f>
        <v>San Carlos</v>
      </c>
      <c r="G56" s="4" t="str">
        <f>[1]Personas!F56</f>
        <v>CPH</v>
      </c>
      <c r="H56" s="4" t="str">
        <f>[1]Personas!G56</f>
        <v>JEFE</v>
      </c>
      <c r="I56" s="89">
        <f>[1]Personas!H56</f>
        <v>56995408498</v>
      </c>
      <c r="J56" s="49" t="str">
        <f>[1]Personas!I56</f>
        <v>rafaquiroga7@gmail.com</v>
      </c>
      <c r="K56" s="49"/>
      <c r="L56" s="31"/>
      <c r="M56" s="31"/>
      <c r="N56" s="31"/>
      <c r="O56" s="31"/>
      <c r="P56" s="31"/>
      <c r="Q56" s="31"/>
      <c r="R56" s="31"/>
      <c r="S56" s="31"/>
      <c r="T56" s="31">
        <f>SUM(Tabla523[[#This Row],[N 2 kg]:[N 500 gr]])</f>
        <v>0</v>
      </c>
      <c r="U56" s="92"/>
    </row>
    <row r="57" spans="1:21" ht="15" outlineLevel="1" thickBot="1" x14ac:dyDescent="0.35">
      <c r="A57" s="166"/>
      <c r="B57" s="26" t="str">
        <f>[1]Personas!A54</f>
        <v>Lukas</v>
      </c>
      <c r="C57" s="27" t="str">
        <f>[1]Personas!B54</f>
        <v>Quense</v>
      </c>
      <c r="D57" s="44" t="str">
        <f>[1]Personas!C57</f>
        <v>Raimapu 6744</v>
      </c>
      <c r="E57" s="44" t="str">
        <f>[1]Personas!D57</f>
        <v>Vitacura</v>
      </c>
      <c r="F57" s="44" t="str">
        <f>[1]Personas!E57</f>
        <v>Santa Maria</v>
      </c>
      <c r="G57" s="44" t="str">
        <f>[1]Personas!F57</f>
        <v>Aleman</v>
      </c>
      <c r="H57" s="44" t="str">
        <f>[1]Personas!G57</f>
        <v>JEFE</v>
      </c>
      <c r="I57" s="93">
        <f>[1]Personas!H57</f>
        <v>56956481962</v>
      </c>
      <c r="J57" s="50" t="str">
        <f>[1]Personas!I57</f>
        <v>barodriguez@dsstgo.cl</v>
      </c>
      <c r="K57" s="50"/>
      <c r="L57" s="32"/>
      <c r="M57" s="32"/>
      <c r="N57" s="32"/>
      <c r="O57" s="32"/>
      <c r="P57" s="32"/>
      <c r="Q57" s="32"/>
      <c r="R57" s="32"/>
      <c r="S57" s="32"/>
      <c r="T57" s="32">
        <f>SUM(Tabla523[[#This Row],[N 2 kg]:[N 500 gr]])</f>
        <v>0</v>
      </c>
      <c r="U57" s="94"/>
    </row>
    <row r="58" spans="1:21" outlineLevel="1" x14ac:dyDescent="0.3">
      <c r="A58" s="35"/>
      <c r="B58" s="36"/>
      <c r="C58" s="36"/>
      <c r="D58" s="36"/>
      <c r="E58" s="36"/>
      <c r="F58" s="36"/>
      <c r="G58" s="36"/>
      <c r="H58" s="36"/>
      <c r="I58" s="60"/>
      <c r="J58" s="58"/>
      <c r="K58" s="58"/>
      <c r="L58" s="37"/>
      <c r="M58" s="37"/>
      <c r="N58" s="37"/>
      <c r="O58" s="37"/>
      <c r="P58" s="37"/>
      <c r="Q58" s="37"/>
      <c r="R58" s="37"/>
      <c r="S58" s="37"/>
      <c r="T58" s="37"/>
    </row>
    <row r="59" spans="1:21" ht="15" thickBot="1" x14ac:dyDescent="0.35"/>
    <row r="60" spans="1:21" ht="14.7" customHeight="1" thickBot="1" x14ac:dyDescent="0.35">
      <c r="A60" s="173" t="s">
        <v>21</v>
      </c>
      <c r="B60" s="176" t="s">
        <v>7</v>
      </c>
      <c r="C60" s="177"/>
      <c r="D60" s="177"/>
      <c r="E60" s="177"/>
      <c r="F60" s="177"/>
      <c r="G60" s="177"/>
      <c r="H60" s="177"/>
      <c r="I60" s="177"/>
      <c r="J60" s="177"/>
      <c r="K60" s="177"/>
      <c r="L60" s="178"/>
      <c r="M60" s="76" t="s">
        <v>9</v>
      </c>
      <c r="N60" s="19">
        <f>SUM(Tabla523[N 2 kg])</f>
        <v>0</v>
      </c>
      <c r="O60" s="12">
        <f>SUM(Tabla523[M 2 kg])</f>
        <v>0</v>
      </c>
      <c r="P60" s="12">
        <f>SUM(Tabla523[P 2 kg])</f>
        <v>0</v>
      </c>
      <c r="Q60" s="12">
        <f>SUM(Tabla523[Q 1050 gr])</f>
        <v>0</v>
      </c>
      <c r="R60" s="12">
        <f>SUM(Tabla523[T 1 kg])</f>
        <v>0</v>
      </c>
      <c r="S60" s="13">
        <f>SUM(Tabla523[N 500 gr])</f>
        <v>0</v>
      </c>
    </row>
    <row r="61" spans="1:21" ht="14.7" customHeight="1" thickBot="1" x14ac:dyDescent="0.35">
      <c r="A61" s="174"/>
      <c r="B61" s="179"/>
      <c r="C61" s="180"/>
      <c r="D61" s="180"/>
      <c r="E61" s="180"/>
      <c r="F61" s="180"/>
      <c r="G61" s="180"/>
      <c r="H61" s="180"/>
      <c r="I61" s="180"/>
      <c r="J61" s="180"/>
      <c r="K61" s="180"/>
      <c r="L61" s="181"/>
      <c r="M61" s="76" t="s">
        <v>30</v>
      </c>
      <c r="N61" s="20">
        <v>5</v>
      </c>
      <c r="O61" s="31">
        <v>4</v>
      </c>
      <c r="P61" s="31">
        <v>2</v>
      </c>
      <c r="Q61" s="65">
        <v>1.05</v>
      </c>
      <c r="R61" s="31">
        <v>1</v>
      </c>
      <c r="S61" s="66">
        <v>0.25</v>
      </c>
    </row>
    <row r="62" spans="1:21" ht="14.7" customHeight="1" thickBot="1" x14ac:dyDescent="0.35">
      <c r="A62" s="174"/>
      <c r="B62" s="179"/>
      <c r="C62" s="180"/>
      <c r="D62" s="180"/>
      <c r="E62" s="180"/>
      <c r="F62" s="180"/>
      <c r="G62" s="180"/>
      <c r="H62" s="180"/>
      <c r="I62" s="180"/>
      <c r="J62" s="180"/>
      <c r="K62" s="180"/>
      <c r="L62" s="181"/>
      <c r="M62" s="76" t="s">
        <v>8</v>
      </c>
      <c r="N62" s="20">
        <f>N61*N60</f>
        <v>0</v>
      </c>
      <c r="O62" s="31">
        <f t="shared" ref="O62:S62" si="0">O61*O60</f>
        <v>0</v>
      </c>
      <c r="P62" s="31">
        <f t="shared" si="0"/>
        <v>0</v>
      </c>
      <c r="Q62" s="31">
        <f t="shared" si="0"/>
        <v>0</v>
      </c>
      <c r="R62" s="31">
        <f t="shared" si="0"/>
        <v>0</v>
      </c>
      <c r="S62" s="24">
        <f t="shared" si="0"/>
        <v>0</v>
      </c>
    </row>
    <row r="63" spans="1:21" ht="15" thickBot="1" x14ac:dyDescent="0.35">
      <c r="A63" s="174"/>
      <c r="B63" s="182"/>
      <c r="C63" s="183"/>
      <c r="D63" s="183"/>
      <c r="E63" s="183"/>
      <c r="F63" s="183"/>
      <c r="G63" s="183"/>
      <c r="H63" s="183"/>
      <c r="I63" s="183"/>
      <c r="J63" s="183"/>
      <c r="K63" s="183"/>
      <c r="L63" s="184"/>
      <c r="M63" s="76" t="s">
        <v>10</v>
      </c>
      <c r="N63" s="21"/>
      <c r="O63" s="32"/>
      <c r="P63" s="32"/>
      <c r="Q63" s="32"/>
      <c r="R63" s="32"/>
      <c r="S63" s="25"/>
    </row>
    <row r="64" spans="1:21" ht="15" thickBot="1" x14ac:dyDescent="0.35">
      <c r="A64" s="174"/>
      <c r="B64" s="77"/>
      <c r="C64" s="36"/>
      <c r="D64" s="45"/>
      <c r="E64" s="46"/>
      <c r="F64" s="46"/>
      <c r="G64" s="46"/>
      <c r="H64" s="46"/>
      <c r="I64" s="46"/>
      <c r="J64" s="46"/>
      <c r="K64" s="47"/>
      <c r="M64" s="9"/>
    </row>
    <row r="65" spans="1:19" ht="15" thickBot="1" x14ac:dyDescent="0.35">
      <c r="A65" s="174"/>
      <c r="B65" s="176" t="s">
        <v>13</v>
      </c>
      <c r="C65" s="177"/>
      <c r="D65" s="177"/>
      <c r="E65" s="177"/>
      <c r="F65" s="177"/>
      <c r="G65" s="177"/>
      <c r="H65" s="177"/>
      <c r="I65" s="177"/>
      <c r="J65" s="177"/>
      <c r="K65" s="177"/>
      <c r="L65" s="178"/>
      <c r="M65" s="76" t="s">
        <v>14</v>
      </c>
      <c r="N65" s="41">
        <f>N66*N61</f>
        <v>525</v>
      </c>
      <c r="O65" s="30">
        <f t="shared" ref="O65:S65" si="1">O66*O61</f>
        <v>2600</v>
      </c>
      <c r="P65" s="30">
        <f t="shared" si="1"/>
        <v>3200</v>
      </c>
      <c r="Q65" s="30">
        <f t="shared" si="1"/>
        <v>6797.7000000000007</v>
      </c>
      <c r="R65" s="30">
        <f t="shared" si="1"/>
        <v>2000</v>
      </c>
      <c r="S65" s="29">
        <f t="shared" si="1"/>
        <v>1875</v>
      </c>
    </row>
    <row r="66" spans="1:19" ht="15" thickBot="1" x14ac:dyDescent="0.35">
      <c r="A66" s="174"/>
      <c r="B66" s="179"/>
      <c r="C66" s="180"/>
      <c r="D66" s="180"/>
      <c r="E66" s="180"/>
      <c r="F66" s="180"/>
      <c r="G66" s="180"/>
      <c r="H66" s="180"/>
      <c r="I66" s="180"/>
      <c r="J66" s="180"/>
      <c r="K66" s="180"/>
      <c r="L66" s="181"/>
      <c r="M66" s="76" t="s">
        <v>8</v>
      </c>
      <c r="N66" s="43">
        <v>105</v>
      </c>
      <c r="O66" s="3">
        <v>650</v>
      </c>
      <c r="P66" s="3">
        <v>1600</v>
      </c>
      <c r="Q66" s="3">
        <v>6474</v>
      </c>
      <c r="R66" s="3">
        <v>2000</v>
      </c>
      <c r="S66" s="54">
        <v>7500</v>
      </c>
    </row>
    <row r="67" spans="1:19" ht="15" thickBot="1" x14ac:dyDescent="0.35">
      <c r="A67" s="174"/>
      <c r="B67" s="182"/>
      <c r="C67" s="183"/>
      <c r="D67" s="183"/>
      <c r="E67" s="183"/>
      <c r="F67" s="183"/>
      <c r="G67" s="183"/>
      <c r="H67" s="183"/>
      <c r="I67" s="183"/>
      <c r="J67" s="183"/>
      <c r="K67" s="183"/>
      <c r="L67" s="184"/>
      <c r="M67" s="76" t="s">
        <v>15</v>
      </c>
      <c r="N67" s="55">
        <v>2500</v>
      </c>
      <c r="O67" s="56">
        <v>4500</v>
      </c>
      <c r="P67" s="56">
        <v>4700</v>
      </c>
      <c r="Q67" s="56">
        <v>8500</v>
      </c>
      <c r="R67" s="56">
        <v>4500</v>
      </c>
      <c r="S67" s="57">
        <v>5500</v>
      </c>
    </row>
    <row r="68" spans="1:19" ht="15" thickBot="1" x14ac:dyDescent="0.35">
      <c r="A68" s="174"/>
      <c r="B68" s="77"/>
      <c r="C68" s="36"/>
      <c r="D68" s="45"/>
      <c r="E68" s="46"/>
      <c r="F68" s="46"/>
      <c r="G68" s="46"/>
      <c r="H68" s="46"/>
      <c r="I68" s="46"/>
      <c r="J68" s="46"/>
      <c r="K68" s="47"/>
      <c r="M68" s="9"/>
    </row>
    <row r="69" spans="1:19" ht="14.7" customHeight="1" thickBot="1" x14ac:dyDescent="0.35">
      <c r="A69" s="174"/>
      <c r="B69" s="176" t="s">
        <v>16</v>
      </c>
      <c r="C69" s="177"/>
      <c r="D69" s="177"/>
      <c r="E69" s="177"/>
      <c r="F69" s="177"/>
      <c r="G69" s="177"/>
      <c r="H69" s="177"/>
      <c r="I69" s="177"/>
      <c r="J69" s="177"/>
      <c r="K69" s="177"/>
      <c r="L69" s="178"/>
      <c r="M69" s="76" t="s">
        <v>20</v>
      </c>
      <c r="N69" s="23">
        <f>N60*N65</f>
        <v>0</v>
      </c>
      <c r="O69" s="6">
        <f t="shared" ref="O69:S69" si="2">O60*O65</f>
        <v>0</v>
      </c>
      <c r="P69" s="6">
        <f t="shared" si="2"/>
        <v>0</v>
      </c>
      <c r="Q69" s="34">
        <f t="shared" si="2"/>
        <v>0</v>
      </c>
      <c r="R69" s="6">
        <f t="shared" si="2"/>
        <v>0</v>
      </c>
      <c r="S69" s="7">
        <f t="shared" si="2"/>
        <v>0</v>
      </c>
    </row>
    <row r="70" spans="1:19" ht="15" thickBot="1" x14ac:dyDescent="0.35">
      <c r="A70" s="174"/>
      <c r="B70" s="182"/>
      <c r="C70" s="183"/>
      <c r="D70" s="183"/>
      <c r="E70" s="183"/>
      <c r="F70" s="183"/>
      <c r="G70" s="183"/>
      <c r="H70" s="183"/>
      <c r="I70" s="183"/>
      <c r="J70" s="183"/>
      <c r="K70" s="183"/>
      <c r="L70" s="184"/>
      <c r="M70" s="76" t="s">
        <v>17</v>
      </c>
      <c r="N70" s="185">
        <f>SUM(N69:S69)</f>
        <v>0</v>
      </c>
      <c r="O70" s="186"/>
      <c r="P70" s="186"/>
      <c r="Q70" s="186"/>
      <c r="R70" s="186"/>
      <c r="S70" s="187"/>
    </row>
    <row r="71" spans="1:19" ht="15" thickBot="1" x14ac:dyDescent="0.35">
      <c r="A71" s="174"/>
      <c r="B71" s="176" t="s">
        <v>18</v>
      </c>
      <c r="C71" s="177"/>
      <c r="D71" s="177"/>
      <c r="E71" s="177"/>
      <c r="F71" s="177"/>
      <c r="G71" s="177"/>
      <c r="H71" s="177"/>
      <c r="I71" s="177"/>
      <c r="J71" s="177"/>
      <c r="K71" s="177"/>
      <c r="L71" s="178"/>
      <c r="M71" s="76" t="s">
        <v>20</v>
      </c>
      <c r="N71" s="22">
        <f t="shared" ref="N71:S71" si="3">N67*N60</f>
        <v>0</v>
      </c>
      <c r="O71" s="5">
        <f t="shared" si="3"/>
        <v>0</v>
      </c>
      <c r="P71" s="5">
        <f t="shared" si="3"/>
        <v>0</v>
      </c>
      <c r="Q71" s="5">
        <f t="shared" si="3"/>
        <v>0</v>
      </c>
      <c r="R71" s="5">
        <f t="shared" si="3"/>
        <v>0</v>
      </c>
      <c r="S71" s="8">
        <f t="shared" si="3"/>
        <v>0</v>
      </c>
    </row>
    <row r="72" spans="1:19" ht="15" thickBot="1" x14ac:dyDescent="0.35">
      <c r="A72" s="174"/>
      <c r="B72" s="182"/>
      <c r="C72" s="183"/>
      <c r="D72" s="183"/>
      <c r="E72" s="183"/>
      <c r="F72" s="183"/>
      <c r="G72" s="183"/>
      <c r="H72" s="183"/>
      <c r="I72" s="183"/>
      <c r="J72" s="183"/>
      <c r="K72" s="183"/>
      <c r="L72" s="184"/>
      <c r="M72" s="76" t="s">
        <v>17</v>
      </c>
      <c r="N72" s="185">
        <f>SUM(N71:S71)</f>
        <v>0</v>
      </c>
      <c r="O72" s="186"/>
      <c r="P72" s="186"/>
      <c r="Q72" s="186"/>
      <c r="R72" s="186"/>
      <c r="S72" s="187"/>
    </row>
    <row r="73" spans="1:19" ht="14.7" customHeight="1" thickBot="1" x14ac:dyDescent="0.35">
      <c r="A73" s="174"/>
      <c r="B73" s="176" t="s">
        <v>19</v>
      </c>
      <c r="C73" s="177"/>
      <c r="D73" s="177"/>
      <c r="E73" s="177"/>
      <c r="F73" s="177"/>
      <c r="G73" s="177"/>
      <c r="H73" s="177"/>
      <c r="I73" s="177"/>
      <c r="J73" s="177"/>
      <c r="K73" s="177"/>
      <c r="L73" s="178"/>
      <c r="M73" s="76" t="s">
        <v>20</v>
      </c>
      <c r="N73" s="26">
        <f>N71-N69</f>
        <v>0</v>
      </c>
      <c r="O73" s="27">
        <f t="shared" ref="O73:S73" si="4">O71-O69</f>
        <v>0</v>
      </c>
      <c r="P73" s="27">
        <f t="shared" si="4"/>
        <v>0</v>
      </c>
      <c r="Q73" s="27">
        <f t="shared" si="4"/>
        <v>0</v>
      </c>
      <c r="R73" s="27">
        <f t="shared" si="4"/>
        <v>0</v>
      </c>
      <c r="S73" s="28">
        <f t="shared" si="4"/>
        <v>0</v>
      </c>
    </row>
    <row r="74" spans="1:19" ht="29.7" customHeight="1" thickBot="1" x14ac:dyDescent="0.35">
      <c r="A74" s="174"/>
      <c r="B74" s="182"/>
      <c r="C74" s="183"/>
      <c r="D74" s="183"/>
      <c r="E74" s="183"/>
      <c r="F74" s="183"/>
      <c r="G74" s="183"/>
      <c r="H74" s="183"/>
      <c r="I74" s="183"/>
      <c r="J74" s="183"/>
      <c r="K74" s="183"/>
      <c r="L74" s="184"/>
      <c r="M74" s="76" t="s">
        <v>31</v>
      </c>
      <c r="N74" s="200">
        <f>SUM(N73:S73)</f>
        <v>0</v>
      </c>
      <c r="O74" s="201"/>
      <c r="P74" s="201"/>
      <c r="Q74" s="201"/>
      <c r="R74" s="201"/>
      <c r="S74" s="202"/>
    </row>
    <row r="75" spans="1:19" ht="15" thickBot="1" x14ac:dyDescent="0.35">
      <c r="A75" s="174"/>
    </row>
    <row r="76" spans="1:19" ht="14.7" customHeight="1" thickBot="1" x14ac:dyDescent="0.35">
      <c r="A76" s="174"/>
      <c r="B76" s="203" t="s">
        <v>27</v>
      </c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5"/>
      <c r="N76" s="194" t="s">
        <v>28</v>
      </c>
      <c r="O76" s="195"/>
      <c r="P76" s="196"/>
      <c r="Q76" s="52" t="s">
        <v>29</v>
      </c>
      <c r="R76" s="14"/>
      <c r="S76" s="14"/>
    </row>
    <row r="77" spans="1:19" ht="15" customHeight="1" x14ac:dyDescent="0.3">
      <c r="A77" s="174"/>
      <c r="B77" s="206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8"/>
      <c r="N77" s="212"/>
      <c r="O77" s="213"/>
      <c r="P77" s="214"/>
      <c r="Q77" s="61"/>
      <c r="R77" s="15"/>
      <c r="S77" s="15"/>
    </row>
    <row r="78" spans="1:19" ht="15" customHeight="1" x14ac:dyDescent="0.3">
      <c r="A78" s="174"/>
      <c r="B78" s="206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8"/>
      <c r="N78" s="215"/>
      <c r="O78" s="216"/>
      <c r="P78" s="217"/>
      <c r="Q78" s="62"/>
      <c r="R78" s="15"/>
      <c r="S78" s="15"/>
    </row>
    <row r="79" spans="1:19" ht="15" customHeight="1" x14ac:dyDescent="0.3">
      <c r="A79" s="174"/>
      <c r="B79" s="206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8"/>
      <c r="N79" s="215"/>
      <c r="O79" s="216"/>
      <c r="P79" s="217"/>
      <c r="Q79" s="62"/>
      <c r="R79" s="15"/>
      <c r="S79" s="15"/>
    </row>
    <row r="80" spans="1:19" ht="15" customHeight="1" x14ac:dyDescent="0.3">
      <c r="A80" s="174"/>
      <c r="B80" s="206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8"/>
      <c r="N80" s="215"/>
      <c r="O80" s="216"/>
      <c r="P80" s="217"/>
      <c r="Q80" s="62"/>
      <c r="R80" s="15"/>
      <c r="S80" s="15"/>
    </row>
    <row r="81" spans="1:19" ht="15" customHeight="1" x14ac:dyDescent="0.3">
      <c r="A81" s="174"/>
      <c r="B81" s="206"/>
      <c r="C81" s="207"/>
      <c r="D81" s="207"/>
      <c r="E81" s="207"/>
      <c r="F81" s="207"/>
      <c r="G81" s="207"/>
      <c r="H81" s="207"/>
      <c r="I81" s="207"/>
      <c r="J81" s="207"/>
      <c r="K81" s="207"/>
      <c r="L81" s="207"/>
      <c r="M81" s="208"/>
      <c r="N81" s="215"/>
      <c r="O81" s="216"/>
      <c r="P81" s="217"/>
      <c r="Q81" s="62"/>
      <c r="R81" s="15"/>
      <c r="S81" s="15"/>
    </row>
    <row r="82" spans="1:19" ht="15" customHeight="1" x14ac:dyDescent="0.3">
      <c r="A82" s="174"/>
      <c r="B82" s="206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8"/>
      <c r="N82" s="215"/>
      <c r="O82" s="216"/>
      <c r="P82" s="217"/>
      <c r="Q82" s="62"/>
      <c r="R82" s="15"/>
      <c r="S82" s="15"/>
    </row>
    <row r="83" spans="1:19" ht="15" customHeight="1" thickBot="1" x14ac:dyDescent="0.35">
      <c r="A83" s="174"/>
      <c r="B83" s="206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8"/>
      <c r="N83" s="188"/>
      <c r="O83" s="189"/>
      <c r="P83" s="190"/>
      <c r="Q83" s="62"/>
      <c r="R83" s="15"/>
      <c r="S83" s="15"/>
    </row>
    <row r="84" spans="1:19" ht="15.75" customHeight="1" thickBot="1" x14ac:dyDescent="0.35">
      <c r="A84" s="174"/>
      <c r="B84" s="209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1"/>
      <c r="N84" s="191" t="s">
        <v>17</v>
      </c>
      <c r="O84" s="192"/>
      <c r="P84" s="193"/>
      <c r="Q84" s="63">
        <f>SUM(Q77:Q83)</f>
        <v>0</v>
      </c>
      <c r="R84" s="15"/>
      <c r="S84" s="15"/>
    </row>
    <row r="85" spans="1:19" ht="15" thickBot="1" x14ac:dyDescent="0.35">
      <c r="A85" s="174"/>
    </row>
    <row r="86" spans="1:19" ht="51.75" customHeight="1" thickBot="1" x14ac:dyDescent="0.35">
      <c r="A86" s="175"/>
      <c r="B86" s="194" t="s">
        <v>19</v>
      </c>
      <c r="C86" s="195"/>
      <c r="D86" s="195"/>
      <c r="E86" s="195"/>
      <c r="F86" s="195"/>
      <c r="G86" s="195"/>
      <c r="H86" s="195"/>
      <c r="I86" s="195"/>
      <c r="J86" s="195"/>
      <c r="K86" s="195"/>
      <c r="L86" s="196"/>
      <c r="M86" s="75" t="s">
        <v>17</v>
      </c>
      <c r="N86" s="197">
        <f>N74-SUM(Q77:Q83)</f>
        <v>0</v>
      </c>
      <c r="O86" s="198"/>
      <c r="P86" s="198"/>
      <c r="Q86" s="198"/>
      <c r="R86" s="198"/>
      <c r="S86" s="199"/>
    </row>
    <row r="87" spans="1:19" ht="15.75" customHeight="1" x14ac:dyDescent="0.3">
      <c r="A87" s="53"/>
      <c r="O87" s="51"/>
      <c r="P87" s="51"/>
      <c r="Q87" s="51"/>
      <c r="S87" s="78"/>
    </row>
    <row r="88" spans="1:19" ht="15" customHeight="1" x14ac:dyDescent="0.3">
      <c r="A88" s="53"/>
      <c r="O88" s="51"/>
      <c r="P88" s="51"/>
      <c r="Q88" s="51"/>
      <c r="S88" s="17"/>
    </row>
    <row r="89" spans="1:19" ht="15" customHeight="1" x14ac:dyDescent="0.3">
      <c r="O89" s="51"/>
      <c r="P89" s="51"/>
      <c r="Q89" s="51"/>
      <c r="S89" s="17"/>
    </row>
    <row r="90" spans="1:19" ht="15" customHeight="1" x14ac:dyDescent="0.3">
      <c r="O90" s="51"/>
      <c r="P90" s="51"/>
      <c r="Q90" s="51"/>
      <c r="S90" s="17"/>
    </row>
    <row r="91" spans="1:19" ht="15" customHeight="1" x14ac:dyDescent="0.3">
      <c r="O91" s="51"/>
      <c r="P91" s="51"/>
      <c r="Q91" s="51"/>
      <c r="S91" s="17"/>
    </row>
    <row r="92" spans="1:19" ht="15" customHeight="1" x14ac:dyDescent="0.3">
      <c r="O92" s="51"/>
      <c r="P92" s="51"/>
      <c r="Q92" s="51"/>
      <c r="S92" s="17"/>
    </row>
    <row r="93" spans="1:19" ht="15" customHeight="1" x14ac:dyDescent="0.3">
      <c r="O93" s="51"/>
      <c r="P93" s="51"/>
      <c r="Q93" s="51"/>
      <c r="S93" s="17"/>
    </row>
    <row r="94" spans="1:19" ht="15" customHeight="1" x14ac:dyDescent="0.3">
      <c r="O94" s="51"/>
      <c r="P94" s="51"/>
      <c r="Q94" s="51"/>
      <c r="S94" s="17"/>
    </row>
    <row r="95" spans="1:19" ht="15.75" customHeight="1" x14ac:dyDescent="0.3">
      <c r="O95" s="51"/>
      <c r="P95" s="51"/>
      <c r="Q95" s="51"/>
      <c r="S95" s="17"/>
    </row>
  </sheetData>
  <mergeCells count="24">
    <mergeCell ref="B76:M84"/>
    <mergeCell ref="N76:P76"/>
    <mergeCell ref="N77:P77"/>
    <mergeCell ref="N78:P78"/>
    <mergeCell ref="N79:P79"/>
    <mergeCell ref="N80:P80"/>
    <mergeCell ref="N81:P81"/>
    <mergeCell ref="N82:P82"/>
    <mergeCell ref="A5:A57"/>
    <mergeCell ref="B2:M2"/>
    <mergeCell ref="N2:S2"/>
    <mergeCell ref="A60:A86"/>
    <mergeCell ref="B60:L63"/>
    <mergeCell ref="B65:L67"/>
    <mergeCell ref="B69:L70"/>
    <mergeCell ref="N70:S70"/>
    <mergeCell ref="B71:L72"/>
    <mergeCell ref="N72:S72"/>
    <mergeCell ref="N83:P83"/>
    <mergeCell ref="N84:P84"/>
    <mergeCell ref="B86:L86"/>
    <mergeCell ref="N86:S86"/>
    <mergeCell ref="B73:L74"/>
    <mergeCell ref="N74:S7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autoPageBreaks="0"/>
  </sheetPr>
  <dimension ref="A1:U95"/>
  <sheetViews>
    <sheetView tabSelected="1" zoomScale="85" zoomScaleNormal="85" zoomScalePageLayoutView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N4" sqref="N4:S4"/>
    </sheetView>
  </sheetViews>
  <sheetFormatPr baseColWidth="10" defaultColWidth="11.44140625" defaultRowHeight="14.4" outlineLevelRow="1" outlineLevelCol="1" x14ac:dyDescent="0.3"/>
  <cols>
    <col min="2" max="2" width="12.44140625" customWidth="1"/>
    <col min="3" max="3" width="15.33203125" customWidth="1"/>
    <col min="4" max="4" width="38" hidden="1" customWidth="1" outlineLevel="1"/>
    <col min="5" max="5" width="15.109375" hidden="1" customWidth="1" outlineLevel="1"/>
    <col min="6" max="6" width="16.5546875" hidden="1" customWidth="1" outlineLevel="1"/>
    <col min="7" max="7" width="14.6640625" hidden="1" customWidth="1" outlineLevel="1"/>
    <col min="8" max="8" width="10.5546875" hidden="1" customWidth="1" outlineLevel="1"/>
    <col min="9" max="9" width="18.44140625" hidden="1" customWidth="1" outlineLevel="1"/>
    <col min="10" max="10" width="33.5546875" hidden="1" customWidth="1" outlineLevel="1"/>
    <col min="11" max="11" width="19.21875" hidden="1" customWidth="1" outlineLevel="1"/>
    <col min="12" max="12" width="10.77734375" customWidth="1" collapsed="1"/>
    <col min="13" max="13" width="10.77734375" customWidth="1"/>
    <col min="14" max="19" width="15.44140625" customWidth="1"/>
    <col min="21" max="21" width="71.44140625" style="67" customWidth="1"/>
  </cols>
  <sheetData>
    <row r="1" spans="1:21" ht="15" thickBot="1" x14ac:dyDescent="0.35"/>
    <row r="2" spans="1:21" ht="29.7" customHeight="1" thickBot="1" x14ac:dyDescent="0.35">
      <c r="B2" s="167" t="s">
        <v>143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  <c r="N2" s="170" t="s">
        <v>12</v>
      </c>
      <c r="O2" s="171"/>
      <c r="P2" s="171"/>
      <c r="Q2" s="171"/>
      <c r="R2" s="171"/>
      <c r="S2" s="172"/>
    </row>
    <row r="3" spans="1:21" s="1" customFormat="1" ht="15" thickBot="1" x14ac:dyDescent="0.35">
      <c r="L3" s="64"/>
      <c r="M3" s="64"/>
      <c r="N3" s="33" t="s">
        <v>32</v>
      </c>
      <c r="O3" s="33" t="s">
        <v>34</v>
      </c>
      <c r="P3" s="33" t="s">
        <v>5</v>
      </c>
      <c r="Q3" s="33" t="s">
        <v>35</v>
      </c>
      <c r="R3" s="33" t="s">
        <v>36</v>
      </c>
      <c r="S3" s="33" t="s">
        <v>23</v>
      </c>
      <c r="U3" s="67"/>
    </row>
    <row r="4" spans="1:21" s="2" customFormat="1" ht="15" thickBot="1" x14ac:dyDescent="0.35">
      <c r="B4" s="38" t="s">
        <v>0</v>
      </c>
      <c r="C4" s="38" t="s">
        <v>1</v>
      </c>
      <c r="D4" s="38" t="s">
        <v>2</v>
      </c>
      <c r="E4" s="38" t="s">
        <v>3</v>
      </c>
      <c r="F4" s="38" t="s">
        <v>6</v>
      </c>
      <c r="G4" s="38" t="s">
        <v>24</v>
      </c>
      <c r="H4" s="38" t="s">
        <v>4</v>
      </c>
      <c r="I4" s="38" t="s">
        <v>25</v>
      </c>
      <c r="J4" s="38" t="s">
        <v>26</v>
      </c>
      <c r="K4" s="38" t="s">
        <v>138</v>
      </c>
      <c r="L4" s="38" t="s">
        <v>45</v>
      </c>
      <c r="M4" s="38" t="s">
        <v>142</v>
      </c>
      <c r="N4" s="278" t="s">
        <v>32</v>
      </c>
      <c r="O4" s="278" t="s">
        <v>34</v>
      </c>
      <c r="P4" s="278" t="s">
        <v>5</v>
      </c>
      <c r="Q4" s="278" t="s">
        <v>35</v>
      </c>
      <c r="R4" s="279" t="s">
        <v>36</v>
      </c>
      <c r="S4" s="279" t="s">
        <v>23</v>
      </c>
      <c r="T4" s="18" t="s">
        <v>17</v>
      </c>
      <c r="U4" s="68" t="s">
        <v>141</v>
      </c>
    </row>
    <row r="5" spans="1:21" ht="14.7" customHeight="1" outlineLevel="1" x14ac:dyDescent="0.3">
      <c r="A5" s="218"/>
      <c r="B5" s="95" t="s">
        <v>137</v>
      </c>
      <c r="C5" s="96" t="s">
        <v>136</v>
      </c>
      <c r="D5" s="79" t="s">
        <v>162</v>
      </c>
      <c r="E5" s="79" t="s">
        <v>145</v>
      </c>
      <c r="F5" s="97" t="s">
        <v>163</v>
      </c>
      <c r="G5" s="97">
        <v>0</v>
      </c>
      <c r="H5" s="97" t="s">
        <v>148</v>
      </c>
      <c r="I5" s="42">
        <v>56957850035</v>
      </c>
      <c r="J5" s="48" t="s">
        <v>164</v>
      </c>
      <c r="K5" s="48" t="s">
        <v>161</v>
      </c>
      <c r="L5" s="12" t="s">
        <v>46</v>
      </c>
      <c r="M5" s="12" t="s">
        <v>46</v>
      </c>
      <c r="N5" s="12">
        <v>3</v>
      </c>
      <c r="O5" s="12">
        <v>1</v>
      </c>
      <c r="P5" s="12">
        <v>7</v>
      </c>
      <c r="Q5" s="12">
        <v>3</v>
      </c>
      <c r="R5" s="12">
        <v>0</v>
      </c>
      <c r="S5" s="13">
        <v>0</v>
      </c>
      <c r="T5" s="10">
        <f>SUM(Tabla52[[#This Row],[Naranjas]:[Nueces]])</f>
        <v>14</v>
      </c>
      <c r="U5" s="69"/>
    </row>
    <row r="6" spans="1:21" outlineLevel="1" x14ac:dyDescent="0.3">
      <c r="A6" s="219"/>
      <c r="B6" s="80" t="s">
        <v>79</v>
      </c>
      <c r="C6" s="81" t="s">
        <v>78</v>
      </c>
      <c r="D6" s="81" t="s">
        <v>190</v>
      </c>
      <c r="E6" s="81" t="s">
        <v>157</v>
      </c>
      <c r="F6" s="81" t="s">
        <v>166</v>
      </c>
      <c r="G6" s="81" t="s">
        <v>173</v>
      </c>
      <c r="H6" s="81" t="s">
        <v>148</v>
      </c>
      <c r="I6" s="40">
        <v>56986194003</v>
      </c>
      <c r="J6" s="49" t="s">
        <v>191</v>
      </c>
      <c r="K6" s="49" t="s">
        <v>150</v>
      </c>
      <c r="L6" s="31" t="s">
        <v>46</v>
      </c>
      <c r="M6" s="31" t="s">
        <v>46</v>
      </c>
      <c r="N6" s="31">
        <v>0</v>
      </c>
      <c r="O6" s="31">
        <v>0</v>
      </c>
      <c r="P6" s="31">
        <f>34+21</f>
        <v>55</v>
      </c>
      <c r="Q6" s="31">
        <v>4</v>
      </c>
      <c r="R6" s="31">
        <v>0</v>
      </c>
      <c r="S6" s="24">
        <v>0</v>
      </c>
      <c r="T6" s="31">
        <f>SUM(Tabla52[[#This Row],[Naranjas]:[Nueces]])</f>
        <v>59</v>
      </c>
      <c r="U6" s="70"/>
    </row>
    <row r="7" spans="1:21" outlineLevel="1" x14ac:dyDescent="0.3">
      <c r="A7" s="219"/>
      <c r="B7" s="80" t="s">
        <v>111</v>
      </c>
      <c r="C7" s="81" t="s">
        <v>112</v>
      </c>
      <c r="D7" s="81" t="s">
        <v>214</v>
      </c>
      <c r="E7" s="81" t="s">
        <v>157</v>
      </c>
      <c r="F7" s="81" t="s">
        <v>166</v>
      </c>
      <c r="G7" s="81" t="s">
        <v>147</v>
      </c>
      <c r="H7" s="81" t="s">
        <v>148</v>
      </c>
      <c r="I7" s="40">
        <v>56987143347</v>
      </c>
      <c r="J7" s="49" t="s">
        <v>215</v>
      </c>
      <c r="K7" s="49" t="s">
        <v>150</v>
      </c>
      <c r="L7" s="31" t="s">
        <v>46</v>
      </c>
      <c r="M7" s="31" t="s">
        <v>46</v>
      </c>
      <c r="N7" s="31">
        <v>3</v>
      </c>
      <c r="O7" s="31">
        <v>4</v>
      </c>
      <c r="P7" s="31">
        <v>0</v>
      </c>
      <c r="Q7" s="31">
        <v>7</v>
      </c>
      <c r="R7" s="31">
        <v>8</v>
      </c>
      <c r="S7" s="24">
        <v>4</v>
      </c>
      <c r="T7" s="31">
        <f>SUM(Tabla52[[#This Row],[Naranjas]:[Nueces]])</f>
        <v>26</v>
      </c>
      <c r="U7" s="70"/>
    </row>
    <row r="8" spans="1:21" ht="15.75" customHeight="1" outlineLevel="1" x14ac:dyDescent="0.3">
      <c r="A8" s="219"/>
      <c r="B8" s="80" t="s">
        <v>57</v>
      </c>
      <c r="C8" s="81" t="s">
        <v>58</v>
      </c>
      <c r="D8" s="81" t="s">
        <v>144</v>
      </c>
      <c r="E8" s="81" t="s">
        <v>145</v>
      </c>
      <c r="F8" s="81" t="s">
        <v>146</v>
      </c>
      <c r="G8" s="81" t="s">
        <v>147</v>
      </c>
      <c r="H8" s="81" t="s">
        <v>148</v>
      </c>
      <c r="I8" s="40">
        <v>56955324629</v>
      </c>
      <c r="J8" s="49" t="s">
        <v>149</v>
      </c>
      <c r="K8" s="49" t="s">
        <v>150</v>
      </c>
      <c r="L8" s="31" t="s">
        <v>46</v>
      </c>
      <c r="M8" s="31" t="s">
        <v>46</v>
      </c>
      <c r="N8" s="31">
        <v>0</v>
      </c>
      <c r="O8" s="31">
        <v>1</v>
      </c>
      <c r="P8" s="31">
        <v>3</v>
      </c>
      <c r="Q8" s="31">
        <v>1</v>
      </c>
      <c r="R8" s="31">
        <v>0</v>
      </c>
      <c r="S8" s="24">
        <v>1</v>
      </c>
      <c r="T8" s="31">
        <f>SUM(Tabla52[[#This Row],[Naranjas]:[Nueces]])</f>
        <v>6</v>
      </c>
      <c r="U8" s="70"/>
    </row>
    <row r="9" spans="1:21" outlineLevel="1" x14ac:dyDescent="0.3">
      <c r="A9" s="219"/>
      <c r="B9" s="80" t="s">
        <v>107</v>
      </c>
      <c r="C9" s="81" t="s">
        <v>108</v>
      </c>
      <c r="D9" s="81" t="s">
        <v>156</v>
      </c>
      <c r="E9" s="81" t="s">
        <v>157</v>
      </c>
      <c r="F9" s="81" t="s">
        <v>158</v>
      </c>
      <c r="G9" s="81" t="s">
        <v>159</v>
      </c>
      <c r="H9" s="81" t="s">
        <v>148</v>
      </c>
      <c r="I9" s="40">
        <v>56998246537</v>
      </c>
      <c r="J9" s="49" t="s">
        <v>160</v>
      </c>
      <c r="K9" s="49" t="s">
        <v>161</v>
      </c>
      <c r="L9" s="31" t="s">
        <v>46</v>
      </c>
      <c r="M9" s="31" t="s">
        <v>46</v>
      </c>
      <c r="N9" s="31">
        <v>0</v>
      </c>
      <c r="O9" s="31">
        <v>1</v>
      </c>
      <c r="P9" s="31">
        <v>2</v>
      </c>
      <c r="Q9" s="31">
        <v>1</v>
      </c>
      <c r="R9" s="31">
        <v>0</v>
      </c>
      <c r="S9" s="24">
        <v>0</v>
      </c>
      <c r="T9" s="31">
        <f>SUM(Tabla52[[#This Row],[Naranjas]:[Nueces]])</f>
        <v>4</v>
      </c>
      <c r="U9" s="70"/>
    </row>
    <row r="10" spans="1:21" outlineLevel="1" x14ac:dyDescent="0.3">
      <c r="A10" s="219"/>
      <c r="B10" s="80" t="s">
        <v>92</v>
      </c>
      <c r="C10" s="81" t="s">
        <v>93</v>
      </c>
      <c r="D10" s="81" t="s">
        <v>198</v>
      </c>
      <c r="E10" s="81" t="s">
        <v>157</v>
      </c>
      <c r="F10" s="81" t="s">
        <v>166</v>
      </c>
      <c r="G10" s="81">
        <v>0</v>
      </c>
      <c r="H10" s="81" t="s">
        <v>148</v>
      </c>
      <c r="I10" s="40">
        <v>56963124612</v>
      </c>
      <c r="J10" s="49" t="s">
        <v>199</v>
      </c>
      <c r="K10" s="49" t="s">
        <v>150</v>
      </c>
      <c r="L10" s="31" t="s">
        <v>46</v>
      </c>
      <c r="M10" s="31" t="s">
        <v>46</v>
      </c>
      <c r="N10" s="31">
        <v>13</v>
      </c>
      <c r="O10" s="31">
        <v>19</v>
      </c>
      <c r="P10" s="31">
        <v>32</v>
      </c>
      <c r="Q10" s="31">
        <v>14</v>
      </c>
      <c r="R10" s="31">
        <v>11</v>
      </c>
      <c r="S10" s="24">
        <v>12</v>
      </c>
      <c r="T10" s="31">
        <f>SUM(Tabla52[[#This Row],[Naranjas]:[Nueces]])</f>
        <v>101</v>
      </c>
      <c r="U10" s="70"/>
    </row>
    <row r="11" spans="1:21" outlineLevel="1" x14ac:dyDescent="0.3">
      <c r="A11" s="219"/>
      <c r="B11" s="80" t="s">
        <v>90</v>
      </c>
      <c r="C11" s="81" t="s">
        <v>91</v>
      </c>
      <c r="D11" s="81" t="s">
        <v>196</v>
      </c>
      <c r="E11" s="81" t="s">
        <v>157</v>
      </c>
      <c r="F11" s="81" t="s">
        <v>166</v>
      </c>
      <c r="G11" s="81" t="s">
        <v>167</v>
      </c>
      <c r="H11" s="81" t="s">
        <v>148</v>
      </c>
      <c r="I11" s="40">
        <v>56979891544</v>
      </c>
      <c r="J11" s="49" t="s">
        <v>197</v>
      </c>
      <c r="K11" s="49" t="s">
        <v>150</v>
      </c>
      <c r="L11" s="31" t="s">
        <v>46</v>
      </c>
      <c r="M11" s="31" t="s">
        <v>46</v>
      </c>
      <c r="N11" s="31">
        <v>6</v>
      </c>
      <c r="O11" s="31">
        <v>9</v>
      </c>
      <c r="P11" s="31">
        <v>14</v>
      </c>
      <c r="Q11" s="31">
        <v>7</v>
      </c>
      <c r="R11" s="31">
        <v>10</v>
      </c>
      <c r="S11" s="24">
        <v>7</v>
      </c>
      <c r="T11" s="31">
        <f>SUM(Tabla52[[#This Row],[Naranjas]:[Nueces]])</f>
        <v>53</v>
      </c>
      <c r="U11" s="70"/>
    </row>
    <row r="12" spans="1:21" outlineLevel="1" x14ac:dyDescent="0.3">
      <c r="A12" s="219"/>
      <c r="B12" s="80" t="s">
        <v>70</v>
      </c>
      <c r="C12" s="81" t="s">
        <v>71</v>
      </c>
      <c r="D12" s="81" t="s">
        <v>175</v>
      </c>
      <c r="E12" s="81" t="s">
        <v>152</v>
      </c>
      <c r="F12" s="81" t="s">
        <v>176</v>
      </c>
      <c r="G12" s="81" t="s">
        <v>177</v>
      </c>
      <c r="H12" s="81" t="s">
        <v>148</v>
      </c>
      <c r="I12" s="40">
        <v>56979987750</v>
      </c>
      <c r="J12" s="49" t="s">
        <v>178</v>
      </c>
      <c r="K12" s="49" t="s">
        <v>150</v>
      </c>
      <c r="L12" s="31" t="s">
        <v>46</v>
      </c>
      <c r="M12" s="31" t="s">
        <v>46</v>
      </c>
      <c r="N12" s="31">
        <v>6</v>
      </c>
      <c r="O12" s="31">
        <v>4</v>
      </c>
      <c r="P12" s="31">
        <v>9</v>
      </c>
      <c r="Q12" s="31">
        <v>1</v>
      </c>
      <c r="R12" s="31">
        <v>2</v>
      </c>
      <c r="S12" s="24">
        <v>2</v>
      </c>
      <c r="T12" s="31">
        <f>SUM(Tabla52[[#This Row],[Naranjas]:[Nueces]])</f>
        <v>24</v>
      </c>
      <c r="U12" s="70"/>
    </row>
    <row r="13" spans="1:21" outlineLevel="1" x14ac:dyDescent="0.3">
      <c r="A13" s="219"/>
      <c r="B13" s="80" t="s">
        <v>117</v>
      </c>
      <c r="C13" s="81" t="s">
        <v>118</v>
      </c>
      <c r="D13" s="81" t="s">
        <v>216</v>
      </c>
      <c r="E13" s="81" t="s">
        <v>145</v>
      </c>
      <c r="F13" s="81" t="s">
        <v>163</v>
      </c>
      <c r="G13" s="81" t="s">
        <v>217</v>
      </c>
      <c r="H13" s="81" t="s">
        <v>148</v>
      </c>
      <c r="I13" s="40">
        <v>56995408498</v>
      </c>
      <c r="J13" s="49" t="s">
        <v>218</v>
      </c>
      <c r="K13" s="49" t="s">
        <v>155</v>
      </c>
      <c r="L13" s="31" t="s">
        <v>46</v>
      </c>
      <c r="M13" s="31" t="s">
        <v>46</v>
      </c>
      <c r="N13" s="31">
        <v>7</v>
      </c>
      <c r="O13" s="31">
        <v>5</v>
      </c>
      <c r="P13" s="31">
        <v>12</v>
      </c>
      <c r="Q13" s="31">
        <v>3</v>
      </c>
      <c r="R13" s="31">
        <v>0</v>
      </c>
      <c r="S13" s="24">
        <v>0</v>
      </c>
      <c r="T13" s="31">
        <f>SUM(Tabla52[[#This Row],[Naranjas]:[Nueces]])</f>
        <v>27</v>
      </c>
      <c r="U13" s="70"/>
    </row>
    <row r="14" spans="1:21" outlineLevel="1" x14ac:dyDescent="0.3">
      <c r="A14" s="219"/>
      <c r="B14" s="80" t="s">
        <v>107</v>
      </c>
      <c r="C14" s="81" t="s">
        <v>118</v>
      </c>
      <c r="D14" s="81" t="s">
        <v>216</v>
      </c>
      <c r="E14" s="81" t="s">
        <v>145</v>
      </c>
      <c r="F14" s="81" t="s">
        <v>163</v>
      </c>
      <c r="G14" s="81">
        <v>0</v>
      </c>
      <c r="H14" s="81" t="s">
        <v>148</v>
      </c>
      <c r="I14" s="40">
        <v>56981207671</v>
      </c>
      <c r="J14" s="49" t="s">
        <v>219</v>
      </c>
      <c r="K14" s="49" t="s">
        <v>155</v>
      </c>
      <c r="L14" s="31" t="s">
        <v>46</v>
      </c>
      <c r="M14" s="31" t="s">
        <v>46</v>
      </c>
      <c r="N14" s="31">
        <v>1</v>
      </c>
      <c r="O14" s="31">
        <v>1</v>
      </c>
      <c r="P14" s="31">
        <v>4</v>
      </c>
      <c r="Q14" s="31">
        <v>0</v>
      </c>
      <c r="R14" s="31">
        <v>0</v>
      </c>
      <c r="S14" s="24">
        <v>1</v>
      </c>
      <c r="T14" s="31">
        <f>SUM(Tabla52[[#This Row],[Naranjas]:[Nueces]])</f>
        <v>7</v>
      </c>
      <c r="U14" s="70"/>
    </row>
    <row r="15" spans="1:21" outlineLevel="1" x14ac:dyDescent="0.3">
      <c r="A15" s="219"/>
      <c r="B15" s="80" t="s">
        <v>102</v>
      </c>
      <c r="C15" s="81" t="s">
        <v>103</v>
      </c>
      <c r="D15" s="81" t="s">
        <v>209</v>
      </c>
      <c r="E15" s="81" t="s">
        <v>157</v>
      </c>
      <c r="F15" s="81" t="s">
        <v>166</v>
      </c>
      <c r="G15" s="81" t="s">
        <v>210</v>
      </c>
      <c r="H15" s="81" t="s">
        <v>148</v>
      </c>
      <c r="I15" s="40">
        <v>56978189115</v>
      </c>
      <c r="J15" s="49" t="s">
        <v>211</v>
      </c>
      <c r="K15" s="49" t="s">
        <v>150</v>
      </c>
      <c r="L15" s="31" t="s">
        <v>46</v>
      </c>
      <c r="M15" s="31" t="s">
        <v>46</v>
      </c>
      <c r="N15" s="31">
        <v>2</v>
      </c>
      <c r="O15" s="31">
        <v>5</v>
      </c>
      <c r="P15" s="31">
        <v>1</v>
      </c>
      <c r="Q15" s="31">
        <v>1</v>
      </c>
      <c r="R15" s="31">
        <v>1</v>
      </c>
      <c r="S15" s="24">
        <v>0</v>
      </c>
      <c r="T15" s="31">
        <f>SUM(Tabla52[[#This Row],[Naranjas]:[Nueces]])</f>
        <v>10</v>
      </c>
      <c r="U15" s="70"/>
    </row>
    <row r="16" spans="1:21" outlineLevel="1" x14ac:dyDescent="0.3">
      <c r="A16" s="219"/>
      <c r="B16" s="82" t="s">
        <v>125</v>
      </c>
      <c r="C16" s="83" t="s">
        <v>126</v>
      </c>
      <c r="D16" s="81" t="s">
        <v>225</v>
      </c>
      <c r="E16" s="81" t="s">
        <v>186</v>
      </c>
      <c r="F16" s="84" t="s">
        <v>226</v>
      </c>
      <c r="G16" s="84" t="s">
        <v>173</v>
      </c>
      <c r="H16" s="84" t="s">
        <v>148</v>
      </c>
      <c r="I16" s="40">
        <v>56942723186</v>
      </c>
      <c r="J16" s="49" t="s">
        <v>227</v>
      </c>
      <c r="K16" s="49" t="s">
        <v>161</v>
      </c>
      <c r="L16" s="31" t="s">
        <v>46</v>
      </c>
      <c r="M16" s="31" t="s">
        <v>46</v>
      </c>
      <c r="N16" s="31">
        <v>7</v>
      </c>
      <c r="O16" s="31">
        <v>5</v>
      </c>
      <c r="P16" s="31">
        <v>17</v>
      </c>
      <c r="Q16" s="31">
        <v>8</v>
      </c>
      <c r="R16" s="31">
        <v>2</v>
      </c>
      <c r="S16" s="24">
        <v>4</v>
      </c>
      <c r="T16" s="31">
        <f>SUM(Tabla52[[#This Row],[Naranjas]:[Nueces]])</f>
        <v>43</v>
      </c>
      <c r="U16" s="70"/>
    </row>
    <row r="17" spans="1:21" outlineLevel="1" x14ac:dyDescent="0.3">
      <c r="A17" s="219"/>
      <c r="B17" s="80" t="s">
        <v>59</v>
      </c>
      <c r="C17" s="81" t="s">
        <v>60</v>
      </c>
      <c r="D17" s="81" t="s">
        <v>169</v>
      </c>
      <c r="E17" s="81" t="s">
        <v>157</v>
      </c>
      <c r="F17" s="81" t="s">
        <v>166</v>
      </c>
      <c r="G17" s="81" t="s">
        <v>170</v>
      </c>
      <c r="H17" s="81" t="s">
        <v>148</v>
      </c>
      <c r="I17" s="40">
        <v>56982328251</v>
      </c>
      <c r="J17" s="49" t="s">
        <v>171</v>
      </c>
      <c r="K17" s="49" t="s">
        <v>155</v>
      </c>
      <c r="L17" s="31" t="s">
        <v>46</v>
      </c>
      <c r="M17" s="31" t="s">
        <v>46</v>
      </c>
      <c r="N17" s="31">
        <v>1</v>
      </c>
      <c r="O17" s="31">
        <v>0</v>
      </c>
      <c r="P17" s="31">
        <v>5</v>
      </c>
      <c r="Q17" s="31">
        <v>1</v>
      </c>
      <c r="R17" s="31">
        <v>1</v>
      </c>
      <c r="S17" s="24">
        <v>0</v>
      </c>
      <c r="T17" s="31">
        <f>SUM(Tabla52[[#This Row],[Naranjas]:[Nueces]])</f>
        <v>8</v>
      </c>
      <c r="U17" s="70"/>
    </row>
    <row r="18" spans="1:21" outlineLevel="1" x14ac:dyDescent="0.3">
      <c r="A18" s="219"/>
      <c r="B18" s="80" t="s">
        <v>55</v>
      </c>
      <c r="C18" s="81" t="s">
        <v>56</v>
      </c>
      <c r="D18" s="81" t="s">
        <v>165</v>
      </c>
      <c r="E18" s="81" t="s">
        <v>157</v>
      </c>
      <c r="F18" s="81" t="s">
        <v>166</v>
      </c>
      <c r="G18" s="81" t="s">
        <v>167</v>
      </c>
      <c r="H18" s="81" t="s">
        <v>148</v>
      </c>
      <c r="I18" s="40">
        <v>56993333225</v>
      </c>
      <c r="J18" s="49" t="s">
        <v>168</v>
      </c>
      <c r="K18" s="49" t="s">
        <v>155</v>
      </c>
      <c r="L18" s="31" t="s">
        <v>46</v>
      </c>
      <c r="M18" s="31" t="s">
        <v>46</v>
      </c>
      <c r="N18" s="31">
        <v>3</v>
      </c>
      <c r="O18" s="31">
        <v>3</v>
      </c>
      <c r="P18" s="31">
        <v>9</v>
      </c>
      <c r="Q18" s="31">
        <v>2</v>
      </c>
      <c r="R18" s="31">
        <v>0</v>
      </c>
      <c r="S18" s="24">
        <v>0</v>
      </c>
      <c r="T18" s="31">
        <f>SUM(Tabla52[[#This Row],[Naranjas]:[Nueces]])</f>
        <v>17</v>
      </c>
      <c r="U18" s="70"/>
    </row>
    <row r="19" spans="1:21" outlineLevel="1" x14ac:dyDescent="0.3">
      <c r="A19" s="219"/>
      <c r="B19" s="80" t="s">
        <v>55</v>
      </c>
      <c r="C19" s="81" t="s">
        <v>72</v>
      </c>
      <c r="D19" s="81" t="s">
        <v>179</v>
      </c>
      <c r="E19" s="81" t="s">
        <v>157</v>
      </c>
      <c r="F19" s="81" t="s">
        <v>166</v>
      </c>
      <c r="G19" s="81" t="s">
        <v>173</v>
      </c>
      <c r="H19" s="81" t="s">
        <v>148</v>
      </c>
      <c r="I19" s="40">
        <v>56967898535</v>
      </c>
      <c r="J19" s="49" t="s">
        <v>180</v>
      </c>
      <c r="K19" s="49" t="s">
        <v>155</v>
      </c>
      <c r="L19" s="31" t="s">
        <v>46</v>
      </c>
      <c r="M19" s="31" t="s">
        <v>46</v>
      </c>
      <c r="N19" s="31">
        <v>1</v>
      </c>
      <c r="O19" s="31">
        <v>3</v>
      </c>
      <c r="P19" s="31">
        <v>12</v>
      </c>
      <c r="Q19" s="31">
        <v>0</v>
      </c>
      <c r="R19" s="31">
        <v>0</v>
      </c>
      <c r="S19" s="24">
        <v>0</v>
      </c>
      <c r="T19" s="31">
        <f>SUM(Tabla52[[#This Row],[Naranjas]:[Nueces]])</f>
        <v>16</v>
      </c>
      <c r="U19" s="70"/>
    </row>
    <row r="20" spans="1:21" outlineLevel="1" x14ac:dyDescent="0.3">
      <c r="A20" s="219"/>
      <c r="B20" s="80" t="s">
        <v>73</v>
      </c>
      <c r="C20" s="81" t="s">
        <v>74</v>
      </c>
      <c r="D20" s="81" t="s">
        <v>181</v>
      </c>
      <c r="E20" s="81" t="s">
        <v>157</v>
      </c>
      <c r="F20" s="81" t="s">
        <v>158</v>
      </c>
      <c r="G20" s="81" t="s">
        <v>173</v>
      </c>
      <c r="H20" s="81" t="s">
        <v>148</v>
      </c>
      <c r="I20" s="40">
        <v>56991889995</v>
      </c>
      <c r="J20" s="49" t="s">
        <v>182</v>
      </c>
      <c r="K20" s="49" t="s">
        <v>155</v>
      </c>
      <c r="L20" s="31" t="s">
        <v>46</v>
      </c>
      <c r="M20" s="31" t="s">
        <v>46</v>
      </c>
      <c r="N20" s="31">
        <v>9</v>
      </c>
      <c r="O20" s="31">
        <v>5</v>
      </c>
      <c r="P20" s="31">
        <v>10</v>
      </c>
      <c r="Q20" s="31">
        <v>3</v>
      </c>
      <c r="R20" s="31">
        <v>3</v>
      </c>
      <c r="S20" s="24">
        <v>3</v>
      </c>
      <c r="T20" s="31">
        <f>SUM(Tabla52[[#This Row],[Naranjas]:[Nueces]])</f>
        <v>33</v>
      </c>
      <c r="U20" s="70"/>
    </row>
    <row r="21" spans="1:21" outlineLevel="1" x14ac:dyDescent="0.3">
      <c r="A21" s="219"/>
      <c r="B21" s="80" t="s">
        <v>84</v>
      </c>
      <c r="C21" s="81" t="s">
        <v>85</v>
      </c>
      <c r="D21" s="81" t="s">
        <v>151</v>
      </c>
      <c r="E21" s="81" t="s">
        <v>152</v>
      </c>
      <c r="F21" s="81" t="s">
        <v>153</v>
      </c>
      <c r="G21" s="81" t="s">
        <v>147</v>
      </c>
      <c r="H21" s="81" t="s">
        <v>148</v>
      </c>
      <c r="I21" s="40">
        <v>56986351953</v>
      </c>
      <c r="J21" s="49" t="s">
        <v>154</v>
      </c>
      <c r="K21" s="49" t="s">
        <v>155</v>
      </c>
      <c r="L21" s="31" t="s">
        <v>46</v>
      </c>
      <c r="M21" s="31" t="s">
        <v>46</v>
      </c>
      <c r="N21" s="31">
        <v>5</v>
      </c>
      <c r="O21" s="31">
        <v>3</v>
      </c>
      <c r="P21" s="31">
        <v>6</v>
      </c>
      <c r="Q21" s="31">
        <v>4</v>
      </c>
      <c r="R21" s="31">
        <v>5</v>
      </c>
      <c r="S21" s="24">
        <v>0</v>
      </c>
      <c r="T21" s="31">
        <f>SUM(Tabla52[[#This Row],[Naranjas]:[Nueces]])</f>
        <v>23</v>
      </c>
      <c r="U21" s="70"/>
    </row>
    <row r="22" spans="1:21" outlineLevel="1" x14ac:dyDescent="0.3">
      <c r="A22" s="219"/>
      <c r="B22" s="82" t="s">
        <v>123</v>
      </c>
      <c r="C22" s="83" t="s">
        <v>124</v>
      </c>
      <c r="D22" s="81" t="s">
        <v>222</v>
      </c>
      <c r="E22" s="81" t="s">
        <v>186</v>
      </c>
      <c r="F22" s="84" t="s">
        <v>223</v>
      </c>
      <c r="G22" s="84" t="s">
        <v>167</v>
      </c>
      <c r="H22" s="84" t="s">
        <v>148</v>
      </c>
      <c r="I22" s="40">
        <v>56998263560</v>
      </c>
      <c r="J22" s="49" t="s">
        <v>224</v>
      </c>
      <c r="K22" s="49" t="s">
        <v>155</v>
      </c>
      <c r="L22" s="31" t="s">
        <v>46</v>
      </c>
      <c r="M22" s="31" t="s">
        <v>46</v>
      </c>
      <c r="N22" s="31">
        <v>8</v>
      </c>
      <c r="O22" s="31">
        <v>7</v>
      </c>
      <c r="P22" s="31">
        <v>15</v>
      </c>
      <c r="Q22" s="31">
        <v>5</v>
      </c>
      <c r="R22" s="31">
        <v>4</v>
      </c>
      <c r="S22" s="24">
        <v>8</v>
      </c>
      <c r="T22" s="31">
        <f>SUM(Tabla52[[#This Row],[Naranjas]:[Nueces]])</f>
        <v>47</v>
      </c>
      <c r="U22" s="70"/>
    </row>
    <row r="23" spans="1:21" outlineLevel="1" x14ac:dyDescent="0.3">
      <c r="A23" s="219"/>
      <c r="B23" s="82" t="s">
        <v>64</v>
      </c>
      <c r="C23" s="83" t="s">
        <v>131</v>
      </c>
      <c r="D23" s="81" t="s">
        <v>228</v>
      </c>
      <c r="E23" s="81" t="s">
        <v>152</v>
      </c>
      <c r="F23" s="84" t="s">
        <v>176</v>
      </c>
      <c r="G23" s="84" t="s">
        <v>170</v>
      </c>
      <c r="H23" s="84" t="s">
        <v>148</v>
      </c>
      <c r="I23" s="40">
        <v>56979769748</v>
      </c>
      <c r="J23" s="49" t="s">
        <v>229</v>
      </c>
      <c r="K23" s="49" t="s">
        <v>161</v>
      </c>
      <c r="L23" s="31" t="s">
        <v>46</v>
      </c>
      <c r="M23" s="31" t="s">
        <v>46</v>
      </c>
      <c r="N23" s="31">
        <v>1</v>
      </c>
      <c r="O23" s="31">
        <v>0</v>
      </c>
      <c r="P23" s="31">
        <v>5</v>
      </c>
      <c r="Q23" s="31">
        <v>2</v>
      </c>
      <c r="R23" s="31">
        <v>2</v>
      </c>
      <c r="S23" s="24">
        <v>2</v>
      </c>
      <c r="T23" s="31">
        <f>SUM(Tabla52[[#This Row],[Naranjas]:[Nueces]])</f>
        <v>12</v>
      </c>
      <c r="U23" s="70"/>
    </row>
    <row r="24" spans="1:21" outlineLevel="1" x14ac:dyDescent="0.3">
      <c r="A24" s="219"/>
      <c r="B24" s="80" t="s">
        <v>68</v>
      </c>
      <c r="C24" s="81" t="s">
        <v>69</v>
      </c>
      <c r="D24" s="81" t="s">
        <v>172</v>
      </c>
      <c r="E24" s="81">
        <v>0</v>
      </c>
      <c r="F24" s="81">
        <v>0</v>
      </c>
      <c r="G24" s="81" t="s">
        <v>173</v>
      </c>
      <c r="H24" s="81" t="s">
        <v>148</v>
      </c>
      <c r="I24" s="40">
        <v>56963061299</v>
      </c>
      <c r="J24" s="49" t="s">
        <v>174</v>
      </c>
      <c r="K24" s="49" t="s">
        <v>161</v>
      </c>
      <c r="L24" s="31" t="s">
        <v>46</v>
      </c>
      <c r="M24" s="31" t="s">
        <v>46</v>
      </c>
      <c r="N24" s="31">
        <v>2</v>
      </c>
      <c r="O24" s="31">
        <v>4</v>
      </c>
      <c r="P24" s="31">
        <v>8</v>
      </c>
      <c r="Q24" s="31">
        <v>2</v>
      </c>
      <c r="R24" s="31">
        <v>1</v>
      </c>
      <c r="S24" s="24">
        <v>0</v>
      </c>
      <c r="T24" s="31">
        <f>SUM(Tabla52[[#This Row],[Naranjas]:[Nueces]])</f>
        <v>17</v>
      </c>
      <c r="U24" s="70"/>
    </row>
    <row r="25" spans="1:21" outlineLevel="1" x14ac:dyDescent="0.3">
      <c r="A25" s="219"/>
      <c r="B25" s="80" t="s">
        <v>75</v>
      </c>
      <c r="C25" s="81" t="s">
        <v>76</v>
      </c>
      <c r="D25" s="81" t="s">
        <v>183</v>
      </c>
      <c r="E25" s="81" t="s">
        <v>157</v>
      </c>
      <c r="F25" s="81" t="s">
        <v>166</v>
      </c>
      <c r="G25" s="81" t="s">
        <v>147</v>
      </c>
      <c r="H25" s="81" t="s">
        <v>148</v>
      </c>
      <c r="I25" s="40">
        <v>56983708702</v>
      </c>
      <c r="J25" s="49" t="s">
        <v>184</v>
      </c>
      <c r="K25" s="49" t="s">
        <v>161</v>
      </c>
      <c r="L25" s="31" t="s">
        <v>46</v>
      </c>
      <c r="M25" s="31" t="s">
        <v>46</v>
      </c>
      <c r="N25" s="31">
        <f>5-2</f>
        <v>3</v>
      </c>
      <c r="O25" s="31">
        <f>4-2</f>
        <v>2</v>
      </c>
      <c r="P25" s="31">
        <v>6</v>
      </c>
      <c r="Q25" s="31">
        <v>3</v>
      </c>
      <c r="R25" s="31">
        <v>0</v>
      </c>
      <c r="S25" s="24">
        <v>0</v>
      </c>
      <c r="T25" s="31">
        <f>SUM(Tabla52[[#This Row],[Naranjas]:[Nueces]])</f>
        <v>14</v>
      </c>
      <c r="U25" s="70"/>
    </row>
    <row r="26" spans="1:21" outlineLevel="1" x14ac:dyDescent="0.3">
      <c r="A26" s="219"/>
      <c r="B26" s="80" t="s">
        <v>80</v>
      </c>
      <c r="C26" s="81" t="s">
        <v>78</v>
      </c>
      <c r="D26" s="81" t="s">
        <v>192</v>
      </c>
      <c r="E26" s="81" t="s">
        <v>145</v>
      </c>
      <c r="F26" s="81" t="s">
        <v>163</v>
      </c>
      <c r="G26" s="81" t="s">
        <v>170</v>
      </c>
      <c r="H26" s="81" t="s">
        <v>148</v>
      </c>
      <c r="I26" s="40">
        <v>56997550244</v>
      </c>
      <c r="J26" s="49" t="s">
        <v>193</v>
      </c>
      <c r="K26" s="49" t="s">
        <v>161</v>
      </c>
      <c r="L26" s="31" t="s">
        <v>46</v>
      </c>
      <c r="M26" s="31" t="s">
        <v>46</v>
      </c>
      <c r="N26" s="31">
        <v>7</v>
      </c>
      <c r="O26" s="31">
        <v>7</v>
      </c>
      <c r="P26" s="31">
        <v>7</v>
      </c>
      <c r="Q26" s="31">
        <v>0</v>
      </c>
      <c r="R26" s="31">
        <v>1</v>
      </c>
      <c r="S26" s="24">
        <v>0</v>
      </c>
      <c r="T26" s="31">
        <f>SUM(Tabla52[[#This Row],[Naranjas]:[Nueces]])</f>
        <v>22</v>
      </c>
      <c r="U26" s="70"/>
    </row>
    <row r="27" spans="1:21" outlineLevel="1" x14ac:dyDescent="0.3">
      <c r="A27" s="219"/>
      <c r="B27" s="80" t="s">
        <v>82</v>
      </c>
      <c r="C27" s="81" t="s">
        <v>83</v>
      </c>
      <c r="D27" s="81" t="s">
        <v>194</v>
      </c>
      <c r="E27" s="81" t="s">
        <v>145</v>
      </c>
      <c r="F27" s="81" t="s">
        <v>163</v>
      </c>
      <c r="G27" s="81">
        <v>0</v>
      </c>
      <c r="H27" s="81" t="s">
        <v>148</v>
      </c>
      <c r="I27" s="40">
        <v>56979579233</v>
      </c>
      <c r="J27" s="49" t="s">
        <v>195</v>
      </c>
      <c r="K27" s="49" t="s">
        <v>161</v>
      </c>
      <c r="L27" s="31" t="s">
        <v>46</v>
      </c>
      <c r="M27" s="31" t="s">
        <v>46</v>
      </c>
      <c r="N27" s="31">
        <v>1</v>
      </c>
      <c r="O27" s="31">
        <v>2</v>
      </c>
      <c r="P27" s="31">
        <v>5</v>
      </c>
      <c r="Q27" s="31">
        <v>1</v>
      </c>
      <c r="R27" s="31">
        <v>1</v>
      </c>
      <c r="S27" s="24">
        <v>0</v>
      </c>
      <c r="T27" s="31">
        <f>SUM(Tabla52[[#This Row],[Naranjas]:[Nueces]])</f>
        <v>10</v>
      </c>
      <c r="U27" s="70"/>
    </row>
    <row r="28" spans="1:21" outlineLevel="1" x14ac:dyDescent="0.3">
      <c r="A28" s="219"/>
      <c r="B28" s="80" t="s">
        <v>96</v>
      </c>
      <c r="C28" s="81" t="s">
        <v>97</v>
      </c>
      <c r="D28" s="81" t="s">
        <v>202</v>
      </c>
      <c r="E28" s="81" t="s">
        <v>186</v>
      </c>
      <c r="F28" s="81" t="s">
        <v>203</v>
      </c>
      <c r="G28" s="81" t="s">
        <v>170</v>
      </c>
      <c r="H28" s="81" t="s">
        <v>148</v>
      </c>
      <c r="I28" s="40">
        <v>56977684576</v>
      </c>
      <c r="J28" s="49" t="s">
        <v>204</v>
      </c>
      <c r="K28" s="49" t="s">
        <v>161</v>
      </c>
      <c r="L28" s="31" t="s">
        <v>46</v>
      </c>
      <c r="M28" s="31" t="s">
        <v>46</v>
      </c>
      <c r="N28" s="31">
        <v>15</v>
      </c>
      <c r="O28" s="31">
        <v>6</v>
      </c>
      <c r="P28" s="31">
        <v>44</v>
      </c>
      <c r="Q28" s="31">
        <v>8</v>
      </c>
      <c r="R28" s="31">
        <v>8</v>
      </c>
      <c r="S28" s="24">
        <v>6</v>
      </c>
      <c r="T28" s="31">
        <f>SUM(Tabla52[[#This Row],[Naranjas]:[Nueces]])</f>
        <v>87</v>
      </c>
      <c r="U28" s="70"/>
    </row>
    <row r="29" spans="1:21" outlineLevel="1" x14ac:dyDescent="0.3">
      <c r="A29" s="219"/>
      <c r="B29" s="80" t="s">
        <v>98</v>
      </c>
      <c r="C29" s="81" t="s">
        <v>99</v>
      </c>
      <c r="D29" s="81" t="s">
        <v>205</v>
      </c>
      <c r="E29" s="81" t="s">
        <v>145</v>
      </c>
      <c r="F29" s="81" t="s">
        <v>163</v>
      </c>
      <c r="G29" s="81" t="s">
        <v>173</v>
      </c>
      <c r="H29" s="81" t="s">
        <v>148</v>
      </c>
      <c r="I29" s="40">
        <v>56978785698</v>
      </c>
      <c r="J29" s="49" t="s">
        <v>206</v>
      </c>
      <c r="K29" s="49" t="s">
        <v>161</v>
      </c>
      <c r="L29" s="31" t="s">
        <v>46</v>
      </c>
      <c r="M29" s="31" t="s">
        <v>46</v>
      </c>
      <c r="N29" s="31">
        <v>0</v>
      </c>
      <c r="O29" s="31">
        <v>0</v>
      </c>
      <c r="P29" s="31">
        <v>2</v>
      </c>
      <c r="Q29" s="31">
        <v>0</v>
      </c>
      <c r="R29" s="31">
        <v>0</v>
      </c>
      <c r="S29" s="24">
        <v>2</v>
      </c>
      <c r="T29" s="31">
        <f>SUM(Tabla52[[#This Row],[Naranjas]:[Nueces]])</f>
        <v>4</v>
      </c>
      <c r="U29" s="70"/>
    </row>
    <row r="30" spans="1:21" outlineLevel="1" x14ac:dyDescent="0.3">
      <c r="A30" s="219"/>
      <c r="B30" s="80" t="s">
        <v>100</v>
      </c>
      <c r="C30" s="81" t="s">
        <v>101</v>
      </c>
      <c r="D30" s="81" t="s">
        <v>207</v>
      </c>
      <c r="E30" s="81" t="s">
        <v>145</v>
      </c>
      <c r="F30" s="81" t="s">
        <v>146</v>
      </c>
      <c r="G30" s="81" t="s">
        <v>173</v>
      </c>
      <c r="H30" s="81" t="s">
        <v>148</v>
      </c>
      <c r="I30" s="40">
        <v>56979878976</v>
      </c>
      <c r="J30" s="49" t="s">
        <v>208</v>
      </c>
      <c r="K30" s="49" t="s">
        <v>161</v>
      </c>
      <c r="L30" s="31" t="s">
        <v>46</v>
      </c>
      <c r="M30" s="31" t="s">
        <v>46</v>
      </c>
      <c r="N30" s="31">
        <v>16</v>
      </c>
      <c r="O30" s="31">
        <v>15</v>
      </c>
      <c r="P30" s="31">
        <v>32</v>
      </c>
      <c r="Q30" s="31">
        <v>16</v>
      </c>
      <c r="R30" s="31">
        <v>10</v>
      </c>
      <c r="S30" s="24">
        <v>5</v>
      </c>
      <c r="T30" s="31">
        <f>SUM(Tabla52[[#This Row],[Naranjas]:[Nueces]])</f>
        <v>94</v>
      </c>
      <c r="U30" s="70"/>
    </row>
    <row r="31" spans="1:21" outlineLevel="1" x14ac:dyDescent="0.3">
      <c r="A31" s="219"/>
      <c r="B31" s="82" t="s">
        <v>132</v>
      </c>
      <c r="C31" s="83" t="s">
        <v>133</v>
      </c>
      <c r="D31" s="81" t="s">
        <v>232</v>
      </c>
      <c r="E31" s="81" t="s">
        <v>145</v>
      </c>
      <c r="F31" s="84" t="s">
        <v>233</v>
      </c>
      <c r="G31" s="84" t="s">
        <v>147</v>
      </c>
      <c r="H31" s="84" t="s">
        <v>148</v>
      </c>
      <c r="I31" s="40">
        <v>56957230044</v>
      </c>
      <c r="J31" s="49" t="s">
        <v>234</v>
      </c>
      <c r="K31" s="49" t="s">
        <v>161</v>
      </c>
      <c r="L31" s="31" t="s">
        <v>46</v>
      </c>
      <c r="M31" s="31" t="s">
        <v>46</v>
      </c>
      <c r="N31" s="31">
        <v>14</v>
      </c>
      <c r="O31" s="31">
        <v>1</v>
      </c>
      <c r="P31" s="31">
        <v>10</v>
      </c>
      <c r="Q31" s="31">
        <v>3</v>
      </c>
      <c r="R31" s="31">
        <v>1</v>
      </c>
      <c r="S31" s="24">
        <v>2</v>
      </c>
      <c r="T31" s="31">
        <f>SUM(Tabla52[[#This Row],[Naranjas]:[Nueces]])</f>
        <v>31</v>
      </c>
      <c r="U31" s="70"/>
    </row>
    <row r="32" spans="1:21" outlineLevel="1" x14ac:dyDescent="0.3">
      <c r="A32" s="219"/>
      <c r="B32" s="80" t="s">
        <v>109</v>
      </c>
      <c r="C32" s="81" t="s">
        <v>110</v>
      </c>
      <c r="D32" s="81" t="s">
        <v>212</v>
      </c>
      <c r="E32" s="81">
        <v>0</v>
      </c>
      <c r="F32" s="81">
        <v>0</v>
      </c>
      <c r="G32" s="81" t="s">
        <v>210</v>
      </c>
      <c r="H32" s="81" t="s">
        <v>148</v>
      </c>
      <c r="I32" s="40">
        <v>56952304675</v>
      </c>
      <c r="J32" s="49" t="s">
        <v>213</v>
      </c>
      <c r="K32" s="49" t="s">
        <v>150</v>
      </c>
      <c r="L32" s="31" t="s">
        <v>46</v>
      </c>
      <c r="M32" s="31" t="s">
        <v>46</v>
      </c>
      <c r="N32" s="31">
        <v>21</v>
      </c>
      <c r="O32" s="31">
        <v>19</v>
      </c>
      <c r="P32" s="31">
        <v>39</v>
      </c>
      <c r="Q32" s="31">
        <v>10</v>
      </c>
      <c r="R32" s="31">
        <v>13</v>
      </c>
      <c r="S32" s="24">
        <v>8</v>
      </c>
      <c r="T32" s="31">
        <f>SUM(Tabla52[[#This Row],[Naranjas]:[Nueces]])</f>
        <v>110</v>
      </c>
      <c r="U32" s="70"/>
    </row>
    <row r="33" spans="1:21" outlineLevel="1" x14ac:dyDescent="0.3">
      <c r="A33" s="219"/>
      <c r="B33" s="82" t="s">
        <v>134</v>
      </c>
      <c r="C33" s="83" t="s">
        <v>133</v>
      </c>
      <c r="D33" s="81" t="s">
        <v>230</v>
      </c>
      <c r="E33" s="81" t="s">
        <v>157</v>
      </c>
      <c r="F33" s="84" t="s">
        <v>166</v>
      </c>
      <c r="G33" s="84" t="s">
        <v>210</v>
      </c>
      <c r="H33" s="84" t="s">
        <v>148</v>
      </c>
      <c r="I33" s="40">
        <v>56966640363</v>
      </c>
      <c r="J33" s="49" t="s">
        <v>231</v>
      </c>
      <c r="K33" s="49" t="s">
        <v>150</v>
      </c>
      <c r="L33" s="31" t="s">
        <v>46</v>
      </c>
      <c r="M33" s="31" t="s">
        <v>46</v>
      </c>
      <c r="N33" s="31">
        <v>5</v>
      </c>
      <c r="O33" s="31">
        <v>7</v>
      </c>
      <c r="P33" s="31">
        <v>8</v>
      </c>
      <c r="Q33" s="31">
        <v>5</v>
      </c>
      <c r="R33" s="31">
        <v>4</v>
      </c>
      <c r="S33" s="24">
        <v>2</v>
      </c>
      <c r="T33" s="31">
        <f>SUM(Tabla52[[#This Row],[Naranjas]:[Nueces]])</f>
        <v>31</v>
      </c>
      <c r="U33" s="70"/>
    </row>
    <row r="34" spans="1:21" outlineLevel="1" x14ac:dyDescent="0.3">
      <c r="A34" s="219"/>
      <c r="B34" s="80" t="s">
        <v>77</v>
      </c>
      <c r="C34" s="81" t="s">
        <v>78</v>
      </c>
      <c r="D34" s="81" t="s">
        <v>185</v>
      </c>
      <c r="E34" s="81" t="s">
        <v>186</v>
      </c>
      <c r="F34" s="81" t="s">
        <v>187</v>
      </c>
      <c r="G34" s="81" t="s">
        <v>188</v>
      </c>
      <c r="H34" s="81" t="s">
        <v>148</v>
      </c>
      <c r="I34" s="40">
        <v>56982978895</v>
      </c>
      <c r="J34" s="49" t="s">
        <v>189</v>
      </c>
      <c r="K34" s="49" t="s">
        <v>150</v>
      </c>
      <c r="L34" s="31" t="s">
        <v>46</v>
      </c>
      <c r="M34" s="31" t="s">
        <v>46</v>
      </c>
      <c r="N34" s="31">
        <v>15</v>
      </c>
      <c r="O34" s="31">
        <v>17</v>
      </c>
      <c r="P34" s="31">
        <v>17</v>
      </c>
      <c r="Q34" s="31">
        <v>6</v>
      </c>
      <c r="R34" s="31">
        <v>10</v>
      </c>
      <c r="S34" s="24">
        <v>8</v>
      </c>
      <c r="T34" s="31">
        <f>SUM(Tabla52[[#This Row],[Naranjas]:[Nueces]])</f>
        <v>73</v>
      </c>
      <c r="U34" s="70"/>
    </row>
    <row r="35" spans="1:21" outlineLevel="1" x14ac:dyDescent="0.3">
      <c r="A35" s="219"/>
      <c r="B35" s="80" t="s">
        <v>84</v>
      </c>
      <c r="C35" s="81" t="s">
        <v>95</v>
      </c>
      <c r="D35" s="81" t="s">
        <v>200</v>
      </c>
      <c r="E35" s="81" t="s">
        <v>157</v>
      </c>
      <c r="F35" s="81" t="s">
        <v>166</v>
      </c>
      <c r="G35" s="81" t="s">
        <v>167</v>
      </c>
      <c r="H35" s="81" t="s">
        <v>148</v>
      </c>
      <c r="I35" s="40">
        <v>56988587944</v>
      </c>
      <c r="J35" s="49" t="s">
        <v>201</v>
      </c>
      <c r="K35" s="49" t="s">
        <v>150</v>
      </c>
      <c r="L35" s="31" t="s">
        <v>46</v>
      </c>
      <c r="M35" s="31" t="s">
        <v>46</v>
      </c>
      <c r="N35" s="31">
        <v>0</v>
      </c>
      <c r="O35" s="31">
        <v>1</v>
      </c>
      <c r="P35" s="31">
        <v>6</v>
      </c>
      <c r="Q35" s="31">
        <v>1</v>
      </c>
      <c r="R35" s="31">
        <v>0</v>
      </c>
      <c r="S35" s="24">
        <v>0</v>
      </c>
      <c r="T35" s="31">
        <f>SUM(Tabla52[[#This Row],[Naranjas]:[Nueces]])</f>
        <v>8</v>
      </c>
      <c r="U35" s="70"/>
    </row>
    <row r="36" spans="1:21" outlineLevel="1" x14ac:dyDescent="0.3">
      <c r="A36" s="219"/>
      <c r="B36" s="80" t="s">
        <v>119</v>
      </c>
      <c r="C36" s="81" t="s">
        <v>120</v>
      </c>
      <c r="D36" s="81" t="s">
        <v>220</v>
      </c>
      <c r="E36" s="81" t="s">
        <v>186</v>
      </c>
      <c r="F36" s="81">
        <v>0</v>
      </c>
      <c r="G36" s="81">
        <v>0</v>
      </c>
      <c r="H36" s="81" t="s">
        <v>148</v>
      </c>
      <c r="I36" s="40">
        <v>56956481962</v>
      </c>
      <c r="J36" s="49" t="s">
        <v>221</v>
      </c>
      <c r="K36" s="49" t="s">
        <v>150</v>
      </c>
      <c r="L36" s="31" t="s">
        <v>46</v>
      </c>
      <c r="M36" s="31" t="s">
        <v>46</v>
      </c>
      <c r="N36" s="31">
        <v>8</v>
      </c>
      <c r="O36" s="31">
        <v>9</v>
      </c>
      <c r="P36" s="31">
        <v>16</v>
      </c>
      <c r="Q36" s="31">
        <v>9</v>
      </c>
      <c r="R36" s="31">
        <v>11</v>
      </c>
      <c r="S36" s="24">
        <v>7</v>
      </c>
      <c r="T36" s="31">
        <f>SUM(Tabla52[[#This Row],[Naranjas]:[Nueces]])</f>
        <v>60</v>
      </c>
      <c r="U36" s="70"/>
    </row>
    <row r="37" spans="1:21" outlineLevel="1" x14ac:dyDescent="0.3">
      <c r="A37" s="219"/>
      <c r="B37" s="82" t="s">
        <v>135</v>
      </c>
      <c r="C37" s="83" t="s">
        <v>136</v>
      </c>
      <c r="D37" s="81" t="s">
        <v>235</v>
      </c>
      <c r="E37" s="84" t="s">
        <v>145</v>
      </c>
      <c r="F37" s="84" t="s">
        <v>146</v>
      </c>
      <c r="G37" s="84" t="s">
        <v>236</v>
      </c>
      <c r="H37" s="84" t="s">
        <v>148</v>
      </c>
      <c r="I37" s="40">
        <v>56973979384</v>
      </c>
      <c r="J37" s="49" t="s">
        <v>237</v>
      </c>
      <c r="K37" s="49" t="s">
        <v>150</v>
      </c>
      <c r="L37" s="31" t="s">
        <v>46</v>
      </c>
      <c r="M37" s="31" t="s">
        <v>46</v>
      </c>
      <c r="N37" s="31">
        <v>2</v>
      </c>
      <c r="O37" s="31">
        <v>3</v>
      </c>
      <c r="P37" s="31">
        <v>7</v>
      </c>
      <c r="Q37" s="31">
        <v>1</v>
      </c>
      <c r="R37" s="31">
        <v>2</v>
      </c>
      <c r="S37" s="24">
        <v>1</v>
      </c>
      <c r="T37" s="31">
        <f>SUM(Tabla52[[#This Row],[Naranjas]:[Nueces]])</f>
        <v>16</v>
      </c>
      <c r="U37" s="70"/>
    </row>
    <row r="38" spans="1:21" outlineLevel="1" x14ac:dyDescent="0.3">
      <c r="A38" s="219"/>
      <c r="B38" s="80" t="s">
        <v>61</v>
      </c>
      <c r="C38" s="81" t="s">
        <v>60</v>
      </c>
      <c r="D38" s="81" t="s">
        <v>169</v>
      </c>
      <c r="E38" s="81" t="s">
        <v>157</v>
      </c>
      <c r="F38" s="81" t="s">
        <v>166</v>
      </c>
      <c r="G38" s="81" t="s">
        <v>173</v>
      </c>
      <c r="H38" s="81" t="s">
        <v>246</v>
      </c>
      <c r="I38" s="40">
        <v>56982328250</v>
      </c>
      <c r="J38" s="49" t="s">
        <v>247</v>
      </c>
      <c r="K38" s="49" t="s">
        <v>155</v>
      </c>
      <c r="L38" s="31"/>
      <c r="M38" s="31"/>
      <c r="N38" s="31"/>
      <c r="O38" s="31"/>
      <c r="P38" s="31"/>
      <c r="Q38" s="31"/>
      <c r="R38" s="31"/>
      <c r="S38" s="24"/>
      <c r="T38" s="31">
        <f>SUM(Tabla52[[#This Row],[Naranjas]:[Nueces]])</f>
        <v>0</v>
      </c>
      <c r="U38" s="70"/>
    </row>
    <row r="39" spans="1:21" outlineLevel="1" x14ac:dyDescent="0.3">
      <c r="A39" s="219"/>
      <c r="B39" s="80" t="s">
        <v>86</v>
      </c>
      <c r="C39" s="81" t="s">
        <v>87</v>
      </c>
      <c r="D39" s="81" t="s">
        <v>260</v>
      </c>
      <c r="E39" s="81" t="s">
        <v>145</v>
      </c>
      <c r="F39" s="81" t="s">
        <v>163</v>
      </c>
      <c r="G39" s="81" t="s">
        <v>173</v>
      </c>
      <c r="H39" s="81" t="s">
        <v>148</v>
      </c>
      <c r="I39" s="40">
        <v>56982958975</v>
      </c>
      <c r="J39" s="49" t="s">
        <v>261</v>
      </c>
      <c r="K39" s="49" t="s">
        <v>155</v>
      </c>
      <c r="L39" s="31"/>
      <c r="M39" s="31"/>
      <c r="N39" s="31"/>
      <c r="O39" s="31"/>
      <c r="P39" s="31"/>
      <c r="Q39" s="31"/>
      <c r="R39" s="31"/>
      <c r="S39" s="24"/>
      <c r="T39" s="31">
        <f>SUM(Tabla52[[#This Row],[Naranjas]:[Nueces]])</f>
        <v>0</v>
      </c>
      <c r="U39" s="70"/>
    </row>
    <row r="40" spans="1:21" outlineLevel="1" x14ac:dyDescent="0.3">
      <c r="A40" s="219"/>
      <c r="B40" s="80" t="s">
        <v>41</v>
      </c>
      <c r="C40" s="81" t="s">
        <v>94</v>
      </c>
      <c r="D40" s="81" t="s">
        <v>265</v>
      </c>
      <c r="E40" s="81" t="s">
        <v>157</v>
      </c>
      <c r="F40" s="81" t="s">
        <v>158</v>
      </c>
      <c r="G40" s="81" t="s">
        <v>170</v>
      </c>
      <c r="H40" s="81" t="s">
        <v>148</v>
      </c>
      <c r="I40" s="40">
        <v>56966477967</v>
      </c>
      <c r="J40" s="49" t="s">
        <v>266</v>
      </c>
      <c r="K40" s="49" t="s">
        <v>155</v>
      </c>
      <c r="L40" s="31"/>
      <c r="M40" s="31"/>
      <c r="N40" s="31"/>
      <c r="O40" s="31"/>
      <c r="P40" s="31"/>
      <c r="Q40" s="31"/>
      <c r="R40" s="31"/>
      <c r="S40" s="24"/>
      <c r="T40" s="31">
        <f>SUM(Tabla52[[#This Row],[Naranjas]:[Nueces]])</f>
        <v>0</v>
      </c>
      <c r="U40" s="70"/>
    </row>
    <row r="41" spans="1:21" outlineLevel="1" x14ac:dyDescent="0.3">
      <c r="A41" s="219"/>
      <c r="B41" s="80" t="s">
        <v>79</v>
      </c>
      <c r="C41" s="81" t="s">
        <v>106</v>
      </c>
      <c r="D41" s="81" t="s">
        <v>270</v>
      </c>
      <c r="E41" s="81" t="s">
        <v>157</v>
      </c>
      <c r="F41" s="81" t="s">
        <v>166</v>
      </c>
      <c r="G41" s="81" t="s">
        <v>147</v>
      </c>
      <c r="H41" s="81" t="s">
        <v>148</v>
      </c>
      <c r="I41" s="40">
        <v>56975684552</v>
      </c>
      <c r="J41" s="49" t="s">
        <v>271</v>
      </c>
      <c r="K41" s="49" t="s">
        <v>155</v>
      </c>
      <c r="L41" s="31"/>
      <c r="M41" s="31"/>
      <c r="N41" s="31"/>
      <c r="O41" s="31"/>
      <c r="P41" s="31"/>
      <c r="Q41" s="31"/>
      <c r="R41" s="31"/>
      <c r="S41" s="24"/>
      <c r="T41" s="31">
        <f>SUM(Tabla52[[#This Row],[Naranjas]:[Nueces]])</f>
        <v>0</v>
      </c>
      <c r="U41" s="70"/>
    </row>
    <row r="42" spans="1:21" outlineLevel="1" x14ac:dyDescent="0.3">
      <c r="A42" s="219"/>
      <c r="B42" s="82" t="s">
        <v>127</v>
      </c>
      <c r="C42" s="83" t="s">
        <v>128</v>
      </c>
      <c r="D42" s="81" t="s">
        <v>279</v>
      </c>
      <c r="E42" s="81" t="s">
        <v>157</v>
      </c>
      <c r="F42" s="84" t="s">
        <v>166</v>
      </c>
      <c r="G42" s="84" t="s">
        <v>170</v>
      </c>
      <c r="H42" s="84" t="s">
        <v>148</v>
      </c>
      <c r="I42" s="40">
        <v>56974397201</v>
      </c>
      <c r="J42" s="49" t="s">
        <v>280</v>
      </c>
      <c r="K42" s="49" t="s">
        <v>155</v>
      </c>
      <c r="L42" s="31"/>
      <c r="M42" s="31"/>
      <c r="N42" s="31"/>
      <c r="O42" s="31"/>
      <c r="P42" s="31"/>
      <c r="Q42" s="31"/>
      <c r="R42" s="31"/>
      <c r="S42" s="24"/>
      <c r="T42" s="31">
        <f>SUM(Tabla52[[#This Row],[Naranjas]:[Nueces]])</f>
        <v>0</v>
      </c>
      <c r="U42" s="70"/>
    </row>
    <row r="43" spans="1:21" outlineLevel="1" x14ac:dyDescent="0.3">
      <c r="A43" s="219"/>
      <c r="B43" s="80" t="s">
        <v>47</v>
      </c>
      <c r="C43" s="81" t="s">
        <v>48</v>
      </c>
      <c r="D43" s="81" t="s">
        <v>238</v>
      </c>
      <c r="E43" s="81" t="s">
        <v>152</v>
      </c>
      <c r="F43" s="81" t="s">
        <v>176</v>
      </c>
      <c r="G43" s="81" t="s">
        <v>239</v>
      </c>
      <c r="H43" s="81" t="s">
        <v>148</v>
      </c>
      <c r="I43" s="40">
        <v>56982328250</v>
      </c>
      <c r="J43" s="49" t="s">
        <v>240</v>
      </c>
      <c r="K43" s="49" t="s">
        <v>161</v>
      </c>
      <c r="L43" s="31"/>
      <c r="M43" s="31"/>
      <c r="N43" s="31"/>
      <c r="O43" s="31"/>
      <c r="P43" s="31"/>
      <c r="Q43" s="31"/>
      <c r="R43" s="31"/>
      <c r="S43" s="24"/>
      <c r="T43" s="31">
        <f>SUM(Tabla52[[#This Row],[Naranjas]:[Nueces]])</f>
        <v>0</v>
      </c>
      <c r="U43" s="70"/>
    </row>
    <row r="44" spans="1:21" outlineLevel="1" x14ac:dyDescent="0.3">
      <c r="A44" s="219"/>
      <c r="B44" s="80" t="s">
        <v>49</v>
      </c>
      <c r="C44" s="81" t="s">
        <v>50</v>
      </c>
      <c r="D44" s="81" t="s">
        <v>241</v>
      </c>
      <c r="E44" s="81" t="s">
        <v>145</v>
      </c>
      <c r="F44" s="81" t="s">
        <v>223</v>
      </c>
      <c r="G44" s="81" t="s">
        <v>242</v>
      </c>
      <c r="H44" s="81" t="s">
        <v>148</v>
      </c>
      <c r="I44" s="40">
        <v>56954219968</v>
      </c>
      <c r="J44" s="49" t="s">
        <v>243</v>
      </c>
      <c r="K44" s="49" t="s">
        <v>161</v>
      </c>
      <c r="L44" s="31"/>
      <c r="M44" s="31"/>
      <c r="N44" s="31"/>
      <c r="O44" s="31"/>
      <c r="P44" s="31"/>
      <c r="Q44" s="31"/>
      <c r="R44" s="31"/>
      <c r="S44" s="24"/>
      <c r="T44" s="31">
        <f>SUM(Tabla52[[#This Row],[Naranjas]:[Nueces]])</f>
        <v>0</v>
      </c>
      <c r="U44" s="70"/>
    </row>
    <row r="45" spans="1:21" outlineLevel="1" x14ac:dyDescent="0.3">
      <c r="A45" s="219"/>
      <c r="B45" s="80" t="s">
        <v>62</v>
      </c>
      <c r="C45" s="81" t="s">
        <v>63</v>
      </c>
      <c r="D45" s="81">
        <v>0</v>
      </c>
      <c r="E45" s="81">
        <v>0</v>
      </c>
      <c r="F45" s="81">
        <v>0</v>
      </c>
      <c r="G45" s="81">
        <v>0</v>
      </c>
      <c r="H45" s="81">
        <v>0</v>
      </c>
      <c r="I45" s="40">
        <v>0</v>
      </c>
      <c r="J45" s="49">
        <v>0</v>
      </c>
      <c r="K45" s="49" t="s">
        <v>161</v>
      </c>
      <c r="L45" s="31"/>
      <c r="M45" s="31"/>
      <c r="N45" s="31"/>
      <c r="O45" s="31"/>
      <c r="P45" s="31"/>
      <c r="Q45" s="31"/>
      <c r="R45" s="31"/>
      <c r="S45" s="24"/>
      <c r="T45" s="31">
        <f>SUM(Tabla52[[#This Row],[Naranjas]:[Nueces]])</f>
        <v>0</v>
      </c>
      <c r="U45" s="70"/>
    </row>
    <row r="46" spans="1:21" outlineLevel="1" x14ac:dyDescent="0.3">
      <c r="A46" s="219"/>
      <c r="B46" s="80" t="s">
        <v>66</v>
      </c>
      <c r="C46" s="81" t="s">
        <v>67</v>
      </c>
      <c r="D46" s="81" t="s">
        <v>250</v>
      </c>
      <c r="E46" s="81" t="s">
        <v>145</v>
      </c>
      <c r="F46" s="81" t="s">
        <v>163</v>
      </c>
      <c r="G46" s="81" t="s">
        <v>251</v>
      </c>
      <c r="H46" s="81" t="s">
        <v>148</v>
      </c>
      <c r="I46" s="40">
        <v>56995346870</v>
      </c>
      <c r="J46" s="49" t="s">
        <v>252</v>
      </c>
      <c r="K46" s="49" t="s">
        <v>161</v>
      </c>
      <c r="L46" s="31"/>
      <c r="M46" s="31"/>
      <c r="N46" s="31"/>
      <c r="O46" s="31"/>
      <c r="P46" s="31"/>
      <c r="Q46" s="31"/>
      <c r="R46" s="31"/>
      <c r="S46" s="24"/>
      <c r="T46" s="31">
        <f>SUM(Tabla52[[#This Row],[Naranjas]:[Nueces]])</f>
        <v>0</v>
      </c>
      <c r="U46" s="70"/>
    </row>
    <row r="47" spans="1:21" outlineLevel="1" x14ac:dyDescent="0.3">
      <c r="A47" s="219"/>
      <c r="B47" s="80" t="s">
        <v>70</v>
      </c>
      <c r="C47" s="81" t="s">
        <v>43</v>
      </c>
      <c r="D47" s="81" t="s">
        <v>253</v>
      </c>
      <c r="E47" s="81" t="s">
        <v>145</v>
      </c>
      <c r="F47" s="81" t="s">
        <v>254</v>
      </c>
      <c r="G47" s="81" t="s">
        <v>173</v>
      </c>
      <c r="H47" s="81" t="s">
        <v>246</v>
      </c>
      <c r="I47" s="40">
        <v>56996324787</v>
      </c>
      <c r="J47" s="49" t="s">
        <v>255</v>
      </c>
      <c r="K47" s="49" t="s">
        <v>161</v>
      </c>
      <c r="L47" s="31"/>
      <c r="M47" s="31"/>
      <c r="N47" s="31"/>
      <c r="O47" s="31"/>
      <c r="P47" s="31"/>
      <c r="Q47" s="31"/>
      <c r="R47" s="31"/>
      <c r="S47" s="24"/>
      <c r="T47" s="31">
        <f>SUM(Tabla52[[#This Row],[Naranjas]:[Nueces]])</f>
        <v>0</v>
      </c>
      <c r="U47" s="70"/>
    </row>
    <row r="48" spans="1:21" outlineLevel="1" x14ac:dyDescent="0.3">
      <c r="A48" s="219"/>
      <c r="B48" s="80" t="s">
        <v>104</v>
      </c>
      <c r="C48" s="81" t="s">
        <v>105</v>
      </c>
      <c r="D48" s="81" t="s">
        <v>267</v>
      </c>
      <c r="E48" s="81" t="s">
        <v>157</v>
      </c>
      <c r="F48" s="81" t="s">
        <v>166</v>
      </c>
      <c r="G48" s="81" t="s">
        <v>268</v>
      </c>
      <c r="H48" s="81" t="s">
        <v>148</v>
      </c>
      <c r="I48" s="40">
        <v>56971837517</v>
      </c>
      <c r="J48" s="49" t="s">
        <v>269</v>
      </c>
      <c r="K48" s="49" t="s">
        <v>161</v>
      </c>
      <c r="L48" s="31"/>
      <c r="M48" s="31"/>
      <c r="N48" s="31"/>
      <c r="O48" s="31"/>
      <c r="P48" s="31"/>
      <c r="Q48" s="31"/>
      <c r="R48" s="31"/>
      <c r="S48" s="24"/>
      <c r="T48" s="31">
        <f>SUM(Tabla52[[#This Row],[Naranjas]:[Nueces]])</f>
        <v>0</v>
      </c>
      <c r="U48" s="70"/>
    </row>
    <row r="49" spans="1:21" outlineLevel="1" x14ac:dyDescent="0.3">
      <c r="A49" s="219"/>
      <c r="B49" s="80" t="s">
        <v>51</v>
      </c>
      <c r="C49" s="81" t="s">
        <v>52</v>
      </c>
      <c r="D49" s="81" t="s">
        <v>244</v>
      </c>
      <c r="E49" s="81">
        <v>0</v>
      </c>
      <c r="F49" s="81">
        <v>0</v>
      </c>
      <c r="G49" s="81">
        <v>0</v>
      </c>
      <c r="H49" s="81" t="s">
        <v>148</v>
      </c>
      <c r="I49" s="40">
        <v>56962094749</v>
      </c>
      <c r="J49" s="49" t="s">
        <v>245</v>
      </c>
      <c r="K49" s="49" t="s">
        <v>150</v>
      </c>
      <c r="L49" s="31"/>
      <c r="M49" s="31"/>
      <c r="N49" s="31"/>
      <c r="O49" s="31"/>
      <c r="P49" s="31"/>
      <c r="Q49" s="31"/>
      <c r="R49" s="31"/>
      <c r="S49" s="24"/>
      <c r="T49" s="31">
        <f>SUM(Tabla52[[#This Row],[Naranjas]:[Nueces]])</f>
        <v>0</v>
      </c>
      <c r="U49" s="70"/>
    </row>
    <row r="50" spans="1:21" outlineLevel="1" x14ac:dyDescent="0.3">
      <c r="A50" s="219"/>
      <c r="B50" s="80" t="s">
        <v>53</v>
      </c>
      <c r="C50" s="81" t="s">
        <v>54</v>
      </c>
      <c r="D50" s="81">
        <v>0</v>
      </c>
      <c r="E50" s="81">
        <v>0</v>
      </c>
      <c r="F50" s="81">
        <v>0</v>
      </c>
      <c r="G50" s="81">
        <v>0</v>
      </c>
      <c r="H50" s="81">
        <v>0</v>
      </c>
      <c r="I50" s="40">
        <v>0</v>
      </c>
      <c r="J50" s="49">
        <v>0</v>
      </c>
      <c r="K50" s="49" t="s">
        <v>150</v>
      </c>
      <c r="L50" s="31"/>
      <c r="M50" s="31"/>
      <c r="N50" s="31"/>
      <c r="O50" s="31"/>
      <c r="P50" s="31"/>
      <c r="Q50" s="31"/>
      <c r="R50" s="31"/>
      <c r="S50" s="24"/>
      <c r="T50" s="31">
        <f>SUM(Tabla52[[#This Row],[Naranjas]:[Nueces]])</f>
        <v>0</v>
      </c>
      <c r="U50" s="70"/>
    </row>
    <row r="51" spans="1:21" outlineLevel="1" x14ac:dyDescent="0.3">
      <c r="A51" s="219"/>
      <c r="B51" s="80" t="s">
        <v>64</v>
      </c>
      <c r="C51" s="81" t="s">
        <v>65</v>
      </c>
      <c r="D51" s="81" t="s">
        <v>248</v>
      </c>
      <c r="E51" s="81" t="s">
        <v>157</v>
      </c>
      <c r="F51" s="81" t="s">
        <v>166</v>
      </c>
      <c r="G51" s="81">
        <v>0</v>
      </c>
      <c r="H51" s="81" t="s">
        <v>148</v>
      </c>
      <c r="I51" s="40">
        <v>56944346775</v>
      </c>
      <c r="J51" s="49" t="s">
        <v>249</v>
      </c>
      <c r="K51" s="49" t="s">
        <v>150</v>
      </c>
      <c r="L51" s="31"/>
      <c r="M51" s="31"/>
      <c r="N51" s="31"/>
      <c r="O51" s="31"/>
      <c r="P51" s="31"/>
      <c r="Q51" s="31"/>
      <c r="R51" s="31"/>
      <c r="S51" s="24"/>
      <c r="T51" s="31">
        <f>SUM(Tabla52[[#This Row],[Naranjas]:[Nueces]])</f>
        <v>0</v>
      </c>
      <c r="U51" s="70"/>
    </row>
    <row r="52" spans="1:21" outlineLevel="1" x14ac:dyDescent="0.3">
      <c r="A52" s="219"/>
      <c r="B52" s="80" t="s">
        <v>81</v>
      </c>
      <c r="C52" s="81" t="s">
        <v>78</v>
      </c>
      <c r="D52" s="81" t="s">
        <v>256</v>
      </c>
      <c r="E52" s="81" t="s">
        <v>152</v>
      </c>
      <c r="F52" s="81" t="s">
        <v>257</v>
      </c>
      <c r="G52" s="81" t="s">
        <v>258</v>
      </c>
      <c r="H52" s="81" t="s">
        <v>148</v>
      </c>
      <c r="I52" s="40">
        <v>56965542496</v>
      </c>
      <c r="J52" s="49" t="s">
        <v>259</v>
      </c>
      <c r="K52" s="49" t="s">
        <v>150</v>
      </c>
      <c r="L52" s="31"/>
      <c r="M52" s="31"/>
      <c r="N52" s="31"/>
      <c r="O52" s="31"/>
      <c r="P52" s="31"/>
      <c r="Q52" s="31"/>
      <c r="R52" s="31"/>
      <c r="S52" s="24"/>
      <c r="T52" s="31">
        <f>SUM(Tabla52[[#This Row],[Naranjas]:[Nueces]])</f>
        <v>0</v>
      </c>
      <c r="U52" s="70"/>
    </row>
    <row r="53" spans="1:21" outlineLevel="1" x14ac:dyDescent="0.3">
      <c r="A53" s="219"/>
      <c r="B53" s="80" t="s">
        <v>88</v>
      </c>
      <c r="C53" s="81" t="s">
        <v>89</v>
      </c>
      <c r="D53" s="81" t="s">
        <v>262</v>
      </c>
      <c r="E53" s="81" t="s">
        <v>263</v>
      </c>
      <c r="F53" s="81" t="s">
        <v>263</v>
      </c>
      <c r="G53" s="81" t="s">
        <v>188</v>
      </c>
      <c r="H53" s="81" t="s">
        <v>148</v>
      </c>
      <c r="I53" s="40">
        <v>56965951459</v>
      </c>
      <c r="J53" s="49" t="s">
        <v>264</v>
      </c>
      <c r="K53" s="49" t="s">
        <v>150</v>
      </c>
      <c r="L53" s="31"/>
      <c r="M53" s="31"/>
      <c r="N53" s="31"/>
      <c r="O53" s="31"/>
      <c r="P53" s="31"/>
      <c r="Q53" s="31"/>
      <c r="R53" s="31"/>
      <c r="S53" s="24"/>
      <c r="T53" s="31">
        <f>SUM(Tabla52[[#This Row],[Naranjas]:[Nueces]])</f>
        <v>0</v>
      </c>
      <c r="U53" s="70"/>
    </row>
    <row r="54" spans="1:21" outlineLevel="1" x14ac:dyDescent="0.3">
      <c r="A54" s="219"/>
      <c r="B54" s="80" t="s">
        <v>113</v>
      </c>
      <c r="C54" s="81" t="s">
        <v>114</v>
      </c>
      <c r="D54" s="81" t="s">
        <v>272</v>
      </c>
      <c r="E54" s="81" t="s">
        <v>152</v>
      </c>
      <c r="F54" s="81" t="s">
        <v>176</v>
      </c>
      <c r="G54" s="81" t="s">
        <v>147</v>
      </c>
      <c r="H54" s="81" t="s">
        <v>148</v>
      </c>
      <c r="I54" s="40">
        <v>56984695829</v>
      </c>
      <c r="J54" s="49" t="s">
        <v>273</v>
      </c>
      <c r="K54" s="49" t="s">
        <v>150</v>
      </c>
      <c r="L54" s="31"/>
      <c r="M54" s="31"/>
      <c r="N54" s="31"/>
      <c r="O54" s="31"/>
      <c r="P54" s="31"/>
      <c r="Q54" s="31"/>
      <c r="R54" s="31"/>
      <c r="S54" s="24"/>
      <c r="T54" s="31">
        <f>SUM(Tabla52[[#This Row],[Naranjas]:[Nueces]])</f>
        <v>0</v>
      </c>
      <c r="U54" s="70"/>
    </row>
    <row r="55" spans="1:21" outlineLevel="1" x14ac:dyDescent="0.3">
      <c r="A55" s="219"/>
      <c r="B55" s="80" t="s">
        <v>115</v>
      </c>
      <c r="C55" s="81" t="s">
        <v>116</v>
      </c>
      <c r="D55" s="81" t="s">
        <v>274</v>
      </c>
      <c r="E55" s="81" t="s">
        <v>157</v>
      </c>
      <c r="F55" s="81" t="s">
        <v>166</v>
      </c>
      <c r="G55" s="81" t="s">
        <v>173</v>
      </c>
      <c r="H55" s="81" t="s">
        <v>246</v>
      </c>
      <c r="I55" s="40">
        <v>56987217393</v>
      </c>
      <c r="J55" s="49" t="s">
        <v>275</v>
      </c>
      <c r="K55" s="49" t="s">
        <v>150</v>
      </c>
      <c r="L55" s="31"/>
      <c r="M55" s="31"/>
      <c r="N55" s="31"/>
      <c r="O55" s="31"/>
      <c r="P55" s="31"/>
      <c r="Q55" s="31"/>
      <c r="R55" s="31"/>
      <c r="S55" s="24"/>
      <c r="T55" s="31">
        <f>SUM(Tabla52[[#This Row],[Naranjas]:[Nueces]])</f>
        <v>0</v>
      </c>
      <c r="U55" s="70"/>
    </row>
    <row r="56" spans="1:21" outlineLevel="1" x14ac:dyDescent="0.3">
      <c r="A56" s="219"/>
      <c r="B56" s="80" t="s">
        <v>121</v>
      </c>
      <c r="C56" s="81" t="s">
        <v>122</v>
      </c>
      <c r="D56" s="81" t="s">
        <v>276</v>
      </c>
      <c r="E56" s="81" t="s">
        <v>186</v>
      </c>
      <c r="F56" s="81" t="s">
        <v>223</v>
      </c>
      <c r="G56" s="81" t="s">
        <v>277</v>
      </c>
      <c r="H56" s="81" t="s">
        <v>148</v>
      </c>
      <c r="I56" s="40">
        <v>56979980568</v>
      </c>
      <c r="J56" s="49" t="s">
        <v>278</v>
      </c>
      <c r="K56" s="49" t="s">
        <v>150</v>
      </c>
      <c r="L56" s="31"/>
      <c r="M56" s="31"/>
      <c r="N56" s="31"/>
      <c r="O56" s="31"/>
      <c r="P56" s="31"/>
      <c r="Q56" s="31"/>
      <c r="R56" s="31"/>
      <c r="S56" s="24"/>
      <c r="T56" s="31">
        <f>SUM(Tabla52[[#This Row],[Naranjas]:[Nueces]])</f>
        <v>0</v>
      </c>
      <c r="U56" s="70"/>
    </row>
    <row r="57" spans="1:21" ht="15" outlineLevel="1" thickBot="1" x14ac:dyDescent="0.35">
      <c r="A57" s="220"/>
      <c r="B57" s="85" t="s">
        <v>129</v>
      </c>
      <c r="C57" s="86" t="s">
        <v>130</v>
      </c>
      <c r="D57" s="88" t="s">
        <v>281</v>
      </c>
      <c r="E57" s="88" t="s">
        <v>157</v>
      </c>
      <c r="F57" s="87" t="s">
        <v>166</v>
      </c>
      <c r="G57" s="87" t="s">
        <v>282</v>
      </c>
      <c r="H57" s="87" t="s">
        <v>148</v>
      </c>
      <c r="I57" s="40">
        <v>56964829508</v>
      </c>
      <c r="J57" s="50" t="s">
        <v>283</v>
      </c>
      <c r="K57" s="59" t="s">
        <v>150</v>
      </c>
      <c r="L57" s="11"/>
      <c r="M57" s="11"/>
      <c r="N57" s="31"/>
      <c r="O57" s="31"/>
      <c r="P57" s="31"/>
      <c r="Q57" s="31"/>
      <c r="R57" s="31"/>
      <c r="S57" s="24"/>
      <c r="T57" s="11">
        <f>SUM(Tabla52[[#This Row],[Naranjas]:[Nueces]])</f>
        <v>0</v>
      </c>
      <c r="U57" s="71"/>
    </row>
    <row r="58" spans="1:21" outlineLevel="1" x14ac:dyDescent="0.3">
      <c r="A58" s="35"/>
      <c r="B58" s="36"/>
      <c r="C58" s="36"/>
      <c r="D58" s="36"/>
      <c r="E58" s="36"/>
      <c r="F58" s="36"/>
      <c r="G58" s="36"/>
      <c r="H58" s="36"/>
      <c r="I58" s="60"/>
      <c r="J58" s="58"/>
      <c r="K58" s="58"/>
      <c r="L58" s="37"/>
      <c r="M58" s="37"/>
      <c r="N58" s="37"/>
      <c r="O58" s="37"/>
      <c r="P58" s="37"/>
      <c r="Q58" s="37"/>
      <c r="R58" s="37"/>
      <c r="S58" s="37"/>
      <c r="T58" s="37"/>
    </row>
    <row r="59" spans="1:21" ht="15" thickBot="1" x14ac:dyDescent="0.35"/>
    <row r="60" spans="1:21" ht="14.7" customHeight="1" thickBot="1" x14ac:dyDescent="0.35">
      <c r="A60" s="173" t="s">
        <v>21</v>
      </c>
      <c r="B60" s="176" t="s">
        <v>7</v>
      </c>
      <c r="C60" s="177"/>
      <c r="D60" s="177"/>
      <c r="E60" s="177"/>
      <c r="F60" s="177"/>
      <c r="G60" s="177"/>
      <c r="H60" s="177"/>
      <c r="I60" s="177"/>
      <c r="J60" s="177"/>
      <c r="K60" s="177"/>
      <c r="L60" s="178"/>
      <c r="M60" s="74" t="s">
        <v>9</v>
      </c>
      <c r="N60" s="19">
        <f>SUM(Tabla52[Naranjas])</f>
        <v>185</v>
      </c>
      <c r="O60" s="12">
        <f>SUM(Tabla52[Mandarinas])</f>
        <v>169</v>
      </c>
      <c r="P60" s="12">
        <f>SUM(Tabla52[Paltas])</f>
        <v>425</v>
      </c>
      <c r="Q60" s="12">
        <f>SUM(Tabla52[Quesos])</f>
        <v>132</v>
      </c>
      <c r="R60" s="12">
        <f>SUM(Tabla52[Tomate Cherry])</f>
        <v>111</v>
      </c>
      <c r="S60" s="13">
        <f>SUM(Tabla52[Nueces])</f>
        <v>85</v>
      </c>
    </row>
    <row r="61" spans="1:21" ht="14.7" customHeight="1" thickBot="1" x14ac:dyDescent="0.35">
      <c r="A61" s="174"/>
      <c r="B61" s="179"/>
      <c r="C61" s="180"/>
      <c r="D61" s="180"/>
      <c r="E61" s="180"/>
      <c r="F61" s="180"/>
      <c r="G61" s="180"/>
      <c r="H61" s="180"/>
      <c r="I61" s="180"/>
      <c r="J61" s="180"/>
      <c r="K61" s="180"/>
      <c r="L61" s="181"/>
      <c r="M61" s="74" t="s">
        <v>30</v>
      </c>
      <c r="N61" s="20">
        <v>5</v>
      </c>
      <c r="O61" s="31">
        <v>4</v>
      </c>
      <c r="P61" s="31">
        <v>2</v>
      </c>
      <c r="Q61" s="65">
        <v>1.05</v>
      </c>
      <c r="R61" s="31">
        <v>1</v>
      </c>
      <c r="S61" s="66">
        <v>0.25</v>
      </c>
    </row>
    <row r="62" spans="1:21" ht="14.7" customHeight="1" thickBot="1" x14ac:dyDescent="0.35">
      <c r="A62" s="174"/>
      <c r="B62" s="179"/>
      <c r="C62" s="180"/>
      <c r="D62" s="180"/>
      <c r="E62" s="180"/>
      <c r="F62" s="180"/>
      <c r="G62" s="180"/>
      <c r="H62" s="180"/>
      <c r="I62" s="180"/>
      <c r="J62" s="180"/>
      <c r="K62" s="180"/>
      <c r="L62" s="181"/>
      <c r="M62" s="74" t="s">
        <v>8</v>
      </c>
      <c r="N62" s="20">
        <f>N61*N60</f>
        <v>925</v>
      </c>
      <c r="O62" s="31">
        <f t="shared" ref="O62:S62" si="0">O61*O60</f>
        <v>676</v>
      </c>
      <c r="P62" s="31">
        <f t="shared" si="0"/>
        <v>850</v>
      </c>
      <c r="Q62" s="31">
        <f t="shared" si="0"/>
        <v>138.6</v>
      </c>
      <c r="R62" s="31">
        <f t="shared" si="0"/>
        <v>111</v>
      </c>
      <c r="S62" s="24">
        <f t="shared" si="0"/>
        <v>21.25</v>
      </c>
    </row>
    <row r="63" spans="1:21" ht="15" thickBot="1" x14ac:dyDescent="0.35">
      <c r="A63" s="174"/>
      <c r="B63" s="182"/>
      <c r="C63" s="183"/>
      <c r="D63" s="183"/>
      <c r="E63" s="183"/>
      <c r="F63" s="183"/>
      <c r="G63" s="183"/>
      <c r="H63" s="183"/>
      <c r="I63" s="183"/>
      <c r="J63" s="183"/>
      <c r="K63" s="183"/>
      <c r="L63" s="184"/>
      <c r="M63" s="74" t="s">
        <v>10</v>
      </c>
      <c r="N63" s="21"/>
      <c r="O63" s="32"/>
      <c r="P63" s="32"/>
      <c r="Q63" s="32"/>
      <c r="R63" s="32"/>
      <c r="S63" s="25"/>
    </row>
    <row r="64" spans="1:21" ht="15" thickBot="1" x14ac:dyDescent="0.35">
      <c r="A64" s="174"/>
      <c r="B64" s="72"/>
      <c r="C64" s="36"/>
      <c r="D64" s="45"/>
      <c r="E64" s="46"/>
      <c r="F64" s="46"/>
      <c r="G64" s="46"/>
      <c r="H64" s="46"/>
      <c r="I64" s="46"/>
      <c r="J64" s="46"/>
      <c r="K64" s="47"/>
      <c r="M64" s="9"/>
    </row>
    <row r="65" spans="1:19" ht="15" thickBot="1" x14ac:dyDescent="0.35">
      <c r="A65" s="174"/>
      <c r="B65" s="176" t="s">
        <v>13</v>
      </c>
      <c r="C65" s="177"/>
      <c r="D65" s="177"/>
      <c r="E65" s="177"/>
      <c r="F65" s="177"/>
      <c r="G65" s="177"/>
      <c r="H65" s="177"/>
      <c r="I65" s="177"/>
      <c r="J65" s="177"/>
      <c r="K65" s="177"/>
      <c r="L65" s="178"/>
      <c r="M65" s="74" t="s">
        <v>14</v>
      </c>
      <c r="N65" s="41">
        <f>N66*N61</f>
        <v>525</v>
      </c>
      <c r="O65" s="30">
        <f t="shared" ref="O65:S65" si="1">O66*O61</f>
        <v>2600</v>
      </c>
      <c r="P65" s="30">
        <f t="shared" si="1"/>
        <v>3200</v>
      </c>
      <c r="Q65" s="30">
        <f t="shared" si="1"/>
        <v>6797.7000000000007</v>
      </c>
      <c r="R65" s="30">
        <f t="shared" si="1"/>
        <v>2000</v>
      </c>
      <c r="S65" s="29">
        <f t="shared" si="1"/>
        <v>1875</v>
      </c>
    </row>
    <row r="66" spans="1:19" ht="15" thickBot="1" x14ac:dyDescent="0.35">
      <c r="A66" s="174"/>
      <c r="B66" s="179"/>
      <c r="C66" s="180"/>
      <c r="D66" s="180"/>
      <c r="E66" s="180"/>
      <c r="F66" s="180"/>
      <c r="G66" s="180"/>
      <c r="H66" s="180"/>
      <c r="I66" s="180"/>
      <c r="J66" s="180"/>
      <c r="K66" s="180"/>
      <c r="L66" s="181"/>
      <c r="M66" s="74" t="s">
        <v>8</v>
      </c>
      <c r="N66" s="43">
        <v>105</v>
      </c>
      <c r="O66" s="3">
        <v>650</v>
      </c>
      <c r="P66" s="3">
        <v>1600</v>
      </c>
      <c r="Q66" s="3">
        <v>6474</v>
      </c>
      <c r="R66" s="3">
        <v>2000</v>
      </c>
      <c r="S66" s="54">
        <v>7500</v>
      </c>
    </row>
    <row r="67" spans="1:19" ht="15" thickBot="1" x14ac:dyDescent="0.35">
      <c r="A67" s="174"/>
      <c r="B67" s="182"/>
      <c r="C67" s="183"/>
      <c r="D67" s="183"/>
      <c r="E67" s="183"/>
      <c r="F67" s="183"/>
      <c r="G67" s="183"/>
      <c r="H67" s="183"/>
      <c r="I67" s="183"/>
      <c r="J67" s="183"/>
      <c r="K67" s="183"/>
      <c r="L67" s="184"/>
      <c r="M67" s="74" t="s">
        <v>15</v>
      </c>
      <c r="N67" s="55">
        <v>2500</v>
      </c>
      <c r="O67" s="56">
        <v>4500</v>
      </c>
      <c r="P67" s="56">
        <v>4700</v>
      </c>
      <c r="Q67" s="56">
        <v>8500</v>
      </c>
      <c r="R67" s="56">
        <v>4500</v>
      </c>
      <c r="S67" s="57">
        <v>1750</v>
      </c>
    </row>
    <row r="68" spans="1:19" ht="15" thickBot="1" x14ac:dyDescent="0.35">
      <c r="A68" s="174"/>
      <c r="B68" s="72"/>
      <c r="C68" s="36"/>
      <c r="D68" s="45"/>
      <c r="E68" s="46"/>
      <c r="F68" s="46"/>
      <c r="G68" s="46"/>
      <c r="H68" s="46"/>
      <c r="I68" s="46"/>
      <c r="J68" s="46"/>
      <c r="K68" s="47"/>
      <c r="M68" s="9"/>
    </row>
    <row r="69" spans="1:19" ht="14.7" customHeight="1" thickBot="1" x14ac:dyDescent="0.35">
      <c r="A69" s="174"/>
      <c r="B69" s="176" t="s">
        <v>16</v>
      </c>
      <c r="C69" s="177"/>
      <c r="D69" s="177"/>
      <c r="E69" s="177"/>
      <c r="F69" s="177"/>
      <c r="G69" s="177"/>
      <c r="H69" s="177"/>
      <c r="I69" s="177"/>
      <c r="J69" s="177"/>
      <c r="K69" s="177"/>
      <c r="L69" s="178"/>
      <c r="M69" s="74" t="s">
        <v>20</v>
      </c>
      <c r="N69" s="23">
        <f>N60*N65</f>
        <v>97125</v>
      </c>
      <c r="O69" s="6">
        <f t="shared" ref="O69:S69" si="2">O60*O65</f>
        <v>439400</v>
      </c>
      <c r="P69" s="6">
        <f t="shared" si="2"/>
        <v>1360000</v>
      </c>
      <c r="Q69" s="34">
        <f t="shared" si="2"/>
        <v>897296.40000000014</v>
      </c>
      <c r="R69" s="6">
        <f t="shared" si="2"/>
        <v>222000</v>
      </c>
      <c r="S69" s="7">
        <f t="shared" si="2"/>
        <v>159375</v>
      </c>
    </row>
    <row r="70" spans="1:19" ht="15" thickBot="1" x14ac:dyDescent="0.35">
      <c r="A70" s="174"/>
      <c r="B70" s="182"/>
      <c r="C70" s="183"/>
      <c r="D70" s="183"/>
      <c r="E70" s="183"/>
      <c r="F70" s="183"/>
      <c r="G70" s="183"/>
      <c r="H70" s="183"/>
      <c r="I70" s="183"/>
      <c r="J70" s="183"/>
      <c r="K70" s="183"/>
      <c r="L70" s="184"/>
      <c r="M70" s="74" t="s">
        <v>17</v>
      </c>
      <c r="N70" s="185">
        <f>SUM(N69:S69)</f>
        <v>3175196.4000000004</v>
      </c>
      <c r="O70" s="186"/>
      <c r="P70" s="186"/>
      <c r="Q70" s="186"/>
      <c r="R70" s="186"/>
      <c r="S70" s="187"/>
    </row>
    <row r="71" spans="1:19" ht="15" thickBot="1" x14ac:dyDescent="0.35">
      <c r="A71" s="174"/>
      <c r="B71" s="176" t="s">
        <v>18</v>
      </c>
      <c r="C71" s="177"/>
      <c r="D71" s="177"/>
      <c r="E71" s="177"/>
      <c r="F71" s="177"/>
      <c r="G71" s="177"/>
      <c r="H71" s="177"/>
      <c r="I71" s="177"/>
      <c r="J71" s="177"/>
      <c r="K71" s="177"/>
      <c r="L71" s="178"/>
      <c r="M71" s="74" t="s">
        <v>20</v>
      </c>
      <c r="N71" s="22">
        <f t="shared" ref="N71:S71" si="3">N67*N60</f>
        <v>462500</v>
      </c>
      <c r="O71" s="5">
        <f t="shared" si="3"/>
        <v>760500</v>
      </c>
      <c r="P71" s="5">
        <f t="shared" si="3"/>
        <v>1997500</v>
      </c>
      <c r="Q71" s="5">
        <f t="shared" si="3"/>
        <v>1122000</v>
      </c>
      <c r="R71" s="5">
        <f t="shared" si="3"/>
        <v>499500</v>
      </c>
      <c r="S71" s="8">
        <f t="shared" si="3"/>
        <v>148750</v>
      </c>
    </row>
    <row r="72" spans="1:19" ht="15" thickBot="1" x14ac:dyDescent="0.35">
      <c r="A72" s="174"/>
      <c r="B72" s="182"/>
      <c r="C72" s="183"/>
      <c r="D72" s="183"/>
      <c r="E72" s="183"/>
      <c r="F72" s="183"/>
      <c r="G72" s="183"/>
      <c r="H72" s="183"/>
      <c r="I72" s="183"/>
      <c r="J72" s="183"/>
      <c r="K72" s="183"/>
      <c r="L72" s="184"/>
      <c r="M72" s="74" t="s">
        <v>17</v>
      </c>
      <c r="N72" s="185">
        <f>SUM(N71:S71)</f>
        <v>4990750</v>
      </c>
      <c r="O72" s="186"/>
      <c r="P72" s="186"/>
      <c r="Q72" s="186"/>
      <c r="R72" s="186"/>
      <c r="S72" s="187"/>
    </row>
    <row r="73" spans="1:19" ht="14.7" customHeight="1" thickBot="1" x14ac:dyDescent="0.35">
      <c r="A73" s="174"/>
      <c r="B73" s="176" t="s">
        <v>19</v>
      </c>
      <c r="C73" s="177"/>
      <c r="D73" s="177"/>
      <c r="E73" s="177"/>
      <c r="F73" s="177"/>
      <c r="G73" s="177"/>
      <c r="H73" s="177"/>
      <c r="I73" s="177"/>
      <c r="J73" s="177"/>
      <c r="K73" s="177"/>
      <c r="L73" s="178"/>
      <c r="M73" s="74" t="s">
        <v>20</v>
      </c>
      <c r="N73" s="26">
        <f>N71-N69</f>
        <v>365375</v>
      </c>
      <c r="O73" s="27">
        <f t="shared" ref="O73:S73" si="4">O71-O69</f>
        <v>321100</v>
      </c>
      <c r="P73" s="27">
        <f t="shared" si="4"/>
        <v>637500</v>
      </c>
      <c r="Q73" s="27">
        <f t="shared" si="4"/>
        <v>224703.59999999986</v>
      </c>
      <c r="R73" s="27">
        <f t="shared" si="4"/>
        <v>277500</v>
      </c>
      <c r="S73" s="28">
        <f t="shared" si="4"/>
        <v>-10625</v>
      </c>
    </row>
    <row r="74" spans="1:19" ht="29.7" customHeight="1" thickBot="1" x14ac:dyDescent="0.35">
      <c r="A74" s="174"/>
      <c r="B74" s="182"/>
      <c r="C74" s="183"/>
      <c r="D74" s="183"/>
      <c r="E74" s="183"/>
      <c r="F74" s="183"/>
      <c r="G74" s="183"/>
      <c r="H74" s="183"/>
      <c r="I74" s="183"/>
      <c r="J74" s="183"/>
      <c r="K74" s="183"/>
      <c r="L74" s="184"/>
      <c r="M74" s="74" t="s">
        <v>31</v>
      </c>
      <c r="N74" s="200">
        <f>SUM(N73:S73)</f>
        <v>1815553.5999999999</v>
      </c>
      <c r="O74" s="201"/>
      <c r="P74" s="201"/>
      <c r="Q74" s="201"/>
      <c r="R74" s="201"/>
      <c r="S74" s="202"/>
    </row>
    <row r="75" spans="1:19" ht="15" thickBot="1" x14ac:dyDescent="0.35">
      <c r="A75" s="174"/>
    </row>
    <row r="76" spans="1:19" ht="14.7" customHeight="1" thickBot="1" x14ac:dyDescent="0.35">
      <c r="A76" s="174"/>
      <c r="B76" s="203" t="s">
        <v>27</v>
      </c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5"/>
      <c r="N76" s="194" t="s">
        <v>28</v>
      </c>
      <c r="O76" s="195"/>
      <c r="P76" s="196"/>
      <c r="Q76" s="52" t="s">
        <v>29</v>
      </c>
      <c r="R76" s="14"/>
      <c r="S76" s="14"/>
    </row>
    <row r="77" spans="1:19" ht="15" customHeight="1" x14ac:dyDescent="0.3">
      <c r="A77" s="174"/>
      <c r="B77" s="206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8"/>
      <c r="N77" s="212" t="s">
        <v>40</v>
      </c>
      <c r="O77" s="213"/>
      <c r="P77" s="214"/>
      <c r="Q77" s="61">
        <v>45000</v>
      </c>
      <c r="R77" s="15"/>
      <c r="S77" s="15"/>
    </row>
    <row r="78" spans="1:19" ht="15" customHeight="1" x14ac:dyDescent="0.3">
      <c r="A78" s="174"/>
      <c r="B78" s="206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8"/>
      <c r="N78" s="215" t="s">
        <v>41</v>
      </c>
      <c r="O78" s="216"/>
      <c r="P78" s="217"/>
      <c r="Q78" s="62">
        <v>50000</v>
      </c>
      <c r="R78" s="15"/>
      <c r="S78" s="15"/>
    </row>
    <row r="79" spans="1:19" ht="15" customHeight="1" x14ac:dyDescent="0.3">
      <c r="A79" s="174"/>
      <c r="B79" s="206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8"/>
      <c r="N79" s="215" t="s">
        <v>42</v>
      </c>
      <c r="O79" s="216"/>
      <c r="P79" s="217"/>
      <c r="Q79" s="62">
        <v>15000</v>
      </c>
      <c r="R79" s="15"/>
      <c r="S79" s="15"/>
    </row>
    <row r="80" spans="1:19" ht="15" customHeight="1" x14ac:dyDescent="0.3">
      <c r="A80" s="174"/>
      <c r="B80" s="206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8"/>
      <c r="N80" s="215" t="s">
        <v>43</v>
      </c>
      <c r="O80" s="216"/>
      <c r="P80" s="217"/>
      <c r="Q80" s="62">
        <v>30000</v>
      </c>
      <c r="R80" s="15"/>
      <c r="S80" s="15"/>
    </row>
    <row r="81" spans="1:19" ht="15" customHeight="1" x14ac:dyDescent="0.3">
      <c r="A81" s="174"/>
      <c r="B81" s="206"/>
      <c r="C81" s="207"/>
      <c r="D81" s="207"/>
      <c r="E81" s="207"/>
      <c r="F81" s="207"/>
      <c r="G81" s="207"/>
      <c r="H81" s="207"/>
      <c r="I81" s="207"/>
      <c r="J81" s="207"/>
      <c r="K81" s="207"/>
      <c r="L81" s="207"/>
      <c r="M81" s="208"/>
      <c r="N81" s="215" t="s">
        <v>44</v>
      </c>
      <c r="O81" s="216"/>
      <c r="P81" s="217"/>
      <c r="Q81" s="62">
        <v>70000</v>
      </c>
      <c r="R81" s="15"/>
      <c r="S81" s="15"/>
    </row>
    <row r="82" spans="1:19" ht="15" customHeight="1" x14ac:dyDescent="0.3">
      <c r="A82" s="174"/>
      <c r="B82" s="206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8"/>
      <c r="N82" s="215" t="s">
        <v>139</v>
      </c>
      <c r="O82" s="216"/>
      <c r="P82" s="217"/>
      <c r="Q82" s="62">
        <v>20000</v>
      </c>
      <c r="R82" s="15"/>
      <c r="S82" s="15"/>
    </row>
    <row r="83" spans="1:19" ht="15" customHeight="1" thickBot="1" x14ac:dyDescent="0.35">
      <c r="A83" s="174"/>
      <c r="B83" s="206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8"/>
      <c r="N83" s="188" t="s">
        <v>59</v>
      </c>
      <c r="O83" s="189"/>
      <c r="P83" s="190"/>
      <c r="Q83" s="62">
        <v>15000</v>
      </c>
      <c r="R83" s="15"/>
      <c r="S83" s="15"/>
    </row>
    <row r="84" spans="1:19" ht="15.75" customHeight="1" thickBot="1" x14ac:dyDescent="0.35">
      <c r="A84" s="174"/>
      <c r="B84" s="209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1"/>
      <c r="N84" s="191" t="s">
        <v>17</v>
      </c>
      <c r="O84" s="192"/>
      <c r="P84" s="193"/>
      <c r="Q84" s="63">
        <f>SUM(Q77:Q83)</f>
        <v>245000</v>
      </c>
      <c r="R84" s="15"/>
      <c r="S84" s="15"/>
    </row>
    <row r="85" spans="1:19" ht="15" thickBot="1" x14ac:dyDescent="0.35">
      <c r="A85" s="174"/>
    </row>
    <row r="86" spans="1:19" ht="51.75" customHeight="1" thickBot="1" x14ac:dyDescent="0.35">
      <c r="A86" s="175"/>
      <c r="B86" s="194" t="s">
        <v>19</v>
      </c>
      <c r="C86" s="195"/>
      <c r="D86" s="195"/>
      <c r="E86" s="195"/>
      <c r="F86" s="195"/>
      <c r="G86" s="195"/>
      <c r="H86" s="195"/>
      <c r="I86" s="195"/>
      <c r="J86" s="195"/>
      <c r="K86" s="195"/>
      <c r="L86" s="196"/>
      <c r="M86" s="73" t="s">
        <v>17</v>
      </c>
      <c r="N86" s="197">
        <f>N74-SUM(Q77:Q83)</f>
        <v>1570553.5999999999</v>
      </c>
      <c r="O86" s="198"/>
      <c r="P86" s="198"/>
      <c r="Q86" s="198"/>
      <c r="R86" s="198"/>
      <c r="S86" s="199"/>
    </row>
    <row r="87" spans="1:19" ht="15.75" customHeight="1" x14ac:dyDescent="0.3">
      <c r="A87" s="53"/>
      <c r="O87" s="51"/>
      <c r="P87" s="51"/>
      <c r="Q87" s="51"/>
      <c r="S87" s="16"/>
    </row>
    <row r="88" spans="1:19" ht="15" customHeight="1" x14ac:dyDescent="0.3">
      <c r="A88" s="53"/>
      <c r="O88" s="51"/>
      <c r="P88" s="51"/>
      <c r="Q88" s="51"/>
      <c r="S88" s="17"/>
    </row>
    <row r="89" spans="1:19" ht="15" customHeight="1" x14ac:dyDescent="0.3">
      <c r="O89" s="51"/>
      <c r="P89" s="51"/>
      <c r="Q89" s="51"/>
      <c r="S89" s="17"/>
    </row>
    <row r="90" spans="1:19" ht="15" customHeight="1" x14ac:dyDescent="0.3">
      <c r="O90" s="51"/>
      <c r="P90" s="51"/>
      <c r="Q90" s="51"/>
      <c r="S90" s="17"/>
    </row>
    <row r="91" spans="1:19" ht="15" customHeight="1" x14ac:dyDescent="0.3">
      <c r="O91" s="51"/>
      <c r="P91" s="51"/>
      <c r="Q91" s="51"/>
      <c r="S91" s="17"/>
    </row>
    <row r="92" spans="1:19" ht="15" customHeight="1" x14ac:dyDescent="0.3">
      <c r="O92" s="51"/>
      <c r="P92" s="51"/>
      <c r="Q92" s="51"/>
      <c r="S92" s="17"/>
    </row>
    <row r="93" spans="1:19" ht="15" customHeight="1" x14ac:dyDescent="0.3">
      <c r="O93" s="51"/>
      <c r="P93" s="51"/>
      <c r="Q93" s="51"/>
      <c r="S93" s="17"/>
    </row>
    <row r="94" spans="1:19" ht="15" customHeight="1" x14ac:dyDescent="0.3">
      <c r="O94" s="51"/>
      <c r="P94" s="51"/>
      <c r="Q94" s="51"/>
      <c r="S94" s="17"/>
    </row>
    <row r="95" spans="1:19" ht="15.75" customHeight="1" x14ac:dyDescent="0.3">
      <c r="O95" s="51"/>
      <c r="P95" s="51"/>
      <c r="Q95" s="51"/>
      <c r="S95" s="17"/>
    </row>
  </sheetData>
  <mergeCells count="24">
    <mergeCell ref="B2:M2"/>
    <mergeCell ref="N2:S2"/>
    <mergeCell ref="A5:A57"/>
    <mergeCell ref="A60:A86"/>
    <mergeCell ref="B60:L63"/>
    <mergeCell ref="B65:L67"/>
    <mergeCell ref="B69:L70"/>
    <mergeCell ref="N70:S70"/>
    <mergeCell ref="B71:L72"/>
    <mergeCell ref="N72:S72"/>
    <mergeCell ref="B73:L74"/>
    <mergeCell ref="N74:S74"/>
    <mergeCell ref="N76:P76"/>
    <mergeCell ref="N77:P77"/>
    <mergeCell ref="N78:P78"/>
    <mergeCell ref="N83:P83"/>
    <mergeCell ref="N84:P84"/>
    <mergeCell ref="N86:S86"/>
    <mergeCell ref="B76:M84"/>
    <mergeCell ref="B86:L86"/>
    <mergeCell ref="N79:P79"/>
    <mergeCell ref="N80:P80"/>
    <mergeCell ref="N81:P81"/>
    <mergeCell ref="N82:P8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autoPageBreaks="0"/>
  </sheetPr>
  <dimension ref="A1:U79"/>
  <sheetViews>
    <sheetView zoomScale="85" zoomScaleNormal="85" zoomScalePageLayoutView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N4" sqref="N4:S4"/>
    </sheetView>
  </sheetViews>
  <sheetFormatPr baseColWidth="10" defaultColWidth="11.44140625" defaultRowHeight="14.4" outlineLevelRow="1" outlineLevelCol="1" x14ac:dyDescent="0.3"/>
  <cols>
    <col min="1" max="1" width="11.44140625" style="98"/>
    <col min="2" max="2" width="12.44140625" style="98" customWidth="1"/>
    <col min="3" max="3" width="15.33203125" style="98" customWidth="1"/>
    <col min="4" max="4" width="42.21875" style="98" hidden="1" customWidth="1" outlineLevel="1"/>
    <col min="5" max="5" width="15.109375" style="98" hidden="1" customWidth="1" outlineLevel="1"/>
    <col min="6" max="6" width="16.5546875" style="98" hidden="1" customWidth="1" outlineLevel="1"/>
    <col min="7" max="7" width="14.6640625" style="98" hidden="1" customWidth="1" outlineLevel="1"/>
    <col min="8" max="8" width="10.5546875" style="98" hidden="1" customWidth="1" outlineLevel="1"/>
    <col min="9" max="9" width="18.44140625" style="98" hidden="1" customWidth="1" outlineLevel="1"/>
    <col min="10" max="10" width="33.5546875" style="98" hidden="1" customWidth="1" outlineLevel="1"/>
    <col min="11" max="11" width="33.5546875" style="98" customWidth="1" outlineLevel="1"/>
    <col min="12" max="13" width="10.77734375" style="98" customWidth="1"/>
    <col min="14" max="19" width="15.44140625" style="98" customWidth="1"/>
    <col min="20" max="20" width="11.44140625" style="98"/>
    <col min="21" max="21" width="71.44140625" style="99" customWidth="1"/>
    <col min="22" max="16384" width="11.44140625" style="98"/>
  </cols>
  <sheetData>
    <row r="1" spans="1:21" ht="15" thickBot="1" x14ac:dyDescent="0.35"/>
    <row r="2" spans="1:21" ht="29.7" customHeight="1" thickBot="1" x14ac:dyDescent="0.35">
      <c r="B2" s="239" t="s">
        <v>305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1"/>
      <c r="N2" s="242" t="s">
        <v>12</v>
      </c>
      <c r="O2" s="243"/>
      <c r="P2" s="243"/>
      <c r="Q2" s="243"/>
      <c r="R2" s="243"/>
      <c r="S2" s="244"/>
    </row>
    <row r="3" spans="1:21" s="100" customFormat="1" ht="15" thickBot="1" x14ac:dyDescent="0.35">
      <c r="L3" s="101"/>
      <c r="M3" s="101"/>
      <c r="N3" s="102" t="s">
        <v>32</v>
      </c>
      <c r="O3" s="102" t="s">
        <v>34</v>
      </c>
      <c r="P3" s="102" t="s">
        <v>5</v>
      </c>
      <c r="Q3" s="102" t="s">
        <v>35</v>
      </c>
      <c r="R3" s="102" t="s">
        <v>36</v>
      </c>
      <c r="S3" s="102" t="s">
        <v>23</v>
      </c>
      <c r="U3" s="99"/>
    </row>
    <row r="4" spans="1:21" s="103" customFormat="1" ht="15" thickBot="1" x14ac:dyDescent="0.35">
      <c r="B4" s="104" t="s">
        <v>0</v>
      </c>
      <c r="C4" s="104" t="s">
        <v>1</v>
      </c>
      <c r="D4" s="104" t="s">
        <v>2</v>
      </c>
      <c r="E4" s="104" t="s">
        <v>3</v>
      </c>
      <c r="F4" s="104" t="s">
        <v>6</v>
      </c>
      <c r="G4" s="104" t="s">
        <v>24</v>
      </c>
      <c r="H4" s="104" t="s">
        <v>4</v>
      </c>
      <c r="I4" s="104" t="s">
        <v>25</v>
      </c>
      <c r="J4" s="104" t="s">
        <v>26</v>
      </c>
      <c r="K4" s="104" t="s">
        <v>138</v>
      </c>
      <c r="L4" s="104" t="s">
        <v>45</v>
      </c>
      <c r="M4" s="104" t="s">
        <v>142</v>
      </c>
      <c r="N4" s="278" t="s">
        <v>32</v>
      </c>
      <c r="O4" s="278" t="s">
        <v>34</v>
      </c>
      <c r="P4" s="278" t="s">
        <v>5</v>
      </c>
      <c r="Q4" s="278" t="s">
        <v>35</v>
      </c>
      <c r="R4" s="279" t="s">
        <v>36</v>
      </c>
      <c r="S4" s="279" t="s">
        <v>23</v>
      </c>
      <c r="T4" s="105" t="s">
        <v>17</v>
      </c>
      <c r="U4" s="106" t="s">
        <v>141</v>
      </c>
    </row>
    <row r="5" spans="1:21" ht="14.7" customHeight="1" outlineLevel="1" x14ac:dyDescent="0.3">
      <c r="A5" s="245" t="s">
        <v>285</v>
      </c>
      <c r="B5" s="107" t="s">
        <v>127</v>
      </c>
      <c r="C5" s="108" t="s">
        <v>128</v>
      </c>
      <c r="D5" s="108" t="s">
        <v>279</v>
      </c>
      <c r="E5" s="108" t="s">
        <v>157</v>
      </c>
      <c r="F5" s="108" t="s">
        <v>166</v>
      </c>
      <c r="G5" s="108" t="s">
        <v>170</v>
      </c>
      <c r="H5" s="108" t="s">
        <v>148</v>
      </c>
      <c r="I5" s="109">
        <v>56974397201</v>
      </c>
      <c r="J5" s="108" t="s">
        <v>280</v>
      </c>
      <c r="K5" s="108" t="s">
        <v>155</v>
      </c>
      <c r="L5" s="110" t="s">
        <v>46</v>
      </c>
      <c r="M5" s="110" t="s">
        <v>140</v>
      </c>
      <c r="N5" s="110">
        <v>9</v>
      </c>
      <c r="O5" s="110">
        <v>9</v>
      </c>
      <c r="P5" s="110">
        <v>0</v>
      </c>
      <c r="Q5" s="110">
        <v>9</v>
      </c>
      <c r="R5" s="110">
        <v>10</v>
      </c>
      <c r="S5" s="110">
        <v>4</v>
      </c>
      <c r="T5" s="110">
        <f>SUM(Tabla5234[[#This Row],[Naranjas]:[Nueces]])</f>
        <v>41</v>
      </c>
      <c r="U5" s="111"/>
    </row>
    <row r="6" spans="1:21" outlineLevel="1" x14ac:dyDescent="0.3">
      <c r="A6" s="246"/>
      <c r="B6" s="116" t="s">
        <v>137</v>
      </c>
      <c r="C6" s="117" t="s">
        <v>136</v>
      </c>
      <c r="D6" s="117" t="s">
        <v>162</v>
      </c>
      <c r="E6" s="117" t="s">
        <v>145</v>
      </c>
      <c r="F6" s="117" t="s">
        <v>163</v>
      </c>
      <c r="G6" s="117">
        <v>0</v>
      </c>
      <c r="H6" s="117" t="s">
        <v>148</v>
      </c>
      <c r="I6" s="109">
        <v>56957850035</v>
      </c>
      <c r="J6" s="117" t="s">
        <v>164</v>
      </c>
      <c r="K6" s="117" t="s">
        <v>161</v>
      </c>
      <c r="L6" s="114" t="s">
        <v>46</v>
      </c>
      <c r="M6" s="114" t="s">
        <v>140</v>
      </c>
      <c r="N6" s="114">
        <v>1</v>
      </c>
      <c r="O6" s="114">
        <v>1</v>
      </c>
      <c r="P6" s="114">
        <v>3</v>
      </c>
      <c r="Q6" s="114">
        <v>0</v>
      </c>
      <c r="R6" s="114">
        <v>0</v>
      </c>
      <c r="S6" s="114">
        <v>2</v>
      </c>
      <c r="T6" s="114">
        <f>SUM(Tabla5234[[#This Row],[Naranjas]:[Nueces]])</f>
        <v>7</v>
      </c>
      <c r="U6" s="115"/>
    </row>
    <row r="7" spans="1:21" outlineLevel="1" x14ac:dyDescent="0.3">
      <c r="A7" s="246"/>
      <c r="B7" s="112" t="s">
        <v>111</v>
      </c>
      <c r="C7" s="113" t="s">
        <v>112</v>
      </c>
      <c r="D7" s="113" t="s">
        <v>214</v>
      </c>
      <c r="E7" s="113" t="s">
        <v>157</v>
      </c>
      <c r="F7" s="113" t="s">
        <v>166</v>
      </c>
      <c r="G7" s="113" t="s">
        <v>147</v>
      </c>
      <c r="H7" s="113" t="s">
        <v>148</v>
      </c>
      <c r="I7" s="109">
        <v>56987143347</v>
      </c>
      <c r="J7" s="113" t="s">
        <v>215</v>
      </c>
      <c r="K7" s="113" t="s">
        <v>150</v>
      </c>
      <c r="L7" s="114" t="s">
        <v>304</v>
      </c>
      <c r="M7" s="114" t="s">
        <v>140</v>
      </c>
      <c r="N7" s="114">
        <v>3</v>
      </c>
      <c r="O7" s="114">
        <v>1</v>
      </c>
      <c r="P7" s="114">
        <v>0</v>
      </c>
      <c r="Q7" s="114">
        <v>1</v>
      </c>
      <c r="R7" s="114">
        <v>0</v>
      </c>
      <c r="S7" s="114">
        <v>2</v>
      </c>
      <c r="T7" s="114">
        <f>SUM(Tabla5234[[#This Row],[Naranjas]:[Nueces]])</f>
        <v>7</v>
      </c>
      <c r="U7" s="115"/>
    </row>
    <row r="8" spans="1:21" outlineLevel="1" x14ac:dyDescent="0.3">
      <c r="A8" s="246"/>
      <c r="B8" s="112" t="s">
        <v>80</v>
      </c>
      <c r="C8" s="113" t="s">
        <v>78</v>
      </c>
      <c r="D8" s="113" t="s">
        <v>192</v>
      </c>
      <c r="E8" s="113" t="s">
        <v>145</v>
      </c>
      <c r="F8" s="113" t="s">
        <v>163</v>
      </c>
      <c r="G8" s="113" t="s">
        <v>170</v>
      </c>
      <c r="H8" s="113" t="s">
        <v>148</v>
      </c>
      <c r="I8" s="109">
        <v>56997550244</v>
      </c>
      <c r="J8" s="113" t="s">
        <v>193</v>
      </c>
      <c r="K8" s="113" t="s">
        <v>161</v>
      </c>
      <c r="L8" s="114" t="s">
        <v>46</v>
      </c>
      <c r="M8" s="163" t="s">
        <v>46</v>
      </c>
      <c r="N8" s="114">
        <v>1</v>
      </c>
      <c r="O8" s="114">
        <v>3</v>
      </c>
      <c r="P8" s="114">
        <v>3</v>
      </c>
      <c r="Q8" s="114">
        <v>0</v>
      </c>
      <c r="R8" s="114">
        <v>2</v>
      </c>
      <c r="S8" s="114">
        <v>0</v>
      </c>
      <c r="T8" s="114">
        <f>SUM(Tabla5234[[#This Row],[Naranjas]:[Nueces]])</f>
        <v>9</v>
      </c>
      <c r="U8" s="115"/>
    </row>
    <row r="9" spans="1:21" outlineLevel="1" x14ac:dyDescent="0.3">
      <c r="A9" s="246"/>
      <c r="B9" s="112" t="s">
        <v>73</v>
      </c>
      <c r="C9" s="113" t="s">
        <v>74</v>
      </c>
      <c r="D9" s="113" t="s">
        <v>181</v>
      </c>
      <c r="E9" s="113" t="s">
        <v>157</v>
      </c>
      <c r="F9" s="113" t="s">
        <v>158</v>
      </c>
      <c r="G9" s="113" t="s">
        <v>173</v>
      </c>
      <c r="H9" s="113" t="s">
        <v>148</v>
      </c>
      <c r="I9" s="109">
        <v>56991889995</v>
      </c>
      <c r="J9" s="113" t="s">
        <v>182</v>
      </c>
      <c r="K9" s="113" t="s">
        <v>155</v>
      </c>
      <c r="L9" s="114" t="s">
        <v>46</v>
      </c>
      <c r="M9" s="114" t="s">
        <v>46</v>
      </c>
      <c r="N9" s="114">
        <v>4</v>
      </c>
      <c r="O9" s="114">
        <v>6</v>
      </c>
      <c r="P9" s="114">
        <v>16</v>
      </c>
      <c r="Q9" s="114">
        <v>7</v>
      </c>
      <c r="R9" s="114">
        <v>4</v>
      </c>
      <c r="S9" s="114">
        <v>2</v>
      </c>
      <c r="T9" s="114">
        <f>SUM(Tabla5234[[#This Row],[Naranjas]:[Nueces]])</f>
        <v>39</v>
      </c>
      <c r="U9" s="115"/>
    </row>
    <row r="10" spans="1:21" outlineLevel="1" x14ac:dyDescent="0.3">
      <c r="A10" s="246"/>
      <c r="B10" s="116" t="s">
        <v>117</v>
      </c>
      <c r="C10" s="117" t="s">
        <v>118</v>
      </c>
      <c r="D10" s="117" t="s">
        <v>216</v>
      </c>
      <c r="E10" s="117" t="s">
        <v>145</v>
      </c>
      <c r="F10" s="117" t="s">
        <v>163</v>
      </c>
      <c r="G10" s="117" t="s">
        <v>217</v>
      </c>
      <c r="H10" s="117" t="s">
        <v>148</v>
      </c>
      <c r="I10" s="109">
        <v>56995408498</v>
      </c>
      <c r="J10" s="117" t="s">
        <v>218</v>
      </c>
      <c r="K10" s="117" t="s">
        <v>155</v>
      </c>
      <c r="L10" s="114" t="s">
        <v>46</v>
      </c>
      <c r="M10" s="114" t="s">
        <v>46</v>
      </c>
      <c r="N10" s="114">
        <v>3</v>
      </c>
      <c r="O10" s="114">
        <v>0</v>
      </c>
      <c r="P10" s="114">
        <v>2</v>
      </c>
      <c r="Q10" s="114">
        <v>3</v>
      </c>
      <c r="R10" s="114">
        <v>1</v>
      </c>
      <c r="S10" s="114">
        <v>0</v>
      </c>
      <c r="T10" s="114">
        <f>SUM(Tabla5234[[#This Row],[Naranjas]:[Nueces]])</f>
        <v>9</v>
      </c>
      <c r="U10" s="115"/>
    </row>
    <row r="11" spans="1:21" outlineLevel="1" x14ac:dyDescent="0.3">
      <c r="A11" s="246"/>
      <c r="B11" s="112" t="s">
        <v>84</v>
      </c>
      <c r="C11" s="113" t="s">
        <v>85</v>
      </c>
      <c r="D11" s="113" t="s">
        <v>151</v>
      </c>
      <c r="E11" s="113" t="s">
        <v>152</v>
      </c>
      <c r="F11" s="113" t="s">
        <v>153</v>
      </c>
      <c r="G11" s="113" t="s">
        <v>147</v>
      </c>
      <c r="H11" s="113" t="s">
        <v>148</v>
      </c>
      <c r="I11" s="109">
        <v>56986351953</v>
      </c>
      <c r="J11" s="113" t="s">
        <v>154</v>
      </c>
      <c r="K11" s="113" t="s">
        <v>155</v>
      </c>
      <c r="L11" s="114" t="s">
        <v>46</v>
      </c>
      <c r="M11" s="114" t="s">
        <v>46</v>
      </c>
      <c r="N11" s="114">
        <v>0</v>
      </c>
      <c r="O11" s="114">
        <v>1</v>
      </c>
      <c r="P11" s="114">
        <v>5</v>
      </c>
      <c r="Q11" s="114">
        <v>0</v>
      </c>
      <c r="R11" s="114">
        <v>1</v>
      </c>
      <c r="S11" s="114">
        <v>0</v>
      </c>
      <c r="T11" s="114">
        <f>SUM(Tabla5234[[#This Row],[Naranjas]:[Nueces]])</f>
        <v>7</v>
      </c>
      <c r="U11" s="115"/>
    </row>
    <row r="12" spans="1:21" outlineLevel="1" x14ac:dyDescent="0.3">
      <c r="A12" s="246"/>
      <c r="B12" s="112" t="s">
        <v>55</v>
      </c>
      <c r="C12" s="113" t="s">
        <v>72</v>
      </c>
      <c r="D12" s="113" t="s">
        <v>179</v>
      </c>
      <c r="E12" s="113" t="s">
        <v>157</v>
      </c>
      <c r="F12" s="113" t="s">
        <v>166</v>
      </c>
      <c r="G12" s="113" t="s">
        <v>173</v>
      </c>
      <c r="H12" s="113" t="s">
        <v>148</v>
      </c>
      <c r="I12" s="109">
        <v>56967898535</v>
      </c>
      <c r="J12" s="113" t="s">
        <v>180</v>
      </c>
      <c r="K12" s="113" t="s">
        <v>155</v>
      </c>
      <c r="L12" s="114" t="s">
        <v>46</v>
      </c>
      <c r="M12" s="114" t="s">
        <v>46</v>
      </c>
      <c r="N12" s="114">
        <v>5</v>
      </c>
      <c r="O12" s="114">
        <v>4</v>
      </c>
      <c r="P12" s="114">
        <v>12</v>
      </c>
      <c r="Q12" s="114">
        <v>1</v>
      </c>
      <c r="R12" s="114">
        <v>5</v>
      </c>
      <c r="S12" s="114">
        <v>0</v>
      </c>
      <c r="T12" s="114">
        <f>SUM(Tabla5234[[#This Row],[Naranjas]:[Nueces]])</f>
        <v>27</v>
      </c>
      <c r="U12" s="115" t="s">
        <v>303</v>
      </c>
    </row>
    <row r="13" spans="1:21" outlineLevel="1" x14ac:dyDescent="0.3">
      <c r="A13" s="246"/>
      <c r="B13" s="112" t="s">
        <v>55</v>
      </c>
      <c r="C13" s="113" t="s">
        <v>56</v>
      </c>
      <c r="D13" s="113" t="s">
        <v>165</v>
      </c>
      <c r="E13" s="113" t="s">
        <v>157</v>
      </c>
      <c r="F13" s="113" t="s">
        <v>166</v>
      </c>
      <c r="G13" s="113" t="s">
        <v>167</v>
      </c>
      <c r="H13" s="113" t="s">
        <v>148</v>
      </c>
      <c r="I13" s="109">
        <v>56993333225</v>
      </c>
      <c r="J13" s="113" t="s">
        <v>168</v>
      </c>
      <c r="K13" s="113" t="s">
        <v>155</v>
      </c>
      <c r="L13" s="114" t="s">
        <v>46</v>
      </c>
      <c r="M13" s="114" t="s">
        <v>46</v>
      </c>
      <c r="N13" s="114">
        <v>5</v>
      </c>
      <c r="O13" s="114">
        <v>2</v>
      </c>
      <c r="P13" s="114">
        <v>4</v>
      </c>
      <c r="Q13" s="114">
        <v>0</v>
      </c>
      <c r="R13" s="114">
        <v>1</v>
      </c>
      <c r="S13" s="114">
        <v>2</v>
      </c>
      <c r="T13" s="114">
        <f>SUM(Tabla5234[[#This Row],[Naranjas]:[Nueces]])</f>
        <v>14</v>
      </c>
      <c r="U13" s="115"/>
    </row>
    <row r="14" spans="1:21" outlineLevel="1" x14ac:dyDescent="0.3">
      <c r="A14" s="246"/>
      <c r="B14" s="112" t="s">
        <v>289</v>
      </c>
      <c r="C14" s="113" t="s">
        <v>291</v>
      </c>
      <c r="D14" s="113" t="s">
        <v>301</v>
      </c>
      <c r="E14" s="113" t="s">
        <v>186</v>
      </c>
      <c r="F14" s="113" t="s">
        <v>226</v>
      </c>
      <c r="G14" s="113">
        <v>0</v>
      </c>
      <c r="H14" s="113" t="s">
        <v>148</v>
      </c>
      <c r="I14" s="109">
        <v>56978647106</v>
      </c>
      <c r="J14" s="113" t="s">
        <v>302</v>
      </c>
      <c r="K14" s="113" t="s">
        <v>155</v>
      </c>
      <c r="L14" s="114" t="s">
        <v>304</v>
      </c>
      <c r="M14" s="114" t="s">
        <v>46</v>
      </c>
      <c r="N14" s="114">
        <v>0</v>
      </c>
      <c r="O14" s="114">
        <v>3</v>
      </c>
      <c r="P14" s="114">
        <v>4</v>
      </c>
      <c r="Q14" s="114">
        <v>2</v>
      </c>
      <c r="R14" s="114">
        <v>1</v>
      </c>
      <c r="S14" s="114">
        <v>1</v>
      </c>
      <c r="T14" s="114">
        <f>SUM(Tabla5234[[#This Row],[Naranjas]:[Nueces]])</f>
        <v>11</v>
      </c>
      <c r="U14" s="115"/>
    </row>
    <row r="15" spans="1:21" outlineLevel="1" x14ac:dyDescent="0.3">
      <c r="A15" s="246"/>
      <c r="B15" s="116" t="s">
        <v>123</v>
      </c>
      <c r="C15" s="117" t="s">
        <v>124</v>
      </c>
      <c r="D15" s="117" t="s">
        <v>222</v>
      </c>
      <c r="E15" s="117" t="s">
        <v>186</v>
      </c>
      <c r="F15" s="117" t="s">
        <v>223</v>
      </c>
      <c r="G15" s="117" t="s">
        <v>167</v>
      </c>
      <c r="H15" s="117" t="s">
        <v>148</v>
      </c>
      <c r="I15" s="109">
        <v>56998263560</v>
      </c>
      <c r="J15" s="117" t="s">
        <v>224</v>
      </c>
      <c r="K15" s="117" t="s">
        <v>155</v>
      </c>
      <c r="L15" s="114" t="s">
        <v>46</v>
      </c>
      <c r="M15" s="114" t="s">
        <v>46</v>
      </c>
      <c r="N15" s="114">
        <v>2</v>
      </c>
      <c r="O15" s="114">
        <v>2</v>
      </c>
      <c r="P15" s="114">
        <v>3</v>
      </c>
      <c r="Q15" s="114">
        <v>2</v>
      </c>
      <c r="R15" s="114">
        <v>1</v>
      </c>
      <c r="S15" s="114">
        <v>1</v>
      </c>
      <c r="T15" s="114">
        <f>SUM(Tabla5234[[#This Row],[Naranjas]:[Nueces]])</f>
        <v>11</v>
      </c>
      <c r="U15" s="115"/>
    </row>
    <row r="16" spans="1:21" outlineLevel="1" x14ac:dyDescent="0.3">
      <c r="A16" s="246"/>
      <c r="B16" s="112" t="s">
        <v>41</v>
      </c>
      <c r="C16" s="113" t="s">
        <v>94</v>
      </c>
      <c r="D16" s="113" t="s">
        <v>265</v>
      </c>
      <c r="E16" s="113" t="s">
        <v>157</v>
      </c>
      <c r="F16" s="113" t="s">
        <v>158</v>
      </c>
      <c r="G16" s="113" t="s">
        <v>170</v>
      </c>
      <c r="H16" s="113" t="s">
        <v>148</v>
      </c>
      <c r="I16" s="109">
        <v>56966477967</v>
      </c>
      <c r="J16" s="113" t="s">
        <v>266</v>
      </c>
      <c r="K16" s="113" t="s">
        <v>155</v>
      </c>
      <c r="L16" s="114" t="s">
        <v>46</v>
      </c>
      <c r="M16" s="114" t="s">
        <v>46</v>
      </c>
      <c r="N16" s="114">
        <v>0</v>
      </c>
      <c r="O16" s="114">
        <v>0</v>
      </c>
      <c r="P16" s="114">
        <v>1</v>
      </c>
      <c r="Q16" s="114">
        <v>1</v>
      </c>
      <c r="R16" s="114">
        <v>0</v>
      </c>
      <c r="S16" s="114">
        <v>0</v>
      </c>
      <c r="T16" s="114">
        <f>SUM(Tabla5234[[#This Row],[Naranjas]:[Nueces]])</f>
        <v>2</v>
      </c>
      <c r="U16" s="115"/>
    </row>
    <row r="17" spans="1:21" outlineLevel="1" x14ac:dyDescent="0.3">
      <c r="A17" s="246"/>
      <c r="B17" s="112" t="s">
        <v>100</v>
      </c>
      <c r="C17" s="113" t="s">
        <v>101</v>
      </c>
      <c r="D17" s="113" t="s">
        <v>207</v>
      </c>
      <c r="E17" s="113" t="s">
        <v>145</v>
      </c>
      <c r="F17" s="113" t="s">
        <v>146</v>
      </c>
      <c r="G17" s="113" t="s">
        <v>173</v>
      </c>
      <c r="H17" s="113" t="s">
        <v>148</v>
      </c>
      <c r="I17" s="109">
        <v>56979878976</v>
      </c>
      <c r="J17" s="113" t="s">
        <v>208</v>
      </c>
      <c r="K17" s="113" t="s">
        <v>161</v>
      </c>
      <c r="L17" s="114" t="s">
        <v>46</v>
      </c>
      <c r="M17" s="114" t="s">
        <v>46</v>
      </c>
      <c r="N17" s="114">
        <v>16</v>
      </c>
      <c r="O17" s="114">
        <v>15</v>
      </c>
      <c r="P17" s="114">
        <v>19</v>
      </c>
      <c r="Q17" s="114">
        <v>5</v>
      </c>
      <c r="R17" s="114">
        <v>14</v>
      </c>
      <c r="S17" s="114">
        <v>1</v>
      </c>
      <c r="T17" s="114">
        <f>SUM(Tabla5234[[#This Row],[Naranjas]:[Nueces]])</f>
        <v>70</v>
      </c>
      <c r="U17" s="115"/>
    </row>
    <row r="18" spans="1:21" outlineLevel="1" x14ac:dyDescent="0.3">
      <c r="A18" s="246"/>
      <c r="B18" s="112" t="s">
        <v>68</v>
      </c>
      <c r="C18" s="113" t="s">
        <v>69</v>
      </c>
      <c r="D18" s="113" t="s">
        <v>172</v>
      </c>
      <c r="E18" s="113" t="s">
        <v>145</v>
      </c>
      <c r="F18" s="113" t="s">
        <v>163</v>
      </c>
      <c r="G18" s="113" t="s">
        <v>173</v>
      </c>
      <c r="H18" s="113" t="s">
        <v>148</v>
      </c>
      <c r="I18" s="109">
        <v>56963061299</v>
      </c>
      <c r="J18" s="113" t="s">
        <v>174</v>
      </c>
      <c r="K18" s="113" t="s">
        <v>161</v>
      </c>
      <c r="L18" s="114" t="s">
        <v>46</v>
      </c>
      <c r="M18" s="114" t="s">
        <v>46</v>
      </c>
      <c r="N18" s="114">
        <v>17</v>
      </c>
      <c r="O18" s="114">
        <v>14</v>
      </c>
      <c r="P18" s="114">
        <v>24</v>
      </c>
      <c r="Q18" s="114">
        <v>11</v>
      </c>
      <c r="R18" s="114">
        <v>15</v>
      </c>
      <c r="S18" s="114">
        <v>4</v>
      </c>
      <c r="T18" s="114">
        <f>SUM(Tabla5234[[#This Row],[Naranjas]:[Nueces]])</f>
        <v>85</v>
      </c>
      <c r="U18" s="115"/>
    </row>
    <row r="19" spans="1:21" outlineLevel="1" x14ac:dyDescent="0.3">
      <c r="A19" s="246"/>
      <c r="B19" s="112" t="s">
        <v>82</v>
      </c>
      <c r="C19" s="113" t="s">
        <v>83</v>
      </c>
      <c r="D19" s="113" t="s">
        <v>194</v>
      </c>
      <c r="E19" s="113" t="s">
        <v>145</v>
      </c>
      <c r="F19" s="113" t="s">
        <v>163</v>
      </c>
      <c r="G19" s="113">
        <v>0</v>
      </c>
      <c r="H19" s="113" t="s">
        <v>148</v>
      </c>
      <c r="I19" s="109">
        <v>56979579233</v>
      </c>
      <c r="J19" s="113" t="s">
        <v>195</v>
      </c>
      <c r="K19" s="113" t="s">
        <v>161</v>
      </c>
      <c r="L19" s="114" t="s">
        <v>46</v>
      </c>
      <c r="M19" s="114" t="s">
        <v>46</v>
      </c>
      <c r="N19" s="114">
        <v>1</v>
      </c>
      <c r="O19" s="114">
        <v>3</v>
      </c>
      <c r="P19" s="114">
        <v>7</v>
      </c>
      <c r="Q19" s="114">
        <v>2</v>
      </c>
      <c r="R19" s="114">
        <v>0</v>
      </c>
      <c r="S19" s="114">
        <v>0</v>
      </c>
      <c r="T19" s="114">
        <f>SUM(Tabla5234[[#This Row],[Naranjas]:[Nueces]])</f>
        <v>13</v>
      </c>
      <c r="U19" s="115"/>
    </row>
    <row r="20" spans="1:21" outlineLevel="1" x14ac:dyDescent="0.3">
      <c r="A20" s="246"/>
      <c r="B20" s="112" t="s">
        <v>96</v>
      </c>
      <c r="C20" s="113" t="s">
        <v>97</v>
      </c>
      <c r="D20" s="113" t="s">
        <v>202</v>
      </c>
      <c r="E20" s="113" t="s">
        <v>186</v>
      </c>
      <c r="F20" s="113" t="s">
        <v>203</v>
      </c>
      <c r="G20" s="113" t="s">
        <v>170</v>
      </c>
      <c r="H20" s="113" t="s">
        <v>148</v>
      </c>
      <c r="I20" s="109">
        <v>56977684576</v>
      </c>
      <c r="J20" s="113" t="s">
        <v>204</v>
      </c>
      <c r="K20" s="113" t="s">
        <v>161</v>
      </c>
      <c r="L20" s="114" t="s">
        <v>46</v>
      </c>
      <c r="M20" s="114" t="s">
        <v>46</v>
      </c>
      <c r="N20" s="114">
        <v>0</v>
      </c>
      <c r="O20" s="114">
        <v>1</v>
      </c>
      <c r="P20" s="114">
        <v>4</v>
      </c>
      <c r="Q20" s="114">
        <v>1</v>
      </c>
      <c r="R20" s="114">
        <v>2</v>
      </c>
      <c r="S20" s="114">
        <v>0</v>
      </c>
      <c r="T20" s="114">
        <f>SUM(Tabla5234[[#This Row],[Naranjas]:[Nueces]])</f>
        <v>8</v>
      </c>
      <c r="U20" s="115"/>
    </row>
    <row r="21" spans="1:21" outlineLevel="1" x14ac:dyDescent="0.3">
      <c r="A21" s="246"/>
      <c r="B21" s="112" t="s">
        <v>61</v>
      </c>
      <c r="C21" s="113" t="s">
        <v>290</v>
      </c>
      <c r="D21" s="113" t="s">
        <v>299</v>
      </c>
      <c r="E21" s="113" t="s">
        <v>145</v>
      </c>
      <c r="F21" s="113" t="s">
        <v>203</v>
      </c>
      <c r="G21" s="113">
        <v>0</v>
      </c>
      <c r="H21" s="113" t="s">
        <v>148</v>
      </c>
      <c r="I21" s="109">
        <v>56954243532</v>
      </c>
      <c r="J21" s="113" t="s">
        <v>300</v>
      </c>
      <c r="K21" s="113" t="s">
        <v>161</v>
      </c>
      <c r="L21" s="114" t="s">
        <v>46</v>
      </c>
      <c r="M21" s="114" t="s">
        <v>46</v>
      </c>
      <c r="N21" s="114">
        <v>32</v>
      </c>
      <c r="O21" s="114">
        <v>23</v>
      </c>
      <c r="P21" s="114">
        <v>40</v>
      </c>
      <c r="Q21" s="114">
        <v>15</v>
      </c>
      <c r="R21" s="114">
        <v>15</v>
      </c>
      <c r="S21" s="114">
        <v>4</v>
      </c>
      <c r="T21" s="114">
        <f>SUM(Tabla5234[[#This Row],[Naranjas]:[Nueces]])</f>
        <v>129</v>
      </c>
      <c r="U21" s="115"/>
    </row>
    <row r="22" spans="1:21" outlineLevel="1" x14ac:dyDescent="0.3">
      <c r="A22" s="246"/>
      <c r="B22" s="112" t="s">
        <v>98</v>
      </c>
      <c r="C22" s="113" t="s">
        <v>99</v>
      </c>
      <c r="D22" s="113" t="s">
        <v>205</v>
      </c>
      <c r="E22" s="113" t="s">
        <v>145</v>
      </c>
      <c r="F22" s="113" t="s">
        <v>163</v>
      </c>
      <c r="G22" s="113" t="s">
        <v>173</v>
      </c>
      <c r="H22" s="113" t="s">
        <v>148</v>
      </c>
      <c r="I22" s="109">
        <v>56978785698</v>
      </c>
      <c r="J22" s="113" t="s">
        <v>206</v>
      </c>
      <c r="K22" s="113" t="s">
        <v>161</v>
      </c>
      <c r="L22" s="114" t="s">
        <v>46</v>
      </c>
      <c r="M22" s="114" t="s">
        <v>46</v>
      </c>
      <c r="N22" s="114">
        <v>4</v>
      </c>
      <c r="O22" s="114">
        <v>4</v>
      </c>
      <c r="P22" s="114">
        <v>10</v>
      </c>
      <c r="Q22" s="114">
        <v>4</v>
      </c>
      <c r="R22" s="114">
        <v>3</v>
      </c>
      <c r="S22" s="114">
        <v>2</v>
      </c>
      <c r="T22" s="114">
        <f>SUM(Tabla5234[[#This Row],[Naranjas]:[Nueces]])</f>
        <v>27</v>
      </c>
      <c r="U22" s="115"/>
    </row>
    <row r="23" spans="1:21" outlineLevel="1" x14ac:dyDescent="0.3">
      <c r="A23" s="246"/>
      <c r="B23" s="116" t="s">
        <v>132</v>
      </c>
      <c r="C23" s="117" t="s">
        <v>133</v>
      </c>
      <c r="D23" s="117" t="s">
        <v>232</v>
      </c>
      <c r="E23" s="117" t="s">
        <v>145</v>
      </c>
      <c r="F23" s="117" t="s">
        <v>233</v>
      </c>
      <c r="G23" s="117" t="s">
        <v>147</v>
      </c>
      <c r="H23" s="117" t="s">
        <v>148</v>
      </c>
      <c r="I23" s="109">
        <v>56957230044</v>
      </c>
      <c r="J23" s="117" t="s">
        <v>234</v>
      </c>
      <c r="K23" s="117" t="s">
        <v>161</v>
      </c>
      <c r="L23" s="114" t="s">
        <v>46</v>
      </c>
      <c r="M23" s="114" t="s">
        <v>46</v>
      </c>
      <c r="N23" s="114">
        <v>8</v>
      </c>
      <c r="O23" s="114">
        <v>1</v>
      </c>
      <c r="P23" s="114">
        <v>7</v>
      </c>
      <c r="Q23" s="114">
        <v>3</v>
      </c>
      <c r="R23" s="114">
        <v>1</v>
      </c>
      <c r="S23" s="114">
        <v>3</v>
      </c>
      <c r="T23" s="114">
        <f>SUM(Tabla5234[[#This Row],[Naranjas]:[Nueces]])</f>
        <v>23</v>
      </c>
      <c r="U23" s="115"/>
    </row>
    <row r="24" spans="1:21" outlineLevel="1" x14ac:dyDescent="0.3">
      <c r="A24" s="246"/>
      <c r="B24" s="116" t="s">
        <v>125</v>
      </c>
      <c r="C24" s="117" t="s">
        <v>126</v>
      </c>
      <c r="D24" s="117" t="s">
        <v>225</v>
      </c>
      <c r="E24" s="117" t="s">
        <v>186</v>
      </c>
      <c r="F24" s="117" t="s">
        <v>226</v>
      </c>
      <c r="G24" s="117" t="s">
        <v>173</v>
      </c>
      <c r="H24" s="117" t="s">
        <v>148</v>
      </c>
      <c r="I24" s="109">
        <v>56942723186</v>
      </c>
      <c r="J24" s="117" t="s">
        <v>227</v>
      </c>
      <c r="K24" s="117" t="s">
        <v>161</v>
      </c>
      <c r="L24" s="114" t="s">
        <v>46</v>
      </c>
      <c r="M24" s="114" t="s">
        <v>46</v>
      </c>
      <c r="N24" s="114">
        <v>0</v>
      </c>
      <c r="O24" s="114">
        <v>0</v>
      </c>
      <c r="P24" s="114">
        <v>0</v>
      </c>
      <c r="Q24" s="114">
        <v>0</v>
      </c>
      <c r="R24" s="114">
        <v>0</v>
      </c>
      <c r="S24" s="114">
        <v>3</v>
      </c>
      <c r="T24" s="114">
        <f>SUM(Tabla5234[[#This Row],[Naranjas]:[Nueces]])</f>
        <v>3</v>
      </c>
      <c r="U24" s="115"/>
    </row>
    <row r="25" spans="1:21" outlineLevel="1" x14ac:dyDescent="0.3">
      <c r="A25" s="246"/>
      <c r="B25" s="112" t="s">
        <v>102</v>
      </c>
      <c r="C25" s="113" t="s">
        <v>103</v>
      </c>
      <c r="D25" s="113" t="s">
        <v>209</v>
      </c>
      <c r="E25" s="113" t="s">
        <v>157</v>
      </c>
      <c r="F25" s="113" t="s">
        <v>166</v>
      </c>
      <c r="G25" s="113" t="s">
        <v>210</v>
      </c>
      <c r="H25" s="113" t="s">
        <v>148</v>
      </c>
      <c r="I25" s="109">
        <v>56978189115</v>
      </c>
      <c r="J25" s="113" t="s">
        <v>211</v>
      </c>
      <c r="K25" s="113" t="s">
        <v>150</v>
      </c>
      <c r="L25" s="114" t="s">
        <v>304</v>
      </c>
      <c r="M25" s="114" t="s">
        <v>46</v>
      </c>
      <c r="N25" s="114">
        <v>0</v>
      </c>
      <c r="O25" s="114">
        <v>1</v>
      </c>
      <c r="P25" s="114">
        <v>3</v>
      </c>
      <c r="Q25" s="114">
        <v>0</v>
      </c>
      <c r="R25" s="114">
        <v>0</v>
      </c>
      <c r="S25" s="114">
        <v>0</v>
      </c>
      <c r="T25" s="114">
        <f>SUM(Tabla5234[[#This Row],[Naranjas]:[Nueces]])</f>
        <v>4</v>
      </c>
      <c r="U25" s="115"/>
    </row>
    <row r="26" spans="1:21" outlineLevel="1" x14ac:dyDescent="0.3">
      <c r="A26" s="246"/>
      <c r="B26" s="112" t="s">
        <v>79</v>
      </c>
      <c r="C26" s="113" t="s">
        <v>78</v>
      </c>
      <c r="D26" s="113" t="s">
        <v>190</v>
      </c>
      <c r="E26" s="113" t="s">
        <v>157</v>
      </c>
      <c r="F26" s="113" t="s">
        <v>166</v>
      </c>
      <c r="G26" s="113" t="s">
        <v>173</v>
      </c>
      <c r="H26" s="113" t="s">
        <v>148</v>
      </c>
      <c r="I26" s="109">
        <v>56986194003</v>
      </c>
      <c r="J26" s="113" t="s">
        <v>191</v>
      </c>
      <c r="K26" s="113" t="s">
        <v>150</v>
      </c>
      <c r="L26" s="114" t="s">
        <v>46</v>
      </c>
      <c r="M26" s="114" t="s">
        <v>46</v>
      </c>
      <c r="N26" s="114">
        <v>0</v>
      </c>
      <c r="O26" s="114">
        <v>0</v>
      </c>
      <c r="P26" s="114">
        <v>28</v>
      </c>
      <c r="Q26" s="114">
        <v>6</v>
      </c>
      <c r="R26" s="114">
        <v>0</v>
      </c>
      <c r="S26" s="114">
        <v>0</v>
      </c>
      <c r="T26" s="114">
        <f>SUM(Tabla5234[[#This Row],[Naranjas]:[Nueces]])</f>
        <v>34</v>
      </c>
      <c r="U26" s="115"/>
    </row>
    <row r="27" spans="1:21" outlineLevel="1" x14ac:dyDescent="0.3">
      <c r="A27" s="246"/>
      <c r="B27" s="112" t="s">
        <v>92</v>
      </c>
      <c r="C27" s="113" t="s">
        <v>93</v>
      </c>
      <c r="D27" s="113" t="s">
        <v>198</v>
      </c>
      <c r="E27" s="113" t="s">
        <v>157</v>
      </c>
      <c r="F27" s="113" t="s">
        <v>166</v>
      </c>
      <c r="G27" s="113">
        <v>0</v>
      </c>
      <c r="H27" s="113" t="s">
        <v>148</v>
      </c>
      <c r="I27" s="109">
        <v>56963124612</v>
      </c>
      <c r="J27" s="113" t="s">
        <v>199</v>
      </c>
      <c r="K27" s="113" t="s">
        <v>150</v>
      </c>
      <c r="L27" s="114" t="s">
        <v>46</v>
      </c>
      <c r="M27" s="114" t="s">
        <v>46</v>
      </c>
      <c r="N27" s="114">
        <v>12</v>
      </c>
      <c r="O27" s="114">
        <v>5</v>
      </c>
      <c r="P27" s="114">
        <v>13</v>
      </c>
      <c r="Q27" s="114">
        <v>12</v>
      </c>
      <c r="R27" s="114">
        <v>8</v>
      </c>
      <c r="S27" s="114">
        <v>9</v>
      </c>
      <c r="T27" s="114">
        <f>SUM(Tabla5234[[#This Row],[Naranjas]:[Nueces]])</f>
        <v>59</v>
      </c>
      <c r="U27" s="115"/>
    </row>
    <row r="28" spans="1:21" outlineLevel="1" x14ac:dyDescent="0.3">
      <c r="A28" s="246"/>
      <c r="B28" s="112" t="s">
        <v>90</v>
      </c>
      <c r="C28" s="113" t="s">
        <v>91</v>
      </c>
      <c r="D28" s="113" t="s">
        <v>196</v>
      </c>
      <c r="E28" s="113" t="s">
        <v>157</v>
      </c>
      <c r="F28" s="113" t="s">
        <v>166</v>
      </c>
      <c r="G28" s="113" t="s">
        <v>167</v>
      </c>
      <c r="H28" s="113" t="s">
        <v>148</v>
      </c>
      <c r="I28" s="109">
        <v>56979891544</v>
      </c>
      <c r="J28" s="113" t="s">
        <v>197</v>
      </c>
      <c r="K28" s="113" t="s">
        <v>150</v>
      </c>
      <c r="L28" s="114" t="s">
        <v>46</v>
      </c>
      <c r="M28" s="114" t="s">
        <v>46</v>
      </c>
      <c r="N28" s="114">
        <v>5</v>
      </c>
      <c r="O28" s="114">
        <v>4</v>
      </c>
      <c r="P28" s="114">
        <v>6</v>
      </c>
      <c r="Q28" s="114">
        <v>0</v>
      </c>
      <c r="R28" s="114">
        <v>3</v>
      </c>
      <c r="S28" s="114">
        <v>0</v>
      </c>
      <c r="T28" s="114">
        <f>SUM(Tabla5234[[#This Row],[Naranjas]:[Nueces]])</f>
        <v>18</v>
      </c>
      <c r="U28" s="115"/>
    </row>
    <row r="29" spans="1:21" outlineLevel="1" x14ac:dyDescent="0.3">
      <c r="A29" s="246"/>
      <c r="B29" s="112" t="s">
        <v>57</v>
      </c>
      <c r="C29" s="113" t="s">
        <v>58</v>
      </c>
      <c r="D29" s="113" t="s">
        <v>144</v>
      </c>
      <c r="E29" s="113" t="s">
        <v>145</v>
      </c>
      <c r="F29" s="113" t="s">
        <v>146</v>
      </c>
      <c r="G29" s="113" t="s">
        <v>147</v>
      </c>
      <c r="H29" s="113" t="s">
        <v>148</v>
      </c>
      <c r="I29" s="109">
        <v>56955324629</v>
      </c>
      <c r="J29" s="113" t="s">
        <v>149</v>
      </c>
      <c r="K29" s="113" t="s">
        <v>150</v>
      </c>
      <c r="L29" s="114" t="s">
        <v>46</v>
      </c>
      <c r="M29" s="114" t="s">
        <v>46</v>
      </c>
      <c r="N29" s="114">
        <v>0</v>
      </c>
      <c r="O29" s="114">
        <v>0</v>
      </c>
      <c r="P29" s="114">
        <v>5</v>
      </c>
      <c r="Q29" s="114">
        <v>2</v>
      </c>
      <c r="R29" s="114">
        <v>3</v>
      </c>
      <c r="S29" s="114">
        <v>1</v>
      </c>
      <c r="T29" s="114">
        <f>SUM(Tabla5234[[#This Row],[Naranjas]:[Nueces]])</f>
        <v>11</v>
      </c>
      <c r="U29" s="115"/>
    </row>
    <row r="30" spans="1:21" outlineLevel="1" x14ac:dyDescent="0.3">
      <c r="A30" s="246"/>
      <c r="B30" s="116" t="s">
        <v>119</v>
      </c>
      <c r="C30" s="117" t="s">
        <v>120</v>
      </c>
      <c r="D30" s="117" t="s">
        <v>220</v>
      </c>
      <c r="E30" s="117" t="s">
        <v>186</v>
      </c>
      <c r="F30" s="117" t="s">
        <v>187</v>
      </c>
      <c r="G30" s="117" t="s">
        <v>277</v>
      </c>
      <c r="H30" s="117" t="s">
        <v>148</v>
      </c>
      <c r="I30" s="109">
        <v>56956481962</v>
      </c>
      <c r="J30" s="117" t="s">
        <v>221</v>
      </c>
      <c r="K30" s="117" t="s">
        <v>150</v>
      </c>
      <c r="L30" s="114" t="s">
        <v>46</v>
      </c>
      <c r="M30" s="114" t="s">
        <v>46</v>
      </c>
      <c r="N30" s="114">
        <v>12</v>
      </c>
      <c r="O30" s="114">
        <v>4</v>
      </c>
      <c r="P30" s="114">
        <v>18</v>
      </c>
      <c r="Q30" s="114">
        <v>8</v>
      </c>
      <c r="R30" s="114">
        <v>7</v>
      </c>
      <c r="S30" s="114">
        <v>3</v>
      </c>
      <c r="T30" s="114">
        <f>SUM(Tabla5234[[#This Row],[Naranjas]:[Nueces]])</f>
        <v>52</v>
      </c>
      <c r="U30" s="115"/>
    </row>
    <row r="31" spans="1:21" outlineLevel="1" x14ac:dyDescent="0.3">
      <c r="A31" s="246"/>
      <c r="B31" s="112" t="s">
        <v>51</v>
      </c>
      <c r="C31" s="113" t="s">
        <v>52</v>
      </c>
      <c r="D31" s="113" t="s">
        <v>244</v>
      </c>
      <c r="E31" s="113" t="s">
        <v>152</v>
      </c>
      <c r="F31" s="113" t="s">
        <v>292</v>
      </c>
      <c r="G31" s="113" t="s">
        <v>298</v>
      </c>
      <c r="H31" s="113" t="s">
        <v>148</v>
      </c>
      <c r="I31" s="109">
        <v>56962094749</v>
      </c>
      <c r="J31" s="113" t="s">
        <v>245</v>
      </c>
      <c r="K31" s="113" t="s">
        <v>150</v>
      </c>
      <c r="L31" s="114" t="s">
        <v>46</v>
      </c>
      <c r="M31" s="114" t="s">
        <v>46</v>
      </c>
      <c r="N31" s="114">
        <v>3</v>
      </c>
      <c r="O31" s="114">
        <v>5</v>
      </c>
      <c r="P31" s="114">
        <v>11</v>
      </c>
      <c r="Q31" s="114">
        <v>4</v>
      </c>
      <c r="R31" s="114">
        <v>2</v>
      </c>
      <c r="S31" s="114">
        <v>2</v>
      </c>
      <c r="T31" s="114">
        <f>SUM(Tabla5234[[#This Row],[Naranjas]:[Nueces]])</f>
        <v>27</v>
      </c>
      <c r="U31" s="115"/>
    </row>
    <row r="32" spans="1:21" outlineLevel="1" x14ac:dyDescent="0.3">
      <c r="A32" s="246"/>
      <c r="B32" s="116" t="s">
        <v>134</v>
      </c>
      <c r="C32" s="117" t="s">
        <v>133</v>
      </c>
      <c r="D32" s="117" t="s">
        <v>230</v>
      </c>
      <c r="E32" s="117" t="s">
        <v>157</v>
      </c>
      <c r="F32" s="117" t="s">
        <v>166</v>
      </c>
      <c r="G32" s="117" t="s">
        <v>210</v>
      </c>
      <c r="H32" s="117" t="s">
        <v>148</v>
      </c>
      <c r="I32" s="109">
        <v>56966640363</v>
      </c>
      <c r="J32" s="117" t="s">
        <v>231</v>
      </c>
      <c r="K32" s="117" t="s">
        <v>150</v>
      </c>
      <c r="L32" s="114" t="s">
        <v>46</v>
      </c>
      <c r="M32" s="114" t="s">
        <v>46</v>
      </c>
      <c r="N32" s="114">
        <v>2</v>
      </c>
      <c r="O32" s="114">
        <v>8</v>
      </c>
      <c r="P32" s="114">
        <v>6</v>
      </c>
      <c r="Q32" s="114">
        <v>6</v>
      </c>
      <c r="R32" s="114">
        <v>0</v>
      </c>
      <c r="S32" s="114">
        <v>0</v>
      </c>
      <c r="T32" s="114">
        <f>SUM(Tabla5234[[#This Row],[Naranjas]:[Nueces]])</f>
        <v>22</v>
      </c>
      <c r="U32" s="115"/>
    </row>
    <row r="33" spans="1:21" outlineLevel="1" x14ac:dyDescent="0.3">
      <c r="A33" s="246"/>
      <c r="B33" s="112" t="s">
        <v>109</v>
      </c>
      <c r="C33" s="113" t="s">
        <v>110</v>
      </c>
      <c r="D33" s="113" t="s">
        <v>212</v>
      </c>
      <c r="E33" s="113" t="s">
        <v>157</v>
      </c>
      <c r="F33" s="113" t="s">
        <v>166</v>
      </c>
      <c r="G33" s="113" t="s">
        <v>210</v>
      </c>
      <c r="H33" s="113" t="s">
        <v>148</v>
      </c>
      <c r="I33" s="109">
        <v>56952304675</v>
      </c>
      <c r="J33" s="113" t="s">
        <v>213</v>
      </c>
      <c r="K33" s="113" t="s">
        <v>150</v>
      </c>
      <c r="L33" s="114" t="s">
        <v>46</v>
      </c>
      <c r="M33" s="114" t="s">
        <v>46</v>
      </c>
      <c r="N33" s="114">
        <v>8</v>
      </c>
      <c r="O33" s="114">
        <v>21</v>
      </c>
      <c r="P33" s="114">
        <v>22</v>
      </c>
      <c r="Q33" s="114">
        <v>9</v>
      </c>
      <c r="R33" s="114">
        <v>9</v>
      </c>
      <c r="S33" s="114">
        <v>6</v>
      </c>
      <c r="T33" s="114">
        <f>SUM(Tabla5234[[#This Row],[Naranjas]:[Nueces]])</f>
        <v>75</v>
      </c>
      <c r="U33" s="115"/>
    </row>
    <row r="34" spans="1:21" outlineLevel="1" x14ac:dyDescent="0.3">
      <c r="A34" s="246"/>
      <c r="B34" s="112" t="s">
        <v>77</v>
      </c>
      <c r="C34" s="113" t="s">
        <v>78</v>
      </c>
      <c r="D34" s="113" t="s">
        <v>185</v>
      </c>
      <c r="E34" s="113" t="s">
        <v>186</v>
      </c>
      <c r="F34" s="113" t="s">
        <v>187</v>
      </c>
      <c r="G34" s="113" t="s">
        <v>188</v>
      </c>
      <c r="H34" s="113" t="s">
        <v>148</v>
      </c>
      <c r="I34" s="109">
        <v>56982978895</v>
      </c>
      <c r="J34" s="113" t="s">
        <v>189</v>
      </c>
      <c r="K34" s="113" t="s">
        <v>150</v>
      </c>
      <c r="L34" s="114" t="s">
        <v>46</v>
      </c>
      <c r="M34" s="114" t="s">
        <v>46</v>
      </c>
      <c r="N34" s="114">
        <v>7</v>
      </c>
      <c r="O34" s="114">
        <v>7</v>
      </c>
      <c r="P34" s="114">
        <v>7</v>
      </c>
      <c r="Q34" s="114">
        <v>2</v>
      </c>
      <c r="R34" s="114">
        <v>5</v>
      </c>
      <c r="S34" s="114">
        <v>3</v>
      </c>
      <c r="T34" s="114">
        <f>SUM(Tabla5234[[#This Row],[Naranjas]:[Nueces]])</f>
        <v>31</v>
      </c>
      <c r="U34" s="115"/>
    </row>
    <row r="35" spans="1:21" outlineLevel="1" x14ac:dyDescent="0.3">
      <c r="A35" s="246"/>
      <c r="B35" s="112" t="s">
        <v>84</v>
      </c>
      <c r="C35" s="113" t="s">
        <v>95</v>
      </c>
      <c r="D35" s="113" t="s">
        <v>200</v>
      </c>
      <c r="E35" s="113" t="s">
        <v>157</v>
      </c>
      <c r="F35" s="113" t="s">
        <v>166</v>
      </c>
      <c r="G35" s="113" t="s">
        <v>167</v>
      </c>
      <c r="H35" s="113" t="s">
        <v>148</v>
      </c>
      <c r="I35" s="109">
        <v>56988587944</v>
      </c>
      <c r="J35" s="113" t="s">
        <v>201</v>
      </c>
      <c r="K35" s="113" t="s">
        <v>150</v>
      </c>
      <c r="L35" s="114" t="s">
        <v>46</v>
      </c>
      <c r="M35" s="114" t="s">
        <v>46</v>
      </c>
      <c r="N35" s="114">
        <v>1</v>
      </c>
      <c r="O35" s="114">
        <v>3</v>
      </c>
      <c r="P35" s="114">
        <v>9</v>
      </c>
      <c r="Q35" s="114">
        <v>1</v>
      </c>
      <c r="R35" s="114">
        <v>5</v>
      </c>
      <c r="S35" s="114">
        <v>1</v>
      </c>
      <c r="T35" s="114">
        <f>SUM(Tabla5234[[#This Row],[Naranjas]:[Nueces]])</f>
        <v>20</v>
      </c>
      <c r="U35" s="115"/>
    </row>
    <row r="36" spans="1:21" ht="15" outlineLevel="1" thickBot="1" x14ac:dyDescent="0.35">
      <c r="A36" s="247"/>
      <c r="B36" s="118" t="s">
        <v>81</v>
      </c>
      <c r="C36" s="119" t="s">
        <v>78</v>
      </c>
      <c r="D36" s="119" t="s">
        <v>256</v>
      </c>
      <c r="E36" s="119" t="s">
        <v>152</v>
      </c>
      <c r="F36" s="119" t="s">
        <v>257</v>
      </c>
      <c r="G36" s="119" t="s">
        <v>258</v>
      </c>
      <c r="H36" s="119" t="s">
        <v>148</v>
      </c>
      <c r="I36" s="109">
        <v>56965542496</v>
      </c>
      <c r="J36" s="119" t="s">
        <v>259</v>
      </c>
      <c r="K36" s="119" t="s">
        <v>150</v>
      </c>
      <c r="L36" s="120" t="s">
        <v>46</v>
      </c>
      <c r="M36" s="120" t="s">
        <v>46</v>
      </c>
      <c r="N36" s="120">
        <v>1</v>
      </c>
      <c r="O36" s="120">
        <v>2</v>
      </c>
      <c r="P36" s="120">
        <v>3</v>
      </c>
      <c r="Q36" s="120">
        <v>4</v>
      </c>
      <c r="R36" s="120">
        <v>2</v>
      </c>
      <c r="S36" s="120">
        <v>1</v>
      </c>
      <c r="T36" s="120">
        <f>SUM(Tabla5234[[#This Row],[Naranjas]:[Nueces]])</f>
        <v>13</v>
      </c>
      <c r="U36" s="121"/>
    </row>
    <row r="37" spans="1:21" outlineLevel="1" x14ac:dyDescent="0.3">
      <c r="A37" s="122"/>
      <c r="B37" s="123"/>
      <c r="C37" s="123"/>
      <c r="D37" s="123"/>
      <c r="E37" s="123"/>
      <c r="F37" s="123"/>
      <c r="G37" s="123"/>
      <c r="H37" s="123"/>
      <c r="I37" s="124"/>
      <c r="J37" s="125"/>
      <c r="K37" s="125"/>
      <c r="L37" s="126"/>
      <c r="M37" s="126"/>
      <c r="N37" s="126"/>
      <c r="O37" s="126"/>
      <c r="P37" s="126"/>
      <c r="Q37" s="126"/>
      <c r="R37" s="126"/>
      <c r="S37" s="126"/>
      <c r="T37" s="126"/>
    </row>
    <row r="38" spans="1:21" ht="15" thickBot="1" x14ac:dyDescent="0.35"/>
    <row r="39" spans="1:21" ht="14.7" customHeight="1" thickBot="1" x14ac:dyDescent="0.35">
      <c r="A39" s="248" t="s">
        <v>21</v>
      </c>
      <c r="B39" s="251" t="s">
        <v>7</v>
      </c>
      <c r="C39" s="252"/>
      <c r="D39" s="252"/>
      <c r="E39" s="252"/>
      <c r="F39" s="252"/>
      <c r="G39" s="252"/>
      <c r="H39" s="252"/>
      <c r="I39" s="252"/>
      <c r="J39" s="252"/>
      <c r="K39" s="252"/>
      <c r="L39" s="253"/>
      <c r="M39" s="127" t="s">
        <v>9</v>
      </c>
      <c r="N39" s="128">
        <f>SUM(Tabla5234[Naranjas])</f>
        <v>162</v>
      </c>
      <c r="O39" s="110">
        <f>SUM(Tabla5234[Mandarinas])</f>
        <v>153</v>
      </c>
      <c r="P39" s="110">
        <f>SUM(Tabla5234[Paltas])</f>
        <v>295</v>
      </c>
      <c r="Q39" s="110">
        <f>SUM(Tabla5234[Quesos])</f>
        <v>121</v>
      </c>
      <c r="R39" s="110">
        <f>SUM(Tabla5234[Tomate Cherry])</f>
        <v>120</v>
      </c>
      <c r="S39" s="129">
        <f>SUM(Tabla5234[Nueces])</f>
        <v>57</v>
      </c>
    </row>
    <row r="40" spans="1:21" ht="14.7" customHeight="1" thickBot="1" x14ac:dyDescent="0.35">
      <c r="A40" s="249"/>
      <c r="B40" s="254"/>
      <c r="C40" s="255"/>
      <c r="D40" s="255"/>
      <c r="E40" s="255"/>
      <c r="F40" s="255"/>
      <c r="G40" s="255"/>
      <c r="H40" s="255"/>
      <c r="I40" s="255"/>
      <c r="J40" s="255"/>
      <c r="K40" s="255"/>
      <c r="L40" s="256"/>
      <c r="M40" s="127" t="s">
        <v>30</v>
      </c>
      <c r="N40" s="130">
        <v>5</v>
      </c>
      <c r="O40" s="114">
        <v>4</v>
      </c>
      <c r="P40" s="114">
        <v>2</v>
      </c>
      <c r="Q40" s="131">
        <v>1.05</v>
      </c>
      <c r="R40" s="114">
        <v>1</v>
      </c>
      <c r="S40" s="132">
        <v>0.5</v>
      </c>
    </row>
    <row r="41" spans="1:21" ht="14.7" customHeight="1" thickBot="1" x14ac:dyDescent="0.35">
      <c r="A41" s="249"/>
      <c r="B41" s="254"/>
      <c r="C41" s="255"/>
      <c r="D41" s="255"/>
      <c r="E41" s="255"/>
      <c r="F41" s="255"/>
      <c r="G41" s="255"/>
      <c r="H41" s="255"/>
      <c r="I41" s="255"/>
      <c r="J41" s="255"/>
      <c r="K41" s="255"/>
      <c r="L41" s="256"/>
      <c r="M41" s="127" t="s">
        <v>8</v>
      </c>
      <c r="N41" s="130">
        <f>N40*N39</f>
        <v>810</v>
      </c>
      <c r="O41" s="114">
        <f t="shared" ref="O41:S41" si="0">O40*O39</f>
        <v>612</v>
      </c>
      <c r="P41" s="114">
        <f t="shared" si="0"/>
        <v>590</v>
      </c>
      <c r="Q41" s="114">
        <f t="shared" si="0"/>
        <v>127.05000000000001</v>
      </c>
      <c r="R41" s="114">
        <f t="shared" si="0"/>
        <v>120</v>
      </c>
      <c r="S41" s="133">
        <f t="shared" si="0"/>
        <v>28.5</v>
      </c>
    </row>
    <row r="42" spans="1:21" ht="15" thickBot="1" x14ac:dyDescent="0.35">
      <c r="A42" s="249"/>
      <c r="B42" s="257"/>
      <c r="C42" s="258"/>
      <c r="D42" s="258"/>
      <c r="E42" s="258"/>
      <c r="F42" s="258"/>
      <c r="G42" s="258"/>
      <c r="H42" s="258"/>
      <c r="I42" s="258"/>
      <c r="J42" s="258"/>
      <c r="K42" s="258"/>
      <c r="L42" s="259"/>
      <c r="M42" s="127" t="s">
        <v>10</v>
      </c>
      <c r="N42" s="134"/>
      <c r="O42" s="120"/>
      <c r="P42" s="120"/>
      <c r="Q42" s="120"/>
      <c r="R42" s="120"/>
      <c r="S42" s="135"/>
    </row>
    <row r="43" spans="1:21" ht="15" thickBot="1" x14ac:dyDescent="0.35">
      <c r="A43" s="249"/>
      <c r="B43" s="136"/>
      <c r="C43" s="123"/>
      <c r="D43" s="137"/>
      <c r="E43" s="138"/>
      <c r="F43" s="138"/>
      <c r="G43" s="138"/>
      <c r="H43" s="138"/>
      <c r="I43" s="138"/>
      <c r="J43" s="138"/>
      <c r="K43" s="139"/>
      <c r="M43" s="140"/>
    </row>
    <row r="44" spans="1:21" ht="15" thickBot="1" x14ac:dyDescent="0.35">
      <c r="A44" s="249"/>
      <c r="B44" s="251" t="s">
        <v>13</v>
      </c>
      <c r="C44" s="252"/>
      <c r="D44" s="252"/>
      <c r="E44" s="252"/>
      <c r="F44" s="252"/>
      <c r="G44" s="252"/>
      <c r="H44" s="252"/>
      <c r="I44" s="252"/>
      <c r="J44" s="252"/>
      <c r="K44" s="252"/>
      <c r="L44" s="253"/>
      <c r="M44" s="127" t="s">
        <v>14</v>
      </c>
      <c r="N44" s="141">
        <f>N45*N40</f>
        <v>750</v>
      </c>
      <c r="O44" s="142">
        <f>O45*O40</f>
        <v>2400</v>
      </c>
      <c r="P44" s="142">
        <f t="shared" ref="P44:S44" si="1">P45*P40</f>
        <v>3000</v>
      </c>
      <c r="Q44" s="142">
        <f t="shared" si="1"/>
        <v>6797.7000000000007</v>
      </c>
      <c r="R44" s="142">
        <f t="shared" si="1"/>
        <v>2000</v>
      </c>
      <c r="S44" s="143">
        <f t="shared" si="1"/>
        <v>3750</v>
      </c>
    </row>
    <row r="45" spans="1:21" ht="15" thickBot="1" x14ac:dyDescent="0.35">
      <c r="A45" s="249"/>
      <c r="B45" s="254"/>
      <c r="C45" s="255"/>
      <c r="D45" s="255"/>
      <c r="E45" s="255"/>
      <c r="F45" s="255"/>
      <c r="G45" s="255"/>
      <c r="H45" s="255"/>
      <c r="I45" s="255"/>
      <c r="J45" s="255"/>
      <c r="K45" s="255"/>
      <c r="L45" s="256"/>
      <c r="M45" s="127" t="s">
        <v>8</v>
      </c>
      <c r="N45" s="112">
        <v>150</v>
      </c>
      <c r="O45" s="113">
        <v>600</v>
      </c>
      <c r="P45" s="113">
        <v>1500</v>
      </c>
      <c r="Q45" s="113">
        <v>6474</v>
      </c>
      <c r="R45" s="113">
        <v>2000</v>
      </c>
      <c r="S45" s="144">
        <v>7500</v>
      </c>
    </row>
    <row r="46" spans="1:21" ht="15" thickBot="1" x14ac:dyDescent="0.35">
      <c r="A46" s="249"/>
      <c r="B46" s="257"/>
      <c r="C46" s="258"/>
      <c r="D46" s="258"/>
      <c r="E46" s="258"/>
      <c r="F46" s="258"/>
      <c r="G46" s="258"/>
      <c r="H46" s="258"/>
      <c r="I46" s="258"/>
      <c r="J46" s="258"/>
      <c r="K46" s="258"/>
      <c r="L46" s="259"/>
      <c r="M46" s="127" t="s">
        <v>15</v>
      </c>
      <c r="N46" s="118">
        <v>2500</v>
      </c>
      <c r="O46" s="119">
        <v>4500</v>
      </c>
      <c r="P46" s="119">
        <v>4700</v>
      </c>
      <c r="Q46" s="119">
        <v>8500</v>
      </c>
      <c r="R46" s="119">
        <v>4500</v>
      </c>
      <c r="S46" s="145">
        <v>5500</v>
      </c>
    </row>
    <row r="47" spans="1:21" ht="15" thickBot="1" x14ac:dyDescent="0.35">
      <c r="A47" s="249"/>
      <c r="B47" s="136"/>
      <c r="C47" s="123"/>
      <c r="D47" s="137"/>
      <c r="E47" s="138"/>
      <c r="F47" s="138"/>
      <c r="G47" s="138"/>
      <c r="H47" s="138"/>
      <c r="I47" s="138"/>
      <c r="J47" s="138"/>
      <c r="K47" s="139"/>
      <c r="M47" s="140"/>
    </row>
    <row r="48" spans="1:21" ht="14.7" customHeight="1" thickBot="1" x14ac:dyDescent="0.35">
      <c r="A48" s="249"/>
      <c r="B48" s="251" t="s">
        <v>16</v>
      </c>
      <c r="C48" s="252"/>
      <c r="D48" s="252"/>
      <c r="E48" s="252"/>
      <c r="F48" s="252"/>
      <c r="G48" s="252"/>
      <c r="H48" s="252"/>
      <c r="I48" s="252"/>
      <c r="J48" s="252"/>
      <c r="K48" s="252"/>
      <c r="L48" s="253"/>
      <c r="M48" s="127" t="s">
        <v>20</v>
      </c>
      <c r="N48" s="107">
        <f>N39*N44</f>
        <v>121500</v>
      </c>
      <c r="O48" s="108">
        <f t="shared" ref="O48:S48" si="2">O39*O44</f>
        <v>367200</v>
      </c>
      <c r="P48" s="108">
        <f t="shared" si="2"/>
        <v>885000</v>
      </c>
      <c r="Q48" s="146">
        <f t="shared" si="2"/>
        <v>822521.70000000007</v>
      </c>
      <c r="R48" s="108">
        <f t="shared" si="2"/>
        <v>240000</v>
      </c>
      <c r="S48" s="147">
        <f t="shared" si="2"/>
        <v>213750</v>
      </c>
    </row>
    <row r="49" spans="1:19" ht="15" thickBot="1" x14ac:dyDescent="0.35">
      <c r="A49" s="249"/>
      <c r="B49" s="257"/>
      <c r="C49" s="258"/>
      <c r="D49" s="258"/>
      <c r="E49" s="258"/>
      <c r="F49" s="258"/>
      <c r="G49" s="258"/>
      <c r="H49" s="258"/>
      <c r="I49" s="258"/>
      <c r="J49" s="258"/>
      <c r="K49" s="258"/>
      <c r="L49" s="259"/>
      <c r="M49" s="127" t="s">
        <v>17</v>
      </c>
      <c r="N49" s="260">
        <f>SUM(N48:S48)</f>
        <v>2649971.7000000002</v>
      </c>
      <c r="O49" s="261"/>
      <c r="P49" s="261"/>
      <c r="Q49" s="261"/>
      <c r="R49" s="261"/>
      <c r="S49" s="262"/>
    </row>
    <row r="50" spans="1:19" ht="15" thickBot="1" x14ac:dyDescent="0.35">
      <c r="A50" s="249"/>
      <c r="B50" s="251" t="s">
        <v>18</v>
      </c>
      <c r="C50" s="252"/>
      <c r="D50" s="252"/>
      <c r="E50" s="252"/>
      <c r="F50" s="252"/>
      <c r="G50" s="252"/>
      <c r="H50" s="252"/>
      <c r="I50" s="252"/>
      <c r="J50" s="252"/>
      <c r="K50" s="252"/>
      <c r="L50" s="253"/>
      <c r="M50" s="127" t="s">
        <v>20</v>
      </c>
      <c r="N50" s="116">
        <f t="shared" ref="N50:S50" si="3">N46*N39</f>
        <v>405000</v>
      </c>
      <c r="O50" s="117">
        <f t="shared" si="3"/>
        <v>688500</v>
      </c>
      <c r="P50" s="117">
        <f t="shared" si="3"/>
        <v>1386500</v>
      </c>
      <c r="Q50" s="117">
        <f t="shared" si="3"/>
        <v>1028500</v>
      </c>
      <c r="R50" s="117">
        <f t="shared" si="3"/>
        <v>540000</v>
      </c>
      <c r="S50" s="148">
        <f t="shared" si="3"/>
        <v>313500</v>
      </c>
    </row>
    <row r="51" spans="1:19" ht="15" thickBot="1" x14ac:dyDescent="0.35">
      <c r="A51" s="249"/>
      <c r="B51" s="257"/>
      <c r="C51" s="258"/>
      <c r="D51" s="258"/>
      <c r="E51" s="258"/>
      <c r="F51" s="258"/>
      <c r="G51" s="258"/>
      <c r="H51" s="258"/>
      <c r="I51" s="258"/>
      <c r="J51" s="258"/>
      <c r="K51" s="258"/>
      <c r="L51" s="259"/>
      <c r="M51" s="127" t="s">
        <v>17</v>
      </c>
      <c r="N51" s="260">
        <f>SUM(N50:S50)</f>
        <v>4362000</v>
      </c>
      <c r="O51" s="261"/>
      <c r="P51" s="261"/>
      <c r="Q51" s="261"/>
      <c r="R51" s="261"/>
      <c r="S51" s="262"/>
    </row>
    <row r="52" spans="1:19" ht="14.7" customHeight="1" thickBot="1" x14ac:dyDescent="0.35">
      <c r="A52" s="249"/>
      <c r="B52" s="251" t="s">
        <v>19</v>
      </c>
      <c r="C52" s="252"/>
      <c r="D52" s="252"/>
      <c r="E52" s="252"/>
      <c r="F52" s="252"/>
      <c r="G52" s="252"/>
      <c r="H52" s="252"/>
      <c r="I52" s="252"/>
      <c r="J52" s="252"/>
      <c r="K52" s="252"/>
      <c r="L52" s="253"/>
      <c r="M52" s="127" t="s">
        <v>20</v>
      </c>
      <c r="N52" s="149">
        <f>N50-N48</f>
        <v>283500</v>
      </c>
      <c r="O52" s="150">
        <f t="shared" ref="O52:R52" si="4">O50-O48</f>
        <v>321300</v>
      </c>
      <c r="P52" s="150">
        <f t="shared" si="4"/>
        <v>501500</v>
      </c>
      <c r="Q52" s="150">
        <f t="shared" si="4"/>
        <v>205978.29999999993</v>
      </c>
      <c r="R52" s="150">
        <f t="shared" si="4"/>
        <v>300000</v>
      </c>
      <c r="S52" s="151">
        <f>S50-S48</f>
        <v>99750</v>
      </c>
    </row>
    <row r="53" spans="1:19" ht="29.7" customHeight="1" thickBot="1" x14ac:dyDescent="0.35">
      <c r="A53" s="249"/>
      <c r="B53" s="257"/>
      <c r="C53" s="258"/>
      <c r="D53" s="258"/>
      <c r="E53" s="258"/>
      <c r="F53" s="258"/>
      <c r="G53" s="258"/>
      <c r="H53" s="258"/>
      <c r="I53" s="258"/>
      <c r="J53" s="258"/>
      <c r="K53" s="258"/>
      <c r="L53" s="259"/>
      <c r="M53" s="127" t="s">
        <v>31</v>
      </c>
      <c r="N53" s="263">
        <f>SUM(N52:S52)</f>
        <v>1712028.2999999998</v>
      </c>
      <c r="O53" s="264"/>
      <c r="P53" s="264"/>
      <c r="Q53" s="264"/>
      <c r="R53" s="264"/>
      <c r="S53" s="265"/>
    </row>
    <row r="54" spans="1:19" ht="15" thickBot="1" x14ac:dyDescent="0.35">
      <c r="A54" s="249"/>
    </row>
    <row r="55" spans="1:19" ht="14.7" customHeight="1" thickBot="1" x14ac:dyDescent="0.35">
      <c r="A55" s="249"/>
      <c r="B55" s="266" t="s">
        <v>27</v>
      </c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8"/>
      <c r="N55" s="224" t="s">
        <v>28</v>
      </c>
      <c r="O55" s="225"/>
      <c r="P55" s="226"/>
      <c r="Q55" s="152" t="s">
        <v>29</v>
      </c>
      <c r="R55" s="153"/>
      <c r="S55" s="153"/>
    </row>
    <row r="56" spans="1:19" ht="15" customHeight="1" x14ac:dyDescent="0.3">
      <c r="A56" s="249"/>
      <c r="B56" s="269"/>
      <c r="C56" s="270"/>
      <c r="D56" s="270"/>
      <c r="E56" s="270"/>
      <c r="F56" s="270"/>
      <c r="G56" s="270"/>
      <c r="H56" s="270"/>
      <c r="I56" s="270"/>
      <c r="J56" s="270"/>
      <c r="K56" s="270"/>
      <c r="L56" s="270"/>
      <c r="M56" s="271"/>
      <c r="N56" s="275" t="s">
        <v>286</v>
      </c>
      <c r="O56" s="276"/>
      <c r="P56" s="277"/>
      <c r="Q56" s="154">
        <v>40000</v>
      </c>
      <c r="R56" s="155"/>
      <c r="S56" s="155"/>
    </row>
    <row r="57" spans="1:19" ht="15" customHeight="1" x14ac:dyDescent="0.3">
      <c r="A57" s="249"/>
      <c r="B57" s="269"/>
      <c r="C57" s="270"/>
      <c r="D57" s="270"/>
      <c r="E57" s="270"/>
      <c r="F57" s="270"/>
      <c r="G57" s="270"/>
      <c r="H57" s="270"/>
      <c r="I57" s="270"/>
      <c r="J57" s="270"/>
      <c r="K57" s="270"/>
      <c r="L57" s="270"/>
      <c r="M57" s="271"/>
      <c r="N57" s="233" t="s">
        <v>287</v>
      </c>
      <c r="O57" s="234"/>
      <c r="P57" s="235"/>
      <c r="Q57" s="156">
        <v>40000</v>
      </c>
      <c r="R57" s="155"/>
      <c r="S57" s="155"/>
    </row>
    <row r="58" spans="1:19" ht="15" customHeight="1" x14ac:dyDescent="0.3">
      <c r="A58" s="249"/>
      <c r="B58" s="269"/>
      <c r="C58" s="270"/>
      <c r="D58" s="270"/>
      <c r="E58" s="270"/>
      <c r="F58" s="270"/>
      <c r="G58" s="270"/>
      <c r="H58" s="270"/>
      <c r="I58" s="270"/>
      <c r="J58" s="270"/>
      <c r="K58" s="270"/>
      <c r="L58" s="270"/>
      <c r="M58" s="271"/>
      <c r="N58" s="233" t="s">
        <v>288</v>
      </c>
      <c r="O58" s="234"/>
      <c r="P58" s="235"/>
      <c r="Q58" s="156">
        <v>20000</v>
      </c>
      <c r="R58" s="155"/>
      <c r="S58" s="155"/>
    </row>
    <row r="59" spans="1:19" ht="15" customHeight="1" x14ac:dyDescent="0.3">
      <c r="A59" s="249"/>
      <c r="B59" s="269"/>
      <c r="C59" s="270"/>
      <c r="D59" s="270"/>
      <c r="E59" s="270"/>
      <c r="F59" s="270"/>
      <c r="G59" s="270"/>
      <c r="H59" s="270"/>
      <c r="I59" s="270"/>
      <c r="J59" s="270"/>
      <c r="K59" s="270"/>
      <c r="L59" s="270"/>
      <c r="M59" s="271"/>
      <c r="N59" s="233" t="s">
        <v>293</v>
      </c>
      <c r="O59" s="234"/>
      <c r="P59" s="235"/>
      <c r="Q59" s="156">
        <v>18000</v>
      </c>
      <c r="R59" s="155"/>
      <c r="S59" s="155"/>
    </row>
    <row r="60" spans="1:19" ht="15" customHeight="1" x14ac:dyDescent="0.3">
      <c r="A60" s="249"/>
      <c r="B60" s="269"/>
      <c r="C60" s="270"/>
      <c r="D60" s="270"/>
      <c r="E60" s="270"/>
      <c r="F60" s="270"/>
      <c r="G60" s="270"/>
      <c r="H60" s="270"/>
      <c r="I60" s="270"/>
      <c r="J60" s="270"/>
      <c r="K60" s="270"/>
      <c r="L60" s="270"/>
      <c r="M60" s="271"/>
      <c r="N60" s="233" t="s">
        <v>294</v>
      </c>
      <c r="O60" s="234"/>
      <c r="P60" s="235"/>
      <c r="Q60" s="156">
        <v>60000</v>
      </c>
      <c r="R60" s="155"/>
      <c r="S60" s="155"/>
    </row>
    <row r="61" spans="1:19" ht="15" customHeight="1" x14ac:dyDescent="0.3">
      <c r="A61" s="249"/>
      <c r="B61" s="269"/>
      <c r="C61" s="270"/>
      <c r="D61" s="270"/>
      <c r="E61" s="270"/>
      <c r="F61" s="270"/>
      <c r="G61" s="270"/>
      <c r="H61" s="270"/>
      <c r="I61" s="270"/>
      <c r="J61" s="270"/>
      <c r="K61" s="270"/>
      <c r="L61" s="270"/>
      <c r="M61" s="271"/>
      <c r="N61" s="230" t="s">
        <v>150</v>
      </c>
      <c r="O61" s="231"/>
      <c r="P61" s="232"/>
      <c r="Q61" s="156">
        <v>30000</v>
      </c>
      <c r="R61" s="155"/>
      <c r="S61" s="155"/>
    </row>
    <row r="62" spans="1:19" ht="15" customHeight="1" x14ac:dyDescent="0.3">
      <c r="A62" s="249"/>
      <c r="B62" s="269"/>
      <c r="C62" s="270"/>
      <c r="D62" s="270"/>
      <c r="E62" s="270"/>
      <c r="F62" s="270"/>
      <c r="G62" s="270"/>
      <c r="H62" s="270"/>
      <c r="I62" s="270"/>
      <c r="J62" s="270"/>
      <c r="K62" s="270"/>
      <c r="L62" s="270"/>
      <c r="M62" s="271"/>
      <c r="N62" s="230" t="s">
        <v>161</v>
      </c>
      <c r="O62" s="231"/>
      <c r="P62" s="232"/>
      <c r="Q62" s="156">
        <v>30000</v>
      </c>
      <c r="R62" s="155"/>
      <c r="S62" s="155"/>
    </row>
    <row r="63" spans="1:19" ht="15" customHeight="1" x14ac:dyDescent="0.3">
      <c r="A63" s="249"/>
      <c r="B63" s="269"/>
      <c r="C63" s="270"/>
      <c r="D63" s="270"/>
      <c r="E63" s="270"/>
      <c r="F63" s="270"/>
      <c r="G63" s="270"/>
      <c r="H63" s="270"/>
      <c r="I63" s="270"/>
      <c r="J63" s="270"/>
      <c r="K63" s="270"/>
      <c r="L63" s="270"/>
      <c r="M63" s="271"/>
      <c r="N63" s="230" t="s">
        <v>155</v>
      </c>
      <c r="O63" s="231"/>
      <c r="P63" s="232"/>
      <c r="Q63" s="156">
        <v>30000</v>
      </c>
      <c r="R63" s="155"/>
      <c r="S63" s="155"/>
    </row>
    <row r="64" spans="1:19" ht="15" customHeight="1" x14ac:dyDescent="0.3">
      <c r="A64" s="249"/>
      <c r="B64" s="269"/>
      <c r="C64" s="270"/>
      <c r="D64" s="270"/>
      <c r="E64" s="270"/>
      <c r="F64" s="270"/>
      <c r="G64" s="270"/>
      <c r="H64" s="270"/>
      <c r="I64" s="270"/>
      <c r="J64" s="270"/>
      <c r="K64" s="270"/>
      <c r="L64" s="270"/>
      <c r="M64" s="271"/>
      <c r="N64" s="230" t="s">
        <v>295</v>
      </c>
      <c r="O64" s="231"/>
      <c r="P64" s="232"/>
      <c r="Q64" s="156">
        <v>25000</v>
      </c>
      <c r="R64" s="155"/>
      <c r="S64" s="155"/>
    </row>
    <row r="65" spans="1:19" ht="15" customHeight="1" x14ac:dyDescent="0.3">
      <c r="A65" s="249"/>
      <c r="B65" s="269"/>
      <c r="C65" s="270"/>
      <c r="D65" s="270"/>
      <c r="E65" s="270"/>
      <c r="F65" s="270"/>
      <c r="G65" s="270"/>
      <c r="H65" s="270"/>
      <c r="I65" s="270"/>
      <c r="J65" s="270"/>
      <c r="K65" s="270"/>
      <c r="L65" s="270"/>
      <c r="M65" s="271"/>
      <c r="N65" s="230" t="s">
        <v>296</v>
      </c>
      <c r="O65" s="231"/>
      <c r="P65" s="232"/>
      <c r="Q65" s="156">
        <v>20000</v>
      </c>
      <c r="R65" s="155"/>
      <c r="S65" s="155"/>
    </row>
    <row r="66" spans="1:19" ht="15" customHeight="1" x14ac:dyDescent="0.3">
      <c r="A66" s="249"/>
      <c r="B66" s="269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1"/>
      <c r="N66" s="233" t="s">
        <v>297</v>
      </c>
      <c r="O66" s="234"/>
      <c r="P66" s="235"/>
      <c r="Q66" s="156">
        <v>35000</v>
      </c>
      <c r="R66" s="155"/>
      <c r="S66" s="155"/>
    </row>
    <row r="67" spans="1:19" ht="15" customHeight="1" thickBot="1" x14ac:dyDescent="0.35">
      <c r="A67" s="249"/>
      <c r="B67" s="269"/>
      <c r="C67" s="270"/>
      <c r="D67" s="270"/>
      <c r="E67" s="270"/>
      <c r="F67" s="270"/>
      <c r="G67" s="270"/>
      <c r="H67" s="270"/>
      <c r="I67" s="270"/>
      <c r="J67" s="270"/>
      <c r="K67" s="270"/>
      <c r="L67" s="270"/>
      <c r="M67" s="271"/>
      <c r="N67" s="236"/>
      <c r="O67" s="237"/>
      <c r="P67" s="238"/>
      <c r="Q67" s="156"/>
      <c r="R67" s="155"/>
      <c r="S67" s="155"/>
    </row>
    <row r="68" spans="1:19" ht="15.75" customHeight="1" thickBot="1" x14ac:dyDescent="0.35">
      <c r="A68" s="249"/>
      <c r="B68" s="272"/>
      <c r="C68" s="273"/>
      <c r="D68" s="273"/>
      <c r="E68" s="273"/>
      <c r="F68" s="273"/>
      <c r="G68" s="273"/>
      <c r="H68" s="273"/>
      <c r="I68" s="273"/>
      <c r="J68" s="273"/>
      <c r="K68" s="273"/>
      <c r="L68" s="273"/>
      <c r="M68" s="274"/>
      <c r="N68" s="221" t="s">
        <v>17</v>
      </c>
      <c r="O68" s="222"/>
      <c r="P68" s="223"/>
      <c r="Q68" s="157">
        <f>SUM(Q56:Q67)</f>
        <v>348000</v>
      </c>
      <c r="R68" s="155"/>
      <c r="S68" s="155"/>
    </row>
    <row r="69" spans="1:19" ht="15" thickBot="1" x14ac:dyDescent="0.35">
      <c r="A69" s="249"/>
    </row>
    <row r="70" spans="1:19" ht="51.75" customHeight="1" thickBot="1" x14ac:dyDescent="0.35">
      <c r="A70" s="250"/>
      <c r="B70" s="224" t="s">
        <v>19</v>
      </c>
      <c r="C70" s="225"/>
      <c r="D70" s="225"/>
      <c r="E70" s="225"/>
      <c r="F70" s="225"/>
      <c r="G70" s="225"/>
      <c r="H70" s="225"/>
      <c r="I70" s="225"/>
      <c r="J70" s="225"/>
      <c r="K70" s="225"/>
      <c r="L70" s="226"/>
      <c r="M70" s="158" t="s">
        <v>17</v>
      </c>
      <c r="N70" s="227">
        <f>N53-SUM(Q56:Q67)</f>
        <v>1364028.2999999998</v>
      </c>
      <c r="O70" s="228"/>
      <c r="P70" s="228"/>
      <c r="Q70" s="228"/>
      <c r="R70" s="228"/>
      <c r="S70" s="229"/>
    </row>
    <row r="71" spans="1:19" ht="15.75" customHeight="1" x14ac:dyDescent="0.3">
      <c r="A71" s="159"/>
      <c r="O71" s="160"/>
      <c r="P71" s="160"/>
      <c r="Q71" s="160"/>
      <c r="S71" s="161"/>
    </row>
    <row r="72" spans="1:19" ht="15" customHeight="1" x14ac:dyDescent="0.3">
      <c r="A72" s="159"/>
      <c r="O72" s="160"/>
      <c r="P72" s="160"/>
      <c r="Q72" s="160"/>
      <c r="S72" s="162"/>
    </row>
    <row r="73" spans="1:19" ht="15" customHeight="1" x14ac:dyDescent="0.3">
      <c r="O73" s="160"/>
      <c r="P73" s="160"/>
      <c r="Q73" s="160"/>
      <c r="S73" s="162"/>
    </row>
    <row r="74" spans="1:19" ht="15" customHeight="1" x14ac:dyDescent="0.3">
      <c r="O74" s="160"/>
      <c r="P74" s="160"/>
      <c r="Q74" s="160"/>
      <c r="S74" s="162"/>
    </row>
    <row r="75" spans="1:19" ht="15" customHeight="1" x14ac:dyDescent="0.3">
      <c r="O75" s="160"/>
      <c r="P75" s="160"/>
      <c r="Q75" s="160"/>
      <c r="S75" s="162"/>
    </row>
    <row r="76" spans="1:19" ht="15" customHeight="1" x14ac:dyDescent="0.3">
      <c r="O76" s="160"/>
      <c r="P76" s="160"/>
      <c r="Q76" s="160"/>
      <c r="S76" s="162"/>
    </row>
    <row r="77" spans="1:19" ht="15" customHeight="1" x14ac:dyDescent="0.3">
      <c r="O77" s="160"/>
      <c r="P77" s="160"/>
      <c r="Q77" s="160"/>
      <c r="S77" s="162"/>
    </row>
    <row r="78" spans="1:19" ht="15" customHeight="1" x14ac:dyDescent="0.3">
      <c r="O78" s="160"/>
      <c r="P78" s="160"/>
      <c r="Q78" s="160"/>
      <c r="S78" s="162"/>
    </row>
    <row r="79" spans="1:19" ht="15.75" customHeight="1" x14ac:dyDescent="0.3">
      <c r="O79" s="160"/>
      <c r="P79" s="160"/>
      <c r="Q79" s="160"/>
      <c r="S79" s="162"/>
    </row>
  </sheetData>
  <mergeCells count="29">
    <mergeCell ref="B2:M2"/>
    <mergeCell ref="N2:S2"/>
    <mergeCell ref="A5:A36"/>
    <mergeCell ref="A39:A70"/>
    <mergeCell ref="B39:L42"/>
    <mergeCell ref="B44:L46"/>
    <mergeCell ref="B48:L49"/>
    <mergeCell ref="N49:S49"/>
    <mergeCell ref="B50:L51"/>
    <mergeCell ref="N51:S51"/>
    <mergeCell ref="B52:L53"/>
    <mergeCell ref="N53:S53"/>
    <mergeCell ref="B55:M68"/>
    <mergeCell ref="N55:P55"/>
    <mergeCell ref="N56:P56"/>
    <mergeCell ref="N57:P57"/>
    <mergeCell ref="N58:P58"/>
    <mergeCell ref="N59:P59"/>
    <mergeCell ref="N60:P60"/>
    <mergeCell ref="N66:P66"/>
    <mergeCell ref="N67:P67"/>
    <mergeCell ref="N68:P68"/>
    <mergeCell ref="B70:L70"/>
    <mergeCell ref="N70:S70"/>
    <mergeCell ref="N61:P61"/>
    <mergeCell ref="N62:P62"/>
    <mergeCell ref="N63:P63"/>
    <mergeCell ref="N65:P65"/>
    <mergeCell ref="N64:P64"/>
  </mergeCells>
  <conditionalFormatting sqref="T5:T36">
    <cfRule type="cellIs" dxfId="43" priority="3" operator="greaterThan">
      <formula>29</formula>
    </cfRule>
    <cfRule type="cellIs" dxfId="42" priority="2" operator="between">
      <formula>20</formula>
      <formula>29</formula>
    </cfRule>
    <cfRule type="cellIs" dxfId="41" priority="1" operator="lessThan">
      <formula>20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Pedido base (copiar esta hoja)</vt:lpstr>
      <vt:lpstr>Sabado 19</vt:lpstr>
      <vt:lpstr>Sabado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2017-10-10T19:47:59Z</dcterms:modified>
</cp:coreProperties>
</file>