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worksheet+xml" PartName="/xl/worksheets/sheet4.xml"/>
  <Override ContentType="application/vnd.openxmlformats-officedocument.spreadsheetml.table+xml" PartName="/xl/tables/table4.xml"/>
  <Override ContentType="application/vnd.openxmlformats-officedocument.spreadsheetml.worksheet+xml" PartName="/xl/worksheets/sheet5.xml"/>
  <Override ContentType="application/vnd.openxmlformats-officedocument.spreadsheetml.table+xml" PartName="/xl/tables/table5.xml"/>
  <Override ContentType="application/vnd.openxmlformats-officedocument.spreadsheetml.worksheet+xml" PartName="/xl/worksheets/sheet6.xml"/>
  <Override ContentType="application/vnd.openxmlformats-officedocument.spreadsheetml.table+xml" PartName="/xl/tables/table6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/>
  </bookViews>
  <sheets>
    <sheet name="Pedido base (copiar esta hoja)" sheetId="1" state="visible" r:id="rId1"/>
    <sheet name="Sabado 2" sheetId="2" state="visible" r:id="rId2"/>
    <sheet name="Miercoles 6" sheetId="3" state="visible" r:id="rId3"/>
    <sheet name="Sabado 9" sheetId="4" state="visible" r:id="rId4"/>
    <sheet name="Miercoles 13" sheetId="5" state="visible" r:id="rId5"/>
    <sheet name="Sabado 16" sheetId="6" state="visible" r:id="rId6"/>
  </sheets>
  <externalReferences>
    <externalReference r:id="rId7"/>
  </externalReferences>
  <definedNames/>
  <calcPr calcId="124519" fullCalcOnLoad="1"/>
</workbook>
</file>

<file path=xl/sharedStrings.xml><?xml version="1.0" encoding="utf-8"?>
<sst xmlns="http://schemas.openxmlformats.org/spreadsheetml/2006/main" uniqueCount="414">
  <si>
    <t>FECHA</t>
  </si>
  <si>
    <t>Productos</t>
  </si>
  <si>
    <t>Paltas</t>
  </si>
  <si>
    <t>Quesos</t>
  </si>
  <si>
    <t>Frutillas</t>
  </si>
  <si>
    <t>Tomate Cherry</t>
  </si>
  <si>
    <t>Nueces</t>
  </si>
  <si>
    <t>Mani</t>
  </si>
  <si>
    <t>Pistachos</t>
  </si>
  <si>
    <t>Caju</t>
  </si>
  <si>
    <t>Almendras</t>
  </si>
  <si>
    <t>Cerezas</t>
  </si>
  <si>
    <t>Arandanos</t>
  </si>
  <si>
    <t>Empanadas</t>
  </si>
  <si>
    <t>Nombre</t>
  </si>
  <si>
    <t>Apellido</t>
  </si>
  <si>
    <t>Direccion</t>
  </si>
  <si>
    <t>Comuna</t>
  </si>
  <si>
    <t>Sector</t>
  </si>
  <si>
    <t>Universidad</t>
  </si>
  <si>
    <t>Cargo</t>
  </si>
  <si>
    <t>Telefono</t>
  </si>
  <si>
    <t>Mail</t>
  </si>
  <si>
    <t>Encargado</t>
  </si>
  <si>
    <t>Entregado</t>
  </si>
  <si>
    <t>Pagado</t>
  </si>
  <si>
    <t>Deuda</t>
  </si>
  <si>
    <t>Total</t>
  </si>
  <si>
    <t>Comentario</t>
  </si>
  <si>
    <t>JEFES</t>
  </si>
  <si>
    <t>Contabilidad</t>
  </si>
  <si>
    <t>Pedido</t>
  </si>
  <si>
    <t>Unidades</t>
  </si>
  <si>
    <t>Formato</t>
  </si>
  <si>
    <t>Kg</t>
  </si>
  <si>
    <t>Pedir</t>
  </si>
  <si>
    <t>Precios</t>
  </si>
  <si>
    <t>Unidad</t>
  </si>
  <si>
    <t>Jefes</t>
  </si>
  <si>
    <t>Costos</t>
  </si>
  <si>
    <t>Producto</t>
  </si>
  <si>
    <t>Ingresos</t>
  </si>
  <si>
    <t>Utilidad</t>
  </si>
  <si>
    <t>Subtotal</t>
  </si>
  <si>
    <t>Gastos</t>
  </si>
  <si>
    <t>Descripcion</t>
  </si>
  <si>
    <t>Costo</t>
  </si>
  <si>
    <t>Naranjas</t>
  </si>
  <si>
    <t>Mandarinas</t>
  </si>
  <si>
    <t>Claudio</t>
  </si>
  <si>
    <t>Baldovino</t>
  </si>
  <si>
    <t>Malaga 195 Dpto 51</t>
  </si>
  <si>
    <t>Las Condes</t>
  </si>
  <si>
    <t>Vespucio</t>
  </si>
  <si>
    <t>UCH</t>
  </si>
  <si>
    <t>JEFE</t>
  </si>
  <si>
    <t>cbaldovino@fen.uchile.cl</t>
  </si>
  <si>
    <t>Ignacio Castañeda</t>
  </si>
  <si>
    <t>SI</t>
  </si>
  <si>
    <t>NO</t>
  </si>
  <si>
    <t>Majo</t>
  </si>
  <si>
    <t>Castañeda</t>
  </si>
  <si>
    <t>Punta de Aguilas Norte 9300 Casa 12</t>
  </si>
  <si>
    <t>Lo Barnechea</t>
  </si>
  <si>
    <t>Los Trapenses</t>
  </si>
  <si>
    <t>UAndes</t>
  </si>
  <si>
    <t>mjcastaneda@miuandes.cl</t>
  </si>
  <si>
    <t>Camila</t>
  </si>
  <si>
    <t>De La Sotta</t>
  </si>
  <si>
    <t>Jose de Moraleda 4837</t>
  </si>
  <si>
    <t>UDD</t>
  </si>
  <si>
    <t>camila.delasotta@gmail.com</t>
  </si>
  <si>
    <t>Trinidad</t>
  </si>
  <si>
    <t>Pereira</t>
  </si>
  <si>
    <t>Punta de Aguilas 4311</t>
  </si>
  <si>
    <t>UAB</t>
  </si>
  <si>
    <t>trinipereira@gmail.com</t>
  </si>
  <si>
    <t>Exequiel</t>
  </si>
  <si>
    <t>Swinburn</t>
  </si>
  <si>
    <t>Av La Dehesa 4510 Casa 10</t>
  </si>
  <si>
    <t>La Dehesa</t>
  </si>
  <si>
    <t>UAI</t>
  </si>
  <si>
    <t>exequielswinburn@gmail.com</t>
  </si>
  <si>
    <t>Juan</t>
  </si>
  <si>
    <t>Undurraga</t>
  </si>
  <si>
    <t>Huilquehue 4367</t>
  </si>
  <si>
    <t>jundurraga3@miuandes.cl</t>
  </si>
  <si>
    <t>Magdalena</t>
  </si>
  <si>
    <t>Astudillo</t>
  </si>
  <si>
    <t>Vaqueria 6926</t>
  </si>
  <si>
    <t>Vitacura</t>
  </si>
  <si>
    <t>Santa Maria</t>
  </si>
  <si>
    <t>Aleman</t>
  </si>
  <si>
    <t>maidastu@gmail.com</t>
  </si>
  <si>
    <t>Joaquin Eichholz</t>
  </si>
  <si>
    <t>Florencia</t>
  </si>
  <si>
    <t>Croxatto</t>
  </si>
  <si>
    <t>Los Olivos 12179</t>
  </si>
  <si>
    <t>San Carlos</t>
  </si>
  <si>
    <t>UC</t>
  </si>
  <si>
    <t>fcroxatto@uc.cl</t>
  </si>
  <si>
    <t>Isidora</t>
  </si>
  <si>
    <t>De La Barra</t>
  </si>
  <si>
    <t>Parque Antonio Rabba 6333</t>
  </si>
  <si>
    <t>San Benito</t>
  </si>
  <si>
    <t>isidora.delabarra@gmail.com</t>
  </si>
  <si>
    <t>Laura</t>
  </si>
  <si>
    <t>Stuardo</t>
  </si>
  <si>
    <t>Paseo del Loira 4563</t>
  </si>
  <si>
    <t>Newland</t>
  </si>
  <si>
    <t>laurastuardotns@gmail.com</t>
  </si>
  <si>
    <t>Sebastian</t>
  </si>
  <si>
    <t>Delorenzo</t>
  </si>
  <si>
    <t>Camino Otonal 1545</t>
  </si>
  <si>
    <t>sdelorenzo7@gmail.com</t>
  </si>
  <si>
    <t>Lukas Quense</t>
  </si>
  <si>
    <t>Rosario</t>
  </si>
  <si>
    <t>Diez</t>
  </si>
  <si>
    <t>Hermanos Cabott 6671</t>
  </si>
  <si>
    <t>Manquehue</t>
  </si>
  <si>
    <t>rdiezperry@gmail.com</t>
  </si>
  <si>
    <t>Rodrigo</t>
  </si>
  <si>
    <t>Fernandez</t>
  </si>
  <si>
    <t>Las Hualtatas 4555 Casa 9</t>
  </si>
  <si>
    <t>rfernandezdelrio@uc.cl</t>
  </si>
  <si>
    <t>Andres</t>
  </si>
  <si>
    <t>Infante</t>
  </si>
  <si>
    <t>Camino De Las Ermitas 3804</t>
  </si>
  <si>
    <t>andres_infanter@hotmail.com</t>
  </si>
  <si>
    <t>Matias</t>
  </si>
  <si>
    <t>Krumm</t>
  </si>
  <si>
    <t>La Cienaga 12315</t>
  </si>
  <si>
    <t>matiask7@gmail.com</t>
  </si>
  <si>
    <t>Morales</t>
  </si>
  <si>
    <t>Los Trapenses 3230</t>
  </si>
  <si>
    <t>morales.villar25@gmail.com</t>
  </si>
  <si>
    <t>Muschen</t>
  </si>
  <si>
    <t>matimuschen@gmail.com</t>
  </si>
  <si>
    <t>Raimundo</t>
  </si>
  <si>
    <t>Opazo</t>
  </si>
  <si>
    <t>Av Contralmirante Fernandez Vial 10455</t>
  </si>
  <si>
    <t>Monte Tabor</t>
  </si>
  <si>
    <t>opazoraimundo@gmail.com</t>
  </si>
  <si>
    <t>Sofia</t>
  </si>
  <si>
    <t>Ovalle</t>
  </si>
  <si>
    <t>Manuel Guzman Maturana 1900 Casa 9</t>
  </si>
  <si>
    <t>maovallel@udd.cl</t>
  </si>
  <si>
    <t>Barbara</t>
  </si>
  <si>
    <t>Rodriguez</t>
  </si>
  <si>
    <t>Raimapu 6744</t>
  </si>
  <si>
    <t>barodriguez@dsstgo.cl</t>
  </si>
  <si>
    <t>Tomas</t>
  </si>
  <si>
    <t>Rojas</t>
  </si>
  <si>
    <t>Condominio Chicureo 3</t>
  </si>
  <si>
    <t>Chicureo</t>
  </si>
  <si>
    <t>Colina</t>
  </si>
  <si>
    <t>tfrs15@hotmail.com</t>
  </si>
  <si>
    <t>Salas</t>
  </si>
  <si>
    <t>El Golf de Manquehue 9750 Casa 703</t>
  </si>
  <si>
    <t>mtsalas1@uc.cl</t>
  </si>
  <si>
    <t>Cristobal</t>
  </si>
  <si>
    <t>Valdes</t>
  </si>
  <si>
    <t>Los Queltehues 11524</t>
  </si>
  <si>
    <t>Cordillera</t>
  </si>
  <si>
    <t>cristobalvaldes99@gmail.com</t>
  </si>
  <si>
    <t>Pia</t>
  </si>
  <si>
    <t>Camino Mirasol 2569</t>
  </si>
  <si>
    <t>nnn</t>
  </si>
  <si>
    <t>Javi</t>
  </si>
  <si>
    <t>Del Rio</t>
  </si>
  <si>
    <t>Valle del monasterio 2664</t>
  </si>
  <si>
    <t>jpdelrio@uc.cl</t>
  </si>
  <si>
    <t>Alvaro</t>
  </si>
  <si>
    <t>Caviedes</t>
  </si>
  <si>
    <t>Cerro El Paico 9756</t>
  </si>
  <si>
    <t>acaviedes@uc.cl</t>
  </si>
  <si>
    <t>Ignacio</t>
  </si>
  <si>
    <t>Montt</t>
  </si>
  <si>
    <t>Rio Maule 475</t>
  </si>
  <si>
    <t>Estoril</t>
  </si>
  <si>
    <t>imontt@miuandes.cl</t>
  </si>
  <si>
    <t>Juan Pablo</t>
  </si>
  <si>
    <t>Germain</t>
  </si>
  <si>
    <t>Santa Veronica 1035</t>
  </si>
  <si>
    <t>jpgermain17@gmail.com</t>
  </si>
  <si>
    <t>Maria Luisa</t>
  </si>
  <si>
    <t>La Invernada 7005</t>
  </si>
  <si>
    <t>guisa97@hotmail.com</t>
  </si>
  <si>
    <t>Pedro</t>
  </si>
  <si>
    <t>Vial</t>
  </si>
  <si>
    <t>Padre Ted Huard 4144</t>
  </si>
  <si>
    <t>pedrovialbo@gmail.com</t>
  </si>
  <si>
    <t>Gino</t>
  </si>
  <si>
    <t>Genova</t>
  </si>
  <si>
    <t>Parque Antonio Rabbat 6333</t>
  </si>
  <si>
    <t>Paul</t>
  </si>
  <si>
    <t>Brenner</t>
  </si>
  <si>
    <t>San Jose De La Sierra 1105</t>
  </si>
  <si>
    <t>Quinchamali</t>
  </si>
  <si>
    <t>paulmartinbrenner@hotmail.com</t>
  </si>
  <si>
    <t>Las Condesas 2035</t>
  </si>
  <si>
    <t>Badia</t>
  </si>
  <si>
    <t>Av Golf Lomas de La Dehesa 11755</t>
  </si>
  <si>
    <t>isidorabadiaw@gmail.com</t>
  </si>
  <si>
    <t>Joaquin</t>
  </si>
  <si>
    <t>Daly</t>
  </si>
  <si>
    <t>Polo 1 de Manquehue Casa 112</t>
  </si>
  <si>
    <t>Piedra Roja</t>
  </si>
  <si>
    <t>CSA</t>
  </si>
  <si>
    <t>dalyjoaquin@gmail.com</t>
  </si>
  <si>
    <t>Si</t>
  </si>
  <si>
    <t>Ric</t>
  </si>
  <si>
    <t>Jungk</t>
  </si>
  <si>
    <t>Pasaje Pie Andino 4209A</t>
  </si>
  <si>
    <t>rtjungk@miuandes.cl</t>
  </si>
  <si>
    <t>Tati</t>
  </si>
  <si>
    <t>Von Storch</t>
  </si>
  <si>
    <t>Carlos Pena Otaegui 11472</t>
  </si>
  <si>
    <t>tevonstorch@uc.cl</t>
  </si>
  <si>
    <t>Amalia</t>
  </si>
  <si>
    <t>Abogabir</t>
  </si>
  <si>
    <t>Condominio El Algarrobal 2 Casa Z-95</t>
  </si>
  <si>
    <t>CLSA</t>
  </si>
  <si>
    <t>amalia.abr@gmail.com</t>
  </si>
  <si>
    <t>Maida</t>
  </si>
  <si>
    <t>Andrews</t>
  </si>
  <si>
    <t>Martin De Zamora 5245, Torre 2, Dpto 52</t>
  </si>
  <si>
    <t>VMA</t>
  </si>
  <si>
    <t>maidaandrews25@gmail.com</t>
  </si>
  <si>
    <t>Gabriel</t>
  </si>
  <si>
    <t>Araneda</t>
  </si>
  <si>
    <t>Apoquindo 6797 Dpto 203-3</t>
  </si>
  <si>
    <t>garanedaa@udd.cl</t>
  </si>
  <si>
    <t>Martin</t>
  </si>
  <si>
    <t>Araos</t>
  </si>
  <si>
    <t>Cristal De Roca 10542</t>
  </si>
  <si>
    <t>La Radial</t>
  </si>
  <si>
    <t>Santa Cruz</t>
  </si>
  <si>
    <t>araos.m13@gmail.com</t>
  </si>
  <si>
    <t>Bernaus</t>
  </si>
  <si>
    <t>Cerro La Campana 2311 Casa 2</t>
  </si>
  <si>
    <t>jbernaus@alumnos.uai.cl</t>
  </si>
  <si>
    <t>Samuel</t>
  </si>
  <si>
    <t>Billikopf</t>
  </si>
  <si>
    <t>samuelbillikopfmujica@gmail.com</t>
  </si>
  <si>
    <t>SOCIO</t>
  </si>
  <si>
    <t>icastanedaw@gmail.com</t>
  </si>
  <si>
    <t>Vicky</t>
  </si>
  <si>
    <t>Chaparro</t>
  </si>
  <si>
    <t>Carolina Rabat 780 Casa 8</t>
  </si>
  <si>
    <t>mchaparroh@udd.cl</t>
  </si>
  <si>
    <t>Antonia</t>
  </si>
  <si>
    <t>Cisternas</t>
  </si>
  <si>
    <t>Calle Parque 12700 Casa 38</t>
  </si>
  <si>
    <t>antocisternas@hotmail.com</t>
  </si>
  <si>
    <t>Josefa</t>
  </si>
  <si>
    <t>Covarrubias</t>
  </si>
  <si>
    <t>Camino Las Flores 12163</t>
  </si>
  <si>
    <t>Saint George</t>
  </si>
  <si>
    <t>josefacovarrubias@gmail.com</t>
  </si>
  <si>
    <t>Dominique</t>
  </si>
  <si>
    <t>Daroch</t>
  </si>
  <si>
    <t>El Algarrobal 2 Casa U2</t>
  </si>
  <si>
    <t>Highlands</t>
  </si>
  <si>
    <t>dominique_daroch@hotmail.com</t>
  </si>
  <si>
    <t>Amelia</t>
  </si>
  <si>
    <t>Candelaria Goyenechea 5765</t>
  </si>
  <si>
    <t>adelrioa@fen.uchile.cl</t>
  </si>
  <si>
    <t>Constanza</t>
  </si>
  <si>
    <t>Delfau</t>
  </si>
  <si>
    <t>Calle Parque 12700 Casa 1</t>
  </si>
  <si>
    <t>conidelfau@gmail.com</t>
  </si>
  <si>
    <t>Pilar</t>
  </si>
  <si>
    <t>Edwards</t>
  </si>
  <si>
    <t>El Roquerio 2028</t>
  </si>
  <si>
    <t>piliedwards@gmail.com</t>
  </si>
  <si>
    <t>Eichholz</t>
  </si>
  <si>
    <t>Estrella Del Norte 980 Dpto 154</t>
  </si>
  <si>
    <t>Alto Las Condes</t>
  </si>
  <si>
    <t>joaquin.eichholz@gmail.com</t>
  </si>
  <si>
    <t>Maria Jesus</t>
  </si>
  <si>
    <t>Elias</t>
  </si>
  <si>
    <t>Manquehue Norte 555</t>
  </si>
  <si>
    <t>meliasm@udd.cl</t>
  </si>
  <si>
    <t>Rafael</t>
  </si>
  <si>
    <t>Errazuriz</t>
  </si>
  <si>
    <t>Pasaje La Aurora 1883</t>
  </si>
  <si>
    <t>rerrazurizf@udd.cl</t>
  </si>
  <si>
    <t>Casa De Piedra 2628</t>
  </si>
  <si>
    <t>ifernandez1@miuandes.cl</t>
  </si>
  <si>
    <t>Tere</t>
  </si>
  <si>
    <t>Las Torcazas 3080</t>
  </si>
  <si>
    <t>terefernandez99@yahoo.com</t>
  </si>
  <si>
    <t>Diego</t>
  </si>
  <si>
    <t>Figueroa</t>
  </si>
  <si>
    <t>Las Lavandulas 10006</t>
  </si>
  <si>
    <t>diegofiba2@gmail.com</t>
  </si>
  <si>
    <t>Flores</t>
  </si>
  <si>
    <t>Condominio Sta Teresita P14 Sta Ester De Liray</t>
  </si>
  <si>
    <t>Lo Pinto</t>
  </si>
  <si>
    <t>matifloresdonetch@hotmail.com</t>
  </si>
  <si>
    <t>Benjamin</t>
  </si>
  <si>
    <t>Hartmann</t>
  </si>
  <si>
    <t>Camino Otonal 1368 Casa 6</t>
  </si>
  <si>
    <t>hartmann12@gmail.com</t>
  </si>
  <si>
    <t>Mauricio</t>
  </si>
  <si>
    <t>Hernandez</t>
  </si>
  <si>
    <t>Julia Bernstein 607 Casa G-40</t>
  </si>
  <si>
    <t>La Reina</t>
  </si>
  <si>
    <t>mauhernand@fen.uchile.cl</t>
  </si>
  <si>
    <t>Cata</t>
  </si>
  <si>
    <t>Izcue</t>
  </si>
  <si>
    <t>Los Pumas 11996</t>
  </si>
  <si>
    <t>Los Andes</t>
  </si>
  <si>
    <t>cataizcue@gmail.com</t>
  </si>
  <si>
    <t>Margarita</t>
  </si>
  <si>
    <t>Joglar</t>
  </si>
  <si>
    <t>Camino Los Trapenses 4860 Casa 9</t>
  </si>
  <si>
    <t>magui.joglar22@gmail.com</t>
  </si>
  <si>
    <t>Juan Diego</t>
  </si>
  <si>
    <t>Lyon</t>
  </si>
  <si>
    <t>Las Hualtatas 10725</t>
  </si>
  <si>
    <t>juandiegolyon@gmail.com</t>
  </si>
  <si>
    <t>Bernardita</t>
  </si>
  <si>
    <t>Mackenney</t>
  </si>
  <si>
    <t>La Fontana 11221</t>
  </si>
  <si>
    <t>bmackenney@uc.cl</t>
  </si>
  <si>
    <t>Michella</t>
  </si>
  <si>
    <t>Mascarello</t>
  </si>
  <si>
    <t>Quinchamali 14336</t>
  </si>
  <si>
    <t>miki.mascarello@gmail.com</t>
  </si>
  <si>
    <t>Vicente</t>
  </si>
  <si>
    <t>Mayol</t>
  </si>
  <si>
    <t>Paseo Pie Andino 6500 Casa O</t>
  </si>
  <si>
    <t>vmayol@live.cl</t>
  </si>
  <si>
    <t>Jesu</t>
  </si>
  <si>
    <t>Mckay</t>
  </si>
  <si>
    <t>Blvd Jardin De Los Pajaros 4700 Casa 5</t>
  </si>
  <si>
    <t>CLA</t>
  </si>
  <si>
    <t>jesumckayg@hotmail.com</t>
  </si>
  <si>
    <t>Cristobal Colon 4696 Dpto 1403</t>
  </si>
  <si>
    <t>Colon</t>
  </si>
  <si>
    <t>ibmorales@uc.cl</t>
  </si>
  <si>
    <t>Josefina</t>
  </si>
  <si>
    <t>Nazer</t>
  </si>
  <si>
    <t>Camino del ayuntamiento 2087</t>
  </si>
  <si>
    <t>cotenazer@hotmail.com</t>
  </si>
  <si>
    <t>vicente.opazo2005@gmail.com</t>
  </si>
  <si>
    <t>Ossa</t>
  </si>
  <si>
    <t>Escribano Diego Rutal 2471</t>
  </si>
  <si>
    <t>trinidadossag@gmail.com</t>
  </si>
  <si>
    <t>Francesco</t>
  </si>
  <si>
    <t>Pamparana</t>
  </si>
  <si>
    <t>Parque Las Garzas 16, Condominio Las Banadadas</t>
  </si>
  <si>
    <t>pancho.pamparana@gmail.com</t>
  </si>
  <si>
    <t>Agustina</t>
  </si>
  <si>
    <t>Pineda</t>
  </si>
  <si>
    <t>Artigas 643</t>
  </si>
  <si>
    <t>Pacifico</t>
  </si>
  <si>
    <t>agustina-pineda@hotmail.com</t>
  </si>
  <si>
    <t>Piña</t>
  </si>
  <si>
    <t>La Cienaga 12184</t>
  </si>
  <si>
    <t>Uandes</t>
  </si>
  <si>
    <t>pina.benjamin@gmail.com</t>
  </si>
  <si>
    <t>Lukas</t>
  </si>
  <si>
    <t>Quense</t>
  </si>
  <si>
    <t>Cerro Cortadera 9897</t>
  </si>
  <si>
    <t>lukas.quense@gmail.com</t>
  </si>
  <si>
    <t>Quiroga</t>
  </si>
  <si>
    <t>Santa Rita 1017</t>
  </si>
  <si>
    <t>josefinaquiroga7@hotmail.com</t>
  </si>
  <si>
    <t>Rafa</t>
  </si>
  <si>
    <t>CPH</t>
  </si>
  <si>
    <t>rafaquiroga7@gmail.com</t>
  </si>
  <si>
    <t>Fede</t>
  </si>
  <si>
    <t>Schilling</t>
  </si>
  <si>
    <t>Laura Tromben 5754</t>
  </si>
  <si>
    <t>federico.schilling@gmail.com</t>
  </si>
  <si>
    <t>Carola</t>
  </si>
  <si>
    <t>Schumann</t>
  </si>
  <si>
    <t>Pedro Canisio 1103 Dpto 142</t>
  </si>
  <si>
    <t>cschumann@alumnos.uai.cl</t>
  </si>
  <si>
    <t>Tondreau</t>
  </si>
  <si>
    <t>Francisco de Aguirre 4155</t>
  </si>
  <si>
    <t>catalinatp_97@hotmail.com</t>
  </si>
  <si>
    <t>Iñaki</t>
  </si>
  <si>
    <t>Tramontana</t>
  </si>
  <si>
    <t>Los Algarrobos 3 Casa 28</t>
  </si>
  <si>
    <t>Itramontanae@udd.cl</t>
  </si>
  <si>
    <t>Valencia</t>
  </si>
  <si>
    <t>Las Campanas 681, Hacienda Chicureo</t>
  </si>
  <si>
    <t>antovalencia@mac.com</t>
  </si>
  <si>
    <t>Valenzuela</t>
  </si>
  <si>
    <t>Bombay 8825</t>
  </si>
  <si>
    <t>mjvalenzuela3@uc.cl</t>
  </si>
  <si>
    <t>Pablo</t>
  </si>
  <si>
    <t>Pachica 8279</t>
  </si>
  <si>
    <t>pabcontrerasm@udd.cl</t>
  </si>
  <si>
    <t>Villela</t>
  </si>
  <si>
    <t>Las Estrellas 14043</t>
  </si>
  <si>
    <t>TIPS</t>
  </si>
  <si>
    <t>gk.alaluf@icloud.com</t>
  </si>
  <si>
    <t>Paula</t>
  </si>
  <si>
    <t>Camino La Fuente 2174</t>
  </si>
  <si>
    <t>pvillelacaerols@gmail.com</t>
  </si>
  <si>
    <t>Roberto</t>
  </si>
  <si>
    <t>Salinas</t>
  </si>
  <si>
    <t>Calle Parque 12701</t>
  </si>
  <si>
    <t>robertosalinas10200@gmail.com</t>
  </si>
  <si>
    <t>Santamaria</t>
  </si>
  <si>
    <t>Arquitecto Sulivan 5949</t>
  </si>
  <si>
    <t>asantamariaw@gmail.com</t>
  </si>
  <si>
    <t>piarodriguez24@gmail.com</t>
  </si>
  <si>
    <t>Carlos Peña Otaegui 11472</t>
  </si>
</sst>
</file>

<file path=xl/styles.xml><?xml version="1.0" encoding="utf-8"?>
<styleSheet xmlns="http://schemas.openxmlformats.org/spreadsheetml/2006/main">
  <numFmts count="7">
    <numFmt formatCode="_-&quot;$&quot;\ * #,##0.00_-;\-&quot;$&quot;\ * #,##0.00_-;_-&quot;$&quot;\ * &quot;-&quot;??_-;_-@_-" numFmtId="164"/>
    <numFmt formatCode="_-* #,##0.00_-;\-* #,##0.00_-;_-* &quot;-&quot;??_-;_-@_-" numFmtId="165"/>
    <numFmt formatCode="_-&quot;$&quot;\ * #,##0_-;\-&quot;$&quot;\ * #,##0_-;_-&quot;$&quot;\ * &quot;-&quot;??_-;_-@_-" numFmtId="166"/>
    <numFmt formatCode="#,##0_ ;\-#,##0\ " numFmtId="167"/>
    <numFmt formatCode="&quot;+&quot;00\ 0\ 0000\ 0000" numFmtId="168"/>
    <numFmt formatCode="#,##0.0_ ;\-#,##0.0\ " numFmtId="169"/>
    <numFmt formatCode="#,##0.00_ ;\-#,##0.00\ " numFmtId="170"/>
  </numFmts>
  <fonts count="14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2"/>
      <scheme val="minor"/>
    </font>
    <font>
      <name val="Calibri"/>
      <family val="2"/>
      <b val="1"/>
      <color theme="1"/>
      <sz val="28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36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8">
    <xf borderId="0" fillId="0" fontId="13" numFmtId="166"/>
    <xf borderId="0" fillId="2" fontId="1" numFmtId="166"/>
    <xf borderId="0" fillId="3" fontId="2" numFmtId="166"/>
    <xf borderId="0" fillId="4" fontId="3" numFmtId="166"/>
    <xf borderId="0" fillId="0" fontId="13" numFmtId="165"/>
    <xf borderId="0" fillId="0" fontId="13" numFmtId="164"/>
    <xf borderId="0" fillId="0" fontId="13" numFmtId="165"/>
    <xf borderId="0" fillId="0" fontId="13" numFmtId="164"/>
  </cellStyleXfs>
  <cellXfs count="310">
    <xf borderId="0" fillId="0" fontId="0" numFmtId="166" pivotButton="0" quotePrefix="0" xfId="0"/>
    <xf applyAlignment="1" borderId="0" fillId="0" fontId="0" numFmtId="166" pivotButton="0" quotePrefix="0" xfId="0">
      <alignment horizontal="center"/>
    </xf>
    <xf applyAlignment="1" borderId="0" fillId="0" fontId="0" numFmtId="166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  <xf applyAlignment="1" borderId="14" fillId="0" fontId="0" numFmtId="167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  <xf borderId="0" fillId="0" fontId="0" numFmtId="166" pivotButton="0" quotePrefix="0" xfId="0"/>
    <xf applyAlignment="1" borderId="0" fillId="0" fontId="0" numFmtId="166" pivotButton="0" quotePrefix="0" xfId="0">
      <alignment horizontal="center"/>
    </xf>
    <xf applyAlignment="1" borderId="9" fillId="0" fontId="0" numFmtId="167" pivotButton="0" quotePrefix="0" xfId="0">
      <alignment horizontal="center" vertical="center"/>
    </xf>
    <xf applyAlignment="1" borderId="11" fillId="0" fontId="0" numFmtId="167" pivotButton="0" quotePrefix="0" xfId="0">
      <alignment horizontal="center" vertical="center"/>
    </xf>
    <xf applyAlignment="1" borderId="12" fillId="0" fontId="0" numFmtId="167" pivotButton="0" quotePrefix="0" xfId="0">
      <alignment horizontal="center" vertical="center"/>
    </xf>
    <xf applyAlignment="1" borderId="15" fillId="0" fontId="0" numFmtId="167" pivotButton="0" quotePrefix="0" xfId="0">
      <alignment horizontal="center" vertical="center"/>
    </xf>
    <xf applyAlignment="1" borderId="16" fillId="0" fontId="0" numFmtId="167" pivotButton="0" quotePrefix="0" xfId="0">
      <alignment horizontal="center" vertical="center"/>
    </xf>
    <xf borderId="12" fillId="0" fontId="0" numFmtId="166" pivotButton="0" quotePrefix="0" xfId="0"/>
    <xf borderId="13" fillId="0" fontId="0" numFmtId="166" pivotButton="0" quotePrefix="0" xfId="0"/>
    <xf borderId="14" fillId="0" fontId="0" numFmtId="166" pivotButton="0" quotePrefix="0" xfId="0"/>
    <xf applyAlignment="1" borderId="13" fillId="0" fontId="0" numFmtId="167" pivotButton="0" quotePrefix="0" xfId="0">
      <alignment horizontal="center" vertical="center"/>
    </xf>
    <xf applyAlignment="1" borderId="28" fillId="0" fontId="4" numFmtId="166" pivotButton="0" quotePrefix="0" xfId="0">
      <alignment horizontal="center"/>
    </xf>
    <xf applyAlignment="1" borderId="0" fillId="0" fontId="7" numFmtId="166" pivotButton="0" quotePrefix="0" xfId="0">
      <alignment horizontal="center" textRotation="90" vertical="center"/>
    </xf>
    <xf borderId="0" fillId="0" fontId="0" numFmtId="166" pivotButton="0" quotePrefix="0" xfId="0"/>
    <xf applyAlignment="1" borderId="0" fillId="0" fontId="0" numFmtId="167" pivotButton="0" quotePrefix="0" xfId="0">
      <alignment horizontal="center" vertical="center"/>
    </xf>
    <xf applyAlignment="1" borderId="26" fillId="0" fontId="0" numFmtId="166" pivotButton="0" quotePrefix="0" xfId="0">
      <alignment horizontal="center" vertical="center"/>
    </xf>
    <xf applyAlignment="1" borderId="27" fillId="0" fontId="0" numFmtId="166" pivotButton="0" quotePrefix="0" xfId="0">
      <alignment horizontal="center" vertical="center"/>
    </xf>
    <xf applyAlignment="1" borderId="20" fillId="0" fontId="6" numFmtId="166" pivotButton="0" quotePrefix="0" xfId="0">
      <alignment textRotation="90" vertical="center"/>
    </xf>
    <xf applyAlignment="1" borderId="0" fillId="0" fontId="6" numFmtId="166" pivotButton="0" quotePrefix="0" xfId="0">
      <alignment textRotation="90" vertical="center"/>
    </xf>
    <xf applyAlignment="1" borderId="21" fillId="0" fontId="6" numFmtId="166" pivotButton="0" quotePrefix="0" xfId="0">
      <alignment textRotation="90" vertical="center"/>
    </xf>
    <xf applyAlignment="1" borderId="10" fillId="0" fontId="0" numFmtId="165" pivotButton="0" quotePrefix="0" xfId="4">
      <alignment horizontal="left" vertical="center"/>
    </xf>
    <xf applyAlignment="1" borderId="2" fillId="0" fontId="0" numFmtId="165" pivotButton="0" quotePrefix="0" xfId="4">
      <alignment horizontal="left" vertical="center"/>
    </xf>
    <xf borderId="0" fillId="0" fontId="0" numFmtId="166" pivotButton="0" quotePrefix="0" xfId="0"/>
    <xf applyAlignment="1" borderId="8" fillId="0" fontId="4" numFmtId="166" pivotButton="0" quotePrefix="0" xfId="0">
      <alignment vertical="center"/>
    </xf>
    <xf applyAlignment="1" borderId="0" fillId="0" fontId="11" numFmtId="166" pivotButton="0" quotePrefix="0" xfId="0">
      <alignment textRotation="90" vertical="center"/>
    </xf>
    <xf applyAlignment="1" borderId="0" fillId="0" fontId="0" numFmtId="165" pivotButton="0" quotePrefix="0" xfId="4">
      <alignment horizontal="left" vertical="center"/>
    </xf>
    <xf applyAlignment="1" borderId="0" fillId="0" fontId="0" numFmtId="168" pivotButton="0" quotePrefix="0" xfId="0">
      <alignment horizontal="center" vertical="center"/>
    </xf>
    <xf applyAlignment="1" borderId="25" fillId="0" fontId="0" numFmtId="166" pivotButton="0" quotePrefix="0" xfId="5">
      <alignment vertical="center"/>
    </xf>
    <xf applyAlignment="1" borderId="1" fillId="0" fontId="0" numFmtId="166" pivotButton="0" quotePrefix="0" xfId="5">
      <alignment vertical="center"/>
    </xf>
    <xf applyAlignment="1" borderId="8" fillId="0" fontId="0" numFmtId="166" pivotButton="0" quotePrefix="0" xfId="0">
      <alignment vertical="center"/>
    </xf>
    <xf applyAlignment="1" borderId="0" fillId="0" fontId="4" numFmtId="166" pivotButton="0" quotePrefix="0" xfId="0">
      <alignment horizontal="center"/>
    </xf>
    <xf applyAlignment="1" borderId="2" fillId="0" fontId="0" numFmtId="170" pivotButton="0" quotePrefix="0" xfId="0">
      <alignment horizontal="center" vertical="center"/>
    </xf>
    <xf applyAlignment="1" borderId="15" fillId="0" fontId="0" numFmtId="169" pivotButton="0" quotePrefix="0" xfId="0">
      <alignment horizontal="center" vertical="center"/>
    </xf>
    <xf applyAlignment="1" borderId="0" fillId="0" fontId="0" numFmtId="166" pivotButton="0" quotePrefix="0" xfId="0">
      <alignment horizontal="left"/>
    </xf>
    <xf applyAlignment="1" borderId="29" fillId="0" fontId="4" numFmtId="166" pivotButton="0" quotePrefix="0" xfId="0">
      <alignment horizontal="center" vertical="center"/>
    </xf>
    <xf applyAlignment="1" borderId="30" fillId="0" fontId="4" numFmtId="166" pivotButton="0" quotePrefix="0" xfId="0">
      <alignment horizontal="center" vertical="center"/>
    </xf>
    <xf applyAlignment="1" borderId="20" fillId="0" fontId="4" numFmtId="166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  <xf applyAlignment="1" borderId="27" fillId="0" fontId="0" numFmtId="166" pivotButton="0" quotePrefix="0" xfId="0">
      <alignment horizontal="left" vertical="center"/>
    </xf>
    <xf applyAlignment="1" borderId="16" fillId="0" fontId="0" numFmtId="167" pivotButton="0" quotePrefix="0" xfId="0">
      <alignment horizontal="left" vertical="center"/>
    </xf>
    <xf applyAlignment="1" borderId="13" fillId="0" fontId="0" numFmtId="165" pivotButton="0" quotePrefix="0" xfId="4">
      <alignment horizontal="left" vertical="center"/>
    </xf>
    <xf borderId="2" fillId="0" fontId="0" numFmtId="166" pivotButton="0" quotePrefix="0" xfId="0"/>
    <xf borderId="2" fillId="0" fontId="0" numFmtId="166" pivotButton="0" quotePrefix="0" xfId="0"/>
    <xf applyAlignment="1" borderId="10" fillId="0" fontId="0" numFmtId="167" pivotButton="0" quotePrefix="0" xfId="0">
      <alignment horizontal="center" vertical="center"/>
    </xf>
    <xf borderId="11" fillId="0" fontId="0" numFmtId="166" pivotButton="0" quotePrefix="0" xfId="0"/>
    <xf borderId="10" fillId="0" fontId="0" numFmtId="166" pivotButton="0" quotePrefix="0" xfId="0"/>
    <xf applyAlignment="1" borderId="2" fillId="0" fontId="0" numFmtId="167" pivotButton="0" quotePrefix="0" xfId="0">
      <alignment horizontal="center" vertical="center"/>
    </xf>
    <xf applyAlignment="1" borderId="2" fillId="0" fontId="0" numFmtId="168" pivotButton="0" quotePrefix="0" xfId="0">
      <alignment horizontal="center" vertical="center"/>
    </xf>
    <xf borderId="9" fillId="0" fontId="0" numFmtId="166" pivotButton="0" quotePrefix="0" xfId="0"/>
    <xf applyAlignment="1" borderId="10" fillId="0" fontId="0" numFmtId="168" pivotButton="0" quotePrefix="0" xfId="0">
      <alignment horizontal="center" vertical="center"/>
    </xf>
    <xf borderId="11" fillId="0" fontId="0" numFmtId="166" pivotButton="0" quotePrefix="0" xfId="0"/>
    <xf applyAlignment="1" borderId="14" fillId="0" fontId="0" numFmtId="167" pivotButton="0" quotePrefix="0" xfId="0">
      <alignment horizontal="left" vertical="center"/>
    </xf>
    <xf applyAlignment="1" borderId="15" fillId="0" fontId="0" numFmtId="167" pivotButton="0" quotePrefix="0" xfId="0">
      <alignment horizontal="left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 vertical="center"/>
    </xf>
    <xf applyAlignment="1" borderId="0" fillId="0" fontId="4" numFmtId="166" pivotButton="0" quotePrefix="0" xfId="0">
      <alignment vertical="center"/>
    </xf>
    <xf applyAlignment="1" borderId="0" fillId="0" fontId="0" numFmtId="166" pivotButton="0" quotePrefix="0" xfId="5">
      <alignment vertical="center"/>
    </xf>
    <xf applyAlignment="1" borderId="0" fillId="0" fontId="0" numFmtId="166" pivotButton="0" quotePrefix="0" xfId="0">
      <alignment vertical="center"/>
    </xf>
    <xf applyAlignment="1" borderId="30" fillId="0" fontId="4" numFmtId="166" pivotButton="0" quotePrefix="0" xfId="0">
      <alignment horizontal="center" vertical="center"/>
    </xf>
    <xf borderId="13" fillId="0" fontId="0" numFmtId="0" pivotButton="0" quotePrefix="0" xfId="0"/>
    <xf applyAlignment="1" borderId="13" fillId="0" fontId="0" numFmtId="0" pivotButton="0" quotePrefix="0" xfId="0">
      <alignment horizontal="center" vertical="center"/>
    </xf>
    <xf applyAlignment="1" borderId="26" fillId="0" fontId="12" numFmtId="166" pivotButton="0" quotePrefix="0" xfId="0">
      <alignment horizontal="center" vertical="center"/>
    </xf>
    <xf applyAlignment="1" borderId="27" fillId="0" fontId="12" numFmtId="166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  <xf applyAlignment="1" borderId="2" fillId="0" fontId="0" numFmtId="166" pivotButton="0" quotePrefix="0" xfId="0">
      <alignment horizontal="center" vertical="center"/>
    </xf>
    <xf applyAlignment="1" borderId="13" fillId="0" fontId="0" numFmtId="166" pivotButton="0" quotePrefix="0" xfId="0">
      <alignment horizontal="center" vertical="center"/>
    </xf>
    <xf applyAlignment="1" borderId="0" fillId="0" fontId="8" numFmtId="166" pivotButton="0" quotePrefix="0" xfId="0">
      <alignment horizontal="center" vertical="center"/>
    </xf>
    <xf applyAlignment="1" borderId="2" fillId="0" fontId="0" numFmtId="169" pivotButton="0" quotePrefix="0" xfId="0">
      <alignment horizontal="center" vertical="center"/>
    </xf>
    <xf applyAlignment="1" borderId="27" fillId="0" fontId="0" numFmtId="166" pivotButton="0" quotePrefix="0" xfId="0">
      <alignment horizontal="center" vertical="center"/>
    </xf>
    <xf applyAlignment="1" borderId="37" fillId="0" fontId="4" numFmtId="166" pivotButton="0" quotePrefix="0" xfId="0">
      <alignment horizontal="center" vertical="center"/>
    </xf>
    <xf borderId="2" fillId="0" fontId="13" numFmtId="166" pivotButton="0" quotePrefix="0" xfId="0"/>
    <xf borderId="11" fillId="0" fontId="13" numFmtId="166" pivotButton="0" quotePrefix="0" xfId="0"/>
    <xf borderId="12" fillId="0" fontId="13" numFmtId="166" pivotButton="0" quotePrefix="0" xfId="0"/>
    <xf borderId="13" fillId="0" fontId="13" numFmtId="166" pivotButton="0" quotePrefix="0" xfId="0"/>
    <xf borderId="15" fillId="0" fontId="13" numFmtId="166" pivotButton="0" quotePrefix="0" xfId="0"/>
    <xf borderId="16" fillId="0" fontId="13" numFmtId="166" pivotButton="0" quotePrefix="0" xfId="0"/>
    <xf applyAlignment="1" borderId="6" fillId="0" fontId="0" numFmtId="165" pivotButton="0" quotePrefix="0" xfId="4">
      <alignment horizontal="left" vertical="center"/>
    </xf>
    <xf applyAlignment="1" borderId="6" fillId="0" fontId="0" numFmtId="167" pivotButton="0" quotePrefix="0" xfId="0">
      <alignment horizontal="center" vertical="center"/>
    </xf>
    <xf applyAlignment="1" borderId="38" fillId="0" fontId="0" numFmtId="167" pivotButton="0" quotePrefix="0" xfId="0">
      <alignment horizontal="left" vertical="center"/>
    </xf>
    <xf applyAlignment="1" borderId="0" fillId="0" fontId="4" numFmtId="166" pivotButton="0" quotePrefix="0" xfId="0">
      <alignment horizontal="center" vertical="center"/>
    </xf>
    <xf applyAlignment="1" borderId="8" fillId="0" fontId="4" numFmtId="166" pivotButton="0" quotePrefix="0" xfId="0">
      <alignment horizontal="center" vertical="center"/>
    </xf>
    <xf borderId="9" fillId="0" fontId="0" numFmtId="166" pivotButton="0" quotePrefix="0" xfId="0"/>
    <xf borderId="10" fillId="0" fontId="0" numFmtId="166" pivotButton="0" quotePrefix="0" xfId="0"/>
    <xf applyAlignment="1" borderId="10" fillId="0" fontId="0" numFmtId="166" pivotButton="0" quotePrefix="0" xfId="0">
      <alignment horizontal="center"/>
    </xf>
    <xf borderId="14" fillId="0" fontId="0" numFmtId="166" pivotButton="0" quotePrefix="0" xfId="0"/>
    <xf borderId="15" fillId="0" fontId="0" numFmtId="166" pivotButton="0" quotePrefix="0" xfId="0"/>
    <xf applyAlignment="1" borderId="0" fillId="0" fontId="4" numFmtId="166" pivotButton="0" quotePrefix="0" xfId="0">
      <alignment horizontal="center" vertical="center"/>
    </xf>
    <xf applyAlignment="1" borderId="28" fillId="0" fontId="4" numFmtId="166" pivotButton="0" quotePrefix="0" xfId="0">
      <alignment horizontal="center" vertical="center"/>
    </xf>
    <xf applyAlignment="1" borderId="29" fillId="0" fontId="4" numFmtId="166" pivotButton="0" quotePrefix="0" xfId="0">
      <alignment horizontal="center" vertical="center"/>
    </xf>
    <xf applyAlignment="1" borderId="30" fillId="0" fontId="4" numFmtId="166" pivotButton="0" quotePrefix="0" xfId="0">
      <alignment horizontal="center" vertical="center"/>
    </xf>
    <xf applyAlignment="1" borderId="20" fillId="0" fontId="4" numFmtId="166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  <xf applyAlignment="1" borderId="29" fillId="0" fontId="4" numFmtId="166" pivotButton="0" quotePrefix="0" xfId="0">
      <alignment horizontal="center" vertical="center"/>
    </xf>
    <xf applyAlignment="1" borderId="30" fillId="0" fontId="4" numFmtId="166" pivotButton="0" quotePrefix="0" xfId="0">
      <alignment horizontal="center" vertical="center"/>
    </xf>
    <xf applyAlignment="1" borderId="31" fillId="0" fontId="4" numFmtId="166" pivotButton="0" quotePrefix="0" xfId="0">
      <alignment horizontal="center" vertical="center"/>
    </xf>
    <xf applyAlignment="1" borderId="20" fillId="0" fontId="4" numFmtId="166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  <xf applyAlignment="1" borderId="2" fillId="0" fontId="0" numFmtId="167" pivotButton="0" quotePrefix="1" xfId="0">
      <alignment horizontal="center" vertical="center"/>
    </xf>
    <xf applyAlignment="1" borderId="29" fillId="0" fontId="4" numFmtId="166" pivotButton="0" quotePrefix="0" xfId="0">
      <alignment horizontal="center" vertical="center"/>
    </xf>
    <xf applyAlignment="1" borderId="30" fillId="0" fontId="4" numFmtId="166" pivotButton="0" quotePrefix="0" xfId="0">
      <alignment horizontal="center" vertical="center"/>
    </xf>
    <xf applyAlignment="1" borderId="31" fillId="0" fontId="4" numFmtId="166" pivotButton="0" quotePrefix="0" xfId="0">
      <alignment horizontal="center" vertical="center"/>
    </xf>
    <xf applyAlignment="1" borderId="20" fillId="0" fontId="4" numFmtId="166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  <xf borderId="35" fillId="0" fontId="0" numFmtId="166" pivotButton="0" quotePrefix="0" xfId="0"/>
    <xf borderId="6" fillId="0" fontId="0" numFmtId="166" pivotButton="0" quotePrefix="0" xfId="0"/>
    <xf borderId="6" fillId="0" fontId="0" numFmtId="0" pivotButton="0" quotePrefix="0" xfId="0"/>
    <xf applyAlignment="1" borderId="6" fillId="0" fontId="0" numFmtId="0" pivotButton="0" quotePrefix="0" xfId="0">
      <alignment horizontal="center" vertical="center"/>
    </xf>
    <xf applyAlignment="1" borderId="6" fillId="0" fontId="0" numFmtId="166" pivotButton="0" quotePrefix="0" xfId="0">
      <alignment horizontal="center" vertical="center"/>
    </xf>
    <xf borderId="10" fillId="0" fontId="0" numFmtId="0" pivotButton="0" quotePrefix="0" xfId="0"/>
    <xf applyAlignment="1" borderId="10" fillId="0" fontId="0" numFmtId="0" pivotButton="0" quotePrefix="0" xfId="0">
      <alignment horizontal="center" vertical="center"/>
    </xf>
    <xf applyAlignment="1" borderId="10" fillId="0" fontId="0" numFmtId="166" pivotButton="0" quotePrefix="0" xfId="0">
      <alignment horizontal="center" vertical="center"/>
    </xf>
    <xf applyAlignment="1" borderId="43" fillId="0" fontId="0" numFmtId="166" pivotButton="0" quotePrefix="0" xfId="0">
      <alignment horizontal="center" vertical="center"/>
    </xf>
    <xf applyAlignment="1" borderId="42" fillId="0" fontId="0" numFmtId="166" pivotButton="0" quotePrefix="0" xfId="0">
      <alignment horizontal="center" vertical="center"/>
    </xf>
    <xf applyAlignment="1" borderId="41" fillId="0" fontId="0" numFmtId="166" pivotButton="0" quotePrefix="0" xfId="0">
      <alignment horizontal="center" vertical="center"/>
    </xf>
    <xf applyAlignment="1" borderId="29" fillId="0" fontId="4" numFmtId="166" pivotButton="0" quotePrefix="0" xfId="0">
      <alignment horizontal="center" vertical="center"/>
    </xf>
    <xf applyAlignment="1" borderId="30" fillId="0" fontId="4" numFmtId="166" pivotButton="0" quotePrefix="0" xfId="0">
      <alignment horizontal="center" vertical="center"/>
    </xf>
    <xf applyAlignment="1" borderId="31" fillId="0" fontId="4" numFmtId="166" pivotButton="0" quotePrefix="0" xfId="0">
      <alignment horizontal="center" vertical="center"/>
    </xf>
    <xf applyAlignment="1" borderId="4" fillId="0" fontId="0" numFmtId="166" pivotButton="0" quotePrefix="0" xfId="0">
      <alignment horizontal="center" vertical="center"/>
    </xf>
    <xf applyAlignment="1" borderId="5" fillId="0" fontId="0" numFmtId="166" pivotButton="0" quotePrefix="0" xfId="0">
      <alignment horizontal="center" vertical="center"/>
    </xf>
    <xf applyAlignment="1" borderId="7" fillId="0" fontId="0" numFmtId="166" pivotButton="0" quotePrefix="0" xfId="0">
      <alignment horizontal="center" vertical="center"/>
    </xf>
    <xf applyAlignment="1" borderId="36" fillId="0" fontId="4" numFmtId="166" pivotButton="0" quotePrefix="0" xfId="0">
      <alignment horizontal="center" vertical="center"/>
    </xf>
    <xf applyAlignment="1" borderId="20" fillId="0" fontId="4" numFmtId="166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  <xf applyAlignment="1" borderId="23" fillId="0" fontId="4" numFmtId="166" pivotButton="0" quotePrefix="0" xfId="0">
      <alignment horizontal="center" vertical="center"/>
    </xf>
    <xf applyAlignment="1" borderId="29" fillId="0" fontId="4" numFmtId="166" pivotButton="0" quotePrefix="0" xfId="0">
      <alignment horizontal="center" vertical="center"/>
    </xf>
    <xf applyAlignment="1" borderId="30" fillId="0" fontId="4" numFmtId="166" pivotButton="0" quotePrefix="0" xfId="0">
      <alignment horizontal="center" vertical="center"/>
    </xf>
    <xf applyAlignment="1" borderId="20" fillId="0" fontId="4" numFmtId="166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  <xf applyAlignment="1" borderId="33" fillId="0" fontId="4" numFmtId="166" pivotButton="0" quotePrefix="0" xfId="0">
      <alignment horizontal="center" vertical="center"/>
    </xf>
    <xf applyAlignment="1" borderId="34" fillId="0" fontId="4" numFmtId="166" pivotButton="0" quotePrefix="0" xfId="0">
      <alignment horizontal="center" vertical="center"/>
    </xf>
    <xf applyAlignment="1" borderId="36" fillId="0" fontId="4" numFmtId="166" pivotButton="0" quotePrefix="0" xfId="0">
      <alignment horizontal="center" vertical="center"/>
    </xf>
    <xf applyAlignment="1" borderId="11" fillId="0" fontId="0" numFmtId="166" pivotButton="0" quotePrefix="0" xfId="0">
      <alignment horizontal="center" vertical="center"/>
    </xf>
    <xf applyAlignment="1" borderId="2" fillId="0" fontId="0" numFmtId="166" pivotButton="0" quotePrefix="0" xfId="0">
      <alignment horizontal="center" vertical="center"/>
    </xf>
    <xf applyAlignment="1" borderId="5" fillId="0" fontId="0" numFmtId="166" pivotButton="0" quotePrefix="0" xfId="0">
      <alignment horizontal="center" vertical="center"/>
    </xf>
    <xf applyAlignment="1" borderId="32" fillId="0" fontId="0" numFmtId="166" pivotButton="0" quotePrefix="0" xfId="0">
      <alignment horizontal="center" vertical="center"/>
    </xf>
    <xf applyAlignment="1" borderId="3" fillId="0" fontId="0" numFmtId="166" pivotButton="0" quotePrefix="0" xfId="0">
      <alignment horizontal="center" vertical="center"/>
    </xf>
    <xf applyAlignment="1" borderId="4" fillId="0" fontId="0" numFmtId="166" pivotButton="0" quotePrefix="0" xfId="0">
      <alignment horizontal="center" vertical="center"/>
    </xf>
    <xf applyAlignment="1" borderId="35" fillId="0" fontId="0" numFmtId="166" pivotButton="0" quotePrefix="0" xfId="0">
      <alignment horizontal="center" vertical="center"/>
    </xf>
    <xf applyAlignment="1" borderId="6" fillId="0" fontId="0" numFmtId="166" pivotButton="0" quotePrefix="0" xfId="0">
      <alignment horizontal="center" vertical="center"/>
    </xf>
    <xf applyAlignment="1" borderId="7" fillId="0" fontId="0" numFmtId="166" pivotButton="0" quotePrefix="0" xfId="0">
      <alignment horizontal="center" vertical="center"/>
    </xf>
    <xf applyAlignment="1" borderId="26" fillId="0" fontId="7" numFmtId="166" pivotButton="0" quotePrefix="0" xfId="0">
      <alignment horizontal="center" textRotation="90" vertical="center"/>
    </xf>
    <xf applyAlignment="1" borderId="27" fillId="0" fontId="7" numFmtId="166" pivotButton="0" quotePrefix="0" xfId="0">
      <alignment horizontal="center" textRotation="90" vertical="center"/>
    </xf>
    <xf applyAlignment="1" borderId="28" fillId="0" fontId="7" numFmtId="166" pivotButton="0" quotePrefix="0" xfId="0">
      <alignment horizontal="center" textRotation="90" vertical="center"/>
    </xf>
    <xf applyAlignment="1" borderId="29" fillId="0" fontId="6" numFmtId="166" pivotButton="0" quotePrefix="0" xfId="0">
      <alignment horizontal="center" vertical="center"/>
    </xf>
    <xf applyAlignment="1" borderId="30" fillId="0" fontId="6" numFmtId="166" pivotButton="0" quotePrefix="0" xfId="0">
      <alignment horizontal="center" vertical="center"/>
    </xf>
    <xf applyAlignment="1" borderId="31" fillId="0" fontId="6" numFmtId="166" pivotButton="0" quotePrefix="0" xfId="0">
      <alignment horizontal="center" vertical="center"/>
    </xf>
    <xf applyAlignment="1" borderId="12" fillId="0" fontId="8" numFmtId="166" pivotButton="0" quotePrefix="0" xfId="0">
      <alignment horizontal="center" vertical="center"/>
    </xf>
    <xf applyAlignment="1" borderId="13" fillId="0" fontId="8" numFmtId="166" pivotButton="0" quotePrefix="0" xfId="0">
      <alignment horizontal="center" vertical="center"/>
    </xf>
    <xf applyAlignment="1" borderId="16" fillId="0" fontId="8" numFmtId="166" pivotButton="0" quotePrefix="0" xfId="0">
      <alignment horizontal="center" vertical="center"/>
    </xf>
    <xf applyAlignment="1" borderId="11" fillId="0" fontId="0" numFmtId="166" pivotButton="0" quotePrefix="0" xfId="0">
      <alignment horizontal="center"/>
    </xf>
    <xf applyAlignment="1" borderId="2" fillId="0" fontId="0" numFmtId="166" pivotButton="0" quotePrefix="0" xfId="0">
      <alignment horizontal="center"/>
    </xf>
    <xf applyAlignment="1" borderId="15" fillId="0" fontId="0" numFmtId="166" pivotButton="0" quotePrefix="0" xfId="0">
      <alignment horizontal="center"/>
    </xf>
    <xf applyAlignment="1" borderId="17" fillId="0" fontId="4" numFmtId="166" pivotButton="0" quotePrefix="0" xfId="0">
      <alignment horizontal="center" vertical="center"/>
    </xf>
    <xf applyAlignment="1" borderId="18" fillId="0" fontId="4" numFmtId="166" pivotButton="0" quotePrefix="0" xfId="0">
      <alignment horizontal="center" vertical="center"/>
    </xf>
    <xf applyAlignment="1" borderId="19" fillId="0" fontId="4" numFmtId="166" pivotButton="0" quotePrefix="0" xfId="0">
      <alignment horizontal="center" vertical="center"/>
    </xf>
    <xf applyAlignment="1" borderId="22" fillId="0" fontId="4" numFmtId="166" pivotButton="0" quotePrefix="0" xfId="0">
      <alignment horizontal="center" vertical="center"/>
    </xf>
    <xf applyAlignment="1" borderId="23" fillId="0" fontId="4" numFmtId="166" pivotButton="0" quotePrefix="0" xfId="0">
      <alignment horizontal="center" vertical="center"/>
    </xf>
    <xf applyAlignment="1" borderId="24" fillId="0" fontId="4" numFmtId="166" pivotButton="0" quotePrefix="0" xfId="0">
      <alignment horizontal="center" vertical="center"/>
    </xf>
    <xf applyAlignment="1" borderId="33" fillId="0" fontId="9" numFmtId="166" pivotButton="0" quotePrefix="0" xfId="0">
      <alignment horizontal="center" vertical="center"/>
    </xf>
    <xf applyAlignment="1" borderId="34" fillId="0" fontId="9" numFmtId="166" pivotButton="0" quotePrefix="0" xfId="0">
      <alignment horizontal="center" vertical="center"/>
    </xf>
    <xf applyAlignment="1" borderId="39" fillId="0" fontId="9" numFmtId="166" pivotButton="0" quotePrefix="0" xfId="0">
      <alignment horizontal="center" vertical="center"/>
    </xf>
    <xf applyAlignment="1" borderId="26" fillId="0" fontId="11" numFmtId="166" pivotButton="0" quotePrefix="0" xfId="0">
      <alignment horizontal="center" textRotation="90" vertical="center"/>
    </xf>
    <xf applyAlignment="1" borderId="27" fillId="0" fontId="11" numFmtId="166" pivotButton="0" quotePrefix="0" xfId="0">
      <alignment horizontal="center" textRotation="90" vertical="center"/>
    </xf>
    <xf applyAlignment="1" borderId="28" fillId="0" fontId="11" numFmtId="166" pivotButton="0" quotePrefix="0" xfId="0">
      <alignment horizontal="center" textRotation="90" vertical="center"/>
    </xf>
    <xf applyAlignment="1" borderId="29" fillId="0" fontId="4" numFmtId="166" pivotButton="0" quotePrefix="0" xfId="0">
      <alignment horizontal="center" vertical="center"/>
    </xf>
    <xf applyAlignment="1" borderId="30" fillId="0" fontId="4" numFmtId="166" pivotButton="0" quotePrefix="0" xfId="0">
      <alignment horizontal="center" vertical="center"/>
    </xf>
    <xf applyAlignment="1" borderId="31" fillId="0" fontId="4" numFmtId="166" pivotButton="0" quotePrefix="0" xfId="0">
      <alignment horizontal="center" vertical="center"/>
    </xf>
    <xf applyAlignment="1" borderId="29" fillId="0" fontId="8" numFmtId="166" pivotButton="0" quotePrefix="0" xfId="0">
      <alignment horizontal="center" vertical="center"/>
    </xf>
    <xf applyAlignment="1" borderId="30" fillId="0" fontId="8" numFmtId="166" pivotButton="0" quotePrefix="0" xfId="0">
      <alignment horizontal="center" vertical="center"/>
    </xf>
    <xf applyAlignment="1" borderId="31" fillId="0" fontId="8" numFmtId="166" pivotButton="0" quotePrefix="0" xfId="0">
      <alignment horizontal="center" vertical="center"/>
    </xf>
    <xf applyAlignment="1" borderId="20" fillId="0" fontId="4" numFmtId="166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  <xf applyAlignment="1" borderId="21" fillId="0" fontId="4" numFmtId="166" pivotButton="0" quotePrefix="0" xfId="0">
      <alignment horizontal="center" vertical="center"/>
    </xf>
    <xf applyAlignment="1" borderId="17" fillId="0" fontId="5" numFmtId="166" pivotButton="0" quotePrefix="0" xfId="0">
      <alignment horizontal="center" vertical="center"/>
    </xf>
    <xf applyAlignment="1" borderId="18" fillId="0" fontId="5" numFmtId="166" pivotButton="0" quotePrefix="0" xfId="0">
      <alignment horizontal="center" vertical="center"/>
    </xf>
    <xf applyAlignment="1" borderId="19" fillId="0" fontId="5" numFmtId="166" pivotButton="0" quotePrefix="0" xfId="0">
      <alignment horizontal="center" vertical="center"/>
    </xf>
    <xf applyAlignment="1" borderId="20" fillId="0" fontId="5" numFmtId="166" pivotButton="0" quotePrefix="0" xfId="0">
      <alignment horizontal="center" vertical="center"/>
    </xf>
    <xf applyAlignment="1" borderId="0" fillId="0" fontId="5" numFmtId="166" pivotButton="0" quotePrefix="0" xfId="0">
      <alignment horizontal="center" vertical="center"/>
    </xf>
    <xf applyAlignment="1" borderId="21" fillId="0" fontId="5" numFmtId="166" pivotButton="0" quotePrefix="0" xfId="0">
      <alignment horizontal="center" vertical="center"/>
    </xf>
    <xf applyAlignment="1" borderId="22" fillId="0" fontId="5" numFmtId="166" pivotButton="0" quotePrefix="0" xfId="0">
      <alignment horizontal="center" vertical="center"/>
    </xf>
    <xf applyAlignment="1" borderId="23" fillId="0" fontId="5" numFmtId="166" pivotButton="0" quotePrefix="0" xfId="0">
      <alignment horizontal="center" vertical="center"/>
    </xf>
    <xf applyAlignment="1" borderId="24" fillId="0" fontId="5" numFmtId="166" pivotButton="0" quotePrefix="0" xfId="0">
      <alignment horizontal="center" vertical="center"/>
    </xf>
    <xf applyAlignment="1" borderId="5" fillId="0" fontId="0" numFmtId="166" pivotButton="0" quotePrefix="0" xfId="0">
      <alignment horizontal="center"/>
    </xf>
    <xf applyAlignment="1" borderId="40" fillId="0" fontId="0" numFmtId="166" pivotButton="0" quotePrefix="0" xfId="0">
      <alignment horizontal="center"/>
    </xf>
    <xf applyAlignment="1" borderId="42" fillId="0" fontId="0" numFmtId="166" pivotButton="0" quotePrefix="0" xfId="0">
      <alignment horizontal="center"/>
    </xf>
    <xf borderId="45" fillId="0" fontId="0" numFmtId="166" pivotButton="0" quotePrefix="0" xfId="0"/>
    <xf borderId="44" fillId="0" fontId="0" numFmtId="166" pivotButton="0" quotePrefix="0" xfId="0"/>
    <xf borderId="44" fillId="0" fontId="0" numFmtId="166" pivotButton="0" quotePrefix="0" xfId="0"/>
    <xf borderId="46" fillId="0" fontId="0" numFmtId="166" pivotButton="0" quotePrefix="0" xfId="0"/>
    <xf applyAlignment="1" borderId="25" fillId="0" fontId="7" numFmtId="166" pivotButton="0" quotePrefix="0" xfId="0">
      <alignment horizontal="center" textRotation="90" vertical="center"/>
    </xf>
    <xf applyAlignment="1" borderId="1" fillId="0" fontId="7" numFmtId="166" pivotButton="0" quotePrefix="0" xfId="0">
      <alignment horizontal="center" textRotation="90" vertical="center"/>
    </xf>
    <xf applyAlignment="1" borderId="47" fillId="0" fontId="7" numFmtId="166" pivotButton="0" quotePrefix="0" xfId="0">
      <alignment horizontal="center" textRotation="90" vertical="center"/>
    </xf>
    <xf borderId="45" fillId="0" fontId="0" numFmtId="166" pivotButton="0" quotePrefix="0" xfId="0"/>
    <xf borderId="0" fillId="0" fontId="0" numFmtId="0" pivotButton="0" quotePrefix="0" xfId="0"/>
    <xf applyAlignment="1" borderId="0" fillId="0" fontId="0" numFmtId="166" pivotButton="0" quotePrefix="0" xfId="0">
      <alignment horizontal="left"/>
    </xf>
    <xf applyAlignment="1" borderId="33" fillId="0" fontId="9" numFmtId="166" pivotButton="0" quotePrefix="0" xfId="0">
      <alignment horizontal="center" vertical="center"/>
    </xf>
    <xf applyAlignment="1" borderId="29" fillId="0" fontId="6" numFmtId="166" pivotButton="0" quotePrefix="0" xfId="0">
      <alignment horizontal="center" vertical="center"/>
    </xf>
    <xf applyAlignment="1" borderId="0" fillId="0" fontId="0" numFmtId="166" pivotButton="0" quotePrefix="0" xfId="0">
      <alignment horizontal="center"/>
    </xf>
    <xf applyAlignment="1" borderId="0" fillId="0" fontId="4" numFmtId="166" pivotButton="0" quotePrefix="0" xfId="0">
      <alignment horizontal="center"/>
    </xf>
    <xf applyAlignment="1" borderId="28" fillId="0" fontId="4" numFmtId="166" pivotButton="0" quotePrefix="0" xfId="0">
      <alignment horizontal="center"/>
    </xf>
    <xf applyAlignment="1" borderId="37" fillId="0" fontId="4" numFmtId="166" pivotButton="0" quotePrefix="0" xfId="0">
      <alignment horizontal="center" vertical="center"/>
    </xf>
    <xf applyAlignment="1" borderId="28" fillId="0" fontId="4" numFmtId="166" pivotButton="0" quotePrefix="0" xfId="0">
      <alignment horizontal="center" vertical="center"/>
    </xf>
    <xf applyAlignment="1" borderId="8" fillId="0" fontId="4" numFmtId="166" pivotButton="0" quotePrefix="0" xfId="0">
      <alignment horizontal="center" vertical="center"/>
    </xf>
    <xf applyAlignment="1" borderId="0" fillId="0" fontId="0" numFmtId="166" pivotButton="0" quotePrefix="0" xfId="0">
      <alignment horizontal="center" vertical="center"/>
    </xf>
    <xf applyAlignment="1" borderId="26" fillId="0" fontId="0" numFmtId="166" pivotButton="0" quotePrefix="0" xfId="0">
      <alignment horizontal="center" vertical="center"/>
    </xf>
    <xf applyAlignment="1" borderId="26" fillId="0" fontId="12" numFmtId="166" pivotButton="0" quotePrefix="0" xfId="0">
      <alignment horizontal="center" vertical="center"/>
    </xf>
    <xf applyAlignment="1" borderId="27" fillId="0" fontId="12" numFmtId="166" pivotButton="0" quotePrefix="0" xfId="0">
      <alignment horizontal="center" vertical="center"/>
    </xf>
    <xf applyAlignment="1" borderId="27" fillId="0" fontId="0" numFmtId="166" pivotButton="0" quotePrefix="0" xfId="0">
      <alignment horizontal="center" vertical="center"/>
    </xf>
    <xf applyAlignment="1" borderId="27" fillId="0" fontId="0" numFmtId="166" pivotButton="0" quotePrefix="0" xfId="0">
      <alignment horizontal="left" vertical="center"/>
    </xf>
    <xf applyAlignment="1" borderId="25" fillId="0" fontId="7" numFmtId="166" pivotButton="0" quotePrefix="0" xfId="0">
      <alignment horizontal="center" textRotation="90" vertical="center"/>
    </xf>
    <xf borderId="45" fillId="0" fontId="0" numFmtId="166" pivotButton="0" quotePrefix="0" xfId="0"/>
    <xf borderId="10" fillId="0" fontId="0" numFmtId="166" pivotButton="0" quotePrefix="0" xfId="0"/>
    <xf applyAlignment="1" borderId="10" fillId="0" fontId="0" numFmtId="168" pivotButton="0" quotePrefix="0" xfId="0">
      <alignment horizontal="center" vertical="center"/>
    </xf>
    <xf applyAlignment="1" borderId="10" fillId="0" fontId="0" numFmtId="165" pivotButton="0" quotePrefix="0" xfId="4">
      <alignment horizontal="left" vertical="center"/>
    </xf>
    <xf applyAlignment="1" borderId="10" fillId="0" fontId="0" numFmtId="167" pivotButton="0" quotePrefix="0" xfId="0">
      <alignment horizontal="center" vertical="center"/>
    </xf>
    <xf applyAlignment="1" borderId="14" fillId="0" fontId="0" numFmtId="167" pivotButton="0" quotePrefix="0" xfId="0">
      <alignment horizontal="left" vertical="center"/>
    </xf>
    <xf borderId="44" fillId="0" fontId="0" numFmtId="166" pivotButton="0" quotePrefix="0" xfId="0"/>
    <xf borderId="2" fillId="0" fontId="0" numFmtId="166" pivotButton="0" quotePrefix="0" xfId="0"/>
    <xf applyAlignment="1" borderId="2" fillId="0" fontId="0" numFmtId="168" pivotButton="0" quotePrefix="0" xfId="0">
      <alignment horizontal="center" vertical="center"/>
    </xf>
    <xf applyAlignment="1" borderId="2" fillId="0" fontId="0" numFmtId="165" pivotButton="0" quotePrefix="0" xfId="4">
      <alignment horizontal="left" vertical="center"/>
    </xf>
    <xf applyAlignment="1" borderId="2" fillId="0" fontId="0" numFmtId="167" pivotButton="0" quotePrefix="0" xfId="0">
      <alignment horizontal="center" vertical="center"/>
    </xf>
    <xf applyAlignment="1" borderId="15" fillId="0" fontId="0" numFmtId="167" pivotButton="0" quotePrefix="0" xfId="0">
      <alignment horizontal="left" vertical="center"/>
    </xf>
    <xf applyAlignment="1" borderId="2" fillId="0" fontId="0" numFmtId="166" pivotButton="0" quotePrefix="0" xfId="0">
      <alignment horizontal="center" vertical="center"/>
    </xf>
    <xf borderId="46" fillId="0" fontId="0" numFmtId="166" pivotButton="0" quotePrefix="0" xfId="0"/>
    <xf borderId="13" fillId="0" fontId="0" numFmtId="166" pivotButton="0" quotePrefix="0" xfId="0"/>
    <xf applyAlignment="1" borderId="13" fillId="0" fontId="0" numFmtId="165" pivotButton="0" quotePrefix="0" xfId="4">
      <alignment horizontal="left" vertical="center"/>
    </xf>
    <xf applyAlignment="1" borderId="13" fillId="0" fontId="0" numFmtId="167" pivotButton="0" quotePrefix="0" xfId="0">
      <alignment horizontal="center" vertical="center"/>
    </xf>
    <xf applyAlignment="1" borderId="13" fillId="0" fontId="0" numFmtId="166" pivotButton="0" quotePrefix="0" xfId="0">
      <alignment horizontal="center" vertical="center"/>
    </xf>
    <xf applyAlignment="1" borderId="16" fillId="0" fontId="0" numFmtId="167" pivotButton="0" quotePrefix="0" xfId="0">
      <alignment horizontal="left" vertical="center"/>
    </xf>
    <xf applyAlignment="1" borderId="0" fillId="0" fontId="7" numFmtId="166" pivotButton="0" quotePrefix="0" xfId="0">
      <alignment horizontal="center" textRotation="90" vertical="center"/>
    </xf>
    <xf borderId="0" fillId="0" fontId="0" numFmtId="166" pivotButton="0" quotePrefix="0" xfId="0"/>
    <xf applyAlignment="1" borderId="0" fillId="0" fontId="0" numFmtId="168" pivotButton="0" quotePrefix="0" xfId="0">
      <alignment horizontal="center" vertical="center"/>
    </xf>
    <xf applyAlignment="1" borderId="0" fillId="0" fontId="0" numFmtId="165" pivotButton="0" quotePrefix="0" xfId="4">
      <alignment horizontal="left" vertical="center"/>
    </xf>
    <xf applyAlignment="1" borderId="0" fillId="0" fontId="0" numFmtId="167" pivotButton="0" quotePrefix="0" xfId="0">
      <alignment horizontal="center" vertical="center"/>
    </xf>
    <xf applyAlignment="1" borderId="26" fillId="0" fontId="11" numFmtId="166" pivotButton="0" quotePrefix="0" xfId="0">
      <alignment horizontal="center" textRotation="90" vertical="center"/>
    </xf>
    <xf applyAlignment="1" borderId="17" fillId="0" fontId="4" numFmtId="166" pivotButton="0" quotePrefix="0" xfId="0">
      <alignment horizontal="center" vertical="center"/>
    </xf>
    <xf applyAlignment="1" borderId="30" fillId="0" fontId="4" numFmtId="166" pivotButton="0" quotePrefix="0" xfId="0">
      <alignment horizontal="center" vertical="center"/>
    </xf>
    <xf applyAlignment="1" borderId="9" fillId="0" fontId="0" numFmtId="167" pivotButton="0" quotePrefix="0" xfId="0">
      <alignment horizontal="center" vertical="center"/>
    </xf>
    <xf applyAlignment="1" borderId="14" fillId="0" fontId="0" numFmtId="167" pivotButton="0" quotePrefix="0" xfId="0">
      <alignment horizontal="center" vertical="center"/>
    </xf>
    <xf applyAlignment="1" borderId="11" fillId="0" fontId="0" numFmtId="167" pivotButton="0" quotePrefix="0" xfId="0">
      <alignment horizontal="center" vertical="center"/>
    </xf>
    <xf applyAlignment="1" borderId="2" fillId="0" fontId="0" numFmtId="170" pivotButton="0" quotePrefix="0" xfId="0">
      <alignment horizontal="center" vertical="center"/>
    </xf>
    <xf applyAlignment="1" borderId="2" fillId="0" fontId="0" numFmtId="169" pivotButton="0" quotePrefix="0" xfId="0">
      <alignment horizontal="center" vertical="center"/>
    </xf>
    <xf applyAlignment="1" borderId="15" fillId="0" fontId="0" numFmtId="169" pivotButton="0" quotePrefix="0" xfId="0">
      <alignment horizontal="center" vertical="center"/>
    </xf>
    <xf applyAlignment="1" borderId="15" fillId="0" fontId="0" numFmtId="167" pivotButton="0" quotePrefix="0" xfId="0">
      <alignment horizontal="center" vertical="center"/>
    </xf>
    <xf applyAlignment="1" borderId="12" fillId="0" fontId="0" numFmtId="167" pivotButton="0" quotePrefix="0" xfId="0">
      <alignment horizontal="center" vertical="center"/>
    </xf>
    <xf applyAlignment="1" borderId="16" fillId="0" fontId="0" numFmtId="167" pivotButton="0" quotePrefix="0" xfId="0">
      <alignment horizontal="center" vertical="center"/>
    </xf>
    <xf applyAlignment="1" borderId="20" fillId="0" fontId="4" numFmtId="166" pivotButton="0" quotePrefix="0" xfId="0">
      <alignment horizontal="center" vertical="center"/>
    </xf>
    <xf applyAlignment="1" borderId="20" fillId="0" fontId="6" numFmtId="166" pivotButton="0" quotePrefix="0" xfId="0">
      <alignment textRotation="90" vertical="center"/>
    </xf>
    <xf applyAlignment="1" borderId="0" fillId="0" fontId="6" numFmtId="166" pivotButton="0" quotePrefix="0" xfId="0">
      <alignment textRotation="90" vertical="center"/>
    </xf>
    <xf applyAlignment="1" borderId="21" fillId="0" fontId="6" numFmtId="166" pivotButton="0" quotePrefix="0" xfId="0">
      <alignment textRotation="90" vertical="center"/>
    </xf>
    <xf applyAlignment="1" borderId="0" fillId="0" fontId="4" numFmtId="166" pivotButton="0" quotePrefix="0" xfId="0">
      <alignment horizontal="center" vertical="center"/>
    </xf>
    <xf borderId="9" fillId="0" fontId="0" numFmtId="166" pivotButton="0" quotePrefix="0" xfId="0"/>
    <xf borderId="14" fillId="0" fontId="0" numFmtId="166" pivotButton="0" quotePrefix="0" xfId="0"/>
    <xf borderId="11" fillId="0" fontId="13" numFmtId="166" pivotButton="0" quotePrefix="0" xfId="0"/>
    <xf borderId="2" fillId="0" fontId="13" numFmtId="166" pivotButton="0" quotePrefix="0" xfId="0"/>
    <xf borderId="15" fillId="0" fontId="13" numFmtId="166" pivotButton="0" quotePrefix="0" xfId="0"/>
    <xf borderId="12" fillId="0" fontId="13" numFmtId="166" pivotButton="0" quotePrefix="0" xfId="0"/>
    <xf borderId="13" fillId="0" fontId="13" numFmtId="166" pivotButton="0" quotePrefix="0" xfId="0"/>
    <xf borderId="16" fillId="0" fontId="13" numFmtId="166" pivotButton="0" quotePrefix="0" xfId="0"/>
    <xf applyAlignment="1" borderId="10" fillId="0" fontId="0" numFmtId="166" pivotButton="0" quotePrefix="0" xfId="0">
      <alignment horizontal="center"/>
    </xf>
    <xf applyAlignment="1" borderId="11" fillId="0" fontId="0" numFmtId="166" pivotButton="0" quotePrefix="0" xfId="0">
      <alignment horizontal="center"/>
    </xf>
    <xf borderId="11" fillId="0" fontId="0" numFmtId="166" pivotButton="0" quotePrefix="0" xfId="0"/>
    <xf borderId="15" fillId="0" fontId="0" numFmtId="166" pivotButton="0" quotePrefix="0" xfId="0"/>
    <xf applyAlignment="1" borderId="12" fillId="0" fontId="8" numFmtId="166" pivotButton="0" quotePrefix="0" xfId="0">
      <alignment horizontal="center" vertical="center"/>
    </xf>
    <xf applyAlignment="1" borderId="17" fillId="0" fontId="5" numFmtId="166" pivotButton="0" quotePrefix="0" xfId="0">
      <alignment horizontal="center" vertical="center"/>
    </xf>
    <xf applyAlignment="1" borderId="29" fillId="0" fontId="4" numFmtId="166" pivotButton="0" quotePrefix="0" xfId="0">
      <alignment horizontal="center" vertical="center"/>
    </xf>
    <xf applyAlignment="1" borderId="8" fillId="0" fontId="4" numFmtId="166" pivotButton="0" quotePrefix="0" xfId="0">
      <alignment vertical="center"/>
    </xf>
    <xf applyAlignment="1" borderId="32" fillId="0" fontId="0" numFmtId="166" pivotButton="0" quotePrefix="0" xfId="0">
      <alignment horizontal="center" vertical="center"/>
    </xf>
    <xf applyAlignment="1" borderId="25" fillId="0" fontId="0" numFmtId="166" pivotButton="0" quotePrefix="0" xfId="5">
      <alignment vertical="center"/>
    </xf>
    <xf applyAlignment="1" borderId="11" fillId="0" fontId="0" numFmtId="166" pivotButton="0" quotePrefix="0" xfId="0">
      <alignment horizontal="center" vertical="center"/>
    </xf>
    <xf applyAlignment="1" borderId="1" fillId="0" fontId="0" numFmtId="166" pivotButton="0" quotePrefix="0" xfId="5">
      <alignment vertical="center"/>
    </xf>
    <xf applyAlignment="1" borderId="35" fillId="0" fontId="0" numFmtId="166" pivotButton="0" quotePrefix="0" xfId="0">
      <alignment horizontal="center" vertical="center"/>
    </xf>
    <xf applyAlignment="1" borderId="33" fillId="0" fontId="4" numFmtId="166" pivotButton="0" quotePrefix="0" xfId="0">
      <alignment horizontal="center" vertical="center"/>
    </xf>
    <xf applyAlignment="1" borderId="8" fillId="0" fontId="0" numFmtId="166" pivotButton="0" quotePrefix="0" xfId="0">
      <alignment vertical="center"/>
    </xf>
    <xf applyAlignment="1" borderId="29" fillId="0" fontId="8" numFmtId="166" pivotButton="0" quotePrefix="0" xfId="0">
      <alignment horizontal="center" vertical="center"/>
    </xf>
    <xf applyAlignment="1" borderId="0" fillId="0" fontId="8" numFmtId="166" pivotButton="0" quotePrefix="0" xfId="0">
      <alignment horizontal="center" vertical="center"/>
    </xf>
    <xf applyAlignment="1" borderId="0" fillId="0" fontId="11" numFmtId="166" pivotButton="0" quotePrefix="0" xfId="0">
      <alignment textRotation="90" vertical="center"/>
    </xf>
    <xf applyAlignment="1" borderId="30" fillId="0" fontId="6" numFmtId="166" pivotButton="0" quotePrefix="0" xfId="0">
      <alignment horizontal="center" vertical="center"/>
    </xf>
    <xf applyAlignment="1" borderId="26" fillId="0" fontId="7" numFmtId="166" pivotButton="0" quotePrefix="0" xfId="0">
      <alignment horizontal="center" textRotation="90" vertical="center"/>
    </xf>
    <xf applyAlignment="1" borderId="10" fillId="0" fontId="0" numFmtId="166" pivotButton="0" quotePrefix="0" xfId="0">
      <alignment horizontal="center" vertical="center"/>
    </xf>
    <xf applyAlignment="1" borderId="2" fillId="0" fontId="0" numFmtId="167" pivotButton="0" quotePrefix="1" xfId="0">
      <alignment horizontal="center" vertical="center"/>
    </xf>
    <xf borderId="12" fillId="0" fontId="0" numFmtId="166" pivotButton="0" quotePrefix="0" xfId="0"/>
    <xf applyAlignment="1" borderId="0" fillId="0" fontId="4" numFmtId="166" pivotButton="0" quotePrefix="0" xfId="0">
      <alignment vertical="center"/>
    </xf>
    <xf applyAlignment="1" borderId="0" fillId="0" fontId="0" numFmtId="166" pivotButton="0" quotePrefix="0" xfId="5">
      <alignment vertical="center"/>
    </xf>
    <xf applyAlignment="1" borderId="0" fillId="0" fontId="0" numFmtId="166" pivotButton="0" quotePrefix="0" xfId="0">
      <alignment vertical="center"/>
    </xf>
    <xf borderId="35" fillId="0" fontId="0" numFmtId="166" pivotButton="0" quotePrefix="0" xfId="0"/>
    <xf borderId="6" fillId="0" fontId="0" numFmtId="166" pivotButton="0" quotePrefix="0" xfId="0"/>
    <xf applyAlignment="1" borderId="6" fillId="0" fontId="0" numFmtId="165" pivotButton="0" quotePrefix="0" xfId="4">
      <alignment horizontal="left" vertical="center"/>
    </xf>
    <xf applyAlignment="1" borderId="6" fillId="0" fontId="0" numFmtId="167" pivotButton="0" quotePrefix="0" xfId="0">
      <alignment horizontal="center" vertical="center"/>
    </xf>
    <xf applyAlignment="1" borderId="6" fillId="0" fontId="0" numFmtId="166" pivotButton="0" quotePrefix="0" xfId="0">
      <alignment horizontal="center" vertical="center"/>
    </xf>
    <xf applyAlignment="1" borderId="38" fillId="0" fontId="0" numFmtId="167" pivotButton="0" quotePrefix="0" xfId="0">
      <alignment horizontal="left" vertical="center"/>
    </xf>
    <xf applyAlignment="1" borderId="5" fillId="0" fontId="0" numFmtId="166" pivotButton="0" quotePrefix="0" xfId="0">
      <alignment horizontal="center"/>
    </xf>
    <xf applyAlignment="1" borderId="13" fillId="0" fontId="8" numFmtId="166" pivotButton="0" quotePrefix="0" xfId="0">
      <alignment horizontal="center" vertical="center"/>
    </xf>
    <xf applyAlignment="1" borderId="31" fillId="0" fontId="4" numFmtId="166" pivotButton="0" quotePrefix="0" xfId="0">
      <alignment horizontal="center" vertical="center"/>
    </xf>
    <xf applyAlignment="1" borderId="43" fillId="0" fontId="0" numFmtId="166" pivotButton="0" quotePrefix="0" xfId="0">
      <alignment horizontal="center" vertical="center"/>
    </xf>
    <xf applyAlignment="1" borderId="42" fillId="0" fontId="0" numFmtId="166" pivotButton="0" quotePrefix="0" xfId="0">
      <alignment horizontal="center" vertical="center"/>
    </xf>
    <xf applyAlignment="1" borderId="41" fillId="0" fontId="0" numFmtId="166" pivotButton="0" quotePrefix="0" xfId="0">
      <alignment horizontal="center" vertical="center"/>
    </xf>
    <xf applyAlignment="1" borderId="30" fillId="0" fontId="8" numFmtId="166" pivotButton="0" quotePrefix="0" xfId="0">
      <alignment horizontal="center" vertical="center"/>
    </xf>
    <xf applyAlignment="1" borderId="2" fillId="0" fontId="0" numFmtId="166" pivotButton="0" quotePrefix="0" xfId="0">
      <alignment horizontal="center"/>
    </xf>
    <xf applyAlignment="1" borderId="23" fillId="0" fontId="4" numFmtId="166" pivotButton="0" quotePrefix="0" xfId="0">
      <alignment horizontal="center" vertical="center"/>
    </xf>
    <xf applyAlignment="1" borderId="4" fillId="0" fontId="0" numFmtId="166" pivotButton="0" quotePrefix="0" xfId="0">
      <alignment horizontal="center" vertical="center"/>
    </xf>
    <xf applyAlignment="1" borderId="5" fillId="0" fontId="0" numFmtId="166" pivotButton="0" quotePrefix="0" xfId="0">
      <alignment horizontal="center" vertical="center"/>
    </xf>
    <xf applyAlignment="1" borderId="7" fillId="0" fontId="0" numFmtId="166" pivotButton="0" quotePrefix="0" xfId="0">
      <alignment horizontal="center" vertical="center"/>
    </xf>
    <xf applyAlignment="1" borderId="36" fillId="0" fontId="4" numFmtId="166" pivotButton="0" quotePrefix="0" xfId="0">
      <alignment horizontal="center" vertical="center"/>
    </xf>
  </cellXfs>
  <cellStyles count="8">
    <cellStyle builtinId="0" name="Normal" xfId="0"/>
    <cellStyle builtinId="26" name="Bueno" xfId="1"/>
    <cellStyle builtinId="27" name="Incorrecto" xfId="2"/>
    <cellStyle builtinId="28" name="Neutral" xfId="3"/>
    <cellStyle builtinId="3" name="Millares" xfId="4"/>
    <cellStyle builtinId="4" name="Moneda" xfId="5"/>
    <cellStyle name="Millares 2" xfId="6"/>
    <cellStyle name="Moneda 2" xfId="7"/>
  </cellStyles>
  <dxfs count="356">
    <dxf>
      <numFmt formatCode="#,##0_ ;\-#,##0\ " numFmtId="165"/>
      <alignment horizontal="left" vertical="center"/>
      <border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_-&quot;$&quot;\ * #,##0_-;\-&quot;$&quot;\ * #,##0_-;_-&quot;$&quot;\ * &quot;-&quot;??_-;_-@_-" numFmtId="164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_-&quot;$&quot;\ * #,##0_-;\-&quot;$&quot;\ * #,##0_-;_-&quot;$&quot;\ * &quot;-&quot;??_-;_-@_-" numFmtId="16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_-&quot;$&quot;\ * #,##0_-;\-&quot;$&quot;\ * #,##0_-;_-&quot;$&quot;\ * &quot;-&quot;??_-;_-@_-" numFmtId="164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left" vertical="center"/>
      <border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_-&quot;$&quot;\ * #,##0_-;\-&quot;$&quot;\ * #,##0_-;_-&quot;$&quot;\ * &quot;-&quot;??_-;_-@_-" numFmtId="164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_-&quot;$&quot;\ * #,##0_-;\-&quot;$&quot;\ * #,##0_-;_-&quot;$&quot;\ * &quot;-&quot;??_-;_-@_-" numFmtId="16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_-&quot;$&quot;\ * #,##0_-;\-&quot;$&quot;\ * #,##0_-;_-&quot;$&quot;\ * &quot;-&quot;??_-;_-@_-" numFmtId="164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_-* #,##0.00_-;\-* #,##0.00_-;_-* &quot;-&quot;??_-;_-@_-" numFmtId="35"/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_-* #,##0.00_-;\-* #,##0.00_-;_-* &quot;-&quot;??_-;_-@_-" numFmtId="35"/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_-&quot;$&quot;\ * #,##0_-;\-&quot;$&quot;\ * #,##0_-;_-&quot;$&quot;\ * &quot;-&quot;??_-;_-@_-" numFmtId="164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border>
        <left/>
        <right/>
        <top style="thin">
          <color rgb="FF000000"/>
        </top>
        <bottom/>
        <diagonal/>
      </border>
    </dxf>
    <dxf>
      <border>
        <left/>
        <right/>
        <top/>
        <bottom style="medium">
          <color rgb="FF000000"/>
        </bottom>
        <diagon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diagonal/>
      </border>
    </dxf>
    <dxf>
      <alignment horizontal="center" vertical="center"/>
      <border>
        <left style="medium">
          <color indexed="64"/>
        </left>
        <right style="medium">
          <color indexed="64"/>
        </right>
        <top/>
        <bottom/>
        <diagonal/>
        <vertical style="medium">
          <color indexed="64"/>
        </vertical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formatCode="#,##0_ ;\-#,##0\ " numFmtId="165"/>
      <alignment horizontal="left" vertical="center"/>
      <border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_-&quot;$&quot;\ * #,##0_-;\-&quot;$&quot;\ * #,##0_-;_-&quot;$&quot;\ * &quot;-&quot;??_-;_-@_-" numFmtId="164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_-&quot;$&quot;\ * #,##0_-;\-&quot;$&quot;\ * #,##0_-;_-&quot;$&quot;\ * &quot;-&quot;??_-;_-@_-" numFmtId="16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_-&quot;$&quot;\ * #,##0_-;\-&quot;$&quot;\ * #,##0_-;_-&quot;$&quot;\ * &quot;-&quot;??_-;_-@_-" numFmtId="164"/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_-* #,##0.00_-;\-* #,##0.00_-;_-* &quot;-&quot;??_-;_-@_-" numFmtId="35"/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_-* #,##0.00_-;\-* #,##0.00_-;_-* &quot;-&quot;??_-;_-@_-" numFmtId="35"/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_-&quot;$&quot;\ * #,##0_-;\-&quot;$&quot;\ * #,##0_-;_-&quot;$&quot;\ * &quot;-&quot;??_-;_-@_-" numFmtId="164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border>
        <left/>
        <right/>
        <top style="thin">
          <color rgb="FF000000"/>
        </top>
        <bottom/>
        <diagonal/>
      </border>
    </dxf>
    <dxf>
      <border>
        <left/>
        <right/>
        <top/>
        <bottom style="medium">
          <color rgb="FF000000"/>
        </bottom>
        <diagon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diagonal/>
      </border>
    </dxf>
    <dxf>
      <alignment horizontal="center" vertical="center"/>
      <border>
        <left style="medium">
          <color indexed="64"/>
        </left>
        <right style="medium">
          <color indexed="64"/>
        </right>
        <top/>
        <bottom/>
        <diagonal/>
        <vertical style="medium">
          <color indexed="64"/>
        </vertical>
        <horizont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left" vertical="center"/>
      <border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_-&quot;$&quot;\ * #,##0_-;\-&quot;$&quot;\ * #,##0_-;_-&quot;$&quot;\ * &quot;-&quot;??_-;_-@_-" numFmtId="164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_-* #,##0.00_-;\-* #,##0.00_-;_-* &quot;-&quot;??_-;_-@_-" numFmtId="35"/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_-* #,##0.00_-;\-* #,##0.00_-;_-* &quot;-&quot;??_-;_-@_-" numFmtId="35"/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_-&quot;$&quot;\ * #,##0_-;\-&quot;$&quot;\ * #,##0_-;_-&quot;$&quot;\ * &quot;-&quot;??_-;_-@_-" numFmtId="164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_-&quot;$&quot;\ * #,##0_-;\-&quot;$&quot;\ * #,##0_-;_-&quot;$&quot;\ * &quot;-&quot;??_-;_-@_-" numFmtId="16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_-&quot;$&quot;\ * #,##0_-;\-&quot;$&quot;\ * #,##0_-;_-&quot;$&quot;\ * &quot;-&quot;??_-;_-@_-" numFmtId="164"/>
      <border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border>
        <left/>
        <right/>
        <top style="thin">
          <color rgb="FF000000"/>
        </top>
        <bottom/>
        <diagon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diagonal/>
      </border>
    </dxf>
    <dxf>
      <border>
        <left/>
        <right/>
        <top/>
        <bottom style="medium">
          <color rgb="FF000000"/>
        </bottom>
        <diagonal/>
      </border>
    </dxf>
    <dxf>
      <alignment horizontal="center" vertical="center"/>
      <border>
        <left style="medium">
          <color indexed="64"/>
        </left>
        <right style="medium">
          <color indexed="64"/>
        </right>
        <top/>
        <bottom/>
        <diagonal/>
        <vertical style="medium">
          <color indexed="64"/>
        </vertical>
        <horizont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left" vertical="center"/>
      <border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_-&quot;$&quot;\ * #,##0_-;\-&quot;$&quot;\ * #,##0_-;_-&quot;$&quot;\ * &quot;-&quot;??_-;_-@_-" numFmtId="164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_-* #,##0.00_-;\-* #,##0.00_-;_-* &quot;-&quot;??_-;_-@_-" numFmtId="35"/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_-* #,##0.00_-;\-* #,##0.00_-;_-* &quot;-&quot;??_-;_-@_-" numFmtId="35"/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_-&quot;$&quot;\ * #,##0_-;\-&quot;$&quot;\ * #,##0_-;_-&quot;$&quot;\ * &quot;-&quot;??_-;_-@_-" numFmtId="164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_-&quot;$&quot;\ * #,##0_-;\-&quot;$&quot;\ * #,##0_-;_-&quot;$&quot;\ * &quot;-&quot;??_-;_-@_-" numFmtId="16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_-&quot;$&quot;\ * #,##0_-;\-&quot;$&quot;\ * #,##0_-;_-&quot;$&quot;\ * &quot;-&quot;??_-;_-@_-" numFmtId="164"/>
      <border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border>
        <left/>
        <right/>
        <top style="thin">
          <color rgb="FF000000"/>
        </top>
        <bottom/>
        <diagon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diagonal/>
      </border>
    </dxf>
    <dxf>
      <border>
        <left/>
        <right/>
        <top/>
        <bottom style="medium">
          <color rgb="FF000000"/>
        </bottom>
        <diagonal/>
      </border>
    </dxf>
    <dxf>
      <alignment horizontal="center" vertical="center"/>
      <border>
        <left style="medium">
          <color indexed="64"/>
        </left>
        <right style="medium">
          <color indexed="64"/>
        </right>
        <top/>
        <bottom/>
        <diagonal/>
        <vertical style="medium">
          <color indexed="64"/>
        </vertical>
        <horizont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left" vertical="center"/>
      <border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_-&quot;$&quot;\ * #,##0_-;\-&quot;$&quot;\ * #,##0_-;_-&quot;$&quot;\ * &quot;-&quot;??_-;_-@_-" numFmtId="164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#,##0_ ;\-#,##0\ " numFmtId="165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_-* #,##0.00_-;\-* #,##0.00_-;_-* &quot;-&quot;??_-;_-@_-" numFmtId="35"/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_-* #,##0.00_-;\-* #,##0.00_-;_-* &quot;-&quot;??_-;_-@_-" numFmtId="35"/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_-&quot;$&quot;\ * #,##0_-;\-&quot;$&quot;\ * #,##0_-;_-&quot;$&quot;\ * &quot;-&quot;??_-;_-@_-" numFmtId="164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_-&quot;$&quot;\ * #,##0_-;\-&quot;$&quot;\ * #,##0_-;_-&quot;$&quot;\ * &quot;-&quot;??_-;_-@_-" numFmtId="16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numFmt formatCode="_-&quot;$&quot;\ * #,##0_-;\-&quot;$&quot;\ * #,##0_-;_-&quot;$&quot;\ * &quot;-&quot;??_-;_-@_-" numFmtId="164"/>
      <border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border>
        <left/>
        <right/>
        <top style="thin">
          <color rgb="FF000000"/>
        </top>
        <bottom/>
        <diagon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diagonal/>
      </border>
    </dxf>
    <dxf>
      <border>
        <left/>
        <right/>
        <top/>
        <bottom style="medium">
          <color rgb="FF000000"/>
        </bottom>
        <diagonal/>
      </border>
    </dxf>
    <dxf>
      <alignment horizontal="center" vertical="center"/>
      <border>
        <left style="medium">
          <color indexed="64"/>
        </left>
        <right style="medium">
          <color indexed="64"/>
        </right>
        <top/>
        <bottom/>
        <diagonal/>
        <vertical style="medium">
          <color indexed="64"/>
        </vertical>
        <horizont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#,##0_ ;\-#,##0\ " numFmtId="165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_-* #,##0.00_-;\-* #,##0.00_-;_-* &quot;-&quot;??_-;_-@_-" numFmtId="35"/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_-* #,##0.00_-;\-* #,##0.00_-;_-* &quot;-&quot;??_-;_-@_-" numFmtId="35"/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numFmt formatCode="General" numFmtId="0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theme="4"/>
        <extend val="0"/>
        <sz val="14"/>
        <vertAlign val="baseline"/>
        <scheme val="minor"/>
      </font>
      <numFmt formatCode="_-&quot;$&quot;\ * #,##0_-;\-&quot;$&quot;\ * #,##0_-;_-&quot;$&quot;\ * &quot;-&quot;??_-;_-@_-" numFmtId="164"/>
      <border outline="0">
        <left style="thin">
          <color auto="1"/>
        </left>
        <right style="thin">
          <color auto="1"/>
        </right>
        <top style="thin">
          <color auto="1"/>
        </top>
        <bottom/>
        <diagonal/>
      </border>
    </dxf>
    <dxf>
      <border>
        <left/>
        <right/>
        <top style="thin">
          <color rgb="FF000000"/>
        </top>
        <bottom/>
        <diagon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diagonal/>
      </border>
    </dxf>
    <dxf>
      <border>
        <left/>
        <right/>
        <top/>
        <bottom style="medium">
          <color rgb="FF000000"/>
        </bottom>
        <diagonal/>
      </border>
    </dxf>
    <dxf>
      <alignment horizontal="center" vertical="center"/>
      <border>
        <left style="medium">
          <color indexed="64"/>
        </left>
        <right style="medium">
          <color indexed="64"/>
        </right>
        <top/>
        <bottom/>
        <diagonal/>
        <vertical style="medium">
          <color indexed="64"/>
        </vertical>
        <horizontal/>
      </border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externalLinks/externalLink1.xml" Type="http://schemas.openxmlformats.org/officeDocument/2006/relationships/externalLink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Users/Ignacio%20Castaneda/Dropbox/Frutillas/Jefes%202017-2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ersonas"/>
      <sheetName val="Nombre completo"/>
      <sheetName val="Apodos"/>
      <sheetName val="Apodos Cobranza"/>
    </sheetNames>
    <sheetDataSet>
      <sheetData sheetId="0">
        <row r="2">
          <cell r="A2" t="str">
            <v>Amalia</v>
          </cell>
          <cell r="B2" t="str">
            <v>Abogabir</v>
          </cell>
          <cell r="C2" t="str">
            <v>Condominio El Algarrobal 2 Casa Z-95</v>
          </cell>
          <cell r="D2" t="str">
            <v>Chicureo</v>
          </cell>
          <cell r="E2" t="str">
            <v>Piedra Roja</v>
          </cell>
          <cell r="F2" t="str">
            <v>CLSA</v>
          </cell>
          <cell r="G2" t="str">
            <v>JEFE</v>
          </cell>
          <cell r="H2">
            <v>56982328250</v>
          </cell>
          <cell r="I2" t="str">
            <v>amalia.abr@gmail.com</v>
          </cell>
          <cell r="J2" t="str">
            <v>Joaquin Eichholz</v>
          </cell>
        </row>
        <row r="3">
          <cell r="A3" t="str">
            <v>Maida</v>
          </cell>
          <cell r="B3" t="str">
            <v>Andrews</v>
          </cell>
          <cell r="C3" t="str">
            <v>Martin De Zamora 5245, Torre 2, Dpto 52</v>
          </cell>
          <cell r="D3" t="str">
            <v>Las Condes</v>
          </cell>
          <cell r="E3" t="str">
            <v>Manquehue</v>
          </cell>
          <cell r="F3" t="str">
            <v>VMA</v>
          </cell>
          <cell r="G3" t="str">
            <v>JEFE</v>
          </cell>
          <cell r="H3">
            <v>56954219968</v>
          </cell>
          <cell r="I3" t="str">
            <v>maidaandrews25@gmail.com</v>
          </cell>
          <cell r="J3" t="str">
            <v>Joaquin Eichholz</v>
          </cell>
        </row>
        <row r="4">
          <cell r="A4" t="str">
            <v>Gabriel</v>
          </cell>
          <cell r="B4" t="str">
            <v>Araneda</v>
          </cell>
          <cell r="C4" t="str">
            <v>Apoquindo 6797 Dpto 203-3</v>
          </cell>
          <cell r="D4" t="str">
            <v>Las Condes</v>
          </cell>
          <cell r="E4" t="str">
            <v>Manquehue</v>
          </cell>
          <cell r="F4" t="str">
            <v>UDD</v>
          </cell>
          <cell r="G4" t="str">
            <v>JEFE</v>
          </cell>
          <cell r="H4">
            <v>56976237859</v>
          </cell>
          <cell r="I4" t="str">
            <v>garanedaa@udd.cl</v>
          </cell>
          <cell r="J4" t="str">
            <v>Lukas Quense</v>
          </cell>
        </row>
        <row r="5">
          <cell r="A5" t="str">
            <v>Martin</v>
          </cell>
          <cell r="B5" t="str">
            <v>Araos</v>
          </cell>
          <cell r="C5" t="str">
            <v>Cristal De Roca 10542</v>
          </cell>
          <cell r="D5" t="str">
            <v>Chicureo</v>
          </cell>
          <cell r="E5" t="str">
            <v>La Radial</v>
          </cell>
          <cell r="F5" t="str">
            <v>Santa Cruz</v>
          </cell>
          <cell r="G5" t="str">
            <v>JEFE</v>
          </cell>
          <cell r="H5">
            <v>56962094749</v>
          </cell>
          <cell r="I5" t="str">
            <v>araos.m13@gmail.com</v>
          </cell>
          <cell r="J5" t="str">
            <v>Lukas Quense</v>
          </cell>
        </row>
        <row r="6">
          <cell r="A6" t="str">
            <v>Javi</v>
          </cell>
          <cell r="B6" t="str">
            <v>Bernaus</v>
          </cell>
          <cell r="C6" t="str">
            <v>Cerro La Campana 2311 Casa 2</v>
          </cell>
          <cell r="D6" t="str">
            <v>Lo Barnechea</v>
          </cell>
          <cell r="E6" t="str">
            <v>Los Trapenses</v>
          </cell>
          <cell r="F6" t="str">
            <v>UAI</v>
          </cell>
          <cell r="G6" t="str">
            <v>JEFE</v>
          </cell>
          <cell r="H6">
            <v>56993333225</v>
          </cell>
          <cell r="I6" t="str">
            <v>jbernaus@alumnos.uai.cl</v>
          </cell>
          <cell r="J6" t="str">
            <v>Ignacio Castañeda</v>
          </cell>
        </row>
        <row r="7">
          <cell r="A7" t="str">
            <v>Samuel</v>
          </cell>
          <cell r="B7" t="str">
            <v>Billikopf</v>
          </cell>
          <cell r="F7" t="str">
            <v>UC</v>
          </cell>
          <cell r="G7" t="str">
            <v>JEFE</v>
          </cell>
          <cell r="H7">
            <v>56977051605</v>
          </cell>
          <cell r="I7" t="str">
            <v>samuelbillikopfmujica@gmail.com</v>
          </cell>
          <cell r="J7" t="str">
            <v>Joaquin Eichholz</v>
          </cell>
        </row>
        <row r="8">
          <cell r="A8" t="str">
            <v>Paul</v>
          </cell>
          <cell r="B8" t="str">
            <v>Brenner</v>
          </cell>
          <cell r="C8" t="str">
            <v>San Jose De La Sierra 1105</v>
          </cell>
          <cell r="D8" t="str">
            <v>Las Condes</v>
          </cell>
          <cell r="E8" t="str">
            <v>Quinchamali</v>
          </cell>
          <cell r="F8" t="str">
            <v>UDD</v>
          </cell>
          <cell r="G8" t="str">
            <v>JEFE</v>
          </cell>
          <cell r="H8">
            <v>56955324629</v>
          </cell>
          <cell r="I8" t="str">
            <v>paulmartinbrenner@hotmail.com</v>
          </cell>
          <cell r="J8" t="str">
            <v>Lukas Quense</v>
          </cell>
        </row>
        <row r="9">
          <cell r="A9" t="str">
            <v>Alvaro</v>
          </cell>
          <cell r="B9" t="str">
            <v>Caviedes</v>
          </cell>
          <cell r="C9" t="str">
            <v>Cerro El Paico 9756</v>
          </cell>
          <cell r="D9" t="str">
            <v>Lo Barnechea</v>
          </cell>
          <cell r="E9" t="str">
            <v>Los Trapenses</v>
          </cell>
          <cell r="F9" t="str">
            <v>UC</v>
          </cell>
          <cell r="G9" t="str">
            <v>JEFE</v>
          </cell>
          <cell r="H9">
            <v>56963033603</v>
          </cell>
          <cell r="I9" t="str">
            <v>acaviedes@uc.cl</v>
          </cell>
          <cell r="J9" t="str">
            <v>Joaquin Eichholz</v>
          </cell>
        </row>
        <row r="10">
          <cell r="A10" t="str">
            <v>Ignacio</v>
          </cell>
          <cell r="B10" t="str">
            <v>Castañeda</v>
          </cell>
          <cell r="C10" t="str">
            <v>Punta de Aguilas Norte 9300 Casa 12</v>
          </cell>
          <cell r="D10" t="str">
            <v>Lo Barnechea</v>
          </cell>
          <cell r="E10" t="str">
            <v>Los Trapenses</v>
          </cell>
          <cell r="F10" t="str">
            <v>UC</v>
          </cell>
          <cell r="G10" t="str">
            <v>SOCIO</v>
          </cell>
          <cell r="H10">
            <v>56982328250</v>
          </cell>
          <cell r="I10" t="str">
            <v>icastanedaw@gmail.com</v>
          </cell>
          <cell r="J10" t="str">
            <v>Ignacio Castañeda</v>
          </cell>
        </row>
        <row r="11">
          <cell r="A11" t="str">
            <v>Majo</v>
          </cell>
          <cell r="B11" t="str">
            <v>Castañeda</v>
          </cell>
          <cell r="C11" t="str">
            <v>Punta de Aguilas Norte 9300 Casa 12</v>
          </cell>
          <cell r="D11" t="str">
            <v>Lo Barnechea</v>
          </cell>
          <cell r="E11" t="str">
            <v>Los Trapenses</v>
          </cell>
          <cell r="F11" t="str">
            <v>UAndes</v>
          </cell>
          <cell r="G11" t="str">
            <v>JEFE</v>
          </cell>
          <cell r="H11">
            <v>56982328251</v>
          </cell>
          <cell r="I11" t="str">
            <v>mjcastaneda@miuandes.cl</v>
          </cell>
          <cell r="J11" t="str">
            <v>Ignacio Castañeda</v>
          </cell>
        </row>
        <row r="12">
          <cell r="A12" t="str">
            <v>Vicky</v>
          </cell>
          <cell r="B12" t="str">
            <v>Chaparro</v>
          </cell>
          <cell r="C12" t="str">
            <v>Carolina Rabat 780 Casa 8</v>
          </cell>
          <cell r="D12" t="str">
            <v>Vitacura</v>
          </cell>
          <cell r="E12" t="str">
            <v>Santa Maria</v>
          </cell>
          <cell r="F12" t="str">
            <v>UDD</v>
          </cell>
          <cell r="G12" t="str">
            <v>JEFE</v>
          </cell>
          <cell r="H12">
            <v>56968348679</v>
          </cell>
          <cell r="I12" t="str">
            <v>mchaparroh@udd.cl</v>
          </cell>
          <cell r="J12" t="str">
            <v>Ignacio Castañeda</v>
          </cell>
        </row>
        <row r="13">
          <cell r="A13" t="str">
            <v>Antonia</v>
          </cell>
          <cell r="B13" t="str">
            <v>Cisternas</v>
          </cell>
          <cell r="C13" t="str">
            <v>Calle Parque 12700 Casa 38</v>
          </cell>
          <cell r="D13" t="str">
            <v>Lo Barnechea</v>
          </cell>
          <cell r="E13" t="str">
            <v>Los Trapenses</v>
          </cell>
          <cell r="G13" t="str">
            <v>JEFE</v>
          </cell>
          <cell r="H13">
            <v>56944346775</v>
          </cell>
          <cell r="I13" t="str">
            <v>antocisternas@hotmail.com</v>
          </cell>
          <cell r="J13" t="str">
            <v>Lukas Quense</v>
          </cell>
        </row>
        <row r="14">
          <cell r="A14" t="str">
            <v>Josefa</v>
          </cell>
          <cell r="B14" t="str">
            <v>Covarrubias</v>
          </cell>
          <cell r="C14" t="str">
            <v>Camino Las Flores 12163</v>
          </cell>
          <cell r="D14" t="str">
            <v>Las Condes</v>
          </cell>
          <cell r="E14" t="str">
            <v>San Carlos</v>
          </cell>
          <cell r="F14" t="str">
            <v>Saint George</v>
          </cell>
          <cell r="G14" t="str">
            <v>JEFE</v>
          </cell>
          <cell r="H14">
            <v>56995346870</v>
          </cell>
          <cell r="I14" t="str">
            <v>josefacovarrubias@gmail.com</v>
          </cell>
          <cell r="J14" t="str">
            <v>Joaquin Eichholz</v>
          </cell>
        </row>
        <row r="15">
          <cell r="A15" t="str">
            <v>Florencia</v>
          </cell>
          <cell r="B15" t="str">
            <v>Croxatto</v>
          </cell>
          <cell r="C15" t="str">
            <v>Los Olivos 12179</v>
          </cell>
          <cell r="D15" t="str">
            <v>Las Condes</v>
          </cell>
          <cell r="E15" t="str">
            <v>San Carlos</v>
          </cell>
          <cell r="F15" t="str">
            <v>UC</v>
          </cell>
          <cell r="G15" t="str">
            <v>JEFE</v>
          </cell>
          <cell r="H15">
            <v>56963061299</v>
          </cell>
          <cell r="I15" t="str">
            <v>fcroxatto@uc.cl</v>
          </cell>
          <cell r="J15" t="str">
            <v>Joaquin Eichholz</v>
          </cell>
        </row>
        <row r="16">
          <cell r="A16" t="str">
            <v>Joaquin</v>
          </cell>
          <cell r="B16" t="str">
            <v>Daly</v>
          </cell>
          <cell r="C16" t="str">
            <v>Polo 1 de Manquehue Casa 112</v>
          </cell>
          <cell r="D16" t="str">
            <v>Chicureo</v>
          </cell>
          <cell r="E16" t="str">
            <v>Piedra Roja</v>
          </cell>
          <cell r="F16" t="str">
            <v>CSA</v>
          </cell>
          <cell r="G16" t="str">
            <v>JEFE</v>
          </cell>
          <cell r="H16">
            <v>56979987750</v>
          </cell>
          <cell r="I16" t="str">
            <v>dalyjoaquin@gmail.com</v>
          </cell>
          <cell r="J16" t="str">
            <v>Lukas Quense</v>
          </cell>
        </row>
        <row r="17">
          <cell r="A17" t="str">
            <v>Dominique</v>
          </cell>
          <cell r="B17" t="str">
            <v>Daroch</v>
          </cell>
          <cell r="C17" t="str">
            <v>El Algarrobal 2 Casa U2</v>
          </cell>
          <cell r="D17" t="str">
            <v>Chicureo</v>
          </cell>
          <cell r="E17" t="str">
            <v>Vespucio</v>
          </cell>
          <cell r="F17" t="str">
            <v>Highlands</v>
          </cell>
          <cell r="G17" t="str">
            <v>JEFE</v>
          </cell>
          <cell r="H17">
            <v>56974474437</v>
          </cell>
          <cell r="I17" t="str">
            <v>dominique_daroch@hotmail.com</v>
          </cell>
          <cell r="J17" t="str">
            <v>Ignacio Castañeda</v>
          </cell>
        </row>
        <row r="18">
          <cell r="A18" t="str">
            <v>Camila</v>
          </cell>
          <cell r="B18" t="str">
            <v>De La Sotta</v>
          </cell>
          <cell r="C18" t="str">
            <v>Jose de Moraleda 4837</v>
          </cell>
          <cell r="D18" t="str">
            <v>Las Condes</v>
          </cell>
          <cell r="E18" t="str">
            <v>Vespucio</v>
          </cell>
          <cell r="F18" t="str">
            <v>UDD</v>
          </cell>
          <cell r="G18" t="str">
            <v>JEFE</v>
          </cell>
          <cell r="H18">
            <v>56967289638</v>
          </cell>
          <cell r="I18" t="str">
            <v>camila.delasotta@gmail.com</v>
          </cell>
          <cell r="J18" t="str">
            <v>Ignacio Castañeda</v>
          </cell>
        </row>
        <row r="19">
          <cell r="A19" t="str">
            <v>Amelia</v>
          </cell>
          <cell r="B19" t="str">
            <v>Del Rio</v>
          </cell>
          <cell r="C19" t="str">
            <v>Candelaria Goyenechea 5765</v>
          </cell>
          <cell r="D19" t="str">
            <v>Vitacura</v>
          </cell>
          <cell r="E19" t="str">
            <v>Manquehue</v>
          </cell>
          <cell r="F19" t="str">
            <v>UCH</v>
          </cell>
          <cell r="G19" t="str">
            <v>JEFE</v>
          </cell>
          <cell r="H19">
            <v>56998222891</v>
          </cell>
          <cell r="I19" t="str">
            <v>adelrioa@fen.uchile.cl</v>
          </cell>
          <cell r="J19" t="str">
            <v>Ignacio Castañeda</v>
          </cell>
        </row>
        <row r="20">
          <cell r="A20" t="str">
            <v>Javi</v>
          </cell>
          <cell r="B20" t="str">
            <v>Del Rio</v>
          </cell>
          <cell r="C20" t="str">
            <v>Valle del monasterio 2664</v>
          </cell>
          <cell r="D20" t="str">
            <v>Lo Barnechea</v>
          </cell>
          <cell r="E20" t="str">
            <v>Los Trapenses</v>
          </cell>
          <cell r="F20" t="str">
            <v>UC</v>
          </cell>
          <cell r="G20" t="str">
            <v>JEFE</v>
          </cell>
          <cell r="H20">
            <v>56967898535</v>
          </cell>
          <cell r="I20" t="str">
            <v>jpdelrio@uc.cl</v>
          </cell>
          <cell r="J20" t="str">
            <v>Ignacio Castañeda</v>
          </cell>
        </row>
        <row r="21">
          <cell r="A21" t="str">
            <v>Constanza</v>
          </cell>
          <cell r="B21" t="str">
            <v>Delfau</v>
          </cell>
          <cell r="C21" t="str">
            <v>Calle Parque 12700 Casa 1</v>
          </cell>
          <cell r="D21" t="str">
            <v>Lo Barnechea</v>
          </cell>
          <cell r="E21" t="str">
            <v>La Dehesa</v>
          </cell>
          <cell r="F21" t="str">
            <v>UC</v>
          </cell>
          <cell r="G21" t="str">
            <v>JEFE</v>
          </cell>
          <cell r="H21">
            <v>56991889995</v>
          </cell>
          <cell r="I21" t="str">
            <v>conidelfau@gmail.com</v>
          </cell>
          <cell r="J21" t="str">
            <v>Ignacio Castañeda</v>
          </cell>
        </row>
        <row r="22">
          <cell r="A22" t="str">
            <v>Rosario</v>
          </cell>
          <cell r="B22" t="str">
            <v>Diez</v>
          </cell>
          <cell r="C22" t="str">
            <v>Hermanos Cabott 6671</v>
          </cell>
          <cell r="D22" t="str">
            <v>Las Condes</v>
          </cell>
          <cell r="E22" t="str">
            <v>Manquehue</v>
          </cell>
          <cell r="F22" t="str">
            <v>Aleman</v>
          </cell>
          <cell r="G22" t="str">
            <v>JEFE</v>
          </cell>
          <cell r="H22">
            <v>56997267212</v>
          </cell>
          <cell r="I22" t="str">
            <v>rdiezperry@gmail.com</v>
          </cell>
          <cell r="J22" t="str">
            <v>Lukas Quense</v>
          </cell>
        </row>
        <row r="23">
          <cell r="A23" t="str">
            <v>Pilar</v>
          </cell>
          <cell r="B23" t="str">
            <v>Edwards</v>
          </cell>
          <cell r="C23" t="str">
            <v>El Roquerio 2028</v>
          </cell>
          <cell r="D23" t="str">
            <v>Lo Barnechea</v>
          </cell>
          <cell r="E23" t="str">
            <v>Los Trapenses</v>
          </cell>
          <cell r="F23" t="str">
            <v>UDD</v>
          </cell>
          <cell r="G23" t="str">
            <v>JEFE</v>
          </cell>
          <cell r="H23">
            <v>56983708702</v>
          </cell>
          <cell r="I23" t="str">
            <v>piliedwards@gmail.com</v>
          </cell>
          <cell r="J23" t="str">
            <v>Joaquin Eichholz</v>
          </cell>
        </row>
        <row r="24">
          <cell r="A24" t="str">
            <v>Joaquin</v>
          </cell>
          <cell r="B24" t="str">
            <v>Eichholz</v>
          </cell>
          <cell r="C24" t="str">
            <v>Estrella Del Norte 980 Dpto 154</v>
          </cell>
          <cell r="D24" t="str">
            <v>Las Condes</v>
          </cell>
          <cell r="E24" t="str">
            <v>Alto Las Condes</v>
          </cell>
          <cell r="F24" t="str">
            <v>UC</v>
          </cell>
          <cell r="G24" t="str">
            <v>SOCIO</v>
          </cell>
          <cell r="H24">
            <v>56996324787</v>
          </cell>
          <cell r="I24" t="str">
            <v>joaquin.eichholz@gmail.com</v>
          </cell>
          <cell r="J24" t="str">
            <v>Joaquin Eichholz</v>
          </cell>
        </row>
        <row r="25">
          <cell r="A25" t="str">
            <v>Maria Jesus</v>
          </cell>
          <cell r="B25" t="str">
            <v>Elias</v>
          </cell>
          <cell r="C25" t="str">
            <v>Manquehue Norte 555</v>
          </cell>
          <cell r="D25" t="str">
            <v>Las Condes</v>
          </cell>
          <cell r="E25" t="str">
            <v>Manquehue</v>
          </cell>
          <cell r="F25" t="str">
            <v>UDD</v>
          </cell>
          <cell r="G25" t="str">
            <v>JEFE</v>
          </cell>
          <cell r="H25">
            <v>56958589916</v>
          </cell>
          <cell r="I25" t="str">
            <v>meliasm@udd.cl</v>
          </cell>
          <cell r="J25" t="str">
            <v>Lukas Quense</v>
          </cell>
        </row>
        <row r="26">
          <cell r="A26" t="str">
            <v>Rafael</v>
          </cell>
          <cell r="B26" t="str">
            <v>Errazuriz</v>
          </cell>
          <cell r="C26" t="str">
            <v>Pasaje La Aurora 1883</v>
          </cell>
          <cell r="D26" t="str">
            <v>Vitacura</v>
          </cell>
          <cell r="E26" t="str">
            <v>Estoril</v>
          </cell>
          <cell r="F26" t="str">
            <v>UDD</v>
          </cell>
          <cell r="G26" t="str">
            <v>JEFE</v>
          </cell>
          <cell r="H26">
            <v>56995483434</v>
          </cell>
          <cell r="I26" t="str">
            <v>rerrazurizf@udd.cl</v>
          </cell>
          <cell r="J26" t="str">
            <v>Joaquin Eichholz</v>
          </cell>
        </row>
        <row r="27">
          <cell r="A27" t="str">
            <v>Isidora</v>
          </cell>
          <cell r="B27" t="str">
            <v>Fernandez</v>
          </cell>
          <cell r="C27" t="str">
            <v>Casa De Piedra 2628</v>
          </cell>
          <cell r="D27" t="str">
            <v>Las Condes</v>
          </cell>
          <cell r="E27" t="str">
            <v>San Carlos</v>
          </cell>
          <cell r="F27" t="str">
            <v>UAndes</v>
          </cell>
          <cell r="G27" t="str">
            <v>JEFE</v>
          </cell>
          <cell r="H27">
            <v>56997550244</v>
          </cell>
          <cell r="I27" t="str">
            <v>ifernandez1@miuandes.cl</v>
          </cell>
          <cell r="J27" t="str">
            <v>Joaquin Eichholz</v>
          </cell>
        </row>
        <row r="28">
          <cell r="A28" t="str">
            <v>Maria Luisa</v>
          </cell>
          <cell r="B28" t="str">
            <v>Fernandez</v>
          </cell>
          <cell r="C28" t="str">
            <v>La Invernada 7005</v>
          </cell>
          <cell r="D28" t="str">
            <v>Vitacura</v>
          </cell>
          <cell r="E28" t="str">
            <v>Santa Maria</v>
          </cell>
          <cell r="F28" t="str">
            <v>UCH</v>
          </cell>
          <cell r="G28" t="str">
            <v>JEFE</v>
          </cell>
          <cell r="H28">
            <v>56982978895</v>
          </cell>
          <cell r="I28" t="str">
            <v>guisa97@hotmail.com</v>
          </cell>
          <cell r="J28" t="str">
            <v>Lukas Quense</v>
          </cell>
        </row>
        <row r="29">
          <cell r="A29" t="str">
            <v>Rodrigo</v>
          </cell>
          <cell r="B29" t="str">
            <v>Fernandez</v>
          </cell>
          <cell r="C29" t="str">
            <v>Las Hualtatas 4555 Casa 9</v>
          </cell>
          <cell r="D29" t="str">
            <v>Lo Barnechea</v>
          </cell>
          <cell r="E29" t="str">
            <v>Los Trapenses</v>
          </cell>
          <cell r="F29" t="str">
            <v>UC</v>
          </cell>
          <cell r="G29" t="str">
            <v>JEFE</v>
          </cell>
          <cell r="H29">
            <v>56986194003</v>
          </cell>
          <cell r="I29" t="str">
            <v>rfernandezdelrio@uc.cl</v>
          </cell>
          <cell r="J29" t="str">
            <v>Lukas Quense</v>
          </cell>
        </row>
        <row r="30">
          <cell r="A30" t="str">
            <v>Tere</v>
          </cell>
          <cell r="B30" t="str">
            <v>Fernandez</v>
          </cell>
          <cell r="C30" t="str">
            <v>Las Torcazas 3080</v>
          </cell>
          <cell r="D30" t="str">
            <v>Chicureo</v>
          </cell>
          <cell r="E30" t="str">
            <v>Colina</v>
          </cell>
          <cell r="F30" t="str">
            <v>Highlands</v>
          </cell>
          <cell r="G30" t="str">
            <v>JEFE</v>
          </cell>
          <cell r="H30">
            <v>56965542496</v>
          </cell>
          <cell r="I30" t="str">
            <v>terefernandez99@yahoo.com</v>
          </cell>
          <cell r="J30" t="str">
            <v>Lukas Quense</v>
          </cell>
        </row>
        <row r="31">
          <cell r="A31" t="str">
            <v>Diego</v>
          </cell>
          <cell r="B31" t="str">
            <v>Figueroa</v>
          </cell>
          <cell r="C31" t="str">
            <v>Las Lavandulas 10006</v>
          </cell>
          <cell r="D31" t="str">
            <v>Las Condes</v>
          </cell>
          <cell r="E31" t="str">
            <v>San Carlos</v>
          </cell>
          <cell r="G31" t="str">
            <v>JEFE</v>
          </cell>
          <cell r="H31">
            <v>56979579233</v>
          </cell>
          <cell r="I31" t="str">
            <v>diegofiba2@gmail.com</v>
          </cell>
          <cell r="J31" t="str">
            <v>Joaquin Eichholz</v>
          </cell>
        </row>
        <row r="32">
          <cell r="A32" t="str">
            <v>Matias</v>
          </cell>
          <cell r="B32" t="str">
            <v>Flores</v>
          </cell>
          <cell r="C32" t="str">
            <v>Condominio Sta Teresita P14 Sta Ester De Liray</v>
          </cell>
          <cell r="D32" t="str">
            <v>Chicureo</v>
          </cell>
          <cell r="E32" t="str">
            <v>Lo Pinto</v>
          </cell>
          <cell r="F32" t="str">
            <v>UDD</v>
          </cell>
          <cell r="G32" t="str">
            <v>JEFE</v>
          </cell>
          <cell r="H32">
            <v>56986351953</v>
          </cell>
          <cell r="I32" t="str">
            <v>matifloresdonetch@hotmail.com</v>
          </cell>
          <cell r="J32" t="str">
            <v>Ignacio Castañeda</v>
          </cell>
        </row>
        <row r="33">
          <cell r="A33" t="str">
            <v>Benjamin</v>
          </cell>
          <cell r="B33" t="str">
            <v>Hartmann</v>
          </cell>
          <cell r="C33" t="str">
            <v>Camino Otonal 1368 Casa 6</v>
          </cell>
          <cell r="D33" t="str">
            <v>Las Condes</v>
          </cell>
          <cell r="E33" t="str">
            <v>San Carlos</v>
          </cell>
          <cell r="F33" t="str">
            <v>UC</v>
          </cell>
          <cell r="G33" t="str">
            <v>JEFE</v>
          </cell>
          <cell r="H33">
            <v>56982958975</v>
          </cell>
          <cell r="I33" t="str">
            <v>hartmann12@gmail.com</v>
          </cell>
          <cell r="J33" t="str">
            <v>Ignacio Castañeda</v>
          </cell>
        </row>
        <row r="34">
          <cell r="A34" t="str">
            <v>Mauricio</v>
          </cell>
          <cell r="B34" t="str">
            <v>Hernandez</v>
          </cell>
          <cell r="C34" t="str">
            <v>Julia Bernstein 607 Casa G-40</v>
          </cell>
          <cell r="D34" t="str">
            <v>La Reina</v>
          </cell>
          <cell r="E34" t="str">
            <v>La Reina</v>
          </cell>
          <cell r="F34" t="str">
            <v>UCH</v>
          </cell>
          <cell r="G34" t="str">
            <v>JEFE</v>
          </cell>
          <cell r="H34">
            <v>56965951459</v>
          </cell>
          <cell r="I34" t="str">
            <v>mauhernand@fen.uchile.cl</v>
          </cell>
          <cell r="J34" t="str">
            <v>Lukas Quense</v>
          </cell>
        </row>
        <row r="35">
          <cell r="A35" t="str">
            <v>Andres</v>
          </cell>
          <cell r="B35" t="str">
            <v>Infante</v>
          </cell>
          <cell r="C35" t="str">
            <v>Camino De Las Ermitas 3804</v>
          </cell>
          <cell r="D35" t="str">
            <v>Lo Barnechea</v>
          </cell>
          <cell r="E35" t="str">
            <v>Los Trapenses</v>
          </cell>
          <cell r="F35" t="str">
            <v>UAI</v>
          </cell>
          <cell r="G35" t="str">
            <v>JEFE</v>
          </cell>
          <cell r="H35">
            <v>56979891544</v>
          </cell>
          <cell r="I35" t="str">
            <v>andres_infanter@hotmail.com</v>
          </cell>
          <cell r="J35" t="str">
            <v>Lukas Quense</v>
          </cell>
        </row>
        <row r="36">
          <cell r="A36" t="str">
            <v>Cata</v>
          </cell>
          <cell r="B36" t="str">
            <v>Izcue</v>
          </cell>
          <cell r="C36" t="str">
            <v>Los Pumas 11996</v>
          </cell>
          <cell r="D36" t="str">
            <v>Las Condes</v>
          </cell>
          <cell r="E36" t="str">
            <v>San Carlos</v>
          </cell>
          <cell r="F36" t="str">
            <v>Los Andes</v>
          </cell>
          <cell r="G36" t="str">
            <v>JEFE</v>
          </cell>
          <cell r="H36">
            <v>56995952212</v>
          </cell>
          <cell r="I36" t="str">
            <v>cataizcue@gmail.com</v>
          </cell>
          <cell r="J36" t="str">
            <v>Lukas Quense</v>
          </cell>
        </row>
        <row r="37">
          <cell r="A37" t="str">
            <v>Margarita</v>
          </cell>
          <cell r="B37" t="str">
            <v>Joglar</v>
          </cell>
          <cell r="C37" t="str">
            <v>Camino Los Trapenses 4860 Casa 9</v>
          </cell>
          <cell r="D37" t="str">
            <v>Lo Barnechea</v>
          </cell>
          <cell r="E37" t="str">
            <v>Los Trapenses</v>
          </cell>
          <cell r="G37" t="str">
            <v>JEFE</v>
          </cell>
          <cell r="H37">
            <v>56963124612</v>
          </cell>
          <cell r="I37" t="str">
            <v>magui.joglar22@gmail.com</v>
          </cell>
          <cell r="J37" t="str">
            <v>Lukas Quense</v>
          </cell>
        </row>
        <row r="38">
          <cell r="A38" t="str">
            <v>Ric</v>
          </cell>
          <cell r="B38" t="str">
            <v>Jungk</v>
          </cell>
          <cell r="C38" t="str">
            <v>Pasaje Pie Andino 4209A</v>
          </cell>
          <cell r="D38" t="str">
            <v>Lo Barnechea</v>
          </cell>
          <cell r="E38" t="str">
            <v>La Dehesa</v>
          </cell>
          <cell r="F38" t="str">
            <v>UAndes</v>
          </cell>
          <cell r="G38" t="str">
            <v>JEFE</v>
          </cell>
          <cell r="H38">
            <v>56966477967</v>
          </cell>
          <cell r="I38" t="str">
            <v>rtjungk@miuandes.cl</v>
          </cell>
          <cell r="J38" t="str">
            <v>Ignacio Castañeda</v>
          </cell>
        </row>
        <row r="39">
          <cell r="A39" t="str">
            <v>Matias</v>
          </cell>
          <cell r="B39" t="str">
            <v>Krumm</v>
          </cell>
          <cell r="C39" t="str">
            <v>La Cienaga 12315</v>
          </cell>
          <cell r="D39" t="str">
            <v>Lo Barnechea</v>
          </cell>
          <cell r="E39" t="str">
            <v>La Dehesa</v>
          </cell>
          <cell r="F39" t="str">
            <v>UAI</v>
          </cell>
          <cell r="G39" t="str">
            <v>JEFE</v>
          </cell>
          <cell r="H39">
            <v>56988587944</v>
          </cell>
          <cell r="I39" t="str">
            <v>matiask7@gmail.com</v>
          </cell>
          <cell r="J39" t="str">
            <v>Lukas Quense</v>
          </cell>
        </row>
        <row r="40">
          <cell r="A40" t="str">
            <v>Juan Diego</v>
          </cell>
          <cell r="B40" t="str">
            <v>Lyon</v>
          </cell>
          <cell r="C40" t="str">
            <v>Las Hualtatas 10725</v>
          </cell>
          <cell r="D40" t="str">
            <v>Vitacura</v>
          </cell>
          <cell r="E40" t="str">
            <v>Estoril</v>
          </cell>
          <cell r="F40" t="str">
            <v>UAndes</v>
          </cell>
          <cell r="G40" t="str">
            <v>JEFE</v>
          </cell>
          <cell r="H40">
            <v>56977684576</v>
          </cell>
          <cell r="I40" t="str">
            <v>juandiegolyon@gmail.com</v>
          </cell>
          <cell r="J40" t="str">
            <v>Joaquin Eichholz</v>
          </cell>
        </row>
        <row r="41">
          <cell r="A41" t="str">
            <v>Bernardita</v>
          </cell>
          <cell r="B41" t="str">
            <v>Mackenney</v>
          </cell>
          <cell r="C41" t="str">
            <v>La Fontana 11221</v>
          </cell>
          <cell r="D41" t="str">
            <v>Las Condes</v>
          </cell>
          <cell r="E41" t="str">
            <v>San Carlos</v>
          </cell>
          <cell r="F41" t="str">
            <v>UC</v>
          </cell>
          <cell r="G41" t="str">
            <v>JEFE</v>
          </cell>
          <cell r="H41">
            <v>56978785698</v>
          </cell>
          <cell r="I41" t="str">
            <v>bmackenney@uc.cl</v>
          </cell>
          <cell r="J41" t="str">
            <v>Joaquin Eichholz</v>
          </cell>
        </row>
        <row r="42">
          <cell r="A42" t="str">
            <v>Michella</v>
          </cell>
          <cell r="B42" t="str">
            <v>Mascarello</v>
          </cell>
          <cell r="C42" t="str">
            <v>Quinchamali 14336</v>
          </cell>
          <cell r="D42" t="str">
            <v>Las Condes</v>
          </cell>
          <cell r="E42" t="str">
            <v>Quinchamali</v>
          </cell>
          <cell r="F42" t="str">
            <v>UC</v>
          </cell>
          <cell r="G42" t="str">
            <v>JEFE</v>
          </cell>
          <cell r="H42">
            <v>56979878976</v>
          </cell>
          <cell r="I42" t="str">
            <v>miki.mascarello@gmail.com</v>
          </cell>
          <cell r="J42" t="str">
            <v>Joaquin Eichholz</v>
          </cell>
        </row>
        <row r="43">
          <cell r="A43" t="str">
            <v>Vicente</v>
          </cell>
          <cell r="B43" t="str">
            <v>Mayol</v>
          </cell>
          <cell r="C43" t="str">
            <v>Paseo Pie Andino 6500 Casa O</v>
          </cell>
          <cell r="D43" t="str">
            <v>Lo Barnechea</v>
          </cell>
          <cell r="E43" t="str">
            <v>Los Trapenses</v>
          </cell>
          <cell r="F43" t="str">
            <v>Monte Tabor</v>
          </cell>
          <cell r="G43" t="str">
            <v>JEFE</v>
          </cell>
          <cell r="H43">
            <v>56978189115</v>
          </cell>
          <cell r="I43" t="str">
            <v>vmayol@live.cl</v>
          </cell>
          <cell r="J43" t="str">
            <v>Lukas Quense</v>
          </cell>
        </row>
        <row r="44">
          <cell r="A44" t="str">
            <v>Jesu</v>
          </cell>
          <cell r="B44" t="str">
            <v>Mckay</v>
          </cell>
          <cell r="C44" t="str">
            <v>Blvd Jardin De Los Pajaros 4700 Casa 5</v>
          </cell>
          <cell r="D44" t="str">
            <v>Lo Barnechea</v>
          </cell>
          <cell r="E44" t="str">
            <v>Los Trapenses</v>
          </cell>
          <cell r="F44" t="str">
            <v>CLA</v>
          </cell>
          <cell r="G44" t="str">
            <v>JEFE</v>
          </cell>
          <cell r="H44">
            <v>56971837517</v>
          </cell>
          <cell r="I44" t="str">
            <v>jesumckayg@hotmail.com</v>
          </cell>
          <cell r="J44" t="str">
            <v>Joaquin Eichholz</v>
          </cell>
        </row>
        <row r="45">
          <cell r="A45" t="str">
            <v>Ignacio</v>
          </cell>
          <cell r="B45" t="str">
            <v>Montt</v>
          </cell>
          <cell r="C45" t="str">
            <v>Rio Maule 475</v>
          </cell>
          <cell r="D45" t="str">
            <v>Las Condes</v>
          </cell>
          <cell r="E45" t="str">
            <v>Estoril</v>
          </cell>
          <cell r="G45" t="str">
            <v>JEFE</v>
          </cell>
          <cell r="H45">
            <v>56954243532</v>
          </cell>
          <cell r="I45" t="str">
            <v>imontt@miuandes.cl</v>
          </cell>
          <cell r="J45" t="str">
            <v>Joaquin Eichholz</v>
          </cell>
        </row>
        <row r="46">
          <cell r="A46" t="str">
            <v>Ignacio</v>
          </cell>
          <cell r="B46" t="str">
            <v>Morales</v>
          </cell>
          <cell r="C46" t="str">
            <v>Cristobal Colon 4696 Dpto 1403</v>
          </cell>
          <cell r="D46" t="str">
            <v>Las Condes</v>
          </cell>
          <cell r="E46" t="str">
            <v>Colon</v>
          </cell>
          <cell r="F46" t="str">
            <v>UC</v>
          </cell>
          <cell r="G46" t="str">
            <v>JEFE</v>
          </cell>
          <cell r="H46">
            <v>56993024442</v>
          </cell>
          <cell r="I46" t="str">
            <v>ibmorales@uc.cl</v>
          </cell>
          <cell r="J46" t="str">
            <v>Lukas Quense</v>
          </cell>
        </row>
        <row r="47">
          <cell r="A47" t="str">
            <v>Rodrigo</v>
          </cell>
          <cell r="B47" t="str">
            <v>Morales</v>
          </cell>
          <cell r="C47" t="str">
            <v>Los Trapenses 3230</v>
          </cell>
          <cell r="D47" t="str">
            <v>Lo Barnechea</v>
          </cell>
          <cell r="E47" t="str">
            <v>Los Trapenses</v>
          </cell>
          <cell r="F47" t="str">
            <v>UDD</v>
          </cell>
          <cell r="G47" t="str">
            <v>JEFE</v>
          </cell>
          <cell r="H47">
            <v>56975684552</v>
          </cell>
          <cell r="I47" t="str">
            <v>morales.villar25@gmail.com</v>
          </cell>
          <cell r="J47" t="str">
            <v>Lukas Quense</v>
          </cell>
        </row>
        <row r="48">
          <cell r="A48" t="str">
            <v>Josefina</v>
          </cell>
          <cell r="B48" t="str">
            <v>Nazer</v>
          </cell>
          <cell r="C48" t="str">
            <v>Camino del ayuntamiento 2087</v>
          </cell>
          <cell r="D48" t="str">
            <v>Lo Barnechea</v>
          </cell>
          <cell r="E48" t="str">
            <v>La Dehesa</v>
          </cell>
          <cell r="F48" t="str">
            <v>Newland</v>
          </cell>
          <cell r="G48" t="str">
            <v>JEFE</v>
          </cell>
          <cell r="H48">
            <v>56998246537</v>
          </cell>
          <cell r="I48" t="str">
            <v>cotenazer@hotmail.com</v>
          </cell>
          <cell r="J48" t="str">
            <v>Lukas Quense</v>
          </cell>
        </row>
        <row r="49">
          <cell r="A49" t="str">
            <v>Raimundo</v>
          </cell>
          <cell r="B49" t="str">
            <v>Opazo</v>
          </cell>
          <cell r="C49" t="str">
            <v>Av Contralmirante Fernandez Vial 10455</v>
          </cell>
          <cell r="D49" t="str">
            <v>Lo Barnechea</v>
          </cell>
          <cell r="E49" t="str">
            <v>Los Trapenses</v>
          </cell>
          <cell r="F49" t="str">
            <v>Monte Tabor</v>
          </cell>
          <cell r="G49" t="str">
            <v>JEFE</v>
          </cell>
          <cell r="H49">
            <v>56952304675</v>
          </cell>
          <cell r="I49" t="str">
            <v>opazoraimundo@gmail.com</v>
          </cell>
          <cell r="J49" t="str">
            <v>Lukas Quense</v>
          </cell>
        </row>
        <row r="50">
          <cell r="A50" t="str">
            <v>Vicente</v>
          </cell>
          <cell r="B50" t="str">
            <v>Opazo</v>
          </cell>
          <cell r="C50" t="str">
            <v>Av Contralmirante Fernandez Vial 10455</v>
          </cell>
          <cell r="D50" t="str">
            <v>Lo Barnechea</v>
          </cell>
          <cell r="E50" t="str">
            <v>Los Trapenses</v>
          </cell>
          <cell r="F50" t="str">
            <v>Monte Tabor</v>
          </cell>
          <cell r="G50" t="str">
            <v>JEFE</v>
          </cell>
          <cell r="H50">
            <v>56994178481</v>
          </cell>
          <cell r="I50" t="str">
            <v>vicente.opazo2005@gmail.com</v>
          </cell>
          <cell r="J50" t="str">
            <v>Lukas Quense</v>
          </cell>
        </row>
        <row r="51">
          <cell r="A51" t="str">
            <v>Trinidad</v>
          </cell>
          <cell r="B51" t="str">
            <v>Ossa</v>
          </cell>
          <cell r="C51" t="str">
            <v>Escribano Diego Rutal 2471</v>
          </cell>
          <cell r="D51" t="str">
            <v>Vitacura</v>
          </cell>
          <cell r="E51" t="str">
            <v>Vespucio</v>
          </cell>
          <cell r="G51" t="str">
            <v>JEFE</v>
          </cell>
          <cell r="H51">
            <v>56978647106</v>
          </cell>
          <cell r="I51" t="str">
            <v>trinidadossag@gmail.com</v>
          </cell>
          <cell r="J51" t="str">
            <v>Ignacio Castañeda</v>
          </cell>
        </row>
        <row r="52">
          <cell r="A52" t="str">
            <v>Sofia</v>
          </cell>
          <cell r="B52" t="str">
            <v>Ovalle</v>
          </cell>
          <cell r="C52" t="str">
            <v>Manuel Guzman Maturana 1900 Casa 9</v>
          </cell>
          <cell r="D52" t="str">
            <v>Lo Barnechea</v>
          </cell>
          <cell r="E52" t="str">
            <v>Los Trapenses</v>
          </cell>
          <cell r="F52" t="str">
            <v>UDD</v>
          </cell>
          <cell r="G52" t="str">
            <v>JEFE</v>
          </cell>
          <cell r="H52">
            <v>56987143347</v>
          </cell>
          <cell r="I52" t="str">
            <v>maovallel@udd.cl</v>
          </cell>
          <cell r="J52" t="str">
            <v>Lukas Quense</v>
          </cell>
        </row>
        <row r="53">
          <cell r="A53" t="str">
            <v>Francesco</v>
          </cell>
          <cell r="B53" t="str">
            <v>Pamparana</v>
          </cell>
          <cell r="C53" t="str">
            <v>Parque Las Garzas 16, Condominio Las Banadadas</v>
          </cell>
          <cell r="D53" t="str">
            <v>Chicureo</v>
          </cell>
          <cell r="E53" t="str">
            <v>Piedra Roja</v>
          </cell>
          <cell r="F53" t="str">
            <v>UDD</v>
          </cell>
          <cell r="G53" t="str">
            <v>JEFE</v>
          </cell>
          <cell r="H53">
            <v>56984695829</v>
          </cell>
          <cell r="I53" t="str">
            <v>pancho.pamparana@gmail.com</v>
          </cell>
          <cell r="J53" t="str">
            <v>Lukas Quense</v>
          </cell>
        </row>
        <row r="54">
          <cell r="A54" t="str">
            <v>Trinidad</v>
          </cell>
          <cell r="B54" t="str">
            <v>Pereira</v>
          </cell>
          <cell r="C54" t="str">
            <v>Punta de Aguilas 4311</v>
          </cell>
          <cell r="D54" t="str">
            <v>Lo Barnechea</v>
          </cell>
          <cell r="E54" t="str">
            <v>Los Trapenses</v>
          </cell>
          <cell r="F54" t="str">
            <v>UAB</v>
          </cell>
          <cell r="G54" t="str">
            <v>JEFE</v>
          </cell>
          <cell r="H54">
            <v>56968320616</v>
          </cell>
          <cell r="I54" t="str">
            <v>trinipereira@gmail.com</v>
          </cell>
          <cell r="J54" t="str">
            <v>Ignacio Castañeda</v>
          </cell>
        </row>
        <row r="55">
          <cell r="A55" t="str">
            <v>Agustina</v>
          </cell>
          <cell r="B55" t="str">
            <v>Pineda</v>
          </cell>
          <cell r="C55" t="str">
            <v>Artigas 643</v>
          </cell>
          <cell r="D55" t="str">
            <v>Vitacura</v>
          </cell>
          <cell r="E55" t="str">
            <v>Santa Maria</v>
          </cell>
          <cell r="F55" t="str">
            <v>Pacifico</v>
          </cell>
          <cell r="G55" t="str">
            <v>JEFE</v>
          </cell>
          <cell r="H55">
            <v>56991997991</v>
          </cell>
          <cell r="I55" t="str">
            <v>agustina-pineda@hotmail.com</v>
          </cell>
          <cell r="J55" t="str">
            <v>Lukas Quense</v>
          </cell>
        </row>
        <row r="56">
          <cell r="A56" t="str">
            <v>Benjamin</v>
          </cell>
          <cell r="B56" t="str">
            <v>Piña</v>
          </cell>
          <cell r="C56" t="str">
            <v>La Cienaga 12184</v>
          </cell>
          <cell r="D56" t="str">
            <v>Lo Barnechea</v>
          </cell>
          <cell r="E56" t="str">
            <v>La Dehesa</v>
          </cell>
          <cell r="F56" t="str">
            <v>Uandes</v>
          </cell>
          <cell r="G56" t="str">
            <v>JEFE</v>
          </cell>
          <cell r="H56">
            <v>56974529859</v>
          </cell>
          <cell r="I56" t="str">
            <v>pina.benjamin@gmail.com</v>
          </cell>
          <cell r="J56" t="str">
            <v>Ignacio Castañeda</v>
          </cell>
        </row>
        <row r="57">
          <cell r="A57" t="str">
            <v>Lukas</v>
          </cell>
          <cell r="B57" t="str">
            <v>Quense</v>
          </cell>
          <cell r="C57" t="str">
            <v>Cerro Cortadera 9897</v>
          </cell>
          <cell r="D57" t="str">
            <v>Lo Barnechea</v>
          </cell>
          <cell r="E57" t="str">
            <v>Los Trapenses</v>
          </cell>
          <cell r="F57" t="str">
            <v>UC</v>
          </cell>
          <cell r="G57" t="str">
            <v>SOCIO</v>
          </cell>
          <cell r="H57">
            <v>56987217393</v>
          </cell>
          <cell r="I57" t="str">
            <v>lukas.quense@gmail.com</v>
          </cell>
          <cell r="J57" t="str">
            <v>Lukas Quense</v>
          </cell>
        </row>
        <row r="58">
          <cell r="A58" t="str">
            <v>Josefina</v>
          </cell>
          <cell r="B58" t="str">
            <v>Quiroga</v>
          </cell>
          <cell r="C58" t="str">
            <v>Santa Rita 1017</v>
          </cell>
          <cell r="D58" t="str">
            <v>Las Condes</v>
          </cell>
          <cell r="E58" t="str">
            <v>San Carlos</v>
          </cell>
          <cell r="F58" t="str">
            <v>UC</v>
          </cell>
          <cell r="G58" t="str">
            <v>JEFE</v>
          </cell>
          <cell r="H58">
            <v>56981207671</v>
          </cell>
          <cell r="I58" t="str">
            <v>josefinaquiroga7@hotmail.com</v>
          </cell>
          <cell r="J58" t="str">
            <v>Ignacio Castañeda</v>
          </cell>
        </row>
        <row r="59">
          <cell r="A59" t="str">
            <v>Rafa</v>
          </cell>
          <cell r="B59" t="str">
            <v>Quiroga</v>
          </cell>
          <cell r="C59" t="str">
            <v>Santa Rita 1017</v>
          </cell>
          <cell r="D59" t="str">
            <v>Las Condes</v>
          </cell>
          <cell r="E59" t="str">
            <v>San Carlos</v>
          </cell>
          <cell r="F59" t="str">
            <v>CPH</v>
          </cell>
          <cell r="G59" t="str">
            <v>JEFE</v>
          </cell>
          <cell r="H59">
            <v>56995408498</v>
          </cell>
          <cell r="I59" t="str">
            <v>rafaquiroga7@gmail.com</v>
          </cell>
          <cell r="J59" t="str">
            <v>Ignacio Castañeda</v>
          </cell>
        </row>
        <row r="60">
          <cell r="A60" t="str">
            <v>Barbara</v>
          </cell>
          <cell r="B60" t="str">
            <v>Rodriguez</v>
          </cell>
          <cell r="C60" t="str">
            <v>Raimapu 6744</v>
          </cell>
          <cell r="D60" t="str">
            <v>Vitacura</v>
          </cell>
          <cell r="E60" t="str">
            <v>Santa Maria</v>
          </cell>
          <cell r="F60" t="str">
            <v>Aleman</v>
          </cell>
          <cell r="G60" t="str">
            <v>JEFE</v>
          </cell>
          <cell r="H60">
            <v>56956481962</v>
          </cell>
          <cell r="I60" t="str">
            <v>barodriguez@dsstgo.cl</v>
          </cell>
          <cell r="J60" t="str">
            <v>Lukas Quense</v>
          </cell>
        </row>
        <row r="61">
          <cell r="A61" t="str">
            <v>Fede</v>
          </cell>
          <cell r="B61" t="str">
            <v>Schilling</v>
          </cell>
          <cell r="C61" t="str">
            <v>Laura Tromben 5754</v>
          </cell>
          <cell r="D61" t="str">
            <v>Vitacura</v>
          </cell>
          <cell r="E61" t="str">
            <v>Manquehue</v>
          </cell>
          <cell r="F61" t="str">
            <v>Aleman</v>
          </cell>
          <cell r="G61" t="str">
            <v>JEFE</v>
          </cell>
          <cell r="H61">
            <v>56979980568</v>
          </cell>
          <cell r="I61" t="str">
            <v>federico.schilling@gmail.com</v>
          </cell>
          <cell r="J61" t="str">
            <v>Lukas Quense</v>
          </cell>
        </row>
        <row r="62">
          <cell r="A62" t="str">
            <v>Carola</v>
          </cell>
          <cell r="B62" t="str">
            <v>Schumann</v>
          </cell>
          <cell r="C62" t="str">
            <v>Pedro Canisio 1103 Dpto 142</v>
          </cell>
          <cell r="D62" t="str">
            <v>Vitacura</v>
          </cell>
          <cell r="E62" t="str">
            <v>Manquehue</v>
          </cell>
          <cell r="F62" t="str">
            <v>UAI</v>
          </cell>
          <cell r="G62" t="str">
            <v>JEFE</v>
          </cell>
          <cell r="H62">
            <v>56998263560</v>
          </cell>
          <cell r="I62" t="str">
            <v>cschumann@alumnos.uai.cl</v>
          </cell>
          <cell r="J62" t="str">
            <v>Ignacio Castañeda</v>
          </cell>
        </row>
        <row r="63">
          <cell r="A63" t="str">
            <v>Cata</v>
          </cell>
          <cell r="B63" t="str">
            <v>Tondreau</v>
          </cell>
          <cell r="C63" t="str">
            <v>Francisco de Aguirre 4155</v>
          </cell>
          <cell r="D63" t="str">
            <v>Vitacura</v>
          </cell>
          <cell r="E63" t="str">
            <v>Vespucio</v>
          </cell>
          <cell r="F63" t="str">
            <v>UC</v>
          </cell>
          <cell r="G63" t="str">
            <v>JEFE</v>
          </cell>
          <cell r="H63">
            <v>56942723186</v>
          </cell>
          <cell r="I63" t="str">
            <v>catalinatp_97@hotmail.com</v>
          </cell>
          <cell r="J63" t="str">
            <v>Joaquin Eichholz</v>
          </cell>
        </row>
        <row r="64">
          <cell r="A64" t="str">
            <v>Iñaki</v>
          </cell>
          <cell r="B64" t="str">
            <v>Tramontana</v>
          </cell>
          <cell r="C64" t="str">
            <v>Los Algarrobos 3 Casa 28</v>
          </cell>
          <cell r="D64" t="str">
            <v>Chicureo</v>
          </cell>
          <cell r="E64" t="str">
            <v>Piedra Roja</v>
          </cell>
          <cell r="F64" t="str">
            <v>UDD</v>
          </cell>
          <cell r="G64" t="str">
            <v>JEFE</v>
          </cell>
          <cell r="H64">
            <v>56996310424</v>
          </cell>
          <cell r="I64" t="str">
            <v>Itramontanae@udd.cl</v>
          </cell>
          <cell r="J64" t="str">
            <v>Lukas Quense</v>
          </cell>
        </row>
        <row r="65">
          <cell r="A65" t="str">
            <v>Juan</v>
          </cell>
          <cell r="B65" t="str">
            <v>Undurraga</v>
          </cell>
          <cell r="C65" t="str">
            <v>Huilquehue 4367</v>
          </cell>
          <cell r="D65" t="str">
            <v>Lo Barnechea</v>
          </cell>
          <cell r="E65" t="str">
            <v>Los Trapenses</v>
          </cell>
          <cell r="F65" t="str">
            <v>UAndes</v>
          </cell>
          <cell r="G65" t="str">
            <v>JEFE</v>
          </cell>
          <cell r="H65">
            <v>56974397201</v>
          </cell>
          <cell r="I65" t="str">
            <v>jundurraga3@miuandes.cl</v>
          </cell>
          <cell r="J65" t="str">
            <v>Ignacio Castañeda</v>
          </cell>
        </row>
        <row r="66">
          <cell r="A66" t="str">
            <v>Cristobal</v>
          </cell>
          <cell r="B66" t="str">
            <v>Valdes</v>
          </cell>
          <cell r="C66" t="str">
            <v>Los Queltehues 11524</v>
          </cell>
          <cell r="D66" t="str">
            <v>Lo Barnechea</v>
          </cell>
          <cell r="E66" t="str">
            <v>Los Trapenses</v>
          </cell>
          <cell r="F66" t="str">
            <v>Cordillera</v>
          </cell>
          <cell r="G66" t="str">
            <v>JEFE</v>
          </cell>
          <cell r="H66">
            <v>56964829508</v>
          </cell>
          <cell r="I66" t="str">
            <v>cristobalvaldes99@gmail.com</v>
          </cell>
          <cell r="J66" t="str">
            <v>Lukas Quense</v>
          </cell>
        </row>
        <row r="67">
          <cell r="A67" t="str">
            <v>Antonia</v>
          </cell>
          <cell r="B67" t="str">
            <v>Valencia</v>
          </cell>
          <cell r="C67" t="str">
            <v>Las Campanas 681, Hacienda Chicureo</v>
          </cell>
          <cell r="D67" t="str">
            <v>Chicureo</v>
          </cell>
          <cell r="E67" t="str">
            <v>Piedra Roja</v>
          </cell>
          <cell r="F67" t="str">
            <v>UAndes</v>
          </cell>
          <cell r="G67" t="str">
            <v>JEFE</v>
          </cell>
          <cell r="H67">
            <v>56979769748</v>
          </cell>
          <cell r="I67" t="str">
            <v>antovalencia@mac.com</v>
          </cell>
          <cell r="J67" t="str">
            <v>Joaquin Eichholz</v>
          </cell>
        </row>
        <row r="68">
          <cell r="A68" t="str">
            <v>Jesu</v>
          </cell>
          <cell r="B68" t="str">
            <v>Valenzuela</v>
          </cell>
          <cell r="C68" t="str">
            <v>Bombay 8825</v>
          </cell>
          <cell r="D68" t="str">
            <v>Las Condes</v>
          </cell>
          <cell r="E68" t="str">
            <v>Alto Las Condes</v>
          </cell>
          <cell r="F68" t="str">
            <v>UC</v>
          </cell>
          <cell r="G68" t="str">
            <v>JEFE</v>
          </cell>
          <cell r="H68">
            <v>56999699652</v>
          </cell>
          <cell r="I68" t="str">
            <v>mjvalenzuela3@uc.cl</v>
          </cell>
          <cell r="J68" t="str">
            <v>Joaquin Eichholz</v>
          </cell>
        </row>
        <row r="69">
          <cell r="A69" t="str">
            <v>Pablo</v>
          </cell>
          <cell r="B69" t="str">
            <v>Vial</v>
          </cell>
          <cell r="C69" t="str">
            <v>Pachica 8279</v>
          </cell>
          <cell r="D69" t="str">
            <v>Las Condes</v>
          </cell>
          <cell r="E69" t="str">
            <v>Colon</v>
          </cell>
          <cell r="F69" t="str">
            <v>UDD</v>
          </cell>
          <cell r="G69" t="str">
            <v>JEFE</v>
          </cell>
          <cell r="H69">
            <v>56957230044</v>
          </cell>
          <cell r="I69" t="str">
            <v>pabcontrerasm@udd.cl</v>
          </cell>
          <cell r="J69" t="str">
            <v>Joaquin Eichholz</v>
          </cell>
        </row>
        <row r="70">
          <cell r="A70" t="str">
            <v>Pedro</v>
          </cell>
          <cell r="B70" t="str">
            <v>Vial</v>
          </cell>
          <cell r="C70" t="str">
            <v>Padre Ted Huard 4144</v>
          </cell>
          <cell r="D70" t="str">
            <v>Lo Barnechea</v>
          </cell>
          <cell r="E70" t="str">
            <v>Los Trapenses</v>
          </cell>
          <cell r="F70" t="str">
            <v>Monte Tabor</v>
          </cell>
          <cell r="G70" t="str">
            <v>JEFE</v>
          </cell>
          <cell r="H70">
            <v>56966640363</v>
          </cell>
          <cell r="I70" t="str">
            <v>pedrovialbo@gmail.com</v>
          </cell>
          <cell r="J70" t="str">
            <v>Lukas Quense</v>
          </cell>
        </row>
        <row r="71">
          <cell r="A71" t="str">
            <v>Gabriel</v>
          </cell>
          <cell r="B71" t="str">
            <v>Villela</v>
          </cell>
          <cell r="C71" t="str">
            <v>Las Estrellas 14043</v>
          </cell>
          <cell r="D71" t="str">
            <v>Las Condes</v>
          </cell>
          <cell r="E71" t="str">
            <v>Quinchamali</v>
          </cell>
          <cell r="F71" t="str">
            <v>TIPS</v>
          </cell>
          <cell r="G71" t="str">
            <v>JEFE</v>
          </cell>
          <cell r="H71">
            <v>56973979384</v>
          </cell>
          <cell r="I71" t="str">
            <v>gk.alaluf@icloud.com</v>
          </cell>
          <cell r="J71" t="str">
            <v>Lukas Quense</v>
          </cell>
        </row>
        <row r="72">
          <cell r="A72" t="str">
            <v>Paula</v>
          </cell>
          <cell r="B72" t="str">
            <v>Villela</v>
          </cell>
          <cell r="C72" t="str">
            <v>Camino La Fuente 2174</v>
          </cell>
          <cell r="D72" t="str">
            <v>Las Condes</v>
          </cell>
          <cell r="E72" t="str">
            <v>San Carlos</v>
          </cell>
          <cell r="G72" t="str">
            <v>JEFE</v>
          </cell>
          <cell r="H72">
            <v>56957850035</v>
          </cell>
          <cell r="I72" t="str">
            <v>pvillelacaerols@gmail.com</v>
          </cell>
          <cell r="J72" t="str">
            <v>Joaquin Eichholz</v>
          </cell>
        </row>
        <row r="73">
          <cell r="A73" t="str">
            <v>Magdalena</v>
          </cell>
          <cell r="B73" t="str">
            <v>Astudillo</v>
          </cell>
          <cell r="C73" t="str">
            <v>Vaqueria 6926</v>
          </cell>
          <cell r="D73" t="str">
            <v>Vitacura</v>
          </cell>
          <cell r="E73" t="str">
            <v>Santa Maria</v>
          </cell>
          <cell r="F73" t="str">
            <v>Aleman</v>
          </cell>
          <cell r="G73" t="str">
            <v>JEFE</v>
          </cell>
          <cell r="H73">
            <v>56975580528</v>
          </cell>
          <cell r="I73" t="str">
            <v>maidastu@gmail.com</v>
          </cell>
          <cell r="J73" t="str">
            <v>Joaquin Eichholz</v>
          </cell>
        </row>
        <row r="74">
          <cell r="A74" t="str">
            <v>Tomas</v>
          </cell>
          <cell r="B74" t="str">
            <v>Ovalle</v>
          </cell>
          <cell r="G74" t="str">
            <v>JEFE</v>
          </cell>
          <cell r="H74"/>
          <cell r="I74"/>
          <cell r="J74" t="str">
            <v>Lukas Quense</v>
          </cell>
        </row>
        <row r="75">
          <cell r="A75" t="str">
            <v>Sebastian</v>
          </cell>
          <cell r="B75" t="str">
            <v>Delorenzo</v>
          </cell>
          <cell r="C75" t="str">
            <v>Camino Otonal 1545</v>
          </cell>
          <cell r="D75" t="str">
            <v>Las Condes</v>
          </cell>
          <cell r="E75" t="str">
            <v>San Carlos</v>
          </cell>
          <cell r="F75" t="str">
            <v>UC</v>
          </cell>
          <cell r="G75" t="str">
            <v>JEFE</v>
          </cell>
          <cell r="H75">
            <v>56997792386</v>
          </cell>
          <cell r="I75" t="str">
            <v>sdelorenzo7@gmail.com</v>
          </cell>
          <cell r="J75" t="str">
            <v>Joaquin Eichholz</v>
          </cell>
        </row>
        <row r="76">
          <cell r="A76" t="str">
            <v>Claudio</v>
          </cell>
          <cell r="B76" t="str">
            <v>Baldovino</v>
          </cell>
          <cell r="C76" t="str">
            <v>Malaga 195 Dpto 51</v>
          </cell>
          <cell r="D76" t="str">
            <v>Las Condes</v>
          </cell>
          <cell r="E76" t="str">
            <v>Vespucio</v>
          </cell>
          <cell r="F76" t="str">
            <v>UCH</v>
          </cell>
          <cell r="G76" t="str">
            <v>JEFE</v>
          </cell>
          <cell r="H76">
            <v>56994792301</v>
          </cell>
          <cell r="I76" t="str">
            <v>cbaldovino@fen.uchile.cl</v>
          </cell>
          <cell r="J76" t="str">
            <v>Ignacio Castañeda</v>
          </cell>
        </row>
        <row r="77">
          <cell r="A77" t="str">
            <v>Laura</v>
          </cell>
          <cell r="B77" t="str">
            <v>Stuardo</v>
          </cell>
          <cell r="C77" t="str">
            <v>Paseo del Loira 4563</v>
          </cell>
          <cell r="D77" t="str">
            <v>Lo Barnechea</v>
          </cell>
          <cell r="E77" t="str">
            <v>La Dehesa</v>
          </cell>
          <cell r="F77" t="str">
            <v>Newland</v>
          </cell>
          <cell r="G77" t="str">
            <v>JEFE</v>
          </cell>
          <cell r="H77">
            <v>56991592586</v>
          </cell>
          <cell r="I77" t="str">
            <v>laurastuardotns@gmail.com</v>
          </cell>
          <cell r="J77" t="str">
            <v>Joaquin Eichholz</v>
          </cell>
        </row>
        <row r="78">
          <cell r="A78" t="str">
            <v>Exequiel</v>
          </cell>
          <cell r="B78" t="str">
            <v>Swinburn</v>
          </cell>
          <cell r="C78" t="str">
            <v>Av La Dehesa 4510 Casa 10</v>
          </cell>
          <cell r="D78" t="str">
            <v>Lo Barnechea</v>
          </cell>
          <cell r="E78" t="str">
            <v>La Dehesa</v>
          </cell>
          <cell r="F78" t="str">
            <v>UAI</v>
          </cell>
          <cell r="G78" t="str">
            <v>JEFE</v>
          </cell>
          <cell r="H78">
            <v>56992704205</v>
          </cell>
          <cell r="I78" t="str">
            <v>exequielswinburn@gmail.com</v>
          </cell>
          <cell r="J78" t="str">
            <v>Ignacio Castañeda</v>
          </cell>
        </row>
        <row r="79">
          <cell r="A79" t="str">
            <v>Trinidad</v>
          </cell>
          <cell r="B79" t="str">
            <v>Salas</v>
          </cell>
          <cell r="C79" t="str">
            <v>El Golf de Manquehue 9750 Casa 703</v>
          </cell>
          <cell r="D79" t="str">
            <v>Lo Barnechea</v>
          </cell>
          <cell r="E79" t="str">
            <v>Los Trapenses</v>
          </cell>
          <cell r="F79" t="str">
            <v>UC</v>
          </cell>
          <cell r="G79" t="str">
            <v>JEFE</v>
          </cell>
          <cell r="H79">
            <v>56997594184</v>
          </cell>
          <cell r="I79" t="str">
            <v>mtsalas1@uc.cl</v>
          </cell>
          <cell r="J79" t="str">
            <v>Lukas Quense</v>
          </cell>
        </row>
        <row r="80">
          <cell r="A80" t="str">
            <v>Roberto</v>
          </cell>
          <cell r="B80" t="str">
            <v>Salinas</v>
          </cell>
          <cell r="C80" t="str">
            <v>Calle Parque 12701</v>
          </cell>
          <cell r="D80" t="str">
            <v>Lo Barnechea</v>
          </cell>
          <cell r="E80" t="str">
            <v>La Dehesa</v>
          </cell>
          <cell r="G80" t="str">
            <v>JEFE</v>
          </cell>
          <cell r="H80">
            <v>56966082903</v>
          </cell>
          <cell r="I80" t="str">
            <v>robertosalinas10200@gmail.com</v>
          </cell>
          <cell r="J80" t="str">
            <v>Ignacio Castañeda</v>
          </cell>
        </row>
        <row r="81">
          <cell r="A81" t="str">
            <v>Tomas</v>
          </cell>
          <cell r="B81" t="str">
            <v>Rojas</v>
          </cell>
          <cell r="C81" t="str">
            <v>Condominio Chicureo 3</v>
          </cell>
          <cell r="D81" t="str">
            <v>Chicureo</v>
          </cell>
          <cell r="E81" t="str">
            <v>Colina</v>
          </cell>
          <cell r="F81" t="str">
            <v>UC</v>
          </cell>
          <cell r="G81" t="str">
            <v>JEFE</v>
          </cell>
          <cell r="H81">
            <v>56979312762</v>
          </cell>
          <cell r="I81" t="str">
            <v>tfrs15@hotmail.com</v>
          </cell>
          <cell r="J81" t="str">
            <v>Lukas Quense</v>
          </cell>
        </row>
        <row r="82">
          <cell r="A82" t="str">
            <v>Andres</v>
          </cell>
          <cell r="B82" t="str">
            <v>Santamaria</v>
          </cell>
          <cell r="C82" t="str">
            <v>Arquitecto Sulivan 5949</v>
          </cell>
          <cell r="D82" t="str">
            <v>Vitacura</v>
          </cell>
          <cell r="F82" t="str">
            <v>UDD</v>
          </cell>
          <cell r="G82" t="str">
            <v>JEFE</v>
          </cell>
          <cell r="H82">
            <v>56982930856</v>
          </cell>
          <cell r="I82" t="str">
            <v>asantamariaw@gmail.com</v>
          </cell>
          <cell r="J82" t="str">
            <v>Joaquin Eichholz</v>
          </cell>
        </row>
        <row r="83">
          <cell r="A83" t="str">
            <v>Isidora</v>
          </cell>
          <cell r="B83" t="str">
            <v>De La Barra</v>
          </cell>
          <cell r="C83" t="str">
            <v>Parque Antonio Rabbat 6333</v>
          </cell>
          <cell r="D83" t="str">
            <v>Vitacura</v>
          </cell>
          <cell r="E83" t="str">
            <v>Santa Maria</v>
          </cell>
          <cell r="F83" t="str">
            <v>San Benito</v>
          </cell>
          <cell r="G83" t="str">
            <v>JEFE</v>
          </cell>
          <cell r="H83">
            <v>56999194650</v>
          </cell>
          <cell r="I83" t="str">
            <v>isidora.delabarra@gmail.com</v>
          </cell>
          <cell r="J83" t="str">
            <v>Joaquin Eichholz</v>
          </cell>
        </row>
        <row r="84">
          <cell r="A84" t="str">
            <v>Juan Pablo</v>
          </cell>
          <cell r="B84" t="str">
            <v>Germain</v>
          </cell>
          <cell r="C84" t="str">
            <v>Santa Veronica 1035</v>
          </cell>
          <cell r="D84" t="str">
            <v>Las Condes</v>
          </cell>
          <cell r="E84" t="str">
            <v>San Carlos</v>
          </cell>
          <cell r="F84" t="str">
            <v>UC</v>
          </cell>
          <cell r="G84" t="str">
            <v>JEFE</v>
          </cell>
          <cell r="H84">
            <v>56966685970</v>
          </cell>
          <cell r="I84" t="str">
            <v>jpgermain17@gmail.com</v>
          </cell>
          <cell r="J84" t="str">
            <v>Joaquin Eichholz</v>
          </cell>
        </row>
        <row r="85">
          <cell r="A85" t="str">
            <v>Matias</v>
          </cell>
          <cell r="B85" t="str">
            <v>Muschen</v>
          </cell>
          <cell r="C85" t="str">
            <v>Las Condesas 2035</v>
          </cell>
          <cell r="D85" t="str">
            <v>Las Condes</v>
          </cell>
          <cell r="E85" t="str">
            <v>San Carlos</v>
          </cell>
          <cell r="F85" t="str">
            <v>Aleman</v>
          </cell>
          <cell r="G85" t="str">
            <v>JEFE</v>
          </cell>
          <cell r="H85">
            <v>56990163951</v>
          </cell>
          <cell r="I85" t="str">
            <v>matimuschen@gmail.com</v>
          </cell>
          <cell r="J85" t="str">
            <v>Lukas Quense</v>
          </cell>
        </row>
        <row r="86">
          <cell r="A86" t="str">
            <v>Pia</v>
          </cell>
          <cell r="B86" t="str">
            <v>Rodriguez</v>
          </cell>
          <cell r="C86" t="str">
            <v>Camino Mirasol 2569</v>
          </cell>
          <cell r="D86" t="str">
            <v>Las Condes</v>
          </cell>
          <cell r="E86" t="str">
            <v>San Carlos</v>
          </cell>
          <cell r="G86" t="str">
            <v>JEFE</v>
          </cell>
          <cell r="H86">
            <v>56978945335</v>
          </cell>
          <cell r="I86" t="str">
            <v>piarodriguez24@gmail.com</v>
          </cell>
          <cell r="J86" t="str">
            <v>Lukas Quense</v>
          </cell>
        </row>
        <row r="87">
          <cell r="A87" t="str">
            <v>Gino</v>
          </cell>
          <cell r="B87" t="str">
            <v>Genova</v>
          </cell>
          <cell r="H87"/>
          <cell r="I87"/>
          <cell r="J87" t="str">
            <v>Joaquin Eichholz</v>
          </cell>
        </row>
        <row r="88">
          <cell r="A88" t="str">
            <v>Isidora</v>
          </cell>
          <cell r="B88" t="str">
            <v>Badia</v>
          </cell>
          <cell r="C88" t="str">
            <v>Av Golf Lomas de La Dehesa 11755</v>
          </cell>
          <cell r="D88" t="str">
            <v>Lo Barnechea</v>
          </cell>
          <cell r="E88" t="str">
            <v>Los Trapenses</v>
          </cell>
          <cell r="F88" t="str">
            <v>UAI</v>
          </cell>
          <cell r="G88" t="str">
            <v>JEFE</v>
          </cell>
          <cell r="H88">
            <v>56976994719</v>
          </cell>
          <cell r="I88" t="str">
            <v>isidorabadiaw@gmail.com</v>
          </cell>
          <cell r="J88" t="str">
            <v>Lukas Quense</v>
          </cell>
        </row>
        <row r="89">
          <cell r="A89" t="str">
            <v>Tati</v>
          </cell>
          <cell r="B89" t="str">
            <v>Von Storch</v>
          </cell>
          <cell r="C89" t="str">
            <v>Carlos Peña Otaegui 11472</v>
          </cell>
          <cell r="D89" t="str">
            <v>Las Condes</v>
          </cell>
          <cell r="G89" t="str">
            <v>JEFE</v>
          </cell>
          <cell r="H89">
            <v>56977895588</v>
          </cell>
          <cell r="I89" t="str">
            <v>tevonstorch@uc.cl</v>
          </cell>
          <cell r="J89" t="str">
            <v>Lukas Quense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displayName="Tabla523" headerRowBorderDxfId="354" headerRowCount="1" headerRowDxfId="355" id="1" name="Tabla523" ref="B4:AB92" tableBorderDxfId="353" totalsRowBorderDxfId="352" totalsRowShown="0">
  <autoFilter ref="B4:AB92"/>
  <sortState ref="B5:AB87">
    <sortCondition ref="C4:C72"/>
  </sortState>
  <tableColumns count="27">
    <tableColumn dataDxfId="53" id="1" name="Nombre">
      <calculatedColumnFormula>[1]Personas!A2</calculatedColumnFormula>
    </tableColumn>
    <tableColumn dataDxfId="52" id="2" name="Apellido" totalsRowDxfId="351">
      <calculatedColumnFormula>[1]Personas!B2</calculatedColumnFormula>
    </tableColumn>
    <tableColumn dataDxfId="51" id="3" name="Direccion" totalsRowDxfId="350">
      <calculatedColumnFormula>[1]Personas!C2</calculatedColumnFormula>
    </tableColumn>
    <tableColumn dataDxfId="50" id="4" name="Comuna" totalsRowDxfId="349">
      <calculatedColumnFormula>[1]Personas!D2</calculatedColumnFormula>
    </tableColumn>
    <tableColumn dataDxfId="49" id="20" name="Sector" totalsRowDxfId="348">
      <calculatedColumnFormula>[1]Personas!E2</calculatedColumnFormula>
    </tableColumn>
    <tableColumn dataDxfId="48" id="21" name="Universidad" totalsRowDxfId="347">
      <calculatedColumnFormula>[1]Personas!F2</calculatedColumnFormula>
    </tableColumn>
    <tableColumn dataDxfId="47" id="22" name="Cargo" totalsRowDxfId="346">
      <calculatedColumnFormula>[1]Personas!G2</calculatedColumnFormula>
    </tableColumn>
    <tableColumn dataDxfId="46" id="19" name="Telefono" totalsRowDxfId="345">
      <calculatedColumnFormula>[1]Personas!H2</calculatedColumnFormula>
    </tableColumn>
    <tableColumn dataCellStyle="Millares" dataDxfId="45" id="12" name="Mail" totalsRowDxfId="344">
      <calculatedColumnFormula>[1]Personas!I2</calculatedColumnFormula>
    </tableColumn>
    <tableColumn dataCellStyle="Millares" dataDxfId="44" id="29" name="Encargado" totalsRowDxfId="343">
      <calculatedColumnFormula>[1]Personas!J2</calculatedColumnFormula>
    </tableColumn>
    <tableColumn dataDxfId="43" id="28" name="Entregado" totalsRowDxfId="342"/>
    <tableColumn dataDxfId="42" id="11" name="Pagado" totalsRowDxfId="341"/>
    <tableColumn dataDxfId="41" id="5" name="Deuda" totalsRowDxfId="340">
      <calculatedColumnFormula>SUMPRODUCT(Tabla523[[#This Row],[Paltas]:[Empanadas]],O$102:Z$102)</calculatedColumnFormula>
    </tableColumn>
    <tableColumn dataDxfId="40" id="7" name="Paltas" totalsRowDxfId="339"/>
    <tableColumn dataDxfId="39" id="8" name="Quesos" totalsRowDxfId="338"/>
    <tableColumn dataDxfId="38" id="9" name="Frutillas" totalsRowDxfId="337"/>
    <tableColumn dataDxfId="37" id="10" name="Tomate Cherry" totalsRowDxfId="336"/>
    <tableColumn dataDxfId="36" id="14" name="Nueces" totalsRowDxfId="335"/>
    <tableColumn dataDxfId="35" id="15" name="Mani" totalsRowDxfId="334"/>
    <tableColumn dataDxfId="34" id="16" name="Pistachos" totalsRowDxfId="333"/>
    <tableColumn dataDxfId="33" id="17" name="Caju" totalsRowDxfId="332"/>
    <tableColumn dataDxfId="32" id="18" name="Almendras" totalsRowDxfId="331"/>
    <tableColumn dataDxfId="31" id="24" name="Cerezas" totalsRowDxfId="330"/>
    <tableColumn dataDxfId="30" id="25" name="Arandanos" totalsRowDxfId="329"/>
    <tableColumn dataDxfId="29" id="26" name="Empanadas" totalsRowDxfId="328"/>
    <tableColumn dataDxfId="28" id="23" name="Total">
      <calculatedColumnFormula>SUM(Tabla523[[#This Row],[Paltas]:[Empanadas]])</calculatedColumnFormula>
    </tableColumn>
    <tableColumn dataDxfId="27" id="30" name="Comentario" totalsRowDxfId="327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isplayName="Tabla5232" headerRowBorderDxfId="325" headerRowCount="1" headerRowDxfId="326" id="2" name="Tabla5232" ref="B4:AC34" tableBorderDxfId="324" totalsRowBorderDxfId="323" totalsRowShown="0">
  <autoFilter ref="B4:AC34"/>
  <sortState ref="B5:AC34">
    <sortCondition ref="M4:M34"/>
  </sortState>
  <tableColumns count="28">
    <tableColumn dataDxfId="322" id="1" name="Nombre"/>
    <tableColumn dataDxfId="321" id="2" name="Apellido" totalsRowDxfId="320"/>
    <tableColumn dataDxfId="319" id="3" name="Direccion" totalsRowDxfId="318"/>
    <tableColumn dataDxfId="317" id="4" name="Comuna" totalsRowDxfId="316"/>
    <tableColumn dataDxfId="315" id="20" name="Sector" totalsRowDxfId="314"/>
    <tableColumn dataDxfId="313" id="21" name="Universidad" totalsRowDxfId="312"/>
    <tableColumn dataDxfId="311" id="22" name="Cargo" totalsRowDxfId="310"/>
    <tableColumn dataDxfId="309" id="19" name="Telefono" totalsRowDxfId="308"/>
    <tableColumn dataCellStyle="Millares" dataDxfId="307" id="12" name="Mail" totalsRowDxfId="306"/>
    <tableColumn dataCellStyle="Millares" dataDxfId="305" id="29" name="Encargado" totalsRowDxfId="304"/>
    <tableColumn dataDxfId="303" id="28" name="Entregado" totalsRowDxfId="302"/>
    <tableColumn dataDxfId="301" id="11" name="Pagado" totalsRowDxfId="300"/>
    <tableColumn dataDxfId="299" id="5" name="Deuda" totalsRowDxfId="298">
      <calculatedColumnFormula>SUMPRODUCT(Tabla5232[[#This Row],[Naranjas]:[Arandanos]],O$99:AA$99)</calculatedColumnFormula>
    </tableColumn>
    <tableColumn dataDxfId="297" id="7" name="Naranjas" totalsRowDxfId="296"/>
    <tableColumn dataDxfId="295" id="8" name="Mandarinas" totalsRowDxfId="294"/>
    <tableColumn dataDxfId="293" id="9" name="Paltas" totalsRowDxfId="292"/>
    <tableColumn dataDxfId="291" id="10" name="Quesos" totalsRowDxfId="290"/>
    <tableColumn dataDxfId="289" id="6" name="Frutillas" totalsRowDxfId="288"/>
    <tableColumn dataDxfId="287" id="13" name="Tomate Cherry" totalsRowDxfId="286"/>
    <tableColumn dataDxfId="285" id="14" name="Nueces" totalsRowDxfId="284"/>
    <tableColumn dataDxfId="283" id="15" name="Mani" totalsRowDxfId="282"/>
    <tableColumn dataDxfId="281" id="16" name="Pistachos" totalsRowDxfId="280"/>
    <tableColumn dataDxfId="279" id="17" name="Caju" totalsRowDxfId="278"/>
    <tableColumn dataDxfId="277" id="18" name="Almendras" totalsRowDxfId="276"/>
    <tableColumn dataDxfId="275" id="24" name="Cerezas" totalsRowDxfId="274"/>
    <tableColumn dataDxfId="273" id="25" name="Arandanos" totalsRowDxfId="272"/>
    <tableColumn dataDxfId="271" id="23" name="Total">
      <calculatedColumnFormula>SUM(Tabla5232[[#This Row],[Naranjas]:[Arandanos]])</calculatedColumnFormula>
    </tableColumn>
    <tableColumn dataDxfId="270" id="30" name="Comentario" totalsRowDxfId="269"/>
  </tableColumns>
  <tableStyleInfo name="TableStyleLight1" showColumnStripes="0" showFirstColumn="0" showLastColumn="0" showRowStripes="1"/>
</table>
</file>

<file path=xl/tables/table3.xml><?xml version="1.0" encoding="utf-8"?>
<table xmlns="http://schemas.openxmlformats.org/spreadsheetml/2006/main" displayName="Tabla5234" headerRowBorderDxfId="267" headerRowCount="1" headerRowDxfId="268" id="3" name="Tabla5234" ref="B4:AB24" tableBorderDxfId="266" totalsRowBorderDxfId="265" totalsRowShown="0">
  <autoFilter ref="B4:AB24"/>
  <sortState ref="B5:AB24">
    <sortCondition ref="M4:M24"/>
  </sortState>
  <tableColumns count="27">
    <tableColumn dataDxfId="264" id="1" name="Nombre"/>
    <tableColumn dataDxfId="263" id="2" name="Apellido" totalsRowDxfId="262"/>
    <tableColumn dataDxfId="261" id="3" name="Direccion" totalsRowDxfId="260"/>
    <tableColumn dataDxfId="259" id="4" name="Comuna" totalsRowDxfId="258"/>
    <tableColumn dataDxfId="257" id="20" name="Sector" totalsRowDxfId="256"/>
    <tableColumn dataDxfId="255" id="21" name="Universidad" totalsRowDxfId="254"/>
    <tableColumn dataDxfId="253" id="22" name="Cargo" totalsRowDxfId="252"/>
    <tableColumn dataDxfId="251" id="19" name="Telefono" totalsRowDxfId="250"/>
    <tableColumn dataCellStyle="Millares" dataDxfId="249" id="12" name="Mail" totalsRowDxfId="248"/>
    <tableColumn dataCellStyle="Millares" dataDxfId="247" id="29" name="Encargado" totalsRowDxfId="246"/>
    <tableColumn dataDxfId="245" id="28" name="Entregado" totalsRowDxfId="244"/>
    <tableColumn dataDxfId="243" id="11" name="Pagado" totalsRowDxfId="242"/>
    <tableColumn dataDxfId="241" id="5" name="Deuda" totalsRowDxfId="240">
      <calculatedColumnFormula>SUMPRODUCT(Tabla5234[[#This Row],[Paltas]:[Empanadas]],O$34:Z$34)</calculatedColumnFormula>
    </tableColumn>
    <tableColumn dataDxfId="239" id="9" name="Paltas" totalsRowDxfId="238"/>
    <tableColumn dataDxfId="237" id="10" name="Quesos" totalsRowDxfId="236"/>
    <tableColumn dataDxfId="235" id="6" name="Frutillas" totalsRowDxfId="234"/>
    <tableColumn dataDxfId="233" id="13" name="Tomate Cherry" totalsRowDxfId="232"/>
    <tableColumn dataDxfId="231" id="14" name="Nueces" totalsRowDxfId="230"/>
    <tableColumn dataDxfId="229" id="15" name="Mani" totalsRowDxfId="228"/>
    <tableColumn dataDxfId="227" id="16" name="Pistachos" totalsRowDxfId="226"/>
    <tableColumn dataDxfId="225" id="17" name="Caju" totalsRowDxfId="224"/>
    <tableColumn dataDxfId="223" id="18" name="Almendras" totalsRowDxfId="222"/>
    <tableColumn dataDxfId="221" id="24" name="Cerezas" totalsRowDxfId="220"/>
    <tableColumn dataDxfId="219" id="25" name="Arandanos" totalsRowDxfId="218"/>
    <tableColumn dataDxfId="217" id="26" name="Empanadas" totalsRowDxfId="216"/>
    <tableColumn dataDxfId="215" id="23" name="Total">
      <calculatedColumnFormula>SUM(Tabla5234[[#This Row],[Paltas]:[Empanadas]])</calculatedColumnFormula>
    </tableColumn>
    <tableColumn dataDxfId="214" id="30" name="Comentario" totalsRowDxfId="213"/>
  </tableColumns>
  <tableStyleInfo name="TableStyleLight1" showColumnStripes="0" showFirstColumn="0" showLastColumn="0" showRowStripes="1"/>
</table>
</file>

<file path=xl/tables/table4.xml><?xml version="1.0" encoding="utf-8"?>
<table xmlns="http://schemas.openxmlformats.org/spreadsheetml/2006/main" displayName="Tabla5235" headerRowBorderDxfId="211" headerRowCount="1" headerRowDxfId="212" id="4" name="Tabla5235" ref="B4:AB16" tableBorderDxfId="210" totalsRowBorderDxfId="209" totalsRowShown="0">
  <autoFilter ref="B4:AB16"/>
  <sortState ref="B5:AB16">
    <sortCondition descending="1" ref="AA4:AA16"/>
  </sortState>
  <tableColumns count="27">
    <tableColumn dataDxfId="208" id="1" name="Nombre"/>
    <tableColumn dataDxfId="207" id="2" name="Apellido" totalsRowDxfId="206"/>
    <tableColumn dataDxfId="205" id="3" name="Direccion" totalsRowDxfId="204"/>
    <tableColumn dataDxfId="203" id="4" name="Comuna" totalsRowDxfId="202"/>
    <tableColumn dataDxfId="201" id="20" name="Sector" totalsRowDxfId="200"/>
    <tableColumn dataDxfId="199" id="21" name="Universidad" totalsRowDxfId="198"/>
    <tableColumn dataDxfId="197" id="22" name="Cargo" totalsRowDxfId="196"/>
    <tableColumn dataDxfId="195" id="19" name="Telefono" totalsRowDxfId="194"/>
    <tableColumn dataCellStyle="Millares" dataDxfId="193" id="12" name="Mail" totalsRowDxfId="192"/>
    <tableColumn dataCellStyle="Millares" dataDxfId="191" id="29" name="Encargado" totalsRowDxfId="190"/>
    <tableColumn dataDxfId="189" id="28" name="Entregado" totalsRowDxfId="188"/>
    <tableColumn dataDxfId="187" id="11" name="Pagado" totalsRowDxfId="186"/>
    <tableColumn dataDxfId="185" id="5" name="Deuda" totalsRowDxfId="184">
      <calculatedColumnFormula>SUMPRODUCT(Tabla5235[[#This Row],[Paltas]:[Empanadas]],O$26:Z$26)</calculatedColumnFormula>
    </tableColumn>
    <tableColumn dataDxfId="183" id="9" name="Paltas" totalsRowDxfId="182"/>
    <tableColumn dataDxfId="181" id="10" name="Quesos" totalsRowDxfId="180"/>
    <tableColumn dataDxfId="179" id="6" name="Frutillas" totalsRowDxfId="178"/>
    <tableColumn dataDxfId="177" id="13" name="Tomate Cherry" totalsRowDxfId="176"/>
    <tableColumn dataDxfId="175" id="14" name="Nueces" totalsRowDxfId="174"/>
    <tableColumn dataDxfId="173" id="15" name="Mani" totalsRowDxfId="172"/>
    <tableColumn dataDxfId="171" id="16" name="Pistachos" totalsRowDxfId="170"/>
    <tableColumn dataDxfId="169" id="17" name="Caju" totalsRowDxfId="168"/>
    <tableColumn dataDxfId="167" id="18" name="Almendras" totalsRowDxfId="166"/>
    <tableColumn dataDxfId="165" id="24" name="Cerezas" totalsRowDxfId="164"/>
    <tableColumn dataDxfId="163" id="25" name="Arandanos" totalsRowDxfId="162"/>
    <tableColumn dataDxfId="161" id="26" name="Empanadas" totalsRowDxfId="160"/>
    <tableColumn dataDxfId="159" id="23" name="Total">
      <calculatedColumnFormula>SUM(Tabla5235[[#This Row],[Paltas]:[Empanadas]])</calculatedColumnFormula>
    </tableColumn>
    <tableColumn dataDxfId="158" id="30" name="Comentario" totalsRowDxfId="157"/>
  </tableColumns>
  <tableStyleInfo name="TableStyleLight1" showColumnStripes="0" showFirstColumn="0" showLastColumn="0" showRowStripes="1"/>
</table>
</file>

<file path=xl/tables/table5.xml><?xml version="1.0" encoding="utf-8"?>
<table xmlns="http://schemas.openxmlformats.org/spreadsheetml/2006/main" displayName="Tabla5236" headerRowBorderDxfId="154" headerRowCount="1" headerRowDxfId="156" id="5" name="Tabla5236" ref="B4:AB18" tableBorderDxfId="155" totalsRowBorderDxfId="153" totalsRowShown="0">
  <autoFilter ref="B4:AB18"/>
  <sortState ref="B5:AB17">
    <sortCondition descending="1" ref="AA4:AA17"/>
  </sortState>
  <tableColumns count="27">
    <tableColumn dataDxfId="127" id="1" name="Nombre"/>
    <tableColumn dataDxfId="126" id="2" name="Apellido" totalsRowDxfId="152"/>
    <tableColumn dataDxfId="125" id="3" name="Direccion" totalsRowDxfId="151"/>
    <tableColumn dataDxfId="124" id="4" name="Comuna" totalsRowDxfId="150"/>
    <tableColumn dataDxfId="123" id="20" name="Sector" totalsRowDxfId="149"/>
    <tableColumn dataDxfId="122" id="21" name="Universidad" totalsRowDxfId="148"/>
    <tableColumn dataDxfId="121" id="22" name="Cargo" totalsRowDxfId="147"/>
    <tableColumn dataDxfId="120" id="19" name="Telefono" totalsRowDxfId="146"/>
    <tableColumn dataCellStyle="Millares" dataDxfId="119" id="12" name="Mail" totalsRowDxfId="145"/>
    <tableColumn dataCellStyle="Millares" dataDxfId="118" id="29" name="Encargado" totalsRowDxfId="144"/>
    <tableColumn dataDxfId="117" id="28" name="Entregado" totalsRowDxfId="143"/>
    <tableColumn dataDxfId="116" id="11" name="Pagado" totalsRowDxfId="142"/>
    <tableColumn dataDxfId="115" id="5" name="Deuda" totalsRowDxfId="141">
      <calculatedColumnFormula>SUMPRODUCT(Tabla5236[[#This Row],[Paltas]:[Empanadas]],O$105:Z$105)</calculatedColumnFormula>
    </tableColumn>
    <tableColumn dataDxfId="114" id="9" name="Paltas" totalsRowDxfId="140"/>
    <tableColumn dataDxfId="113" id="10" name="Quesos" totalsRowDxfId="139"/>
    <tableColumn dataDxfId="112" id="6" name="Frutillas" totalsRowDxfId="138"/>
    <tableColumn dataDxfId="111" id="13" name="Tomate Cherry" totalsRowDxfId="137"/>
    <tableColumn dataDxfId="110" id="14" name="Nueces" totalsRowDxfId="136"/>
    <tableColumn dataDxfId="109" id="15" name="Mani" totalsRowDxfId="135"/>
    <tableColumn dataDxfId="108" id="16" name="Pistachos" totalsRowDxfId="134"/>
    <tableColumn dataDxfId="107" id="17" name="Caju" totalsRowDxfId="133"/>
    <tableColumn dataDxfId="106" id="18" name="Almendras" totalsRowDxfId="132"/>
    <tableColumn dataDxfId="105" id="24" name="Cerezas" totalsRowDxfId="131"/>
    <tableColumn dataDxfId="104" id="25" name="Arandanos" totalsRowDxfId="130"/>
    <tableColumn dataDxfId="103" id="26" name="Empanadas" totalsRowDxfId="129"/>
    <tableColumn dataDxfId="102" id="23" name="Total">
      <calculatedColumnFormula>SUM(Tabla5236[[#This Row],[Paltas]:[Empanadas]])</calculatedColumnFormula>
    </tableColumn>
    <tableColumn dataDxfId="101" id="30" name="Comentario" totalsRowDxfId="128"/>
  </tableColumns>
  <tableStyleInfo name="TableStyleLight1" showColumnStripes="0" showFirstColumn="0" showLastColumn="0" showRowStripes="1"/>
</table>
</file>

<file path=xl/tables/table6.xml><?xml version="1.0" encoding="utf-8"?>
<table xmlns="http://schemas.openxmlformats.org/spreadsheetml/2006/main" displayName="Tabla5237" headerRowBorderDxfId="80" headerRowCount="1" headerRowDxfId="82" id="6" name="Tabla5237" ref="B4:AB92" tableBorderDxfId="81" totalsRowBorderDxfId="79" totalsRowShown="0">
  <autoFilter ref="B4:AB92"/>
  <sortState ref="B5:AB87">
    <sortCondition ref="C4:C72"/>
  </sortState>
  <tableColumns count="27">
    <tableColumn dataDxfId="26" id="1" name="Nombre"/>
    <tableColumn dataDxfId="25" id="2" name="Apellido" totalsRowDxfId="78"/>
    <tableColumn dataDxfId="24" id="3" name="Direccion" totalsRowDxfId="77"/>
    <tableColumn dataDxfId="23" id="4" name="Comuna" totalsRowDxfId="76"/>
    <tableColumn dataDxfId="22" id="20" name="Sector" totalsRowDxfId="75"/>
    <tableColumn dataDxfId="21" id="21" name="Universidad" totalsRowDxfId="74"/>
    <tableColumn dataDxfId="20" id="22" name="Cargo" totalsRowDxfId="73"/>
    <tableColumn dataDxfId="19" id="19" name="Telefono" totalsRowDxfId="72"/>
    <tableColumn dataCellStyle="Millares" dataDxfId="18" id="12" name="Mail" totalsRowDxfId="71"/>
    <tableColumn dataCellStyle="Millares" dataDxfId="17" id="29" name="Encargado" totalsRowDxfId="70"/>
    <tableColumn dataDxfId="16" id="28" name="Entregado" totalsRowDxfId="69"/>
    <tableColumn dataDxfId="15" id="11" name="Pagado" totalsRowDxfId="68"/>
    <tableColumn dataDxfId="14" id="5" name="Deuda" totalsRowDxfId="67">
      <calculatedColumnFormula>SUMPRODUCT(Tabla5237[[#This Row],[Paltas]:[Empanadas]],O$102:Z$102)</calculatedColumnFormula>
    </tableColumn>
    <tableColumn dataDxfId="13" id="7" name="Paltas" totalsRowDxfId="66"/>
    <tableColumn dataDxfId="12" id="8" name="Quesos" totalsRowDxfId="65"/>
    <tableColumn dataDxfId="11" id="9" name="Frutillas" totalsRowDxfId="64"/>
    <tableColumn dataDxfId="10" id="10" name="Tomate Cherry" totalsRowDxfId="63"/>
    <tableColumn dataDxfId="9" id="14" name="Nueces" totalsRowDxfId="62"/>
    <tableColumn dataDxfId="8" id="15" name="Mani" totalsRowDxfId="61"/>
    <tableColumn dataDxfId="7" id="16" name="Pistachos" totalsRowDxfId="60"/>
    <tableColumn dataDxfId="6" id="17" name="Caju" totalsRowDxfId="59"/>
    <tableColumn dataDxfId="5" id="18" name="Almendras" totalsRowDxfId="58"/>
    <tableColumn dataDxfId="4" id="24" name="Cerezas" totalsRowDxfId="57"/>
    <tableColumn dataDxfId="3" id="25" name="Arandanos" totalsRowDxfId="56"/>
    <tableColumn dataDxfId="2" id="26" name="Empanadas" totalsRowDxfId="55"/>
    <tableColumn dataDxfId="1" id="23" name="Total">
      <calculatedColumnFormula>SUM(Tabla5237[[#This Row],[Paltas]:[Empanadas]])</calculatedColumnFormula>
    </tableColumn>
    <tableColumn dataDxfId="0" id="30" name="Comentario" totalsRowDxfId="54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mailto:matimuschen@gmail.com" TargetMode="External" Type="http://schemas.openxmlformats.org/officeDocument/2006/relationships/hyperlink" /><Relationship Id="rId2" Target="/xl/tables/table2.xml" Type="http://schemas.openxmlformats.org/officeDocument/2006/relationships/table" /></Relationships>
</file>

<file path=xl/worksheets/_rels/sheet3.xml.rels><Relationships xmlns="http://schemas.openxmlformats.org/package/2006/relationships"><Relationship Id="rId1" Target="mailto:matimuschen@gmail.com" TargetMode="External" Type="http://schemas.openxmlformats.org/officeDocument/2006/relationships/hyperlink" /><Relationship Id="rId2" Target="/xl/tables/table3.xml" Type="http://schemas.openxmlformats.org/officeDocument/2006/relationships/table" /></Relationships>
</file>

<file path=xl/worksheets/_rels/sheet4.xml.rels><Relationships xmlns="http://schemas.openxmlformats.org/package/2006/relationships"><Relationship Id="rId1" Target="/xl/tables/table4.xml" Type="http://schemas.openxmlformats.org/officeDocument/2006/relationships/table" /></Relationships>
</file>

<file path=xl/worksheets/_rels/sheet5.xml.rels><Relationships xmlns="http://schemas.openxmlformats.org/package/2006/relationships"><Relationship Id="rId1" Target="/xl/tables/table5.xml" Type="http://schemas.openxmlformats.org/officeDocument/2006/relationships/table" /></Relationships>
</file>

<file path=xl/worksheets/_rels/sheet6.xml.rels><Relationships xmlns="http://schemas.openxmlformats.org/package/2006/relationships"><Relationship Id="rId1" Target="/xl/tables/table6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 autoPageBreaks="0"/>
  </sheetPr>
  <dimension ref="A2:AB130"/>
  <sheetViews>
    <sheetView workbookViewId="0" zoomScale="85" zoomScaleNormal="85" zoomScalePageLayoutView="85">
      <pane activePane="bottomRight" state="frozen" topLeftCell="L71" xSplit="3" ySplit="4"/>
      <selection activeCell="D1" pane="topRight" sqref="D1"/>
      <selection activeCell="A5" pane="bottomLeft" sqref="A5"/>
      <selection activeCell="O83" pane="bottomRight" sqref="O83"/>
    </sheetView>
  </sheetViews>
  <sheetFormatPr baseColWidth="10" defaultColWidth="11.42578125" defaultRowHeight="15" outlineLevelCol="1" outlineLevelRow="1"/>
  <cols>
    <col customWidth="1" max="2" min="2" style="199" width="12.42578125"/>
    <col customWidth="1" max="3" min="3" style="199" width="15.28515625"/>
    <col customWidth="1" hidden="1" max="4" min="4" outlineLevel="1" style="199" width="38"/>
    <col customWidth="1" hidden="1" max="5" min="5" outlineLevel="1" style="199" width="15.140625"/>
    <col customWidth="1" hidden="1" max="6" min="6" outlineLevel="1" style="199" width="16.5703125"/>
    <col customWidth="1" hidden="1" max="7" min="7" outlineLevel="1" style="199" width="14.7109375"/>
    <col customWidth="1" hidden="1" max="8" min="8" outlineLevel="1" style="199" width="10.5703125"/>
    <col customWidth="1" hidden="1" max="9" min="9" outlineLevel="1" style="199" width="18.42578125"/>
    <col customWidth="1" hidden="1" max="10" min="10" outlineLevel="1" style="199" width="33.5703125"/>
    <col customWidth="1" hidden="1" max="11" min="11" outlineLevel="1" style="199" width="20.7109375"/>
    <col collapsed="1" customWidth="1" max="12" min="12" style="199" width="10.7109375"/>
    <col customWidth="1" max="14" min="13" style="199" width="10.7109375"/>
    <col customWidth="1" max="26" min="15" style="199" width="15.42578125"/>
    <col customWidth="1" max="28" min="28" style="200" width="71.42578125"/>
  </cols>
  <sheetData>
    <row customHeight="1" ht="15.75" r="1" s="199" spans="1:28" thickBot="1"/>
    <row customHeight="1" ht="29.65" r="2" s="199" spans="1:28" thickBot="1">
      <c r="B2" s="201" t="s">
        <v>0</v>
      </c>
      <c r="O2" s="202" t="s">
        <v>1</v>
      </c>
    </row>
    <row customFormat="1" customHeight="1" ht="15.75" r="3" s="203" spans="1:28" thickBot="1">
      <c r="L3" s="204" t="n"/>
      <c r="M3" s="204" t="n"/>
      <c r="N3" s="204" t="n"/>
      <c r="O3" s="205" t="s">
        <v>2</v>
      </c>
      <c r="P3" s="205" t="s">
        <v>3</v>
      </c>
      <c r="Q3" s="205" t="s">
        <v>4</v>
      </c>
      <c r="R3" s="205" t="s">
        <v>5</v>
      </c>
      <c r="S3" s="205" t="s">
        <v>6</v>
      </c>
      <c r="T3" s="206" t="s">
        <v>7</v>
      </c>
      <c r="U3" s="206" t="s">
        <v>8</v>
      </c>
      <c r="V3" s="206" t="s">
        <v>9</v>
      </c>
      <c r="W3" s="206" t="s">
        <v>10</v>
      </c>
      <c r="X3" s="207" t="s">
        <v>11</v>
      </c>
      <c r="Y3" s="208" t="s">
        <v>12</v>
      </c>
      <c r="Z3" s="208" t="s">
        <v>13</v>
      </c>
      <c r="AB3" s="200" t="n"/>
    </row>
    <row customFormat="1" customHeight="1" ht="15.75" r="4" s="209" spans="1:28" thickBot="1">
      <c r="B4" s="210" t="s">
        <v>14</v>
      </c>
      <c r="C4" s="210" t="s">
        <v>15</v>
      </c>
      <c r="D4" s="210" t="s">
        <v>16</v>
      </c>
      <c r="E4" s="210" t="s">
        <v>17</v>
      </c>
      <c r="F4" s="210" t="s">
        <v>18</v>
      </c>
      <c r="G4" s="210" t="s">
        <v>19</v>
      </c>
      <c r="H4" s="210" t="s">
        <v>20</v>
      </c>
      <c r="I4" s="210" t="s">
        <v>21</v>
      </c>
      <c r="J4" s="210" t="s">
        <v>22</v>
      </c>
      <c r="K4" s="210" t="s">
        <v>23</v>
      </c>
      <c r="L4" s="210" t="s">
        <v>24</v>
      </c>
      <c r="M4" s="210" t="s">
        <v>25</v>
      </c>
      <c r="N4" s="210" t="s">
        <v>26</v>
      </c>
      <c r="O4" s="211" t="s">
        <v>2</v>
      </c>
      <c r="P4" s="211" t="s">
        <v>3</v>
      </c>
      <c r="Q4" s="211" t="s">
        <v>4</v>
      </c>
      <c r="R4" s="211" t="s">
        <v>5</v>
      </c>
      <c r="S4" s="212" t="s">
        <v>6</v>
      </c>
      <c r="T4" s="213" t="s">
        <v>7</v>
      </c>
      <c r="U4" s="213" t="s">
        <v>8</v>
      </c>
      <c r="V4" s="213" t="s">
        <v>9</v>
      </c>
      <c r="W4" s="213" t="s">
        <v>10</v>
      </c>
      <c r="X4" s="213" t="s">
        <v>11</v>
      </c>
      <c r="Y4" s="213" t="s">
        <v>12</v>
      </c>
      <c r="Z4" s="213" t="s">
        <v>13</v>
      </c>
      <c r="AA4" s="213" t="s">
        <v>27</v>
      </c>
      <c r="AB4" s="214" t="s">
        <v>28</v>
      </c>
    </row>
    <row customHeight="1" ht="14.65" outlineLevel="1" r="5" s="199" spans="1:28">
      <c r="A5" s="215" t="s">
        <v>29</v>
      </c>
      <c r="B5" s="216">
        <f>[1]Personas!A2</f>
        <v/>
      </c>
      <c r="C5" s="217">
        <f>[1]Personas!B2</f>
        <v/>
      </c>
      <c r="D5" s="217">
        <f>[1]Personas!C2</f>
        <v/>
      </c>
      <c r="E5" s="217">
        <f>[1]Personas!D2</f>
        <v/>
      </c>
      <c r="F5" s="217">
        <f>[1]Personas!E2</f>
        <v/>
      </c>
      <c r="G5" s="217">
        <f>[1]Personas!F2</f>
        <v/>
      </c>
      <c r="H5" s="217">
        <f>[1]Personas!G2</f>
        <v/>
      </c>
      <c r="I5" s="218">
        <f>[1]Personas!H2</f>
        <v/>
      </c>
      <c r="J5" s="219">
        <f>[1]Personas!I2</f>
        <v/>
      </c>
      <c r="K5" s="219">
        <f>[1]Personas!J2</f>
        <v/>
      </c>
      <c r="L5" s="220" t="n"/>
      <c r="M5" s="220" t="n"/>
      <c r="N5" s="217">
        <f>SUMPRODUCT(Tabla523[[#This Row],[Paltas]:[Empanadas]],O$102:Z$102)</f>
        <v/>
      </c>
      <c r="O5" s="220" t="n"/>
      <c r="P5" s="220" t="n"/>
      <c r="Q5" s="220" t="n"/>
      <c r="R5" s="220" t="n"/>
      <c r="S5" s="220" t="n"/>
      <c r="T5" s="220" t="n"/>
      <c r="U5" s="220" t="n"/>
      <c r="V5" s="220" t="n"/>
      <c r="W5" s="220" t="n"/>
      <c r="X5" s="220" t="n"/>
      <c r="Y5" s="220" t="n"/>
      <c r="Z5" s="220" t="n"/>
      <c r="AA5" s="220">
        <f>SUM(Tabla523[[#This Row],[Paltas]:[Empanadas]])</f>
        <v/>
      </c>
      <c r="AB5" s="221" t="n"/>
    </row>
    <row outlineLevel="1" r="6" s="199" spans="1:28">
      <c r="B6" s="222">
        <f>[1]Personas!A3</f>
        <v/>
      </c>
      <c r="C6" s="223">
        <f>[1]Personas!B3</f>
        <v/>
      </c>
      <c r="D6" s="223">
        <f>[1]Personas!C3</f>
        <v/>
      </c>
      <c r="E6" s="223">
        <f>[1]Personas!D3</f>
        <v/>
      </c>
      <c r="F6" s="223">
        <f>[1]Personas!E3</f>
        <v/>
      </c>
      <c r="G6" s="223">
        <f>[1]Personas!F3</f>
        <v/>
      </c>
      <c r="H6" s="223">
        <f>[1]Personas!G3</f>
        <v/>
      </c>
      <c r="I6" s="224">
        <f>[1]Personas!H3</f>
        <v/>
      </c>
      <c r="J6" s="225">
        <f>[1]Personas!I3</f>
        <v/>
      </c>
      <c r="K6" s="225">
        <f>[1]Personas!J3</f>
        <v/>
      </c>
      <c r="L6" s="226" t="n"/>
      <c r="M6" s="226" t="n"/>
      <c r="N6" s="223">
        <f>SUMPRODUCT(Tabla523[[#This Row],[Paltas]:[Empanadas]],O$102:Z$102)</f>
        <v/>
      </c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>
        <f>SUM(Tabla523[[#This Row],[Paltas]:[Empanadas]])</f>
        <v/>
      </c>
      <c r="AB6" s="227" t="n"/>
    </row>
    <row outlineLevel="1" r="7" s="199" spans="1:28">
      <c r="B7" s="222">
        <f>[1]Personas!A4</f>
        <v/>
      </c>
      <c r="C7" s="223">
        <f>[1]Personas!B4</f>
        <v/>
      </c>
      <c r="D7" s="223">
        <f>[1]Personas!C4</f>
        <v/>
      </c>
      <c r="E7" s="223">
        <f>[1]Personas!D4</f>
        <v/>
      </c>
      <c r="F7" s="223">
        <f>[1]Personas!E4</f>
        <v/>
      </c>
      <c r="G7" s="223">
        <f>[1]Personas!F4</f>
        <v/>
      </c>
      <c r="H7" s="223">
        <f>[1]Personas!G4</f>
        <v/>
      </c>
      <c r="I7" s="224">
        <f>[1]Personas!H4</f>
        <v/>
      </c>
      <c r="J7" s="225">
        <f>[1]Personas!I4</f>
        <v/>
      </c>
      <c r="K7" s="225">
        <f>[1]Personas!J4</f>
        <v/>
      </c>
      <c r="L7" s="226" t="n"/>
      <c r="M7" s="226" t="n"/>
      <c r="N7" s="223">
        <f>SUMPRODUCT(Tabla523[[#This Row],[Paltas]:[Empanadas]],O$102:Z$102)</f>
        <v/>
      </c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>
        <f>SUM(Tabla523[[#This Row],[Paltas]:[Empanadas]])</f>
        <v/>
      </c>
      <c r="AB7" s="227" t="n"/>
    </row>
    <row outlineLevel="1" r="8" s="199" spans="1:28">
      <c r="B8" s="222">
        <f>[1]Personas!A5</f>
        <v/>
      </c>
      <c r="C8" s="223">
        <f>[1]Personas!B5</f>
        <v/>
      </c>
      <c r="D8" s="223">
        <f>[1]Personas!C5</f>
        <v/>
      </c>
      <c r="E8" s="223">
        <f>[1]Personas!D5</f>
        <v/>
      </c>
      <c r="F8" s="223">
        <f>[1]Personas!E5</f>
        <v/>
      </c>
      <c r="G8" s="223">
        <f>[1]Personas!F5</f>
        <v/>
      </c>
      <c r="H8" s="223">
        <f>[1]Personas!G5</f>
        <v/>
      </c>
      <c r="I8" s="224">
        <f>[1]Personas!H5</f>
        <v/>
      </c>
      <c r="J8" s="225">
        <f>[1]Personas!I5</f>
        <v/>
      </c>
      <c r="K8" s="225">
        <f>[1]Personas!J5</f>
        <v/>
      </c>
      <c r="L8" s="226" t="n"/>
      <c r="M8" s="226" t="n"/>
      <c r="N8" s="223">
        <f>SUMPRODUCT(Tabla523[[#This Row],[Paltas]:[Empanadas]],O$102:Z$102)</f>
        <v/>
      </c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>
        <f>SUM(Tabla523[[#This Row],[Paltas]:[Empanadas]])</f>
        <v/>
      </c>
      <c r="AB8" s="227" t="n"/>
    </row>
    <row outlineLevel="1" r="9" s="199" spans="1:28">
      <c r="B9" s="222">
        <f>[1]Personas!A6</f>
        <v/>
      </c>
      <c r="C9" s="223">
        <f>[1]Personas!B6</f>
        <v/>
      </c>
      <c r="D9" s="223">
        <f>[1]Personas!C6</f>
        <v/>
      </c>
      <c r="E9" s="223">
        <f>[1]Personas!D6</f>
        <v/>
      </c>
      <c r="F9" s="223">
        <f>[1]Personas!E6</f>
        <v/>
      </c>
      <c r="G9" s="223">
        <f>[1]Personas!F6</f>
        <v/>
      </c>
      <c r="H9" s="223">
        <f>[1]Personas!G6</f>
        <v/>
      </c>
      <c r="I9" s="224">
        <f>[1]Personas!H6</f>
        <v/>
      </c>
      <c r="J9" s="225">
        <f>[1]Personas!I6</f>
        <v/>
      </c>
      <c r="K9" s="225">
        <f>[1]Personas!J6</f>
        <v/>
      </c>
      <c r="L9" s="226" t="n"/>
      <c r="M9" s="226" t="n"/>
      <c r="N9" s="223">
        <f>SUMPRODUCT(Tabla523[[#This Row],[Paltas]:[Empanadas]],O$102:Z$102)</f>
        <v/>
      </c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>
        <f>SUM(Tabla523[[#This Row],[Paltas]:[Empanadas]])</f>
        <v/>
      </c>
      <c r="AB9" s="227" t="n"/>
    </row>
    <row outlineLevel="1" r="10" s="199" spans="1:28">
      <c r="B10" s="222">
        <f>[1]Personas!A7</f>
        <v/>
      </c>
      <c r="C10" s="223">
        <f>[1]Personas!B7</f>
        <v/>
      </c>
      <c r="D10" s="223">
        <f>[1]Personas!C7</f>
        <v/>
      </c>
      <c r="E10" s="223">
        <f>[1]Personas!D7</f>
        <v/>
      </c>
      <c r="F10" s="223">
        <f>[1]Personas!E7</f>
        <v/>
      </c>
      <c r="G10" s="223">
        <f>[1]Personas!F7</f>
        <v/>
      </c>
      <c r="H10" s="223">
        <f>[1]Personas!G7</f>
        <v/>
      </c>
      <c r="I10" s="224">
        <f>[1]Personas!H7</f>
        <v/>
      </c>
      <c r="J10" s="225">
        <f>[1]Personas!I7</f>
        <v/>
      </c>
      <c r="K10" s="225">
        <f>[1]Personas!J7</f>
        <v/>
      </c>
      <c r="L10" s="226" t="n"/>
      <c r="M10" s="226" t="n"/>
      <c r="N10" s="223">
        <f>SUMPRODUCT(Tabla523[[#This Row],[Paltas]:[Empanadas]],O$102:Z$102)</f>
        <v/>
      </c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>
        <f>SUM(Tabla523[[#This Row],[Paltas]:[Empanadas]])</f>
        <v/>
      </c>
      <c r="AB10" s="227" t="n"/>
    </row>
    <row outlineLevel="1" r="11" s="199" spans="1:28">
      <c r="B11" s="222">
        <f>[1]Personas!A8</f>
        <v/>
      </c>
      <c r="C11" s="223">
        <f>[1]Personas!B8</f>
        <v/>
      </c>
      <c r="D11" s="223">
        <f>[1]Personas!C8</f>
        <v/>
      </c>
      <c r="E11" s="223">
        <f>[1]Personas!D8</f>
        <v/>
      </c>
      <c r="F11" s="223">
        <f>[1]Personas!E8</f>
        <v/>
      </c>
      <c r="G11" s="223">
        <f>[1]Personas!F8</f>
        <v/>
      </c>
      <c r="H11" s="223">
        <f>[1]Personas!G8</f>
        <v/>
      </c>
      <c r="I11" s="224">
        <f>[1]Personas!H8</f>
        <v/>
      </c>
      <c r="J11" s="225">
        <f>[1]Personas!I8</f>
        <v/>
      </c>
      <c r="K11" s="225">
        <f>[1]Personas!J8</f>
        <v/>
      </c>
      <c r="L11" s="226" t="n"/>
      <c r="M11" s="226" t="n"/>
      <c r="N11" s="223">
        <f>SUMPRODUCT(Tabla523[[#This Row],[Paltas]:[Empanadas]],O$102:Z$102)</f>
        <v/>
      </c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>
        <f>SUM(Tabla523[[#This Row],[Paltas]:[Empanadas]])</f>
        <v/>
      </c>
      <c r="AB11" s="227" t="n"/>
    </row>
    <row outlineLevel="1" r="12" s="199" spans="1:28">
      <c r="B12" s="222">
        <f>[1]Personas!A9</f>
        <v/>
      </c>
      <c r="C12" s="223">
        <f>[1]Personas!B9</f>
        <v/>
      </c>
      <c r="D12" s="223">
        <f>[1]Personas!C9</f>
        <v/>
      </c>
      <c r="E12" s="223">
        <f>[1]Personas!D9</f>
        <v/>
      </c>
      <c r="F12" s="223">
        <f>[1]Personas!E9</f>
        <v/>
      </c>
      <c r="G12" s="223">
        <f>[1]Personas!F9</f>
        <v/>
      </c>
      <c r="H12" s="223">
        <f>[1]Personas!G9</f>
        <v/>
      </c>
      <c r="I12" s="224">
        <f>[1]Personas!H9</f>
        <v/>
      </c>
      <c r="J12" s="225">
        <f>[1]Personas!I9</f>
        <v/>
      </c>
      <c r="K12" s="225">
        <f>[1]Personas!J9</f>
        <v/>
      </c>
      <c r="L12" s="226" t="n"/>
      <c r="M12" s="226" t="n"/>
      <c r="N12" s="223">
        <f>SUMPRODUCT(Tabla523[[#This Row],[Paltas]:[Empanadas]],O$102:Z$102)</f>
        <v/>
      </c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>
        <f>SUM(Tabla523[[#This Row],[Paltas]:[Empanadas]])</f>
        <v/>
      </c>
      <c r="AB12" s="227" t="n"/>
    </row>
    <row outlineLevel="1" r="13" s="199" spans="1:28">
      <c r="B13" s="222">
        <f>[1]Personas!A10</f>
        <v/>
      </c>
      <c r="C13" s="223">
        <f>[1]Personas!B10</f>
        <v/>
      </c>
      <c r="D13" s="223">
        <f>[1]Personas!C10</f>
        <v/>
      </c>
      <c r="E13" s="223">
        <f>[1]Personas!D10</f>
        <v/>
      </c>
      <c r="F13" s="223">
        <f>[1]Personas!E10</f>
        <v/>
      </c>
      <c r="G13" s="223">
        <f>[1]Personas!F10</f>
        <v/>
      </c>
      <c r="H13" s="223">
        <f>[1]Personas!G10</f>
        <v/>
      </c>
      <c r="I13" s="224">
        <f>[1]Personas!H10</f>
        <v/>
      </c>
      <c r="J13" s="225">
        <f>[1]Personas!I10</f>
        <v/>
      </c>
      <c r="K13" s="225">
        <f>[1]Personas!J10</f>
        <v/>
      </c>
      <c r="L13" s="226" t="n"/>
      <c r="M13" s="226" t="n"/>
      <c r="N13" s="223">
        <f>SUMPRODUCT(Tabla523[[#This Row],[Paltas]:[Empanadas]],O$102:Z$102)</f>
        <v/>
      </c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>
        <f>SUM(Tabla523[[#This Row],[Paltas]:[Empanadas]])</f>
        <v/>
      </c>
      <c r="AB13" s="227" t="n"/>
    </row>
    <row outlineLevel="1" r="14" s="199" spans="1:28">
      <c r="B14" s="222">
        <f>[1]Personas!A11</f>
        <v/>
      </c>
      <c r="C14" s="223">
        <f>[1]Personas!B11</f>
        <v/>
      </c>
      <c r="D14" s="223">
        <f>[1]Personas!C11</f>
        <v/>
      </c>
      <c r="E14" s="223">
        <f>[1]Personas!D11</f>
        <v/>
      </c>
      <c r="F14" s="223">
        <f>[1]Personas!E11</f>
        <v/>
      </c>
      <c r="G14" s="223">
        <f>[1]Personas!F11</f>
        <v/>
      </c>
      <c r="H14" s="223">
        <f>[1]Personas!G11</f>
        <v/>
      </c>
      <c r="I14" s="224">
        <f>[1]Personas!H11</f>
        <v/>
      </c>
      <c r="J14" s="225">
        <f>[1]Personas!I11</f>
        <v/>
      </c>
      <c r="K14" s="225">
        <f>[1]Personas!J11</f>
        <v/>
      </c>
      <c r="L14" s="226" t="n"/>
      <c r="M14" s="226" t="n"/>
      <c r="N14" s="223">
        <f>SUMPRODUCT(Tabla523[[#This Row],[Paltas]:[Empanadas]],O$102:Z$102)</f>
        <v/>
      </c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  <c r="AA14" s="226">
        <f>SUM(Tabla523[[#This Row],[Paltas]:[Empanadas]])</f>
        <v/>
      </c>
      <c r="AB14" s="227" t="n"/>
    </row>
    <row outlineLevel="1" r="15" s="199" spans="1:28">
      <c r="B15" s="222">
        <f>[1]Personas!A12</f>
        <v/>
      </c>
      <c r="C15" s="223">
        <f>[1]Personas!B12</f>
        <v/>
      </c>
      <c r="D15" s="223">
        <f>[1]Personas!C12</f>
        <v/>
      </c>
      <c r="E15" s="223">
        <f>[1]Personas!D12</f>
        <v/>
      </c>
      <c r="F15" s="223">
        <f>[1]Personas!E12</f>
        <v/>
      </c>
      <c r="G15" s="223">
        <f>[1]Personas!F12</f>
        <v/>
      </c>
      <c r="H15" s="223">
        <f>[1]Personas!G12</f>
        <v/>
      </c>
      <c r="I15" s="224">
        <f>[1]Personas!H12</f>
        <v/>
      </c>
      <c r="J15" s="225">
        <f>[1]Personas!I12</f>
        <v/>
      </c>
      <c r="K15" s="225">
        <f>[1]Personas!J12</f>
        <v/>
      </c>
      <c r="L15" s="226" t="n"/>
      <c r="M15" s="226" t="n"/>
      <c r="N15" s="223">
        <f>SUMPRODUCT(Tabla523[[#This Row],[Paltas]:[Empanadas]],O$102:Z$102)</f>
        <v/>
      </c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>
        <f>SUM(Tabla523[[#This Row],[Paltas]:[Empanadas]])</f>
        <v/>
      </c>
      <c r="AB15" s="227" t="n"/>
    </row>
    <row outlineLevel="1" r="16" s="199" spans="1:28">
      <c r="B16" s="222">
        <f>[1]Personas!A13</f>
        <v/>
      </c>
      <c r="C16" s="223">
        <f>[1]Personas!B13</f>
        <v/>
      </c>
      <c r="D16" s="223">
        <f>[1]Personas!C13</f>
        <v/>
      </c>
      <c r="E16" s="223">
        <f>[1]Personas!D13</f>
        <v/>
      </c>
      <c r="F16" s="223">
        <f>[1]Personas!E13</f>
        <v/>
      </c>
      <c r="G16" s="223">
        <f>[1]Personas!F13</f>
        <v/>
      </c>
      <c r="H16" s="223">
        <f>[1]Personas!G13</f>
        <v/>
      </c>
      <c r="I16" s="224">
        <f>[1]Personas!H13</f>
        <v/>
      </c>
      <c r="J16" s="225">
        <f>[1]Personas!I13</f>
        <v/>
      </c>
      <c r="K16" s="225">
        <f>[1]Personas!J13</f>
        <v/>
      </c>
      <c r="L16" s="226" t="n"/>
      <c r="M16" s="226" t="n"/>
      <c r="N16" s="223">
        <f>SUMPRODUCT(Tabla523[[#This Row],[Paltas]:[Empanadas]],O$102:Z$102)</f>
        <v/>
      </c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>
        <f>SUM(Tabla523[[#This Row],[Paltas]:[Empanadas]])</f>
        <v/>
      </c>
      <c r="AB16" s="227" t="n"/>
    </row>
    <row outlineLevel="1" r="17" s="199" spans="1:28">
      <c r="B17" s="222">
        <f>[1]Personas!A14</f>
        <v/>
      </c>
      <c r="C17" s="223">
        <f>[1]Personas!B14</f>
        <v/>
      </c>
      <c r="D17" s="223">
        <f>[1]Personas!C14</f>
        <v/>
      </c>
      <c r="E17" s="223">
        <f>[1]Personas!D14</f>
        <v/>
      </c>
      <c r="F17" s="223">
        <f>[1]Personas!E14</f>
        <v/>
      </c>
      <c r="G17" s="223">
        <f>[1]Personas!F14</f>
        <v/>
      </c>
      <c r="H17" s="223">
        <f>[1]Personas!G14</f>
        <v/>
      </c>
      <c r="I17" s="224">
        <f>[1]Personas!H14</f>
        <v/>
      </c>
      <c r="J17" s="225">
        <f>[1]Personas!I14</f>
        <v/>
      </c>
      <c r="K17" s="225">
        <f>[1]Personas!J14</f>
        <v/>
      </c>
      <c r="L17" s="226" t="n"/>
      <c r="M17" s="226" t="n"/>
      <c r="N17" s="223">
        <f>SUMPRODUCT(Tabla523[[#This Row],[Paltas]:[Empanadas]],O$102:Z$102)</f>
        <v/>
      </c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>
        <f>SUM(Tabla523[[#This Row],[Paltas]:[Empanadas]])</f>
        <v/>
      </c>
      <c r="AB17" s="227" t="n"/>
    </row>
    <row outlineLevel="1" r="18" s="199" spans="1:28">
      <c r="B18" s="222">
        <f>[1]Personas!A15</f>
        <v/>
      </c>
      <c r="C18" s="223">
        <f>[1]Personas!B15</f>
        <v/>
      </c>
      <c r="D18" s="223">
        <f>[1]Personas!C15</f>
        <v/>
      </c>
      <c r="E18" s="223">
        <f>[1]Personas!D15</f>
        <v/>
      </c>
      <c r="F18" s="223">
        <f>[1]Personas!E15</f>
        <v/>
      </c>
      <c r="G18" s="223">
        <f>[1]Personas!F15</f>
        <v/>
      </c>
      <c r="H18" s="223">
        <f>[1]Personas!G15</f>
        <v/>
      </c>
      <c r="I18" s="224">
        <f>[1]Personas!H15</f>
        <v/>
      </c>
      <c r="J18" s="225">
        <f>[1]Personas!I15</f>
        <v/>
      </c>
      <c r="K18" s="225">
        <f>[1]Personas!J15</f>
        <v/>
      </c>
      <c r="L18" s="226" t="n"/>
      <c r="M18" s="226" t="n"/>
      <c r="N18" s="223">
        <f>SUMPRODUCT(Tabla523[[#This Row],[Paltas]:[Empanadas]],O$102:Z$102)</f>
        <v/>
      </c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>
        <f>SUM(Tabla523[[#This Row],[Paltas]:[Empanadas]])</f>
        <v/>
      </c>
      <c r="AB18" s="227" t="n"/>
    </row>
    <row outlineLevel="1" r="19" s="199" spans="1:28">
      <c r="B19" s="222">
        <f>[1]Personas!A16</f>
        <v/>
      </c>
      <c r="C19" s="223">
        <f>[1]Personas!B16</f>
        <v/>
      </c>
      <c r="D19" s="223">
        <f>[1]Personas!C16</f>
        <v/>
      </c>
      <c r="E19" s="223">
        <f>[1]Personas!D16</f>
        <v/>
      </c>
      <c r="F19" s="223">
        <f>[1]Personas!E16</f>
        <v/>
      </c>
      <c r="G19" s="223">
        <f>[1]Personas!F16</f>
        <v/>
      </c>
      <c r="H19" s="223">
        <f>[1]Personas!G16</f>
        <v/>
      </c>
      <c r="I19" s="224">
        <f>[1]Personas!H16</f>
        <v/>
      </c>
      <c r="J19" s="225">
        <f>[1]Personas!I16</f>
        <v/>
      </c>
      <c r="K19" s="225">
        <f>[1]Personas!J16</f>
        <v/>
      </c>
      <c r="L19" s="226" t="n"/>
      <c r="M19" s="226" t="n"/>
      <c r="N19" s="223">
        <f>SUMPRODUCT(Tabla523[[#This Row],[Paltas]:[Empanadas]],O$102:Z$102)</f>
        <v/>
      </c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>
        <f>SUM(Tabla523[[#This Row],[Paltas]:[Empanadas]])</f>
        <v/>
      </c>
      <c r="AB19" s="227" t="n"/>
    </row>
    <row outlineLevel="1" r="20" s="199" spans="1:28">
      <c r="B20" s="222">
        <f>[1]Personas!A17</f>
        <v/>
      </c>
      <c r="C20" s="223">
        <f>[1]Personas!B17</f>
        <v/>
      </c>
      <c r="D20" s="223">
        <f>[1]Personas!C17</f>
        <v/>
      </c>
      <c r="E20" s="223">
        <f>[1]Personas!D17</f>
        <v/>
      </c>
      <c r="F20" s="223">
        <f>[1]Personas!E17</f>
        <v/>
      </c>
      <c r="G20" s="223">
        <f>[1]Personas!F17</f>
        <v/>
      </c>
      <c r="H20" s="223">
        <f>[1]Personas!G17</f>
        <v/>
      </c>
      <c r="I20" s="224">
        <f>[1]Personas!H17</f>
        <v/>
      </c>
      <c r="J20" s="225">
        <f>[1]Personas!I17</f>
        <v/>
      </c>
      <c r="K20" s="225">
        <f>[1]Personas!J17</f>
        <v/>
      </c>
      <c r="L20" s="226" t="n"/>
      <c r="M20" s="226" t="n"/>
      <c r="N20" s="223">
        <f>SUMPRODUCT(Tabla523[[#This Row],[Paltas]:[Empanadas]],O$102:Z$102)</f>
        <v/>
      </c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>
        <f>SUM(Tabla523[[#This Row],[Paltas]:[Empanadas]])</f>
        <v/>
      </c>
      <c r="AB20" s="227" t="n"/>
    </row>
    <row outlineLevel="1" r="21" s="199" spans="1:28">
      <c r="B21" s="222">
        <f>[1]Personas!A18</f>
        <v/>
      </c>
      <c r="C21" s="223">
        <f>[1]Personas!B18</f>
        <v/>
      </c>
      <c r="D21" s="223">
        <f>[1]Personas!C18</f>
        <v/>
      </c>
      <c r="E21" s="223">
        <f>[1]Personas!D18</f>
        <v/>
      </c>
      <c r="F21" s="223">
        <f>[1]Personas!E18</f>
        <v/>
      </c>
      <c r="G21" s="223">
        <f>[1]Personas!F18</f>
        <v/>
      </c>
      <c r="H21" s="223">
        <f>[1]Personas!G18</f>
        <v/>
      </c>
      <c r="I21" s="224">
        <f>[1]Personas!H18</f>
        <v/>
      </c>
      <c r="J21" s="225">
        <f>[1]Personas!I18</f>
        <v/>
      </c>
      <c r="K21" s="225">
        <f>[1]Personas!J18</f>
        <v/>
      </c>
      <c r="L21" s="226" t="n"/>
      <c r="M21" s="226" t="n"/>
      <c r="N21" s="223">
        <f>SUMPRODUCT(Tabla523[[#This Row],[Paltas]:[Empanadas]],O$102:Z$102)</f>
        <v/>
      </c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>
        <f>SUM(Tabla523[[#This Row],[Paltas]:[Empanadas]])</f>
        <v/>
      </c>
      <c r="AB21" s="227" t="n"/>
    </row>
    <row outlineLevel="1" r="22" s="199" spans="1:28">
      <c r="B22" s="222">
        <f>[1]Personas!A19</f>
        <v/>
      </c>
      <c r="C22" s="223">
        <f>[1]Personas!B19</f>
        <v/>
      </c>
      <c r="D22" s="223">
        <f>[1]Personas!C19</f>
        <v/>
      </c>
      <c r="E22" s="223">
        <f>[1]Personas!D19</f>
        <v/>
      </c>
      <c r="F22" s="223">
        <f>[1]Personas!E19</f>
        <v/>
      </c>
      <c r="G22" s="223">
        <f>[1]Personas!F19</f>
        <v/>
      </c>
      <c r="H22" s="223">
        <f>[1]Personas!G19</f>
        <v/>
      </c>
      <c r="I22" s="224">
        <f>[1]Personas!H19</f>
        <v/>
      </c>
      <c r="J22" s="225">
        <f>[1]Personas!I19</f>
        <v/>
      </c>
      <c r="K22" s="225">
        <f>[1]Personas!J19</f>
        <v/>
      </c>
      <c r="L22" s="226" t="n"/>
      <c r="M22" s="226" t="n"/>
      <c r="N22" s="223">
        <f>SUMPRODUCT(Tabla523[[#This Row],[Paltas]:[Empanadas]],O$102:Z$102)</f>
        <v/>
      </c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>
        <f>SUM(Tabla523[[#This Row],[Paltas]:[Empanadas]])</f>
        <v/>
      </c>
      <c r="AB22" s="227" t="n"/>
    </row>
    <row outlineLevel="1" r="23" s="199" spans="1:28">
      <c r="B23" s="222">
        <f>[1]Personas!A20</f>
        <v/>
      </c>
      <c r="C23" s="223">
        <f>[1]Personas!B20</f>
        <v/>
      </c>
      <c r="D23" s="223">
        <f>[1]Personas!C20</f>
        <v/>
      </c>
      <c r="E23" s="223">
        <f>[1]Personas!D20</f>
        <v/>
      </c>
      <c r="F23" s="223">
        <f>[1]Personas!E20</f>
        <v/>
      </c>
      <c r="G23" s="223">
        <f>[1]Personas!F20</f>
        <v/>
      </c>
      <c r="H23" s="223">
        <f>[1]Personas!G20</f>
        <v/>
      </c>
      <c r="I23" s="224">
        <f>[1]Personas!H20</f>
        <v/>
      </c>
      <c r="J23" s="225">
        <f>[1]Personas!I20</f>
        <v/>
      </c>
      <c r="K23" s="225">
        <f>[1]Personas!J20</f>
        <v/>
      </c>
      <c r="L23" s="226" t="n"/>
      <c r="M23" s="226" t="n"/>
      <c r="N23" s="223">
        <f>SUMPRODUCT(Tabla523[[#This Row],[Paltas]:[Empanadas]],O$102:Z$102)</f>
        <v/>
      </c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  <c r="AA23" s="226">
        <f>SUM(Tabla523[[#This Row],[Paltas]:[Empanadas]])</f>
        <v/>
      </c>
      <c r="AB23" s="227" t="n"/>
    </row>
    <row outlineLevel="1" r="24" s="199" spans="1:28">
      <c r="B24" s="222">
        <f>[1]Personas!A21</f>
        <v/>
      </c>
      <c r="C24" s="223">
        <f>[1]Personas!B21</f>
        <v/>
      </c>
      <c r="D24" s="223">
        <f>[1]Personas!C21</f>
        <v/>
      </c>
      <c r="E24" s="223">
        <f>[1]Personas!D21</f>
        <v/>
      </c>
      <c r="F24" s="223">
        <f>[1]Personas!E21</f>
        <v/>
      </c>
      <c r="G24" s="223">
        <f>[1]Personas!F21</f>
        <v/>
      </c>
      <c r="H24" s="223">
        <f>[1]Personas!G21</f>
        <v/>
      </c>
      <c r="I24" s="224">
        <f>[1]Personas!H21</f>
        <v/>
      </c>
      <c r="J24" s="225">
        <f>[1]Personas!I21</f>
        <v/>
      </c>
      <c r="K24" s="225">
        <f>[1]Personas!J21</f>
        <v/>
      </c>
      <c r="L24" s="226" t="n"/>
      <c r="M24" s="226" t="n"/>
      <c r="N24" s="223">
        <f>SUMPRODUCT(Tabla523[[#This Row],[Paltas]:[Empanadas]],O$102:Z$102)</f>
        <v/>
      </c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>
        <f>SUM(Tabla523[[#This Row],[Paltas]:[Empanadas]])</f>
        <v/>
      </c>
      <c r="AB24" s="227" t="n"/>
    </row>
    <row outlineLevel="1" r="25" s="199" spans="1:28">
      <c r="B25" s="222">
        <f>[1]Personas!A22</f>
        <v/>
      </c>
      <c r="C25" s="223">
        <f>[1]Personas!B22</f>
        <v/>
      </c>
      <c r="D25" s="223">
        <f>[1]Personas!C22</f>
        <v/>
      </c>
      <c r="E25" s="223">
        <f>[1]Personas!D22</f>
        <v/>
      </c>
      <c r="F25" s="223">
        <f>[1]Personas!E22</f>
        <v/>
      </c>
      <c r="G25" s="223">
        <f>[1]Personas!F22</f>
        <v/>
      </c>
      <c r="H25" s="223">
        <f>[1]Personas!G22</f>
        <v/>
      </c>
      <c r="I25" s="224">
        <f>[1]Personas!H22</f>
        <v/>
      </c>
      <c r="J25" s="225">
        <f>[1]Personas!I22</f>
        <v/>
      </c>
      <c r="K25" s="225">
        <f>[1]Personas!J22</f>
        <v/>
      </c>
      <c r="L25" s="226" t="n"/>
      <c r="M25" s="226" t="n"/>
      <c r="N25" s="223">
        <f>SUMPRODUCT(Tabla523[[#This Row],[Paltas]:[Empanadas]],O$102:Z$102)</f>
        <v/>
      </c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>
        <f>SUM(Tabla523[[#This Row],[Paltas]:[Empanadas]])</f>
        <v/>
      </c>
      <c r="AB25" s="227" t="n"/>
    </row>
    <row outlineLevel="1" r="26" s="199" spans="1:28">
      <c r="B26" s="222">
        <f>[1]Personas!A23</f>
        <v/>
      </c>
      <c r="C26" s="223">
        <f>[1]Personas!B23</f>
        <v/>
      </c>
      <c r="D26" s="223">
        <f>[1]Personas!C23</f>
        <v/>
      </c>
      <c r="E26" s="223">
        <f>[1]Personas!D23</f>
        <v/>
      </c>
      <c r="F26" s="223">
        <f>[1]Personas!E23</f>
        <v/>
      </c>
      <c r="G26" s="223">
        <f>[1]Personas!F23</f>
        <v/>
      </c>
      <c r="H26" s="223">
        <f>[1]Personas!G23</f>
        <v/>
      </c>
      <c r="I26" s="224">
        <f>[1]Personas!H23</f>
        <v/>
      </c>
      <c r="J26" s="225">
        <f>[1]Personas!I23</f>
        <v/>
      </c>
      <c r="K26" s="225">
        <f>[1]Personas!J23</f>
        <v/>
      </c>
      <c r="L26" s="226" t="n"/>
      <c r="M26" s="226" t="n"/>
      <c r="N26" s="223">
        <f>SUMPRODUCT(Tabla523[[#This Row],[Paltas]:[Empanadas]],O$102:Z$102)</f>
        <v/>
      </c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  <c r="AA26" s="226">
        <f>SUM(Tabla523[[#This Row],[Paltas]:[Empanadas]])</f>
        <v/>
      </c>
      <c r="AB26" s="227" t="n"/>
    </row>
    <row outlineLevel="1" r="27" s="199" spans="1:28">
      <c r="B27" s="222">
        <f>[1]Personas!A24</f>
        <v/>
      </c>
      <c r="C27" s="223">
        <f>[1]Personas!B24</f>
        <v/>
      </c>
      <c r="D27" s="223">
        <f>[1]Personas!C24</f>
        <v/>
      </c>
      <c r="E27" s="223">
        <f>[1]Personas!D24</f>
        <v/>
      </c>
      <c r="F27" s="223">
        <f>[1]Personas!E24</f>
        <v/>
      </c>
      <c r="G27" s="223">
        <f>[1]Personas!F24</f>
        <v/>
      </c>
      <c r="H27" s="223">
        <f>[1]Personas!G24</f>
        <v/>
      </c>
      <c r="I27" s="224">
        <f>[1]Personas!H24</f>
        <v/>
      </c>
      <c r="J27" s="225">
        <f>[1]Personas!I24</f>
        <v/>
      </c>
      <c r="K27" s="225">
        <f>[1]Personas!J24</f>
        <v/>
      </c>
      <c r="L27" s="226" t="n"/>
      <c r="M27" s="226" t="n"/>
      <c r="N27" s="223">
        <f>SUMPRODUCT(Tabla523[[#This Row],[Paltas]:[Empanadas]],O$102:Z$102)</f>
        <v/>
      </c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  <c r="AA27" s="226">
        <f>SUM(Tabla523[[#This Row],[Paltas]:[Empanadas]])</f>
        <v/>
      </c>
      <c r="AB27" s="227" t="n"/>
    </row>
    <row outlineLevel="1" r="28" s="199" spans="1:28">
      <c r="B28" s="222">
        <f>[1]Personas!A25</f>
        <v/>
      </c>
      <c r="C28" s="223">
        <f>[1]Personas!B25</f>
        <v/>
      </c>
      <c r="D28" s="223">
        <f>[1]Personas!C25</f>
        <v/>
      </c>
      <c r="E28" s="223">
        <f>[1]Personas!D25</f>
        <v/>
      </c>
      <c r="F28" s="223">
        <f>[1]Personas!E25</f>
        <v/>
      </c>
      <c r="G28" s="223">
        <f>[1]Personas!F25</f>
        <v/>
      </c>
      <c r="H28" s="223">
        <f>[1]Personas!G25</f>
        <v/>
      </c>
      <c r="I28" s="224">
        <f>[1]Personas!H25</f>
        <v/>
      </c>
      <c r="J28" s="225">
        <f>[1]Personas!I25</f>
        <v/>
      </c>
      <c r="K28" s="225">
        <f>[1]Personas!J25</f>
        <v/>
      </c>
      <c r="L28" s="226" t="n"/>
      <c r="M28" s="226" t="n"/>
      <c r="N28" s="223">
        <f>SUMPRODUCT(Tabla523[[#This Row],[Paltas]:[Empanadas]],O$102:Z$102)</f>
        <v/>
      </c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>
        <f>SUM(Tabla523[[#This Row],[Paltas]:[Empanadas]])</f>
        <v/>
      </c>
      <c r="AB28" s="227" t="n"/>
    </row>
    <row outlineLevel="1" r="29" s="199" spans="1:28">
      <c r="B29" s="222">
        <f>[1]Personas!A26</f>
        <v/>
      </c>
      <c r="C29" s="223">
        <f>[1]Personas!B26</f>
        <v/>
      </c>
      <c r="D29" s="223">
        <f>[1]Personas!C26</f>
        <v/>
      </c>
      <c r="E29" s="223">
        <f>[1]Personas!D26</f>
        <v/>
      </c>
      <c r="F29" s="223">
        <f>[1]Personas!E26</f>
        <v/>
      </c>
      <c r="G29" s="223">
        <f>[1]Personas!F26</f>
        <v/>
      </c>
      <c r="H29" s="223">
        <f>[1]Personas!G26</f>
        <v/>
      </c>
      <c r="I29" s="224">
        <f>[1]Personas!H26</f>
        <v/>
      </c>
      <c r="J29" s="225">
        <f>[1]Personas!I26</f>
        <v/>
      </c>
      <c r="K29" s="225">
        <f>[1]Personas!J26</f>
        <v/>
      </c>
      <c r="L29" s="226" t="n"/>
      <c r="M29" s="226" t="n"/>
      <c r="N29" s="223">
        <f>SUMPRODUCT(Tabla523[[#This Row],[Paltas]:[Empanadas]],O$102:Z$102)</f>
        <v/>
      </c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>
        <f>SUM(Tabla523[[#This Row],[Paltas]:[Empanadas]])</f>
        <v/>
      </c>
      <c r="AB29" s="227" t="n"/>
    </row>
    <row outlineLevel="1" r="30" s="199" spans="1:28">
      <c r="B30" s="222">
        <f>[1]Personas!A27</f>
        <v/>
      </c>
      <c r="C30" s="223">
        <f>[1]Personas!B27</f>
        <v/>
      </c>
      <c r="D30" s="223">
        <f>[1]Personas!C27</f>
        <v/>
      </c>
      <c r="E30" s="223">
        <f>[1]Personas!D27</f>
        <v/>
      </c>
      <c r="F30" s="223">
        <f>[1]Personas!E27</f>
        <v/>
      </c>
      <c r="G30" s="223">
        <f>[1]Personas!F27</f>
        <v/>
      </c>
      <c r="H30" s="223">
        <f>[1]Personas!G27</f>
        <v/>
      </c>
      <c r="I30" s="224">
        <f>[1]Personas!H27</f>
        <v/>
      </c>
      <c r="J30" s="225">
        <f>[1]Personas!I27</f>
        <v/>
      </c>
      <c r="K30" s="225">
        <f>[1]Personas!J27</f>
        <v/>
      </c>
      <c r="L30" s="226" t="n"/>
      <c r="M30" s="226" t="n"/>
      <c r="N30" s="223">
        <f>SUMPRODUCT(Tabla523[[#This Row],[Paltas]:[Empanadas]],O$102:Z$102)</f>
        <v/>
      </c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>
        <f>SUM(Tabla523[[#This Row],[Paltas]:[Empanadas]])</f>
        <v/>
      </c>
      <c r="AB30" s="227" t="n"/>
    </row>
    <row outlineLevel="1" r="31" s="199" spans="1:28">
      <c r="B31" s="222">
        <f>[1]Personas!A28</f>
        <v/>
      </c>
      <c r="C31" s="223">
        <f>[1]Personas!B28</f>
        <v/>
      </c>
      <c r="D31" s="223">
        <f>[1]Personas!C28</f>
        <v/>
      </c>
      <c r="E31" s="223">
        <f>[1]Personas!D28</f>
        <v/>
      </c>
      <c r="F31" s="223">
        <f>[1]Personas!E28</f>
        <v/>
      </c>
      <c r="G31" s="223">
        <f>[1]Personas!F28</f>
        <v/>
      </c>
      <c r="H31" s="223">
        <f>[1]Personas!G28</f>
        <v/>
      </c>
      <c r="I31" s="224">
        <f>[1]Personas!H28</f>
        <v/>
      </c>
      <c r="J31" s="225">
        <f>[1]Personas!I28</f>
        <v/>
      </c>
      <c r="K31" s="225">
        <f>[1]Personas!J28</f>
        <v/>
      </c>
      <c r="L31" s="226" t="n"/>
      <c r="M31" s="226" t="n"/>
      <c r="N31" s="223">
        <f>SUMPRODUCT(Tabla523[[#This Row],[Paltas]:[Empanadas]],O$102:Z$102)</f>
        <v/>
      </c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>
        <f>SUM(Tabla523[[#This Row],[Paltas]:[Empanadas]])</f>
        <v/>
      </c>
      <c r="AB31" s="227" t="n"/>
    </row>
    <row outlineLevel="1" r="32" s="199" spans="1:28">
      <c r="B32" s="222">
        <f>[1]Personas!A29</f>
        <v/>
      </c>
      <c r="C32" s="223">
        <f>[1]Personas!B29</f>
        <v/>
      </c>
      <c r="D32" s="223">
        <f>[1]Personas!C29</f>
        <v/>
      </c>
      <c r="E32" s="223">
        <f>[1]Personas!D29</f>
        <v/>
      </c>
      <c r="F32" s="223">
        <f>[1]Personas!E29</f>
        <v/>
      </c>
      <c r="G32" s="223">
        <f>[1]Personas!F29</f>
        <v/>
      </c>
      <c r="H32" s="223">
        <f>[1]Personas!G29</f>
        <v/>
      </c>
      <c r="I32" s="224">
        <f>[1]Personas!H29</f>
        <v/>
      </c>
      <c r="J32" s="225">
        <f>[1]Personas!I29</f>
        <v/>
      </c>
      <c r="K32" s="225">
        <f>[1]Personas!J29</f>
        <v/>
      </c>
      <c r="L32" s="226" t="n"/>
      <c r="M32" s="226" t="n"/>
      <c r="N32" s="223">
        <f>SUMPRODUCT(Tabla523[[#This Row],[Paltas]:[Empanadas]],O$102:Z$102)</f>
        <v/>
      </c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>
        <f>SUM(Tabla523[[#This Row],[Paltas]:[Empanadas]])</f>
        <v/>
      </c>
      <c r="AB32" s="227" t="n"/>
    </row>
    <row outlineLevel="1" r="33" s="199" spans="1:28">
      <c r="B33" s="222">
        <f>[1]Personas!A30</f>
        <v/>
      </c>
      <c r="C33" s="223">
        <f>[1]Personas!B30</f>
        <v/>
      </c>
      <c r="D33" s="223">
        <f>[1]Personas!C30</f>
        <v/>
      </c>
      <c r="E33" s="223">
        <f>[1]Personas!D30</f>
        <v/>
      </c>
      <c r="F33" s="223">
        <f>[1]Personas!E30</f>
        <v/>
      </c>
      <c r="G33" s="223">
        <f>[1]Personas!F30</f>
        <v/>
      </c>
      <c r="H33" s="223">
        <f>[1]Personas!G30</f>
        <v/>
      </c>
      <c r="I33" s="224">
        <f>[1]Personas!H30</f>
        <v/>
      </c>
      <c r="J33" s="225">
        <f>[1]Personas!I30</f>
        <v/>
      </c>
      <c r="K33" s="225">
        <f>[1]Personas!J30</f>
        <v/>
      </c>
      <c r="L33" s="226" t="n"/>
      <c r="M33" s="226" t="n"/>
      <c r="N33" s="223">
        <f>SUMPRODUCT(Tabla523[[#This Row],[Paltas]:[Empanadas]],O$102:Z$102)</f>
        <v/>
      </c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>
        <f>SUM(Tabla523[[#This Row],[Paltas]:[Empanadas]])</f>
        <v/>
      </c>
      <c r="AB33" s="227" t="n"/>
    </row>
    <row outlineLevel="1" r="34" s="199" spans="1:28">
      <c r="B34" s="222">
        <f>[1]Personas!A31</f>
        <v/>
      </c>
      <c r="C34" s="223">
        <f>[1]Personas!B31</f>
        <v/>
      </c>
      <c r="D34" s="223">
        <f>[1]Personas!C31</f>
        <v/>
      </c>
      <c r="E34" s="223">
        <f>[1]Personas!D31</f>
        <v/>
      </c>
      <c r="F34" s="223">
        <f>[1]Personas!E31</f>
        <v/>
      </c>
      <c r="G34" s="223">
        <f>[1]Personas!F31</f>
        <v/>
      </c>
      <c r="H34" s="223">
        <f>[1]Personas!G31</f>
        <v/>
      </c>
      <c r="I34" s="224">
        <f>[1]Personas!H31</f>
        <v/>
      </c>
      <c r="J34" s="225">
        <f>[1]Personas!I31</f>
        <v/>
      </c>
      <c r="K34" s="225">
        <f>[1]Personas!J31</f>
        <v/>
      </c>
      <c r="L34" s="226" t="n"/>
      <c r="M34" s="226" t="n"/>
      <c r="N34" s="223">
        <f>SUMPRODUCT(Tabla523[[#This Row],[Paltas]:[Empanadas]],O$102:Z$102)</f>
        <v/>
      </c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>
        <f>SUM(Tabla523[[#This Row],[Paltas]:[Empanadas]])</f>
        <v/>
      </c>
      <c r="AB34" s="227" t="n"/>
    </row>
    <row outlineLevel="1" r="35" s="199" spans="1:28">
      <c r="B35" s="222">
        <f>[1]Personas!A32</f>
        <v/>
      </c>
      <c r="C35" s="223">
        <f>[1]Personas!B32</f>
        <v/>
      </c>
      <c r="D35" s="223">
        <f>[1]Personas!C32</f>
        <v/>
      </c>
      <c r="E35" s="223">
        <f>[1]Personas!D32</f>
        <v/>
      </c>
      <c r="F35" s="223">
        <f>[1]Personas!E32</f>
        <v/>
      </c>
      <c r="G35" s="223">
        <f>[1]Personas!F32</f>
        <v/>
      </c>
      <c r="H35" s="223">
        <f>[1]Personas!G32</f>
        <v/>
      </c>
      <c r="I35" s="224">
        <f>[1]Personas!H32</f>
        <v/>
      </c>
      <c r="J35" s="225">
        <f>[1]Personas!I32</f>
        <v/>
      </c>
      <c r="K35" s="225">
        <f>[1]Personas!J32</f>
        <v/>
      </c>
      <c r="L35" s="226" t="n"/>
      <c r="M35" s="226" t="n"/>
      <c r="N35" s="223">
        <f>SUMPRODUCT(Tabla523[[#This Row],[Paltas]:[Empanadas]],O$102:Z$102)</f>
        <v/>
      </c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>
        <f>SUM(Tabla523[[#This Row],[Paltas]:[Empanadas]])</f>
        <v/>
      </c>
      <c r="AB35" s="227" t="n"/>
    </row>
    <row outlineLevel="1" r="36" s="199" spans="1:28">
      <c r="B36" s="222">
        <f>[1]Personas!A33</f>
        <v/>
      </c>
      <c r="C36" s="223">
        <f>[1]Personas!B33</f>
        <v/>
      </c>
      <c r="D36" s="223">
        <f>[1]Personas!C33</f>
        <v/>
      </c>
      <c r="E36" s="223">
        <f>[1]Personas!D33</f>
        <v/>
      </c>
      <c r="F36" s="223">
        <f>[1]Personas!E33</f>
        <v/>
      </c>
      <c r="G36" s="223">
        <f>[1]Personas!F33</f>
        <v/>
      </c>
      <c r="H36" s="223">
        <f>[1]Personas!G33</f>
        <v/>
      </c>
      <c r="I36" s="224">
        <f>[1]Personas!H33</f>
        <v/>
      </c>
      <c r="J36" s="225">
        <f>[1]Personas!I33</f>
        <v/>
      </c>
      <c r="K36" s="225">
        <f>[1]Personas!J33</f>
        <v/>
      </c>
      <c r="L36" s="226" t="n"/>
      <c r="M36" s="226" t="n"/>
      <c r="N36" s="223">
        <f>SUMPRODUCT(Tabla523[[#This Row],[Paltas]:[Empanadas]],O$102:Z$102)</f>
        <v/>
      </c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>
        <f>SUM(Tabla523[[#This Row],[Paltas]:[Empanadas]])</f>
        <v/>
      </c>
      <c r="AB36" s="227" t="n"/>
    </row>
    <row outlineLevel="1" r="37" s="199" spans="1:28">
      <c r="B37" s="222">
        <f>[1]Personas!A34</f>
        <v/>
      </c>
      <c r="C37" s="223">
        <f>[1]Personas!B34</f>
        <v/>
      </c>
      <c r="D37" s="223">
        <f>[1]Personas!C34</f>
        <v/>
      </c>
      <c r="E37" s="223">
        <f>[1]Personas!D34</f>
        <v/>
      </c>
      <c r="F37" s="223">
        <f>[1]Personas!E34</f>
        <v/>
      </c>
      <c r="G37" s="223">
        <f>[1]Personas!F34</f>
        <v/>
      </c>
      <c r="H37" s="223">
        <f>[1]Personas!G34</f>
        <v/>
      </c>
      <c r="I37" s="224">
        <f>[1]Personas!H34</f>
        <v/>
      </c>
      <c r="J37" s="225">
        <f>[1]Personas!I34</f>
        <v/>
      </c>
      <c r="K37" s="225">
        <f>[1]Personas!J34</f>
        <v/>
      </c>
      <c r="L37" s="226" t="n"/>
      <c r="M37" s="226" t="n"/>
      <c r="N37" s="223">
        <f>SUMPRODUCT(Tabla523[[#This Row],[Paltas]:[Empanadas]],O$102:Z$102)</f>
        <v/>
      </c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>
        <f>SUM(Tabla523[[#This Row],[Paltas]:[Empanadas]])</f>
        <v/>
      </c>
      <c r="AB37" s="227" t="n"/>
    </row>
    <row outlineLevel="1" r="38" s="199" spans="1:28">
      <c r="B38" s="222">
        <f>[1]Personas!A35</f>
        <v/>
      </c>
      <c r="C38" s="223">
        <f>[1]Personas!B35</f>
        <v/>
      </c>
      <c r="D38" s="223">
        <f>[1]Personas!C35</f>
        <v/>
      </c>
      <c r="E38" s="223">
        <f>[1]Personas!D35</f>
        <v/>
      </c>
      <c r="F38" s="223">
        <f>[1]Personas!E35</f>
        <v/>
      </c>
      <c r="G38" s="223">
        <f>[1]Personas!F35</f>
        <v/>
      </c>
      <c r="H38" s="223">
        <f>[1]Personas!G35</f>
        <v/>
      </c>
      <c r="I38" s="224">
        <f>[1]Personas!H35</f>
        <v/>
      </c>
      <c r="J38" s="225">
        <f>[1]Personas!I35</f>
        <v/>
      </c>
      <c r="K38" s="225">
        <f>[1]Personas!J35</f>
        <v/>
      </c>
      <c r="L38" s="226" t="n"/>
      <c r="M38" s="226" t="n"/>
      <c r="N38" s="223">
        <f>SUMPRODUCT(Tabla523[[#This Row],[Paltas]:[Empanadas]],O$102:Z$102)</f>
        <v/>
      </c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>
        <f>SUM(Tabla523[[#This Row],[Paltas]:[Empanadas]])</f>
        <v/>
      </c>
      <c r="AB38" s="227" t="n"/>
    </row>
    <row outlineLevel="1" r="39" s="199" spans="1:28">
      <c r="B39" s="222">
        <f>[1]Personas!A36</f>
        <v/>
      </c>
      <c r="C39" s="223">
        <f>[1]Personas!B36</f>
        <v/>
      </c>
      <c r="D39" s="223">
        <f>[1]Personas!C36</f>
        <v/>
      </c>
      <c r="E39" s="223">
        <f>[1]Personas!D36</f>
        <v/>
      </c>
      <c r="F39" s="223">
        <f>[1]Personas!E36</f>
        <v/>
      </c>
      <c r="G39" s="223">
        <f>[1]Personas!F36</f>
        <v/>
      </c>
      <c r="H39" s="223">
        <f>[1]Personas!G36</f>
        <v/>
      </c>
      <c r="I39" s="224">
        <f>[1]Personas!H36</f>
        <v/>
      </c>
      <c r="J39" s="225">
        <f>[1]Personas!I36</f>
        <v/>
      </c>
      <c r="K39" s="225">
        <f>[1]Personas!J36</f>
        <v/>
      </c>
      <c r="L39" s="226" t="n"/>
      <c r="M39" s="226" t="n"/>
      <c r="N39" s="223">
        <f>SUMPRODUCT(Tabla523[[#This Row],[Paltas]:[Empanadas]],O$102:Z$102)</f>
        <v/>
      </c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>
        <f>SUM(Tabla523[[#This Row],[Paltas]:[Empanadas]])</f>
        <v/>
      </c>
      <c r="AB39" s="227" t="n"/>
    </row>
    <row outlineLevel="1" r="40" s="199" spans="1:28">
      <c r="B40" s="222">
        <f>[1]Personas!A37</f>
        <v/>
      </c>
      <c r="C40" s="223">
        <f>[1]Personas!B37</f>
        <v/>
      </c>
      <c r="D40" s="223">
        <f>[1]Personas!C37</f>
        <v/>
      </c>
      <c r="E40" s="223">
        <f>[1]Personas!D37</f>
        <v/>
      </c>
      <c r="F40" s="223">
        <f>[1]Personas!E37</f>
        <v/>
      </c>
      <c r="G40" s="223">
        <f>[1]Personas!F37</f>
        <v/>
      </c>
      <c r="H40" s="223">
        <f>[1]Personas!G37</f>
        <v/>
      </c>
      <c r="I40" s="224">
        <f>[1]Personas!H37</f>
        <v/>
      </c>
      <c r="J40" s="225">
        <f>[1]Personas!I37</f>
        <v/>
      </c>
      <c r="K40" s="225">
        <f>[1]Personas!J37</f>
        <v/>
      </c>
      <c r="L40" s="226" t="n"/>
      <c r="M40" s="226" t="n"/>
      <c r="N40" s="223">
        <f>SUMPRODUCT(Tabla523[[#This Row],[Paltas]:[Empanadas]],O$102:Z$102)</f>
        <v/>
      </c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>
        <f>SUM(Tabla523[[#This Row],[Paltas]:[Empanadas]])</f>
        <v/>
      </c>
      <c r="AB40" s="227" t="n"/>
    </row>
    <row outlineLevel="1" r="41" s="199" spans="1:28">
      <c r="B41" s="222">
        <f>[1]Personas!A38</f>
        <v/>
      </c>
      <c r="C41" s="223">
        <f>[1]Personas!B38</f>
        <v/>
      </c>
      <c r="D41" s="223">
        <f>[1]Personas!C38</f>
        <v/>
      </c>
      <c r="E41" s="223">
        <f>[1]Personas!D38</f>
        <v/>
      </c>
      <c r="F41" s="223">
        <f>[1]Personas!E38</f>
        <v/>
      </c>
      <c r="G41" s="223">
        <f>[1]Personas!F38</f>
        <v/>
      </c>
      <c r="H41" s="223">
        <f>[1]Personas!G38</f>
        <v/>
      </c>
      <c r="I41" s="224">
        <f>[1]Personas!H38</f>
        <v/>
      </c>
      <c r="J41" s="225">
        <f>[1]Personas!I38</f>
        <v/>
      </c>
      <c r="K41" s="225">
        <f>[1]Personas!J38</f>
        <v/>
      </c>
      <c r="L41" s="226" t="n"/>
      <c r="M41" s="226" t="n"/>
      <c r="N41" s="223">
        <f>SUMPRODUCT(Tabla523[[#This Row],[Paltas]:[Empanadas]],O$102:Z$102)</f>
        <v/>
      </c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>
        <f>SUM(Tabla523[[#This Row],[Paltas]:[Empanadas]])</f>
        <v/>
      </c>
      <c r="AB41" s="227" t="n"/>
    </row>
    <row outlineLevel="1" r="42" s="199" spans="1:28">
      <c r="B42" s="222">
        <f>[1]Personas!A39</f>
        <v/>
      </c>
      <c r="C42" s="223">
        <f>[1]Personas!B39</f>
        <v/>
      </c>
      <c r="D42" s="223">
        <f>[1]Personas!C39</f>
        <v/>
      </c>
      <c r="E42" s="223">
        <f>[1]Personas!D39</f>
        <v/>
      </c>
      <c r="F42" s="223">
        <f>[1]Personas!E39</f>
        <v/>
      </c>
      <c r="G42" s="223">
        <f>[1]Personas!F39</f>
        <v/>
      </c>
      <c r="H42" s="223">
        <f>[1]Personas!G39</f>
        <v/>
      </c>
      <c r="I42" s="224">
        <f>[1]Personas!H39</f>
        <v/>
      </c>
      <c r="J42" s="225">
        <f>[1]Personas!I39</f>
        <v/>
      </c>
      <c r="K42" s="225">
        <f>[1]Personas!J39</f>
        <v/>
      </c>
      <c r="L42" s="226" t="n"/>
      <c r="M42" s="226" t="n"/>
      <c r="N42" s="223">
        <f>SUMPRODUCT(Tabla523[[#This Row],[Paltas]:[Empanadas]],O$102:Z$102)</f>
        <v/>
      </c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  <c r="AA42" s="226">
        <f>SUM(Tabla523[[#This Row],[Paltas]:[Empanadas]])</f>
        <v/>
      </c>
      <c r="AB42" s="227" t="n"/>
    </row>
    <row outlineLevel="1" r="43" s="199" spans="1:28">
      <c r="B43" s="222">
        <f>[1]Personas!A40</f>
        <v/>
      </c>
      <c r="C43" s="223">
        <f>[1]Personas!B40</f>
        <v/>
      </c>
      <c r="D43" s="223">
        <f>[1]Personas!C40</f>
        <v/>
      </c>
      <c r="E43" s="223">
        <f>[1]Personas!D40</f>
        <v/>
      </c>
      <c r="F43" s="223">
        <f>[1]Personas!E40</f>
        <v/>
      </c>
      <c r="G43" s="223">
        <f>[1]Personas!F40</f>
        <v/>
      </c>
      <c r="H43" s="223">
        <f>[1]Personas!G40</f>
        <v/>
      </c>
      <c r="I43" s="224">
        <f>[1]Personas!H40</f>
        <v/>
      </c>
      <c r="J43" s="225">
        <f>[1]Personas!I40</f>
        <v/>
      </c>
      <c r="K43" s="225">
        <f>[1]Personas!J40</f>
        <v/>
      </c>
      <c r="L43" s="226" t="n"/>
      <c r="M43" s="226" t="n"/>
      <c r="N43" s="223">
        <f>SUMPRODUCT(Tabla523[[#This Row],[Paltas]:[Empanadas]],O$102:Z$102)</f>
        <v/>
      </c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>
        <f>SUM(Tabla523[[#This Row],[Paltas]:[Empanadas]])</f>
        <v/>
      </c>
      <c r="AB43" s="227" t="n"/>
    </row>
    <row outlineLevel="1" r="44" s="199" spans="1:28">
      <c r="B44" s="222">
        <f>[1]Personas!A41</f>
        <v/>
      </c>
      <c r="C44" s="223">
        <f>[1]Personas!B41</f>
        <v/>
      </c>
      <c r="D44" s="223">
        <f>[1]Personas!C41</f>
        <v/>
      </c>
      <c r="E44" s="223">
        <f>[1]Personas!D41</f>
        <v/>
      </c>
      <c r="F44" s="223">
        <f>[1]Personas!E41</f>
        <v/>
      </c>
      <c r="G44" s="223">
        <f>[1]Personas!F41</f>
        <v/>
      </c>
      <c r="H44" s="223">
        <f>[1]Personas!G41</f>
        <v/>
      </c>
      <c r="I44" s="224">
        <f>[1]Personas!H41</f>
        <v/>
      </c>
      <c r="J44" s="225">
        <f>[1]Personas!I41</f>
        <v/>
      </c>
      <c r="K44" s="225">
        <f>[1]Personas!J41</f>
        <v/>
      </c>
      <c r="L44" s="226" t="n"/>
      <c r="M44" s="226" t="n"/>
      <c r="N44" s="223">
        <f>SUMPRODUCT(Tabla523[[#This Row],[Paltas]:[Empanadas]],O$102:Z$102)</f>
        <v/>
      </c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>
        <f>SUM(Tabla523[[#This Row],[Paltas]:[Empanadas]])</f>
        <v/>
      </c>
      <c r="AB44" s="227" t="n"/>
    </row>
    <row outlineLevel="1" r="45" s="199" spans="1:28">
      <c r="B45" s="222">
        <f>[1]Personas!A42</f>
        <v/>
      </c>
      <c r="C45" s="223">
        <f>[1]Personas!B42</f>
        <v/>
      </c>
      <c r="D45" s="223">
        <f>[1]Personas!C42</f>
        <v/>
      </c>
      <c r="E45" s="223">
        <f>[1]Personas!D42</f>
        <v/>
      </c>
      <c r="F45" s="223">
        <f>[1]Personas!E42</f>
        <v/>
      </c>
      <c r="G45" s="223">
        <f>[1]Personas!F42</f>
        <v/>
      </c>
      <c r="H45" s="223">
        <f>[1]Personas!G42</f>
        <v/>
      </c>
      <c r="I45" s="224">
        <f>[1]Personas!H42</f>
        <v/>
      </c>
      <c r="J45" s="225">
        <f>[1]Personas!I42</f>
        <v/>
      </c>
      <c r="K45" s="225">
        <f>[1]Personas!J42</f>
        <v/>
      </c>
      <c r="L45" s="226" t="n"/>
      <c r="M45" s="226" t="n"/>
      <c r="N45" s="223">
        <f>SUMPRODUCT(Tabla523[[#This Row],[Paltas]:[Empanadas]],O$102:Z$102)</f>
        <v/>
      </c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>
        <f>SUM(Tabla523[[#This Row],[Paltas]:[Empanadas]])</f>
        <v/>
      </c>
      <c r="AB45" s="227" t="n"/>
    </row>
    <row outlineLevel="1" r="46" s="199" spans="1:28">
      <c r="B46" s="222">
        <f>[1]Personas!A43</f>
        <v/>
      </c>
      <c r="C46" s="223">
        <f>[1]Personas!B43</f>
        <v/>
      </c>
      <c r="D46" s="223">
        <f>[1]Personas!C43</f>
        <v/>
      </c>
      <c r="E46" s="223">
        <f>[1]Personas!D43</f>
        <v/>
      </c>
      <c r="F46" s="223">
        <f>[1]Personas!E43</f>
        <v/>
      </c>
      <c r="G46" s="223">
        <f>[1]Personas!F43</f>
        <v/>
      </c>
      <c r="H46" s="223">
        <f>[1]Personas!G43</f>
        <v/>
      </c>
      <c r="I46" s="224">
        <f>[1]Personas!H43</f>
        <v/>
      </c>
      <c r="J46" s="225">
        <f>[1]Personas!I43</f>
        <v/>
      </c>
      <c r="K46" s="225">
        <f>[1]Personas!J43</f>
        <v/>
      </c>
      <c r="L46" s="226" t="n"/>
      <c r="M46" s="226" t="n"/>
      <c r="N46" s="223">
        <f>SUMPRODUCT(Tabla523[[#This Row],[Paltas]:[Empanadas]],O$102:Z$102)</f>
        <v/>
      </c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>
        <f>SUM(Tabla523[[#This Row],[Paltas]:[Empanadas]])</f>
        <v/>
      </c>
      <c r="AB46" s="227" t="n"/>
    </row>
    <row outlineLevel="1" r="47" s="199" spans="1:28">
      <c r="B47" s="222">
        <f>[1]Personas!A44</f>
        <v/>
      </c>
      <c r="C47" s="223">
        <f>[1]Personas!B44</f>
        <v/>
      </c>
      <c r="D47" s="223">
        <f>[1]Personas!C44</f>
        <v/>
      </c>
      <c r="E47" s="223">
        <f>[1]Personas!D44</f>
        <v/>
      </c>
      <c r="F47" s="223">
        <f>[1]Personas!E44</f>
        <v/>
      </c>
      <c r="G47" s="223">
        <f>[1]Personas!F44</f>
        <v/>
      </c>
      <c r="H47" s="223">
        <f>[1]Personas!G44</f>
        <v/>
      </c>
      <c r="I47" s="224">
        <f>[1]Personas!H44</f>
        <v/>
      </c>
      <c r="J47" s="225">
        <f>[1]Personas!I44</f>
        <v/>
      </c>
      <c r="K47" s="225">
        <f>[1]Personas!J44</f>
        <v/>
      </c>
      <c r="L47" s="226" t="n"/>
      <c r="M47" s="226" t="n"/>
      <c r="N47" s="223">
        <f>SUMPRODUCT(Tabla523[[#This Row],[Paltas]:[Empanadas]],O$102:Z$102)</f>
        <v/>
      </c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  <c r="AA47" s="226">
        <f>SUM(Tabla523[[#This Row],[Paltas]:[Empanadas]])</f>
        <v/>
      </c>
      <c r="AB47" s="227" t="n"/>
    </row>
    <row outlineLevel="1" r="48" s="199" spans="1:28">
      <c r="B48" s="222">
        <f>[1]Personas!A45</f>
        <v/>
      </c>
      <c r="C48" s="223">
        <f>[1]Personas!B45</f>
        <v/>
      </c>
      <c r="D48" s="223">
        <f>[1]Personas!C45</f>
        <v/>
      </c>
      <c r="E48" s="223">
        <f>[1]Personas!D45</f>
        <v/>
      </c>
      <c r="F48" s="223">
        <f>[1]Personas!E45</f>
        <v/>
      </c>
      <c r="G48" s="223">
        <f>[1]Personas!F45</f>
        <v/>
      </c>
      <c r="H48" s="223">
        <f>[1]Personas!G45</f>
        <v/>
      </c>
      <c r="I48" s="224">
        <f>[1]Personas!H45</f>
        <v/>
      </c>
      <c r="J48" s="225">
        <f>[1]Personas!I45</f>
        <v/>
      </c>
      <c r="K48" s="225">
        <f>[1]Personas!J45</f>
        <v/>
      </c>
      <c r="L48" s="226" t="n"/>
      <c r="M48" s="226" t="n"/>
      <c r="N48" s="223">
        <f>SUMPRODUCT(Tabla523[[#This Row],[Paltas]:[Empanadas]],O$102:Z$102)</f>
        <v/>
      </c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  <c r="AA48" s="226">
        <f>SUM(Tabla523[[#This Row],[Paltas]:[Empanadas]])</f>
        <v/>
      </c>
      <c r="AB48" s="227" t="n"/>
    </row>
    <row outlineLevel="1" r="49" s="199" spans="1:28">
      <c r="B49" s="222">
        <f>[1]Personas!A46</f>
        <v/>
      </c>
      <c r="C49" s="223">
        <f>[1]Personas!B46</f>
        <v/>
      </c>
      <c r="D49" s="223">
        <f>[1]Personas!C46</f>
        <v/>
      </c>
      <c r="E49" s="223">
        <f>[1]Personas!D46</f>
        <v/>
      </c>
      <c r="F49" s="223">
        <f>[1]Personas!E46</f>
        <v/>
      </c>
      <c r="G49" s="223">
        <f>[1]Personas!F46</f>
        <v/>
      </c>
      <c r="H49" s="223">
        <f>[1]Personas!G46</f>
        <v/>
      </c>
      <c r="I49" s="224">
        <f>[1]Personas!H46</f>
        <v/>
      </c>
      <c r="J49" s="225">
        <f>[1]Personas!I46</f>
        <v/>
      </c>
      <c r="K49" s="225">
        <f>[1]Personas!J46</f>
        <v/>
      </c>
      <c r="L49" s="226" t="n"/>
      <c r="M49" s="226" t="n"/>
      <c r="N49" s="223">
        <f>SUMPRODUCT(Tabla523[[#This Row],[Paltas]:[Empanadas]],O$102:Z$102)</f>
        <v/>
      </c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  <c r="AA49" s="226">
        <f>SUM(Tabla523[[#This Row],[Paltas]:[Empanadas]])</f>
        <v/>
      </c>
      <c r="AB49" s="227" t="n"/>
    </row>
    <row outlineLevel="1" r="50" s="199" spans="1:28">
      <c r="B50" s="222">
        <f>[1]Personas!A47</f>
        <v/>
      </c>
      <c r="C50" s="223">
        <f>[1]Personas!B47</f>
        <v/>
      </c>
      <c r="D50" s="223">
        <f>[1]Personas!C47</f>
        <v/>
      </c>
      <c r="E50" s="223">
        <f>[1]Personas!D47</f>
        <v/>
      </c>
      <c r="F50" s="223">
        <f>[1]Personas!E47</f>
        <v/>
      </c>
      <c r="G50" s="223">
        <f>[1]Personas!F47</f>
        <v/>
      </c>
      <c r="H50" s="223">
        <f>[1]Personas!G47</f>
        <v/>
      </c>
      <c r="I50" s="224">
        <f>[1]Personas!H47</f>
        <v/>
      </c>
      <c r="J50" s="225">
        <f>[1]Personas!I47</f>
        <v/>
      </c>
      <c r="K50" s="225">
        <f>[1]Personas!J47</f>
        <v/>
      </c>
      <c r="L50" s="226" t="n"/>
      <c r="M50" s="226" t="n"/>
      <c r="N50" s="223">
        <f>SUMPRODUCT(Tabla523[[#This Row],[Paltas]:[Empanadas]],O$102:Z$102)</f>
        <v/>
      </c>
      <c r="O50" s="226" t="n"/>
      <c r="P50" s="226" t="n"/>
      <c r="Q50" s="226" t="n"/>
      <c r="R50" s="226" t="n"/>
      <c r="S50" s="226" t="n"/>
      <c r="T50" s="226" t="n"/>
      <c r="U50" s="226" t="n"/>
      <c r="V50" s="226" t="n"/>
      <c r="W50" s="226" t="n"/>
      <c r="X50" s="226" t="n"/>
      <c r="Y50" s="226" t="n"/>
      <c r="Z50" s="226" t="n"/>
      <c r="AA50" s="226">
        <f>SUM(Tabla523[[#This Row],[Paltas]:[Empanadas]])</f>
        <v/>
      </c>
      <c r="AB50" s="227" t="n"/>
    </row>
    <row outlineLevel="1" r="51" s="199" spans="1:28">
      <c r="B51" s="222">
        <f>[1]Personas!A48</f>
        <v/>
      </c>
      <c r="C51" s="223">
        <f>[1]Personas!B48</f>
        <v/>
      </c>
      <c r="D51" s="223">
        <f>[1]Personas!C48</f>
        <v/>
      </c>
      <c r="E51" s="223">
        <f>[1]Personas!D48</f>
        <v/>
      </c>
      <c r="F51" s="223">
        <f>[1]Personas!E48</f>
        <v/>
      </c>
      <c r="G51" s="223">
        <f>[1]Personas!F48</f>
        <v/>
      </c>
      <c r="H51" s="223">
        <f>[1]Personas!G48</f>
        <v/>
      </c>
      <c r="I51" s="224">
        <f>[1]Personas!H48</f>
        <v/>
      </c>
      <c r="J51" s="225">
        <f>[1]Personas!I48</f>
        <v/>
      </c>
      <c r="K51" s="225">
        <f>[1]Personas!J48</f>
        <v/>
      </c>
      <c r="L51" s="226" t="n"/>
      <c r="M51" s="226" t="n"/>
      <c r="N51" s="223">
        <f>SUMPRODUCT(Tabla523[[#This Row],[Paltas]:[Empanadas]],O$102:Z$102)</f>
        <v/>
      </c>
      <c r="O51" s="226" t="n"/>
      <c r="P51" s="226" t="n"/>
      <c r="Q51" s="226" t="n"/>
      <c r="R51" s="226" t="n"/>
      <c r="S51" s="226" t="n"/>
      <c r="T51" s="226" t="n"/>
      <c r="U51" s="226" t="n"/>
      <c r="V51" s="226" t="n"/>
      <c r="W51" s="226" t="n"/>
      <c r="X51" s="226" t="n"/>
      <c r="Y51" s="226" t="n"/>
      <c r="Z51" s="226" t="n"/>
      <c r="AA51" s="226">
        <f>SUM(Tabla523[[#This Row],[Paltas]:[Empanadas]])</f>
        <v/>
      </c>
      <c r="AB51" s="227" t="n"/>
    </row>
    <row outlineLevel="1" r="52" s="199" spans="1:28">
      <c r="B52" s="222">
        <f>[1]Personas!A49</f>
        <v/>
      </c>
      <c r="C52" s="223">
        <f>[1]Personas!B49</f>
        <v/>
      </c>
      <c r="D52" s="223">
        <f>[1]Personas!C49</f>
        <v/>
      </c>
      <c r="E52" s="223">
        <f>[1]Personas!D49</f>
        <v/>
      </c>
      <c r="F52" s="223">
        <f>[1]Personas!E49</f>
        <v/>
      </c>
      <c r="G52" s="223">
        <f>[1]Personas!F49</f>
        <v/>
      </c>
      <c r="H52" s="223">
        <f>[1]Personas!G49</f>
        <v/>
      </c>
      <c r="I52" s="224">
        <f>[1]Personas!H49</f>
        <v/>
      </c>
      <c r="J52" s="225">
        <f>[1]Personas!I49</f>
        <v/>
      </c>
      <c r="K52" s="225">
        <f>[1]Personas!J49</f>
        <v/>
      </c>
      <c r="L52" s="226" t="n"/>
      <c r="M52" s="226" t="n"/>
      <c r="N52" s="223">
        <f>SUMPRODUCT(Tabla523[[#This Row],[Paltas]:[Empanadas]],O$102:Z$102)</f>
        <v/>
      </c>
      <c r="O52" s="226" t="n"/>
      <c r="P52" s="226" t="n"/>
      <c r="Q52" s="226" t="n"/>
      <c r="R52" s="226" t="n"/>
      <c r="S52" s="226" t="n"/>
      <c r="T52" s="226" t="n"/>
      <c r="U52" s="226" t="n"/>
      <c r="V52" s="226" t="n"/>
      <c r="W52" s="226" t="n"/>
      <c r="X52" s="226" t="n"/>
      <c r="Y52" s="226" t="n"/>
      <c r="Z52" s="226" t="n"/>
      <c r="AA52" s="226">
        <f>SUM(Tabla523[[#This Row],[Paltas]:[Empanadas]])</f>
        <v/>
      </c>
      <c r="AB52" s="227" t="n"/>
    </row>
    <row outlineLevel="1" r="53" s="199" spans="1:28">
      <c r="B53" s="222">
        <f>[1]Personas!A50</f>
        <v/>
      </c>
      <c r="C53" s="223">
        <f>[1]Personas!B50</f>
        <v/>
      </c>
      <c r="D53" s="223">
        <f>[1]Personas!C50</f>
        <v/>
      </c>
      <c r="E53" s="223">
        <f>[1]Personas!D50</f>
        <v/>
      </c>
      <c r="F53" s="223">
        <f>[1]Personas!E50</f>
        <v/>
      </c>
      <c r="G53" s="223">
        <f>[1]Personas!F50</f>
        <v/>
      </c>
      <c r="H53" s="223">
        <f>[1]Personas!G50</f>
        <v/>
      </c>
      <c r="I53" s="224">
        <f>[1]Personas!H50</f>
        <v/>
      </c>
      <c r="J53" s="225">
        <f>[1]Personas!I50</f>
        <v/>
      </c>
      <c r="K53" s="225">
        <f>[1]Personas!J50</f>
        <v/>
      </c>
      <c r="L53" s="226" t="n"/>
      <c r="M53" s="226" t="n"/>
      <c r="N53" s="223">
        <f>SUMPRODUCT(Tabla523[[#This Row],[Paltas]:[Empanadas]],O$102:Z$102)</f>
        <v/>
      </c>
      <c r="O53" s="226" t="n"/>
      <c r="P53" s="226" t="n"/>
      <c r="Q53" s="226" t="n"/>
      <c r="R53" s="226" t="n"/>
      <c r="S53" s="226" t="n"/>
      <c r="T53" s="226" t="n"/>
      <c r="U53" s="226" t="n"/>
      <c r="V53" s="226" t="n"/>
      <c r="W53" s="226" t="n"/>
      <c r="X53" s="226" t="n"/>
      <c r="Y53" s="226" t="n"/>
      <c r="Z53" s="226" t="n"/>
      <c r="AA53" s="226">
        <f>SUM(Tabla523[[#This Row],[Paltas]:[Empanadas]])</f>
        <v/>
      </c>
      <c r="AB53" s="227" t="n"/>
    </row>
    <row outlineLevel="1" r="54" s="199" spans="1:28">
      <c r="B54" s="222">
        <f>[1]Personas!A51</f>
        <v/>
      </c>
      <c r="C54" s="223">
        <f>[1]Personas!B51</f>
        <v/>
      </c>
      <c r="D54" s="223">
        <f>[1]Personas!C51</f>
        <v/>
      </c>
      <c r="E54" s="223">
        <f>[1]Personas!D51</f>
        <v/>
      </c>
      <c r="F54" s="223">
        <f>[1]Personas!E51</f>
        <v/>
      </c>
      <c r="G54" s="223">
        <f>[1]Personas!F51</f>
        <v/>
      </c>
      <c r="H54" s="223">
        <f>[1]Personas!G51</f>
        <v/>
      </c>
      <c r="I54" s="224">
        <f>[1]Personas!H51</f>
        <v/>
      </c>
      <c r="J54" s="225">
        <f>[1]Personas!I51</f>
        <v/>
      </c>
      <c r="K54" s="225">
        <f>[1]Personas!J51</f>
        <v/>
      </c>
      <c r="L54" s="226" t="n"/>
      <c r="M54" s="226" t="n"/>
      <c r="N54" s="223">
        <f>SUMPRODUCT(Tabla523[[#This Row],[Paltas]:[Empanadas]],O$102:Z$102)</f>
        <v/>
      </c>
      <c r="O54" s="226" t="n"/>
      <c r="P54" s="226" t="n"/>
      <c r="Q54" s="226" t="n"/>
      <c r="R54" s="226" t="n"/>
      <c r="S54" s="226" t="n"/>
      <c r="T54" s="226" t="n"/>
      <c r="U54" s="226" t="n"/>
      <c r="V54" s="226" t="n"/>
      <c r="W54" s="226" t="n"/>
      <c r="X54" s="226" t="n"/>
      <c r="Y54" s="226" t="n"/>
      <c r="Z54" s="226" t="n"/>
      <c r="AA54" s="226">
        <f>SUM(Tabla523[[#This Row],[Paltas]:[Empanadas]])</f>
        <v/>
      </c>
      <c r="AB54" s="227" t="n"/>
    </row>
    <row outlineLevel="1" r="55" s="199" spans="1:28">
      <c r="B55" s="222">
        <f>[1]Personas!A52</f>
        <v/>
      </c>
      <c r="C55" s="223">
        <f>[1]Personas!B52</f>
        <v/>
      </c>
      <c r="D55" s="223">
        <f>[1]Personas!C52</f>
        <v/>
      </c>
      <c r="E55" s="223">
        <f>[1]Personas!D52</f>
        <v/>
      </c>
      <c r="F55" s="223">
        <f>[1]Personas!E52</f>
        <v/>
      </c>
      <c r="G55" s="223">
        <f>[1]Personas!F52</f>
        <v/>
      </c>
      <c r="H55" s="223">
        <f>[1]Personas!G52</f>
        <v/>
      </c>
      <c r="I55" s="224">
        <f>[1]Personas!H52</f>
        <v/>
      </c>
      <c r="J55" s="225">
        <f>[1]Personas!I52</f>
        <v/>
      </c>
      <c r="K55" s="225">
        <f>[1]Personas!J52</f>
        <v/>
      </c>
      <c r="L55" s="226" t="n"/>
      <c r="M55" s="226" t="n"/>
      <c r="N55" s="223">
        <f>SUMPRODUCT(Tabla523[[#This Row],[Paltas]:[Empanadas]],O$102:Z$102)</f>
        <v/>
      </c>
      <c r="O55" s="226" t="n"/>
      <c r="P55" s="226" t="n"/>
      <c r="Q55" s="226" t="n"/>
      <c r="R55" s="226" t="n"/>
      <c r="S55" s="226" t="n"/>
      <c r="T55" s="226" t="n"/>
      <c r="U55" s="226" t="n"/>
      <c r="V55" s="226" t="n"/>
      <c r="W55" s="226" t="n"/>
      <c r="X55" s="226" t="n"/>
      <c r="Y55" s="226" t="n"/>
      <c r="Z55" s="226" t="n"/>
      <c r="AA55" s="226">
        <f>SUM(Tabla523[[#This Row],[Paltas]:[Empanadas]])</f>
        <v/>
      </c>
      <c r="AB55" s="227" t="n"/>
    </row>
    <row outlineLevel="1" r="56" s="199" spans="1:28">
      <c r="B56" s="222">
        <f>[1]Personas!A53</f>
        <v/>
      </c>
      <c r="C56" s="223">
        <f>[1]Personas!B53</f>
        <v/>
      </c>
      <c r="D56" s="223">
        <f>[1]Personas!C53</f>
        <v/>
      </c>
      <c r="E56" s="223">
        <f>[1]Personas!D53</f>
        <v/>
      </c>
      <c r="F56" s="223">
        <f>[1]Personas!E53</f>
        <v/>
      </c>
      <c r="G56" s="223">
        <f>[1]Personas!F53</f>
        <v/>
      </c>
      <c r="H56" s="223">
        <f>[1]Personas!G53</f>
        <v/>
      </c>
      <c r="I56" s="224">
        <f>[1]Personas!H53</f>
        <v/>
      </c>
      <c r="J56" s="225">
        <f>[1]Personas!I53</f>
        <v/>
      </c>
      <c r="K56" s="225">
        <f>[1]Personas!J53</f>
        <v/>
      </c>
      <c r="L56" s="226" t="n"/>
      <c r="M56" s="226" t="n"/>
      <c r="N56" s="223">
        <f>SUMPRODUCT(Tabla523[[#This Row],[Paltas]:[Empanadas]],O$102:Z$102)</f>
        <v/>
      </c>
      <c r="O56" s="226" t="n"/>
      <c r="P56" s="226" t="n"/>
      <c r="Q56" s="226" t="n"/>
      <c r="R56" s="226" t="n"/>
      <c r="S56" s="226" t="n"/>
      <c r="T56" s="226" t="n"/>
      <c r="U56" s="226" t="n"/>
      <c r="V56" s="226" t="n"/>
      <c r="W56" s="226" t="n"/>
      <c r="X56" s="226" t="n"/>
      <c r="Y56" s="226" t="n"/>
      <c r="Z56" s="226" t="n"/>
      <c r="AA56" s="226">
        <f>SUM(Tabla523[[#This Row],[Paltas]:[Empanadas]])</f>
        <v/>
      </c>
      <c r="AB56" s="227" t="n"/>
    </row>
    <row outlineLevel="1" r="57" s="199" spans="1:28">
      <c r="B57" s="222">
        <f>[1]Personas!A54</f>
        <v/>
      </c>
      <c r="C57" s="223">
        <f>[1]Personas!B54</f>
        <v/>
      </c>
      <c r="D57" s="223">
        <f>[1]Personas!C54</f>
        <v/>
      </c>
      <c r="E57" s="223">
        <f>[1]Personas!D54</f>
        <v/>
      </c>
      <c r="F57" s="223">
        <f>[1]Personas!E54</f>
        <v/>
      </c>
      <c r="G57" s="223">
        <f>[1]Personas!F54</f>
        <v/>
      </c>
      <c r="H57" s="223">
        <f>[1]Personas!G54</f>
        <v/>
      </c>
      <c r="I57" s="224">
        <f>[1]Personas!H54</f>
        <v/>
      </c>
      <c r="J57" s="225">
        <f>[1]Personas!I54</f>
        <v/>
      </c>
      <c r="K57" s="225">
        <f>[1]Personas!J54</f>
        <v/>
      </c>
      <c r="L57" s="226" t="n"/>
      <c r="M57" s="226" t="n"/>
      <c r="N57" s="223">
        <f>SUMPRODUCT(Tabla523[[#This Row],[Paltas]:[Empanadas]],O$102:Z$102)</f>
        <v/>
      </c>
      <c r="O57" s="226" t="n"/>
      <c r="P57" s="226" t="n"/>
      <c r="Q57" s="226" t="n"/>
      <c r="R57" s="226" t="n"/>
      <c r="S57" s="226" t="n"/>
      <c r="T57" s="226" t="n"/>
      <c r="U57" s="226" t="n"/>
      <c r="V57" s="226" t="n"/>
      <c r="W57" s="226" t="n"/>
      <c r="X57" s="226" t="n"/>
      <c r="Y57" s="226" t="n"/>
      <c r="Z57" s="226" t="n"/>
      <c r="AA57" s="226">
        <f>SUM(Tabla523[[#This Row],[Paltas]:[Empanadas]])</f>
        <v/>
      </c>
      <c r="AB57" s="227" t="n"/>
    </row>
    <row outlineLevel="1" r="58" s="199" spans="1:28">
      <c r="B58" s="222">
        <f>[1]Personas!A55</f>
        <v/>
      </c>
      <c r="C58" s="223">
        <f>[1]Personas!B55</f>
        <v/>
      </c>
      <c r="D58" s="223">
        <f>[1]Personas!C55</f>
        <v/>
      </c>
      <c r="E58" s="223">
        <f>[1]Personas!D55</f>
        <v/>
      </c>
      <c r="F58" s="223">
        <f>[1]Personas!E55</f>
        <v/>
      </c>
      <c r="G58" s="223">
        <f>[1]Personas!F55</f>
        <v/>
      </c>
      <c r="H58" s="223">
        <f>[1]Personas!G55</f>
        <v/>
      </c>
      <c r="I58" s="224">
        <f>[1]Personas!H55</f>
        <v/>
      </c>
      <c r="J58" s="225">
        <f>[1]Personas!I55</f>
        <v/>
      </c>
      <c r="K58" s="225">
        <f>[1]Personas!J55</f>
        <v/>
      </c>
      <c r="L58" s="226" t="n"/>
      <c r="M58" s="226" t="n"/>
      <c r="N58" s="223">
        <f>SUMPRODUCT(Tabla523[[#This Row],[Paltas]:[Empanadas]],O$102:Z$102)</f>
        <v/>
      </c>
      <c r="O58" s="226" t="n"/>
      <c r="P58" s="226" t="n"/>
      <c r="Q58" s="226" t="n"/>
      <c r="R58" s="226" t="n"/>
      <c r="S58" s="226" t="n"/>
      <c r="T58" s="226" t="n"/>
      <c r="U58" s="226" t="n"/>
      <c r="V58" s="226" t="n"/>
      <c r="W58" s="226" t="n"/>
      <c r="X58" s="226" t="n"/>
      <c r="Y58" s="226" t="n"/>
      <c r="Z58" s="226" t="n"/>
      <c r="AA58" s="226">
        <f>SUM(Tabla523[[#This Row],[Paltas]:[Empanadas]])</f>
        <v/>
      </c>
      <c r="AB58" s="227" t="n"/>
    </row>
    <row outlineLevel="1" r="59" s="199" spans="1:28">
      <c r="B59" s="222">
        <f>[1]Personas!A56</f>
        <v/>
      </c>
      <c r="C59" s="223">
        <f>[1]Personas!B56</f>
        <v/>
      </c>
      <c r="D59" s="223">
        <f>[1]Personas!C56</f>
        <v/>
      </c>
      <c r="E59" s="223">
        <f>[1]Personas!D56</f>
        <v/>
      </c>
      <c r="F59" s="223">
        <f>[1]Personas!E56</f>
        <v/>
      </c>
      <c r="G59" s="223">
        <f>[1]Personas!F56</f>
        <v/>
      </c>
      <c r="H59" s="223">
        <f>[1]Personas!G56</f>
        <v/>
      </c>
      <c r="I59" s="224">
        <f>[1]Personas!H56</f>
        <v/>
      </c>
      <c r="J59" s="225">
        <f>[1]Personas!I56</f>
        <v/>
      </c>
      <c r="K59" s="225">
        <f>[1]Personas!J56</f>
        <v/>
      </c>
      <c r="L59" s="226" t="n"/>
      <c r="M59" s="226" t="n"/>
      <c r="N59" s="223">
        <f>SUMPRODUCT(Tabla523[[#This Row],[Paltas]:[Empanadas]],O$102:Z$102)</f>
        <v/>
      </c>
      <c r="O59" s="226" t="n"/>
      <c r="P59" s="226" t="n"/>
      <c r="Q59" s="226" t="n"/>
      <c r="R59" s="226" t="n"/>
      <c r="S59" s="226" t="n"/>
      <c r="T59" s="226" t="n"/>
      <c r="U59" s="226" t="n"/>
      <c r="V59" s="226" t="n"/>
      <c r="W59" s="226" t="n"/>
      <c r="X59" s="226" t="n"/>
      <c r="Y59" s="226" t="n"/>
      <c r="Z59" s="226" t="n"/>
      <c r="AA59" s="226">
        <f>SUM(Tabla523[[#This Row],[Paltas]:[Empanadas]])</f>
        <v/>
      </c>
      <c r="AB59" s="227" t="n"/>
    </row>
    <row outlineLevel="1" r="60" s="199" spans="1:28">
      <c r="B60" s="222">
        <f>[1]Personas!A57</f>
        <v/>
      </c>
      <c r="C60" s="223">
        <f>[1]Personas!B57</f>
        <v/>
      </c>
      <c r="D60" s="223">
        <f>[1]Personas!C57</f>
        <v/>
      </c>
      <c r="E60" s="223">
        <f>[1]Personas!D57</f>
        <v/>
      </c>
      <c r="F60" s="223">
        <f>[1]Personas!E57</f>
        <v/>
      </c>
      <c r="G60" s="223">
        <f>[1]Personas!F57</f>
        <v/>
      </c>
      <c r="H60" s="223">
        <f>[1]Personas!G57</f>
        <v/>
      </c>
      <c r="I60" s="224">
        <f>[1]Personas!H57</f>
        <v/>
      </c>
      <c r="J60" s="225">
        <f>[1]Personas!I57</f>
        <v/>
      </c>
      <c r="K60" s="225">
        <f>[1]Personas!J57</f>
        <v/>
      </c>
      <c r="L60" s="226" t="n"/>
      <c r="M60" s="226" t="n"/>
      <c r="N60" s="223">
        <f>SUMPRODUCT(Tabla523[[#This Row],[Paltas]:[Empanadas]],O$102:Z$102)</f>
        <v/>
      </c>
      <c r="O60" s="226" t="n"/>
      <c r="P60" s="226" t="n"/>
      <c r="Q60" s="226" t="n"/>
      <c r="R60" s="226" t="n"/>
      <c r="S60" s="226" t="n"/>
      <c r="T60" s="226" t="n"/>
      <c r="U60" s="226" t="n"/>
      <c r="V60" s="226" t="n"/>
      <c r="W60" s="226" t="n"/>
      <c r="X60" s="226" t="n"/>
      <c r="Y60" s="226" t="n"/>
      <c r="Z60" s="226" t="n"/>
      <c r="AA60" s="226">
        <f>SUM(Tabla523[[#This Row],[Paltas]:[Empanadas]])</f>
        <v/>
      </c>
      <c r="AB60" s="227" t="n"/>
    </row>
    <row outlineLevel="1" r="61" s="199" spans="1:28">
      <c r="B61" s="222">
        <f>[1]Personas!A58</f>
        <v/>
      </c>
      <c r="C61" s="223">
        <f>[1]Personas!B58</f>
        <v/>
      </c>
      <c r="D61" s="223">
        <f>[1]Personas!C58</f>
        <v/>
      </c>
      <c r="E61" s="223">
        <f>[1]Personas!D58</f>
        <v/>
      </c>
      <c r="F61" s="223">
        <f>[1]Personas!E58</f>
        <v/>
      </c>
      <c r="G61" s="223">
        <f>[1]Personas!F58</f>
        <v/>
      </c>
      <c r="H61" s="223">
        <f>[1]Personas!G58</f>
        <v/>
      </c>
      <c r="I61" s="224">
        <f>[1]Personas!H58</f>
        <v/>
      </c>
      <c r="J61" s="225">
        <f>[1]Personas!I58</f>
        <v/>
      </c>
      <c r="K61" s="225">
        <f>[1]Personas!J58</f>
        <v/>
      </c>
      <c r="L61" s="226" t="n"/>
      <c r="M61" s="226" t="n"/>
      <c r="N61" s="223">
        <f>SUMPRODUCT(Tabla523[[#This Row],[Paltas]:[Empanadas]],O$102:Z$102)</f>
        <v/>
      </c>
      <c r="O61" s="226" t="n"/>
      <c r="P61" s="226" t="n"/>
      <c r="Q61" s="226" t="n"/>
      <c r="R61" s="226" t="n"/>
      <c r="S61" s="226" t="n"/>
      <c r="T61" s="226" t="n"/>
      <c r="U61" s="226" t="n"/>
      <c r="V61" s="226" t="n"/>
      <c r="W61" s="226" t="n"/>
      <c r="X61" s="226" t="n"/>
      <c r="Y61" s="226" t="n"/>
      <c r="Z61" s="226" t="n"/>
      <c r="AA61" s="226">
        <f>SUM(Tabla523[[#This Row],[Paltas]:[Empanadas]])</f>
        <v/>
      </c>
      <c r="AB61" s="227" t="n"/>
    </row>
    <row outlineLevel="1" r="62" s="199" spans="1:28">
      <c r="B62" s="222">
        <f>[1]Personas!A59</f>
        <v/>
      </c>
      <c r="C62" s="223">
        <f>[1]Personas!B59</f>
        <v/>
      </c>
      <c r="D62" s="223">
        <f>[1]Personas!C59</f>
        <v/>
      </c>
      <c r="E62" s="223">
        <f>[1]Personas!D59</f>
        <v/>
      </c>
      <c r="F62" s="223">
        <f>[1]Personas!E59</f>
        <v/>
      </c>
      <c r="G62" s="223">
        <f>[1]Personas!F59</f>
        <v/>
      </c>
      <c r="H62" s="223">
        <f>[1]Personas!G59</f>
        <v/>
      </c>
      <c r="I62" s="224">
        <f>[1]Personas!H59</f>
        <v/>
      </c>
      <c r="J62" s="225">
        <f>[1]Personas!I59</f>
        <v/>
      </c>
      <c r="K62" s="225">
        <f>[1]Personas!J59</f>
        <v/>
      </c>
      <c r="L62" s="226" t="n"/>
      <c r="M62" s="226" t="n"/>
      <c r="N62" s="223">
        <f>SUMPRODUCT(Tabla523[[#This Row],[Paltas]:[Empanadas]],O$102:Z$102)</f>
        <v/>
      </c>
      <c r="O62" s="226" t="n"/>
      <c r="P62" s="226" t="n"/>
      <c r="Q62" s="226" t="n"/>
      <c r="R62" s="226" t="n"/>
      <c r="S62" s="226" t="n"/>
      <c r="T62" s="226" t="n"/>
      <c r="U62" s="226" t="n"/>
      <c r="V62" s="226" t="n"/>
      <c r="W62" s="226" t="n"/>
      <c r="X62" s="226" t="n"/>
      <c r="Y62" s="226" t="n"/>
      <c r="Z62" s="226" t="n"/>
      <c r="AA62" s="226">
        <f>SUM(Tabla523[[#This Row],[Paltas]:[Empanadas]])</f>
        <v/>
      </c>
      <c r="AB62" s="227" t="n"/>
    </row>
    <row outlineLevel="1" r="63" s="199" spans="1:28">
      <c r="B63" s="222">
        <f>[1]Personas!A60</f>
        <v/>
      </c>
      <c r="C63" s="223">
        <f>[1]Personas!B60</f>
        <v/>
      </c>
      <c r="D63" s="223">
        <f>[1]Personas!C60</f>
        <v/>
      </c>
      <c r="E63" s="223">
        <f>[1]Personas!D60</f>
        <v/>
      </c>
      <c r="F63" s="223">
        <f>[1]Personas!E60</f>
        <v/>
      </c>
      <c r="G63" s="223">
        <f>[1]Personas!F60</f>
        <v/>
      </c>
      <c r="H63" s="223">
        <f>[1]Personas!G60</f>
        <v/>
      </c>
      <c r="I63" s="224">
        <f>[1]Personas!H60</f>
        <v/>
      </c>
      <c r="J63" s="225">
        <f>[1]Personas!I60</f>
        <v/>
      </c>
      <c r="K63" s="225">
        <f>[1]Personas!J60</f>
        <v/>
      </c>
      <c r="L63" s="226" t="n"/>
      <c r="M63" s="226" t="n"/>
      <c r="N63" s="223">
        <f>SUMPRODUCT(Tabla523[[#This Row],[Paltas]:[Empanadas]],O$102:Z$102)</f>
        <v/>
      </c>
      <c r="O63" s="226" t="n"/>
      <c r="P63" s="226" t="n"/>
      <c r="Q63" s="226" t="n"/>
      <c r="R63" s="226" t="n"/>
      <c r="S63" s="226" t="n"/>
      <c r="T63" s="226" t="n"/>
      <c r="U63" s="226" t="n"/>
      <c r="V63" s="226" t="n"/>
      <c r="W63" s="226" t="n"/>
      <c r="X63" s="226" t="n"/>
      <c r="Y63" s="226" t="n"/>
      <c r="Z63" s="226" t="n"/>
      <c r="AA63" s="226">
        <f>SUM(Tabla523[[#This Row],[Paltas]:[Empanadas]])</f>
        <v/>
      </c>
      <c r="AB63" s="227" t="n"/>
    </row>
    <row outlineLevel="1" r="64" s="199" spans="1:28">
      <c r="B64" s="222">
        <f>[1]Personas!A61</f>
        <v/>
      </c>
      <c r="C64" s="223">
        <f>[1]Personas!B61</f>
        <v/>
      </c>
      <c r="D64" s="223">
        <f>[1]Personas!C61</f>
        <v/>
      </c>
      <c r="E64" s="223">
        <f>[1]Personas!D61</f>
        <v/>
      </c>
      <c r="F64" s="223">
        <f>[1]Personas!E61</f>
        <v/>
      </c>
      <c r="G64" s="223">
        <f>[1]Personas!F61</f>
        <v/>
      </c>
      <c r="H64" s="223">
        <f>[1]Personas!G61</f>
        <v/>
      </c>
      <c r="I64" s="224">
        <f>[1]Personas!H61</f>
        <v/>
      </c>
      <c r="J64" s="225">
        <f>[1]Personas!I61</f>
        <v/>
      </c>
      <c r="K64" s="225">
        <f>[1]Personas!J61</f>
        <v/>
      </c>
      <c r="L64" s="226" t="n"/>
      <c r="M64" s="226" t="n"/>
      <c r="N64" s="223">
        <f>SUMPRODUCT(Tabla523[[#This Row],[Paltas]:[Empanadas]],O$102:Z$102)</f>
        <v/>
      </c>
      <c r="O64" s="226" t="n"/>
      <c r="P64" s="226" t="n"/>
      <c r="Q64" s="226" t="n"/>
      <c r="R64" s="226" t="n"/>
      <c r="S64" s="226" t="n"/>
      <c r="T64" s="226" t="n"/>
      <c r="U64" s="226" t="n"/>
      <c r="V64" s="226" t="n"/>
      <c r="W64" s="226" t="n"/>
      <c r="X64" s="226" t="n"/>
      <c r="Y64" s="226" t="n"/>
      <c r="Z64" s="226" t="n"/>
      <c r="AA64" s="226">
        <f>SUM(Tabla523[[#This Row],[Paltas]:[Empanadas]])</f>
        <v/>
      </c>
      <c r="AB64" s="227" t="n"/>
    </row>
    <row outlineLevel="1" r="65" s="199" spans="1:28">
      <c r="B65" s="222">
        <f>[1]Personas!A62</f>
        <v/>
      </c>
      <c r="C65" s="223">
        <f>[1]Personas!B62</f>
        <v/>
      </c>
      <c r="D65" s="223">
        <f>[1]Personas!C62</f>
        <v/>
      </c>
      <c r="E65" s="223">
        <f>[1]Personas!D62</f>
        <v/>
      </c>
      <c r="F65" s="223">
        <f>[1]Personas!E62</f>
        <v/>
      </c>
      <c r="G65" s="223">
        <f>[1]Personas!F62</f>
        <v/>
      </c>
      <c r="H65" s="223">
        <f>[1]Personas!G62</f>
        <v/>
      </c>
      <c r="I65" s="224">
        <f>[1]Personas!H62</f>
        <v/>
      </c>
      <c r="J65" s="225">
        <f>[1]Personas!I62</f>
        <v/>
      </c>
      <c r="K65" s="225">
        <f>[1]Personas!J62</f>
        <v/>
      </c>
      <c r="L65" s="226" t="n"/>
      <c r="M65" s="226" t="n"/>
      <c r="N65" s="223">
        <f>SUMPRODUCT(Tabla523[[#This Row],[Paltas]:[Empanadas]],O$102:Z$102)</f>
        <v/>
      </c>
      <c r="O65" s="226" t="n"/>
      <c r="P65" s="226" t="n"/>
      <c r="Q65" s="226" t="n"/>
      <c r="R65" s="226" t="n"/>
      <c r="S65" s="226" t="n"/>
      <c r="T65" s="226" t="n"/>
      <c r="U65" s="226" t="n"/>
      <c r="V65" s="226" t="n"/>
      <c r="W65" s="226" t="n"/>
      <c r="X65" s="226" t="n"/>
      <c r="Y65" s="226" t="n"/>
      <c r="Z65" s="226" t="n"/>
      <c r="AA65" s="226">
        <f>SUM(Tabla523[[#This Row],[Paltas]:[Empanadas]])</f>
        <v/>
      </c>
      <c r="AB65" s="227" t="n"/>
    </row>
    <row outlineLevel="1" r="66" s="199" spans="1:28">
      <c r="B66" s="222">
        <f>[1]Personas!A63</f>
        <v/>
      </c>
      <c r="C66" s="223">
        <f>[1]Personas!B63</f>
        <v/>
      </c>
      <c r="D66" s="223">
        <f>[1]Personas!C63</f>
        <v/>
      </c>
      <c r="E66" s="223">
        <f>[1]Personas!D63</f>
        <v/>
      </c>
      <c r="F66" s="223">
        <f>[1]Personas!E63</f>
        <v/>
      </c>
      <c r="G66" s="223">
        <f>[1]Personas!F63</f>
        <v/>
      </c>
      <c r="H66" s="223">
        <f>[1]Personas!G63</f>
        <v/>
      </c>
      <c r="I66" s="224">
        <f>[1]Personas!H63</f>
        <v/>
      </c>
      <c r="J66" s="225">
        <f>[1]Personas!I63</f>
        <v/>
      </c>
      <c r="K66" s="225">
        <f>[1]Personas!J63</f>
        <v/>
      </c>
      <c r="L66" s="226" t="n"/>
      <c r="M66" s="226" t="n"/>
      <c r="N66" s="223">
        <f>SUMPRODUCT(Tabla523[[#This Row],[Paltas]:[Empanadas]],O$102:Z$102)</f>
        <v/>
      </c>
      <c r="O66" s="226" t="n"/>
      <c r="P66" s="226" t="n"/>
      <c r="Q66" s="226" t="n"/>
      <c r="R66" s="226" t="n"/>
      <c r="S66" s="226" t="n"/>
      <c r="T66" s="226" t="n"/>
      <c r="U66" s="226" t="n"/>
      <c r="V66" s="226" t="n"/>
      <c r="W66" s="226" t="n"/>
      <c r="X66" s="226" t="n"/>
      <c r="Y66" s="226" t="n"/>
      <c r="Z66" s="226" t="n"/>
      <c r="AA66" s="226">
        <f>SUM(Tabla523[[#This Row],[Paltas]:[Empanadas]])</f>
        <v/>
      </c>
      <c r="AB66" s="227" t="n"/>
    </row>
    <row outlineLevel="1" r="67" s="199" spans="1:28">
      <c r="B67" s="222">
        <f>[1]Personas!A64</f>
        <v/>
      </c>
      <c r="C67" s="223">
        <f>[1]Personas!B64</f>
        <v/>
      </c>
      <c r="D67" s="223">
        <f>[1]Personas!C64</f>
        <v/>
      </c>
      <c r="E67" s="223">
        <f>[1]Personas!D64</f>
        <v/>
      </c>
      <c r="F67" s="223">
        <f>[1]Personas!E64</f>
        <v/>
      </c>
      <c r="G67" s="223">
        <f>[1]Personas!F64</f>
        <v/>
      </c>
      <c r="H67" s="223">
        <f>[1]Personas!G64</f>
        <v/>
      </c>
      <c r="I67" s="224">
        <f>[1]Personas!H64</f>
        <v/>
      </c>
      <c r="J67" s="225">
        <f>[1]Personas!I64</f>
        <v/>
      </c>
      <c r="K67" s="225">
        <f>[1]Personas!J64</f>
        <v/>
      </c>
      <c r="L67" s="226" t="n"/>
      <c r="M67" s="226" t="n"/>
      <c r="N67" s="223">
        <f>SUMPRODUCT(Tabla523[[#This Row],[Paltas]:[Empanadas]],O$102:Z$102)</f>
        <v/>
      </c>
      <c r="O67" s="226" t="n"/>
      <c r="P67" s="226" t="n"/>
      <c r="Q67" s="226" t="n"/>
      <c r="R67" s="226" t="n"/>
      <c r="S67" s="226" t="n"/>
      <c r="T67" s="226" t="n"/>
      <c r="U67" s="226" t="n"/>
      <c r="V67" s="226" t="n"/>
      <c r="W67" s="226" t="n"/>
      <c r="X67" s="226" t="n"/>
      <c r="Y67" s="226" t="n"/>
      <c r="Z67" s="226" t="n"/>
      <c r="AA67" s="226">
        <f>SUM(Tabla523[[#This Row],[Paltas]:[Empanadas]])</f>
        <v/>
      </c>
      <c r="AB67" s="227" t="n"/>
    </row>
    <row outlineLevel="1" r="68" s="199" spans="1:28">
      <c r="B68" s="222">
        <f>[1]Personas!A65</f>
        <v/>
      </c>
      <c r="C68" s="223">
        <f>[1]Personas!B65</f>
        <v/>
      </c>
      <c r="D68" s="59">
        <f>[1]Personas!C65</f>
        <v/>
      </c>
      <c r="E68" s="59">
        <f>[1]Personas!D65</f>
        <v/>
      </c>
      <c r="F68" s="59">
        <f>[1]Personas!E65</f>
        <v/>
      </c>
      <c r="G68" s="59">
        <f>[1]Personas!F65</f>
        <v/>
      </c>
      <c r="H68" s="59">
        <f>[1]Personas!G65</f>
        <v/>
      </c>
      <c r="I68" s="60">
        <f>[1]Personas!H65</f>
        <v/>
      </c>
      <c r="J68" s="225">
        <f>[1]Personas!I65</f>
        <v/>
      </c>
      <c r="K68" s="225">
        <f>[1]Personas!J65</f>
        <v/>
      </c>
      <c r="L68" s="226" t="n"/>
      <c r="M68" s="226" t="n"/>
      <c r="N68" s="223">
        <f>SUMPRODUCT(Tabla523[[#This Row],[Paltas]:[Empanadas]],O$102:Z$102)</f>
        <v/>
      </c>
      <c r="O68" s="226" t="n"/>
      <c r="P68" s="226" t="n"/>
      <c r="Q68" s="226" t="n"/>
      <c r="R68" s="226" t="n"/>
      <c r="S68" s="226" t="n"/>
      <c r="T68" s="226" t="n"/>
      <c r="U68" s="226" t="n"/>
      <c r="V68" s="226" t="n"/>
      <c r="W68" s="226" t="n"/>
      <c r="X68" s="226" t="n"/>
      <c r="Y68" s="226" t="n"/>
      <c r="Z68" s="226" t="n"/>
      <c r="AA68" s="226">
        <f>SUM(Tabla523[[#This Row],[Paltas]:[Empanadas]])</f>
        <v/>
      </c>
      <c r="AB68" s="227" t="n"/>
    </row>
    <row outlineLevel="1" r="69" s="199" spans="1:28">
      <c r="B69" s="222">
        <f>[1]Personas!A66</f>
        <v/>
      </c>
      <c r="C69" s="223">
        <f>[1]Personas!B66</f>
        <v/>
      </c>
      <c r="D69" s="59">
        <f>[1]Personas!C66</f>
        <v/>
      </c>
      <c r="E69" s="59">
        <f>[1]Personas!D66</f>
        <v/>
      </c>
      <c r="F69" s="59">
        <f>[1]Personas!E66</f>
        <v/>
      </c>
      <c r="G69" s="59">
        <f>[1]Personas!F66</f>
        <v/>
      </c>
      <c r="H69" s="59">
        <f>[1]Personas!G66</f>
        <v/>
      </c>
      <c r="I69" s="60">
        <f>[1]Personas!H66</f>
        <v/>
      </c>
      <c r="J69" s="225">
        <f>[1]Personas!I66</f>
        <v/>
      </c>
      <c r="K69" s="225">
        <f>[1]Personas!J66</f>
        <v/>
      </c>
      <c r="L69" s="226" t="n"/>
      <c r="M69" s="226" t="n"/>
      <c r="N69" s="223">
        <f>SUMPRODUCT(Tabla523[[#This Row],[Paltas]:[Empanadas]],O$102:Z$102)</f>
        <v/>
      </c>
      <c r="O69" s="226" t="n"/>
      <c r="P69" s="226" t="n"/>
      <c r="Q69" s="226" t="n"/>
      <c r="R69" s="226" t="n"/>
      <c r="S69" s="226" t="n"/>
      <c r="T69" s="226" t="n"/>
      <c r="U69" s="226" t="n"/>
      <c r="V69" s="226" t="n"/>
      <c r="W69" s="226" t="n"/>
      <c r="X69" s="226" t="n"/>
      <c r="Y69" s="226" t="n"/>
      <c r="Z69" s="226" t="n"/>
      <c r="AA69" s="226">
        <f>SUM(Tabla523[[#This Row],[Paltas]:[Empanadas]])</f>
        <v/>
      </c>
      <c r="AB69" s="227" t="n"/>
    </row>
    <row outlineLevel="1" r="70" s="199" spans="1:28">
      <c r="B70" s="222">
        <f>[1]Personas!A67</f>
        <v/>
      </c>
      <c r="C70" s="223">
        <f>[1]Personas!B67</f>
        <v/>
      </c>
      <c r="D70" s="59">
        <f>[1]Personas!C67</f>
        <v/>
      </c>
      <c r="E70" s="59">
        <f>[1]Personas!D67</f>
        <v/>
      </c>
      <c r="F70" s="59">
        <f>[1]Personas!E67</f>
        <v/>
      </c>
      <c r="G70" s="59">
        <f>[1]Personas!F67</f>
        <v/>
      </c>
      <c r="H70" s="59">
        <f>[1]Personas!G67</f>
        <v/>
      </c>
      <c r="I70" s="60">
        <f>[1]Personas!H67</f>
        <v/>
      </c>
      <c r="J70" s="225">
        <f>[1]Personas!I67</f>
        <v/>
      </c>
      <c r="K70" s="225">
        <f>[1]Personas!J67</f>
        <v/>
      </c>
      <c r="L70" s="226" t="n"/>
      <c r="M70" s="226" t="n"/>
      <c r="N70" s="223">
        <f>SUMPRODUCT(Tabla523[[#This Row],[Paltas]:[Empanadas]],O$102:Z$102)</f>
        <v/>
      </c>
      <c r="O70" s="226" t="n"/>
      <c r="P70" s="226" t="n"/>
      <c r="Q70" s="226" t="n"/>
      <c r="R70" s="226" t="n"/>
      <c r="S70" s="226" t="n"/>
      <c r="T70" s="226" t="n"/>
      <c r="U70" s="226" t="n"/>
      <c r="V70" s="226" t="n"/>
      <c r="W70" s="226" t="n"/>
      <c r="X70" s="226" t="n"/>
      <c r="Y70" s="226" t="n"/>
      <c r="Z70" s="226" t="n"/>
      <c r="AA70" s="226">
        <f>SUM(Tabla523[[#This Row],[Paltas]:[Empanadas]])</f>
        <v/>
      </c>
      <c r="AB70" s="227" t="n"/>
    </row>
    <row outlineLevel="1" r="71" s="199" spans="1:28">
      <c r="B71" s="222">
        <f>[1]Personas!A68</f>
        <v/>
      </c>
      <c r="C71" s="223">
        <f>[1]Personas!B68</f>
        <v/>
      </c>
      <c r="D71" s="59">
        <f>[1]Personas!C68</f>
        <v/>
      </c>
      <c r="E71" s="59">
        <f>[1]Personas!D68</f>
        <v/>
      </c>
      <c r="F71" s="59">
        <f>[1]Personas!E68</f>
        <v/>
      </c>
      <c r="G71" s="59">
        <f>[1]Personas!F68</f>
        <v/>
      </c>
      <c r="H71" s="59">
        <f>[1]Personas!G68</f>
        <v/>
      </c>
      <c r="I71" s="60">
        <f>[1]Personas!H68</f>
        <v/>
      </c>
      <c r="J71" s="225">
        <f>[1]Personas!I68</f>
        <v/>
      </c>
      <c r="K71" s="225">
        <f>[1]Personas!J68</f>
        <v/>
      </c>
      <c r="L71" s="226" t="n"/>
      <c r="M71" s="226" t="n"/>
      <c r="N71" s="223">
        <f>SUMPRODUCT(Tabla523[[#This Row],[Paltas]:[Empanadas]],O$102:Z$102)</f>
        <v/>
      </c>
      <c r="O71" s="226" t="n"/>
      <c r="P71" s="226" t="n"/>
      <c r="Q71" s="226" t="n"/>
      <c r="R71" s="226" t="n"/>
      <c r="S71" s="226" t="n"/>
      <c r="T71" s="226" t="n"/>
      <c r="U71" s="226" t="n"/>
      <c r="V71" s="226" t="n"/>
      <c r="W71" s="226" t="n"/>
      <c r="X71" s="226" t="n"/>
      <c r="Y71" s="226" t="n"/>
      <c r="Z71" s="226" t="n"/>
      <c r="AA71" s="226">
        <f>SUM(Tabla523[[#This Row],[Paltas]:[Empanadas]])</f>
        <v/>
      </c>
      <c r="AB71" s="227" t="n"/>
    </row>
    <row outlineLevel="1" r="72" s="199" spans="1:28">
      <c r="B72" s="222">
        <f>[1]Personas!A69</f>
        <v/>
      </c>
      <c r="C72" s="223">
        <f>[1]Personas!B69</f>
        <v/>
      </c>
      <c r="D72" s="59">
        <f>[1]Personas!C69</f>
        <v/>
      </c>
      <c r="E72" s="59">
        <f>[1]Personas!D69</f>
        <v/>
      </c>
      <c r="F72" s="59">
        <f>[1]Personas!E69</f>
        <v/>
      </c>
      <c r="G72" s="59">
        <f>[1]Personas!F69</f>
        <v/>
      </c>
      <c r="H72" s="59">
        <f>[1]Personas!G69</f>
        <v/>
      </c>
      <c r="I72" s="60">
        <f>[1]Personas!H69</f>
        <v/>
      </c>
      <c r="J72" s="225">
        <f>[1]Personas!I69</f>
        <v/>
      </c>
      <c r="K72" s="225">
        <f>[1]Personas!J69</f>
        <v/>
      </c>
      <c r="L72" s="226" t="n"/>
      <c r="M72" s="226" t="n"/>
      <c r="N72" s="223">
        <f>SUMPRODUCT(Tabla523[[#This Row],[Paltas]:[Empanadas]],O$102:Z$102)</f>
        <v/>
      </c>
      <c r="O72" s="226" t="n"/>
      <c r="P72" s="226" t="n"/>
      <c r="Q72" s="226" t="n"/>
      <c r="R72" s="226" t="n"/>
      <c r="S72" s="226" t="n"/>
      <c r="T72" s="226" t="n"/>
      <c r="U72" s="226" t="n"/>
      <c r="V72" s="226" t="n"/>
      <c r="W72" s="226" t="n"/>
      <c r="X72" s="226" t="n"/>
      <c r="Y72" s="226" t="n"/>
      <c r="Z72" s="226" t="n"/>
      <c r="AA72" s="226">
        <f>SUM(Tabla523[[#This Row],[Paltas]:[Empanadas]])</f>
        <v/>
      </c>
      <c r="AB72" s="227" t="n"/>
    </row>
    <row outlineLevel="1" r="73" s="199" spans="1:28">
      <c r="B73" s="222">
        <f>[1]Personas!A70</f>
        <v/>
      </c>
      <c r="C73" s="223">
        <f>[1]Personas!B70</f>
        <v/>
      </c>
      <c r="D73" s="59">
        <f>[1]Personas!C70</f>
        <v/>
      </c>
      <c r="E73" s="59">
        <f>[1]Personas!D70</f>
        <v/>
      </c>
      <c r="F73" s="59">
        <f>[1]Personas!E70</f>
        <v/>
      </c>
      <c r="G73" s="59">
        <f>[1]Personas!F70</f>
        <v/>
      </c>
      <c r="H73" s="59">
        <f>[1]Personas!G70</f>
        <v/>
      </c>
      <c r="I73" s="60">
        <f>[1]Personas!H70</f>
        <v/>
      </c>
      <c r="J73" s="225">
        <f>[1]Personas!I70</f>
        <v/>
      </c>
      <c r="K73" s="225">
        <f>[1]Personas!J70</f>
        <v/>
      </c>
      <c r="L73" s="226" t="n"/>
      <c r="M73" s="226" t="n"/>
      <c r="N73" s="228">
        <f>SUMPRODUCT(Tabla523[[#This Row],[Paltas]:[Empanadas]],O$102:Z$102)</f>
        <v/>
      </c>
      <c r="O73" s="226" t="n"/>
      <c r="P73" s="226" t="n"/>
      <c r="Q73" s="226" t="n"/>
      <c r="R73" s="226" t="n"/>
      <c r="S73" s="226" t="n"/>
      <c r="T73" s="226" t="n"/>
      <c r="U73" s="226" t="n"/>
      <c r="V73" s="226" t="n"/>
      <c r="W73" s="226" t="n"/>
      <c r="X73" s="226" t="n"/>
      <c r="Y73" s="226" t="n"/>
      <c r="Z73" s="226" t="n"/>
      <c r="AA73" s="226">
        <f>SUM(Tabla523[[#This Row],[Paltas]:[Empanadas]])</f>
        <v/>
      </c>
      <c r="AB73" s="227" t="n"/>
    </row>
    <row outlineLevel="1" r="74" s="199" spans="1:28">
      <c r="B74" s="222">
        <f>[1]Personas!A71</f>
        <v/>
      </c>
      <c r="C74" s="223">
        <f>[1]Personas!B71</f>
        <v/>
      </c>
      <c r="D74" s="59">
        <f>[1]Personas!C71</f>
        <v/>
      </c>
      <c r="E74" s="59">
        <f>[1]Personas!D71</f>
        <v/>
      </c>
      <c r="F74" s="59">
        <f>[1]Personas!E71</f>
        <v/>
      </c>
      <c r="G74" s="59">
        <f>[1]Personas!F71</f>
        <v/>
      </c>
      <c r="H74" s="59">
        <f>[1]Personas!G71</f>
        <v/>
      </c>
      <c r="I74" s="60">
        <f>[1]Personas!H71</f>
        <v/>
      </c>
      <c r="J74" s="225">
        <f>[1]Personas!I71</f>
        <v/>
      </c>
      <c r="K74" s="225">
        <f>[1]Personas!J71</f>
        <v/>
      </c>
      <c r="L74" s="226" t="n"/>
      <c r="M74" s="226" t="n"/>
      <c r="N74" s="228">
        <f>SUMPRODUCT(Tabla523[[#This Row],[Paltas]:[Empanadas]],O$102:Z$102)</f>
        <v/>
      </c>
      <c r="O74" s="226" t="n"/>
      <c r="P74" s="226" t="n"/>
      <c r="Q74" s="226" t="n"/>
      <c r="R74" s="226" t="n"/>
      <c r="S74" s="226" t="n"/>
      <c r="T74" s="226" t="n"/>
      <c r="U74" s="226" t="n"/>
      <c r="V74" s="226" t="n"/>
      <c r="W74" s="226" t="n"/>
      <c r="X74" s="226" t="n"/>
      <c r="Y74" s="226" t="n"/>
      <c r="Z74" s="226" t="n"/>
      <c r="AA74" s="226">
        <f>SUM(Tabla523[[#This Row],[Paltas]:[Empanadas]])</f>
        <v/>
      </c>
      <c r="AB74" s="227" t="n"/>
    </row>
    <row outlineLevel="1" r="75" s="199" spans="1:28">
      <c r="B75" s="222">
        <f>[1]Personas!A72</f>
        <v/>
      </c>
      <c r="C75" s="223">
        <f>[1]Personas!B72</f>
        <v/>
      </c>
      <c r="D75" s="59">
        <f>[1]Personas!C72</f>
        <v/>
      </c>
      <c r="E75" s="59">
        <f>[1]Personas!D72</f>
        <v/>
      </c>
      <c r="F75" s="59">
        <f>[1]Personas!E72</f>
        <v/>
      </c>
      <c r="G75" s="59">
        <f>[1]Personas!F72</f>
        <v/>
      </c>
      <c r="H75" s="59">
        <f>[1]Personas!G72</f>
        <v/>
      </c>
      <c r="I75" s="60">
        <f>[1]Personas!H72</f>
        <v/>
      </c>
      <c r="J75" s="225">
        <f>[1]Personas!I72</f>
        <v/>
      </c>
      <c r="K75" s="225">
        <f>[1]Personas!J72</f>
        <v/>
      </c>
      <c r="L75" s="226" t="n"/>
      <c r="M75" s="226" t="n"/>
      <c r="N75" s="228">
        <f>SUMPRODUCT(Tabla523[[#This Row],[Paltas]:[Empanadas]],O$102:Z$102)</f>
        <v/>
      </c>
      <c r="O75" s="226" t="n"/>
      <c r="P75" s="226" t="n"/>
      <c r="Q75" s="226" t="n"/>
      <c r="R75" s="226" t="n"/>
      <c r="S75" s="226" t="n"/>
      <c r="T75" s="226" t="n"/>
      <c r="U75" s="226" t="n"/>
      <c r="V75" s="226" t="n"/>
      <c r="W75" s="226" t="n"/>
      <c r="X75" s="226" t="n"/>
      <c r="Y75" s="226" t="n"/>
      <c r="Z75" s="226" t="n"/>
      <c r="AA75" s="226">
        <f>SUM(Tabla523[[#This Row],[Paltas]:[Empanadas]])</f>
        <v/>
      </c>
      <c r="AB75" s="227" t="n"/>
    </row>
    <row outlineLevel="1" r="76" s="199" spans="1:28">
      <c r="B76" s="222">
        <f>[1]Personas!A73</f>
        <v/>
      </c>
      <c r="C76" s="223">
        <f>[1]Personas!B73</f>
        <v/>
      </c>
      <c r="D76" s="59">
        <f>[1]Personas!C73</f>
        <v/>
      </c>
      <c r="E76" s="59">
        <f>[1]Personas!D73</f>
        <v/>
      </c>
      <c r="F76" s="59">
        <f>[1]Personas!E73</f>
        <v/>
      </c>
      <c r="G76" s="59">
        <f>[1]Personas!F73</f>
        <v/>
      </c>
      <c r="H76" s="59">
        <f>[1]Personas!G73</f>
        <v/>
      </c>
      <c r="I76" s="60">
        <f>[1]Personas!H73</f>
        <v/>
      </c>
      <c r="J76" s="225">
        <f>[1]Personas!I73</f>
        <v/>
      </c>
      <c r="K76" s="225">
        <f>[1]Personas!J73</f>
        <v/>
      </c>
      <c r="L76" s="226" t="n"/>
      <c r="M76" s="226" t="n"/>
      <c r="N76" s="228">
        <f>SUMPRODUCT(Tabla523[[#This Row],[Paltas]:[Empanadas]],O$102:Z$102)</f>
        <v/>
      </c>
      <c r="O76" s="226" t="n"/>
      <c r="P76" s="226" t="n"/>
      <c r="Q76" s="226" t="n"/>
      <c r="R76" s="226" t="n"/>
      <c r="S76" s="226" t="n"/>
      <c r="T76" s="226" t="n"/>
      <c r="U76" s="226" t="n"/>
      <c r="V76" s="226" t="n"/>
      <c r="W76" s="226" t="n"/>
      <c r="X76" s="226" t="n"/>
      <c r="Y76" s="226" t="n"/>
      <c r="Z76" s="226" t="n"/>
      <c r="AA76" s="226">
        <f>SUM(Tabla523[[#This Row],[Paltas]:[Empanadas]])</f>
        <v/>
      </c>
      <c r="AB76" s="227" t="n"/>
    </row>
    <row outlineLevel="1" r="77" s="199" spans="1:28">
      <c r="B77" s="222">
        <f>[1]Personas!A74</f>
        <v/>
      </c>
      <c r="C77" s="223">
        <f>[1]Personas!B74</f>
        <v/>
      </c>
      <c r="D77" s="59">
        <f>[1]Personas!C74</f>
        <v/>
      </c>
      <c r="E77" s="59">
        <f>[1]Personas!D74</f>
        <v/>
      </c>
      <c r="F77" s="59">
        <f>[1]Personas!E74</f>
        <v/>
      </c>
      <c r="G77" s="59">
        <f>[1]Personas!F74</f>
        <v/>
      </c>
      <c r="H77" s="59">
        <f>[1]Personas!G74</f>
        <v/>
      </c>
      <c r="I77" s="60">
        <f>[1]Personas!H74</f>
        <v/>
      </c>
      <c r="J77" s="225">
        <f>[1]Personas!I74</f>
        <v/>
      </c>
      <c r="K77" s="225">
        <f>[1]Personas!J74</f>
        <v/>
      </c>
      <c r="L77" s="226" t="n"/>
      <c r="M77" s="226" t="n"/>
      <c r="N77" s="228">
        <f>SUMPRODUCT(Tabla523[[#This Row],[Paltas]:[Empanadas]],O$102:Z$102)</f>
        <v/>
      </c>
      <c r="O77" s="226" t="n"/>
      <c r="P77" s="226" t="n"/>
      <c r="Q77" s="226" t="n"/>
      <c r="R77" s="226" t="n"/>
      <c r="S77" s="226" t="n"/>
      <c r="T77" s="226" t="n"/>
      <c r="U77" s="226" t="n"/>
      <c r="V77" s="226" t="n"/>
      <c r="W77" s="226" t="n"/>
      <c r="X77" s="226" t="n"/>
      <c r="Y77" s="226" t="n"/>
      <c r="Z77" s="226" t="n"/>
      <c r="AA77" s="226">
        <f>SUM(Tabla523[[#This Row],[Paltas]:[Empanadas]])</f>
        <v/>
      </c>
      <c r="AB77" s="227" t="n"/>
    </row>
    <row outlineLevel="1" r="78" s="199" spans="1:28">
      <c r="B78" s="222">
        <f>[1]Personas!A75</f>
        <v/>
      </c>
      <c r="C78" s="223">
        <f>[1]Personas!B75</f>
        <v/>
      </c>
      <c r="D78" s="59">
        <f>[1]Personas!C75</f>
        <v/>
      </c>
      <c r="E78" s="59">
        <f>[1]Personas!D75</f>
        <v/>
      </c>
      <c r="F78" s="59">
        <f>[1]Personas!E75</f>
        <v/>
      </c>
      <c r="G78" s="59">
        <f>[1]Personas!F75</f>
        <v/>
      </c>
      <c r="H78" s="59">
        <f>[1]Personas!G75</f>
        <v/>
      </c>
      <c r="I78" s="60">
        <f>[1]Personas!H75</f>
        <v/>
      </c>
      <c r="J78" s="225">
        <f>[1]Personas!I75</f>
        <v/>
      </c>
      <c r="K78" s="225">
        <f>[1]Personas!J75</f>
        <v/>
      </c>
      <c r="L78" s="226" t="n"/>
      <c r="M78" s="226" t="n"/>
      <c r="N78" s="228">
        <f>SUMPRODUCT(Tabla523[[#This Row],[Paltas]:[Empanadas]],O$102:Z$102)</f>
        <v/>
      </c>
      <c r="O78" s="226" t="n"/>
      <c r="P78" s="226" t="n"/>
      <c r="Q78" s="226" t="n"/>
      <c r="R78" s="226" t="n"/>
      <c r="S78" s="226" t="n"/>
      <c r="T78" s="226" t="n"/>
      <c r="U78" s="226" t="n"/>
      <c r="V78" s="226" t="n"/>
      <c r="W78" s="226" t="n"/>
      <c r="X78" s="226" t="n"/>
      <c r="Y78" s="226" t="n"/>
      <c r="Z78" s="226" t="n"/>
      <c r="AA78" s="226">
        <f>SUM(Tabla523[[#This Row],[Paltas]:[Empanadas]])</f>
        <v/>
      </c>
      <c r="AB78" s="227" t="n"/>
    </row>
    <row outlineLevel="1" r="79" s="199" spans="1:28">
      <c r="B79" s="222">
        <f>[1]Personas!A76</f>
        <v/>
      </c>
      <c r="C79" s="223">
        <f>[1]Personas!B76</f>
        <v/>
      </c>
      <c r="D79" s="59">
        <f>[1]Personas!C76</f>
        <v/>
      </c>
      <c r="E79" s="59">
        <f>[1]Personas!D76</f>
        <v/>
      </c>
      <c r="F79" s="59">
        <f>[1]Personas!E76</f>
        <v/>
      </c>
      <c r="G79" s="59">
        <f>[1]Personas!F76</f>
        <v/>
      </c>
      <c r="H79" s="59">
        <f>[1]Personas!G76</f>
        <v/>
      </c>
      <c r="I79" s="60">
        <f>[1]Personas!H76</f>
        <v/>
      </c>
      <c r="J79" s="225">
        <f>[1]Personas!I76</f>
        <v/>
      </c>
      <c r="K79" s="225">
        <f>[1]Personas!J76</f>
        <v/>
      </c>
      <c r="L79" s="226" t="n"/>
      <c r="M79" s="226" t="n"/>
      <c r="N79" s="228">
        <f>SUMPRODUCT(Tabla523[[#This Row],[Paltas]:[Empanadas]],O$102:Z$102)</f>
        <v/>
      </c>
      <c r="O79" s="226" t="n"/>
      <c r="P79" s="226" t="n"/>
      <c r="Q79" s="226" t="n"/>
      <c r="R79" s="226" t="n"/>
      <c r="S79" s="226" t="n"/>
      <c r="T79" s="226" t="n"/>
      <c r="U79" s="226" t="n"/>
      <c r="V79" s="226" t="n"/>
      <c r="W79" s="226" t="n"/>
      <c r="X79" s="226" t="n"/>
      <c r="Y79" s="226" t="n"/>
      <c r="Z79" s="226" t="n"/>
      <c r="AA79" s="226">
        <f>SUM(Tabla523[[#This Row],[Paltas]:[Empanadas]])</f>
        <v/>
      </c>
      <c r="AB79" s="227" t="n"/>
    </row>
    <row outlineLevel="1" r="80" s="199" spans="1:28">
      <c r="B80" s="222">
        <f>[1]Personas!A77</f>
        <v/>
      </c>
      <c r="C80" s="223">
        <f>[1]Personas!B77</f>
        <v/>
      </c>
      <c r="D80" s="59">
        <f>[1]Personas!C77</f>
        <v/>
      </c>
      <c r="E80" s="59">
        <f>[1]Personas!D77</f>
        <v/>
      </c>
      <c r="F80" s="59">
        <f>[1]Personas!E77</f>
        <v/>
      </c>
      <c r="G80" s="59">
        <f>[1]Personas!F77</f>
        <v/>
      </c>
      <c r="H80" s="59">
        <f>[1]Personas!G77</f>
        <v/>
      </c>
      <c r="I80" s="60">
        <f>[1]Personas!H77</f>
        <v/>
      </c>
      <c r="J80" s="225">
        <f>[1]Personas!I77</f>
        <v/>
      </c>
      <c r="K80" s="225">
        <f>[1]Personas!J77</f>
        <v/>
      </c>
      <c r="L80" s="226" t="n"/>
      <c r="M80" s="226" t="n"/>
      <c r="N80" s="228">
        <f>SUMPRODUCT(Tabla523[[#This Row],[Paltas]:[Empanadas]],O$102:Z$102)</f>
        <v/>
      </c>
      <c r="O80" s="226" t="n"/>
      <c r="P80" s="226" t="n"/>
      <c r="Q80" s="226" t="n"/>
      <c r="R80" s="226" t="n"/>
      <c r="S80" s="226" t="n"/>
      <c r="T80" s="226" t="n"/>
      <c r="U80" s="226" t="n"/>
      <c r="V80" s="226" t="n"/>
      <c r="W80" s="226" t="n"/>
      <c r="X80" s="226" t="n"/>
      <c r="Y80" s="226" t="n"/>
      <c r="Z80" s="226" t="n"/>
      <c r="AA80" s="226">
        <f>SUM(Tabla523[[#This Row],[Paltas]:[Empanadas]])</f>
        <v/>
      </c>
      <c r="AB80" s="227" t="n"/>
    </row>
    <row outlineLevel="1" r="81" s="199" spans="1:28">
      <c r="B81" s="222">
        <f>[1]Personas!A78</f>
        <v/>
      </c>
      <c r="C81" s="223">
        <f>[1]Personas!B78</f>
        <v/>
      </c>
      <c r="D81" s="59">
        <f>[1]Personas!C78</f>
        <v/>
      </c>
      <c r="E81" s="59">
        <f>[1]Personas!D78</f>
        <v/>
      </c>
      <c r="F81" s="59">
        <f>[1]Personas!E78</f>
        <v/>
      </c>
      <c r="G81" s="59">
        <f>[1]Personas!F78</f>
        <v/>
      </c>
      <c r="H81" s="59">
        <f>[1]Personas!G78</f>
        <v/>
      </c>
      <c r="I81" s="60">
        <f>[1]Personas!H78</f>
        <v/>
      </c>
      <c r="J81" s="225">
        <f>[1]Personas!I78</f>
        <v/>
      </c>
      <c r="K81" s="225">
        <f>[1]Personas!J78</f>
        <v/>
      </c>
      <c r="L81" s="226" t="n"/>
      <c r="M81" s="226" t="n"/>
      <c r="N81" s="228">
        <f>SUMPRODUCT(Tabla523[[#This Row],[Paltas]:[Empanadas]],O$102:Z$102)</f>
        <v/>
      </c>
      <c r="O81" s="226" t="n"/>
      <c r="P81" s="226" t="n"/>
      <c r="Q81" s="226" t="n"/>
      <c r="R81" s="226" t="n"/>
      <c r="S81" s="226" t="n"/>
      <c r="T81" s="226" t="n"/>
      <c r="U81" s="226" t="n"/>
      <c r="V81" s="226" t="n"/>
      <c r="W81" s="226" t="n"/>
      <c r="X81" s="226" t="n"/>
      <c r="Y81" s="226" t="n"/>
      <c r="Z81" s="226" t="n"/>
      <c r="AA81" s="226">
        <f>SUM(Tabla523[[#This Row],[Paltas]:[Empanadas]])</f>
        <v/>
      </c>
      <c r="AB81" s="227" t="n"/>
    </row>
    <row outlineLevel="1" r="82" s="199" spans="1:28">
      <c r="B82" s="222">
        <f>[1]Personas!A79</f>
        <v/>
      </c>
      <c r="C82" s="223">
        <f>[1]Personas!B79</f>
        <v/>
      </c>
      <c r="D82" s="59">
        <f>[1]Personas!C79</f>
        <v/>
      </c>
      <c r="E82" s="59">
        <f>[1]Personas!D79</f>
        <v/>
      </c>
      <c r="F82" s="59">
        <f>[1]Personas!E79</f>
        <v/>
      </c>
      <c r="G82" s="59">
        <f>[1]Personas!F79</f>
        <v/>
      </c>
      <c r="H82" s="59">
        <f>[1]Personas!G79</f>
        <v/>
      </c>
      <c r="I82" s="60">
        <f>[1]Personas!H79</f>
        <v/>
      </c>
      <c r="J82" s="225">
        <f>[1]Personas!I79</f>
        <v/>
      </c>
      <c r="K82" s="225">
        <f>[1]Personas!J79</f>
        <v/>
      </c>
      <c r="L82" s="226" t="n"/>
      <c r="M82" s="226" t="n"/>
      <c r="N82" s="228">
        <f>SUMPRODUCT(Tabla523[[#This Row],[Paltas]:[Empanadas]],O$102:Z$102)</f>
        <v/>
      </c>
      <c r="O82" s="226" t="n"/>
      <c r="P82" s="226" t="n"/>
      <c r="Q82" s="226" t="n"/>
      <c r="R82" s="226" t="n"/>
      <c r="S82" s="226" t="n"/>
      <c r="T82" s="226" t="n"/>
      <c r="U82" s="226" t="n"/>
      <c r="V82" s="226" t="n"/>
      <c r="W82" s="226" t="n"/>
      <c r="X82" s="226" t="n"/>
      <c r="Y82" s="226" t="n"/>
      <c r="Z82" s="226" t="n"/>
      <c r="AA82" s="226">
        <f>SUM(Tabla523[[#This Row],[Paltas]:[Empanadas]])</f>
        <v/>
      </c>
      <c r="AB82" s="227" t="n"/>
    </row>
    <row outlineLevel="1" r="83" s="199" spans="1:28">
      <c r="B83" s="222">
        <f>[1]Personas!A80</f>
        <v/>
      </c>
      <c r="C83" s="223">
        <f>[1]Personas!B80</f>
        <v/>
      </c>
      <c r="D83" s="59">
        <f>[1]Personas!C80</f>
        <v/>
      </c>
      <c r="E83" s="59">
        <f>[1]Personas!D80</f>
        <v/>
      </c>
      <c r="F83" s="59">
        <f>[1]Personas!E80</f>
        <v/>
      </c>
      <c r="G83" s="59">
        <f>[1]Personas!F80</f>
        <v/>
      </c>
      <c r="H83" s="59">
        <f>[1]Personas!G80</f>
        <v/>
      </c>
      <c r="I83" s="60">
        <f>[1]Personas!H80</f>
        <v/>
      </c>
      <c r="J83" s="225">
        <f>[1]Personas!I80</f>
        <v/>
      </c>
      <c r="K83" s="225">
        <f>[1]Personas!J80</f>
        <v/>
      </c>
      <c r="L83" s="226" t="n"/>
      <c r="M83" s="226" t="n"/>
      <c r="N83" s="228">
        <f>SUMPRODUCT(Tabla523[[#This Row],[Paltas]:[Empanadas]],O$102:Z$102)</f>
        <v/>
      </c>
      <c r="O83" s="226" t="n"/>
      <c r="P83" s="226" t="n"/>
      <c r="Q83" s="226" t="n"/>
      <c r="R83" s="226" t="n"/>
      <c r="S83" s="226" t="n"/>
      <c r="T83" s="226" t="n"/>
      <c r="U83" s="226" t="n"/>
      <c r="V83" s="226" t="n"/>
      <c r="W83" s="226" t="n"/>
      <c r="X83" s="226" t="n"/>
      <c r="Y83" s="226" t="n"/>
      <c r="Z83" s="226" t="n"/>
      <c r="AA83" s="226">
        <f>SUM(Tabla523[[#This Row],[Paltas]:[Empanadas]])</f>
        <v/>
      </c>
      <c r="AB83" s="227" t="n"/>
    </row>
    <row outlineLevel="1" r="84" s="199" spans="1:28">
      <c r="B84" s="222">
        <f>[1]Personas!A81</f>
        <v/>
      </c>
      <c r="C84" s="223">
        <f>[1]Personas!B81</f>
        <v/>
      </c>
      <c r="D84" s="59">
        <f>[1]Personas!C81</f>
        <v/>
      </c>
      <c r="E84" s="59">
        <f>[1]Personas!D81</f>
        <v/>
      </c>
      <c r="F84" s="59">
        <f>[1]Personas!E81</f>
        <v/>
      </c>
      <c r="G84" s="59">
        <f>[1]Personas!F81</f>
        <v/>
      </c>
      <c r="H84" s="59">
        <f>[1]Personas!G81</f>
        <v/>
      </c>
      <c r="I84" s="60">
        <f>[1]Personas!H81</f>
        <v/>
      </c>
      <c r="J84" s="225">
        <f>[1]Personas!I81</f>
        <v/>
      </c>
      <c r="K84" s="225">
        <f>[1]Personas!J81</f>
        <v/>
      </c>
      <c r="L84" s="226" t="n"/>
      <c r="M84" s="226" t="n"/>
      <c r="N84" s="228">
        <f>SUMPRODUCT(Tabla523[[#This Row],[Paltas]:[Empanadas]],O$102:Z$102)</f>
        <v/>
      </c>
      <c r="O84" s="226" t="n"/>
      <c r="P84" s="226" t="n"/>
      <c r="Q84" s="226" t="n"/>
      <c r="R84" s="226" t="n"/>
      <c r="S84" s="226" t="n"/>
      <c r="T84" s="226" t="n"/>
      <c r="U84" s="226" t="n"/>
      <c r="V84" s="226" t="n"/>
      <c r="W84" s="226" t="n"/>
      <c r="X84" s="226" t="n"/>
      <c r="Y84" s="226" t="n"/>
      <c r="Z84" s="226" t="n"/>
      <c r="AA84" s="226">
        <f>SUM(Tabla523[[#This Row],[Paltas]:[Empanadas]])</f>
        <v/>
      </c>
      <c r="AB84" s="227" t="n"/>
    </row>
    <row outlineLevel="1" r="85" s="199" spans="1:28">
      <c r="B85" s="222">
        <f>[1]Personas!A82</f>
        <v/>
      </c>
      <c r="C85" s="223">
        <f>[1]Personas!B82</f>
        <v/>
      </c>
      <c r="D85" s="59">
        <f>[1]Personas!C82</f>
        <v/>
      </c>
      <c r="E85" s="59">
        <f>[1]Personas!D82</f>
        <v/>
      </c>
      <c r="F85" s="59">
        <f>[1]Personas!E82</f>
        <v/>
      </c>
      <c r="G85" s="59">
        <f>[1]Personas!F82</f>
        <v/>
      </c>
      <c r="H85" s="59">
        <f>[1]Personas!G82</f>
        <v/>
      </c>
      <c r="I85" s="60">
        <f>[1]Personas!H82</f>
        <v/>
      </c>
      <c r="J85" s="225">
        <f>[1]Personas!I82</f>
        <v/>
      </c>
      <c r="K85" s="225">
        <f>[1]Personas!J82</f>
        <v/>
      </c>
      <c r="L85" s="226" t="n"/>
      <c r="M85" s="226" t="n"/>
      <c r="N85" s="228">
        <f>SUMPRODUCT(Tabla523[[#This Row],[Paltas]:[Empanadas]],O$102:Z$102)</f>
        <v/>
      </c>
      <c r="O85" s="226" t="n"/>
      <c r="P85" s="226" t="n"/>
      <c r="Q85" s="226" t="n"/>
      <c r="R85" s="226" t="n"/>
      <c r="S85" s="226" t="n"/>
      <c r="T85" s="226" t="n"/>
      <c r="U85" s="226" t="n"/>
      <c r="V85" s="226" t="n"/>
      <c r="W85" s="226" t="n"/>
      <c r="X85" s="226" t="n"/>
      <c r="Y85" s="226" t="n"/>
      <c r="Z85" s="226" t="n"/>
      <c r="AA85" s="226">
        <f>SUM(Tabla523[[#This Row],[Paltas]:[Empanadas]])</f>
        <v/>
      </c>
      <c r="AB85" s="227" t="n"/>
    </row>
    <row outlineLevel="1" r="86" s="199" spans="1:28">
      <c r="B86" s="222">
        <f>[1]Personas!A83</f>
        <v/>
      </c>
      <c r="C86" s="223">
        <f>[1]Personas!B83</f>
        <v/>
      </c>
      <c r="D86" s="59">
        <f>[1]Personas!C83</f>
        <v/>
      </c>
      <c r="E86" s="59">
        <f>[1]Personas!D83</f>
        <v/>
      </c>
      <c r="F86" s="59">
        <f>[1]Personas!E83</f>
        <v/>
      </c>
      <c r="G86" s="59">
        <f>[1]Personas!F83</f>
        <v/>
      </c>
      <c r="H86" s="59">
        <f>[1]Personas!G83</f>
        <v/>
      </c>
      <c r="I86" s="60">
        <f>[1]Personas!H83</f>
        <v/>
      </c>
      <c r="J86" s="225">
        <f>[1]Personas!I83</f>
        <v/>
      </c>
      <c r="K86" s="225">
        <f>[1]Personas!J83</f>
        <v/>
      </c>
      <c r="L86" s="226" t="n"/>
      <c r="M86" s="226" t="n"/>
      <c r="N86" s="228">
        <f>SUMPRODUCT(Tabla523[[#This Row],[Paltas]:[Empanadas]],O$102:Z$102)</f>
        <v/>
      </c>
      <c r="O86" s="226" t="n"/>
      <c r="P86" s="226" t="n"/>
      <c r="Q86" s="226" t="n"/>
      <c r="R86" s="226" t="n"/>
      <c r="S86" s="226" t="n"/>
      <c r="T86" s="226" t="n"/>
      <c r="U86" s="226" t="n"/>
      <c r="V86" s="226" t="n"/>
      <c r="W86" s="226" t="n"/>
      <c r="X86" s="226" t="n"/>
      <c r="Y86" s="226" t="n"/>
      <c r="Z86" s="226" t="n"/>
      <c r="AA86" s="226">
        <f>SUM(Tabla523[[#This Row],[Paltas]:[Empanadas]])</f>
        <v/>
      </c>
      <c r="AB86" s="227" t="n"/>
    </row>
    <row outlineLevel="1" r="87" s="199" spans="1:28">
      <c r="B87" s="222">
        <f>[1]Personas!A84</f>
        <v/>
      </c>
      <c r="C87" s="223">
        <f>[1]Personas!B84</f>
        <v/>
      </c>
      <c r="D87" s="59">
        <f>[1]Personas!C84</f>
        <v/>
      </c>
      <c r="E87" s="59">
        <f>[1]Personas!D84</f>
        <v/>
      </c>
      <c r="F87" s="59">
        <f>[1]Personas!E84</f>
        <v/>
      </c>
      <c r="G87" s="59">
        <f>[1]Personas!F84</f>
        <v/>
      </c>
      <c r="H87" s="59">
        <f>[1]Personas!G84</f>
        <v/>
      </c>
      <c r="I87" s="60">
        <f>[1]Personas!H84</f>
        <v/>
      </c>
      <c r="J87" s="225">
        <f>[1]Personas!I84</f>
        <v/>
      </c>
      <c r="K87" s="225">
        <f>[1]Personas!J84</f>
        <v/>
      </c>
      <c r="L87" s="226" t="n"/>
      <c r="M87" s="226" t="n"/>
      <c r="N87" s="228">
        <f>SUMPRODUCT(Tabla523[[#This Row],[Paltas]:[Empanadas]],O$102:Z$102)</f>
        <v/>
      </c>
      <c r="O87" s="226" t="n"/>
      <c r="P87" s="226" t="n"/>
      <c r="Q87" s="226" t="n"/>
      <c r="R87" s="226" t="n"/>
      <c r="S87" s="226" t="n"/>
      <c r="T87" s="226" t="n"/>
      <c r="U87" s="226" t="n"/>
      <c r="V87" s="226" t="n"/>
      <c r="W87" s="226" t="n"/>
      <c r="X87" s="226" t="n"/>
      <c r="Y87" s="226" t="n"/>
      <c r="Z87" s="226" t="n"/>
      <c r="AA87" s="226">
        <f>SUM(Tabla523[[#This Row],[Paltas]:[Empanadas]])</f>
        <v/>
      </c>
      <c r="AB87" s="227" t="n"/>
    </row>
    <row outlineLevel="1" r="88" s="199" spans="1:28">
      <c r="B88" s="222">
        <f>[1]Personas!A85</f>
        <v/>
      </c>
      <c r="C88" s="223">
        <f>[1]Personas!B85</f>
        <v/>
      </c>
      <c r="D88" s="59">
        <f>[1]Personas!C85</f>
        <v/>
      </c>
      <c r="E88" s="59">
        <f>[1]Personas!D85</f>
        <v/>
      </c>
      <c r="F88" s="59">
        <f>[1]Personas!E85</f>
        <v/>
      </c>
      <c r="G88" s="59">
        <f>[1]Personas!F85</f>
        <v/>
      </c>
      <c r="H88" s="59">
        <f>[1]Personas!G85</f>
        <v/>
      </c>
      <c r="I88" s="60">
        <f>[1]Personas!H85</f>
        <v/>
      </c>
      <c r="J88" s="225">
        <f>[1]Personas!I85</f>
        <v/>
      </c>
      <c r="K88" s="225">
        <f>[1]Personas!J85</f>
        <v/>
      </c>
      <c r="L88" s="226" t="n"/>
      <c r="M88" s="226" t="n"/>
      <c r="N88" s="228">
        <f>SUMPRODUCT(Tabla523[[#This Row],[Paltas]:[Empanadas]],O$102:Z$102)</f>
        <v/>
      </c>
      <c r="O88" s="226" t="n"/>
      <c r="P88" s="226" t="n"/>
      <c r="Q88" s="226" t="n"/>
      <c r="R88" s="226" t="n"/>
      <c r="S88" s="226" t="n"/>
      <c r="T88" s="226" t="n"/>
      <c r="U88" s="226" t="n"/>
      <c r="V88" s="226" t="n"/>
      <c r="W88" s="226" t="n"/>
      <c r="X88" s="226" t="n"/>
      <c r="Y88" s="226" t="n"/>
      <c r="Z88" s="226" t="n"/>
      <c r="AA88" s="226">
        <f>SUM(Tabla523[[#This Row],[Paltas]:[Empanadas]])</f>
        <v/>
      </c>
      <c r="AB88" s="227" t="n"/>
    </row>
    <row outlineLevel="1" r="89" s="199" spans="1:28">
      <c r="B89" s="222">
        <f>[1]Personas!A86</f>
        <v/>
      </c>
      <c r="C89" s="223">
        <f>[1]Personas!B86</f>
        <v/>
      </c>
      <c r="D89" s="59">
        <f>[1]Personas!C86</f>
        <v/>
      </c>
      <c r="E89" s="59">
        <f>[1]Personas!D86</f>
        <v/>
      </c>
      <c r="F89" s="59">
        <f>[1]Personas!E86</f>
        <v/>
      </c>
      <c r="G89" s="59">
        <f>[1]Personas!F86</f>
        <v/>
      </c>
      <c r="H89" s="59">
        <f>[1]Personas!G86</f>
        <v/>
      </c>
      <c r="I89" s="60">
        <f>[1]Personas!H86</f>
        <v/>
      </c>
      <c r="J89" s="225">
        <f>[1]Personas!I86</f>
        <v/>
      </c>
      <c r="K89" s="225">
        <f>[1]Personas!J86</f>
        <v/>
      </c>
      <c r="L89" s="226" t="n"/>
      <c r="M89" s="226" t="n"/>
      <c r="N89" s="228">
        <f>SUMPRODUCT(Tabla523[[#This Row],[Paltas]:[Empanadas]],O$102:Z$102)</f>
        <v/>
      </c>
      <c r="O89" s="226" t="n"/>
      <c r="P89" s="226" t="n"/>
      <c r="Q89" s="226" t="n"/>
      <c r="R89" s="226" t="n"/>
      <c r="S89" s="226" t="n"/>
      <c r="T89" s="226" t="n"/>
      <c r="U89" s="226" t="n"/>
      <c r="V89" s="226" t="n"/>
      <c r="W89" s="226" t="n"/>
      <c r="X89" s="226" t="n"/>
      <c r="Y89" s="226" t="n"/>
      <c r="Z89" s="226" t="n"/>
      <c r="AA89" s="226">
        <f>SUM(Tabla523[[#This Row],[Paltas]:[Empanadas]])</f>
        <v/>
      </c>
      <c r="AB89" s="227" t="n"/>
    </row>
    <row outlineLevel="1" r="90" s="199" spans="1:28">
      <c r="B90" s="222">
        <f>[1]Personas!A87</f>
        <v/>
      </c>
      <c r="C90" s="223">
        <f>[1]Personas!B87</f>
        <v/>
      </c>
      <c r="D90" s="59">
        <f>[1]Personas!C87</f>
        <v/>
      </c>
      <c r="E90" s="59">
        <f>[1]Personas!D87</f>
        <v/>
      </c>
      <c r="F90" s="59">
        <f>[1]Personas!E87</f>
        <v/>
      </c>
      <c r="G90" s="59">
        <f>[1]Personas!F87</f>
        <v/>
      </c>
      <c r="H90" s="59">
        <f>[1]Personas!G87</f>
        <v/>
      </c>
      <c r="I90" s="60">
        <f>[1]Personas!H87</f>
        <v/>
      </c>
      <c r="J90" s="225">
        <f>[1]Personas!I87</f>
        <v/>
      </c>
      <c r="K90" s="225">
        <f>[1]Personas!J87</f>
        <v/>
      </c>
      <c r="L90" s="226" t="n"/>
      <c r="M90" s="226" t="n"/>
      <c r="N90" s="228">
        <f>SUMPRODUCT(Tabla523[[#This Row],[Paltas]:[Empanadas]],O$102:Z$102)</f>
        <v/>
      </c>
      <c r="O90" s="226" t="n"/>
      <c r="P90" s="226" t="n"/>
      <c r="Q90" s="226" t="n"/>
      <c r="R90" s="226" t="n"/>
      <c r="S90" s="226" t="n"/>
      <c r="T90" s="226" t="n"/>
      <c r="U90" s="226" t="n"/>
      <c r="V90" s="226" t="n"/>
      <c r="W90" s="226" t="n"/>
      <c r="X90" s="226" t="n"/>
      <c r="Y90" s="226" t="n"/>
      <c r="Z90" s="226" t="n"/>
      <c r="AA90" s="226">
        <f>SUM(Tabla523[[#This Row],[Paltas]:[Empanadas]])</f>
        <v/>
      </c>
      <c r="AB90" s="227" t="n"/>
    </row>
    <row outlineLevel="1" r="91" s="199" spans="1:28">
      <c r="B91" s="222">
        <f>[1]Personas!A88</f>
        <v/>
      </c>
      <c r="C91" s="223">
        <f>[1]Personas!B88</f>
        <v/>
      </c>
      <c r="D91" s="59">
        <f>[1]Personas!C88</f>
        <v/>
      </c>
      <c r="E91" s="59">
        <f>[1]Personas!D88</f>
        <v/>
      </c>
      <c r="F91" s="59">
        <f>[1]Personas!E88</f>
        <v/>
      </c>
      <c r="G91" s="59">
        <f>[1]Personas!F88</f>
        <v/>
      </c>
      <c r="H91" s="59">
        <f>[1]Personas!G88</f>
        <v/>
      </c>
      <c r="I91" s="60">
        <f>[1]Personas!H88</f>
        <v/>
      </c>
      <c r="J91" s="225">
        <f>[1]Personas!I88</f>
        <v/>
      </c>
      <c r="K91" s="225">
        <f>[1]Personas!J88</f>
        <v/>
      </c>
      <c r="L91" s="226" t="n"/>
      <c r="M91" s="226" t="n"/>
      <c r="N91" s="228">
        <f>SUMPRODUCT(Tabla523[[#This Row],[Paltas]:[Empanadas]],O$102:Z$102)</f>
        <v/>
      </c>
      <c r="O91" s="226" t="n"/>
      <c r="P91" s="226" t="n"/>
      <c r="Q91" s="226" t="n"/>
      <c r="R91" s="226" t="n"/>
      <c r="S91" s="226" t="n"/>
      <c r="T91" s="226" t="n"/>
      <c r="U91" s="226" t="n"/>
      <c r="V91" s="226" t="n"/>
      <c r="W91" s="226" t="n"/>
      <c r="X91" s="226" t="n"/>
      <c r="Y91" s="226" t="n"/>
      <c r="Z91" s="226" t="n"/>
      <c r="AA91" s="226">
        <f>SUM(Tabla523[[#This Row],[Paltas]:[Empanadas]])</f>
        <v/>
      </c>
      <c r="AB91" s="227" t="n"/>
    </row>
    <row customHeight="1" ht="15.75" outlineLevel="1" r="92" s="199" spans="1:28" thickBot="1">
      <c r="B92" s="229">
        <f>[1]Personas!A89</f>
        <v/>
      </c>
      <c r="C92" s="230">
        <f>[1]Personas!B89</f>
        <v/>
      </c>
      <c r="D92" s="65">
        <f>[1]Personas!C89</f>
        <v/>
      </c>
      <c r="E92" s="65">
        <f>[1]Personas!D89</f>
        <v/>
      </c>
      <c r="F92" s="65">
        <f>[1]Personas!E89</f>
        <v/>
      </c>
      <c r="G92" s="65">
        <f>[1]Personas!F89</f>
        <v/>
      </c>
      <c r="H92" s="65">
        <f>[1]Personas!G89</f>
        <v/>
      </c>
      <c r="I92" s="66">
        <f>[1]Personas!H89</f>
        <v/>
      </c>
      <c r="J92" s="231">
        <f>[1]Personas!I89</f>
        <v/>
      </c>
      <c r="K92" s="231">
        <f>[1]Personas!J89</f>
        <v/>
      </c>
      <c r="L92" s="232" t="n"/>
      <c r="M92" s="232" t="n"/>
      <c r="N92" s="233">
        <f>SUMPRODUCT(Tabla523[[#This Row],[Paltas]:[Empanadas]],O$102:Z$102)</f>
        <v/>
      </c>
      <c r="O92" s="232" t="n"/>
      <c r="P92" s="232" t="n"/>
      <c r="Q92" s="232" t="n"/>
      <c r="R92" s="232" t="n"/>
      <c r="S92" s="232" t="n"/>
      <c r="T92" s="232" t="n"/>
      <c r="U92" s="232" t="n"/>
      <c r="V92" s="232" t="n"/>
      <c r="W92" s="232" t="n"/>
      <c r="X92" s="232" t="n"/>
      <c r="Y92" s="232" t="n"/>
      <c r="Z92" s="232" t="n"/>
      <c r="AA92" s="232">
        <f>SUM(Tabla523[[#This Row],[Paltas]:[Empanadas]])</f>
        <v/>
      </c>
      <c r="AB92" s="234" t="n"/>
    </row>
    <row outlineLevel="1" r="93" s="199" spans="1:28">
      <c r="A93" s="235" t="n"/>
      <c r="B93" s="236" t="n"/>
      <c r="C93" s="236" t="n"/>
      <c r="D93" s="236" t="n"/>
      <c r="E93" s="236" t="n"/>
      <c r="F93" s="236" t="n"/>
      <c r="G93" s="236" t="n"/>
      <c r="H93" s="236" t="n"/>
      <c r="I93" s="237" t="n"/>
      <c r="J93" s="238" t="n"/>
      <c r="K93" s="238" t="n"/>
      <c r="L93" s="239" t="n"/>
      <c r="M93" s="239" t="n"/>
      <c r="N93" s="239" t="n"/>
      <c r="O93" s="239" t="n"/>
      <c r="P93" s="239" t="n"/>
      <c r="Q93" s="239" t="n"/>
      <c r="R93" s="239" t="n"/>
      <c r="S93" s="239" t="n"/>
      <c r="T93" s="239" t="n"/>
      <c r="U93" s="239" t="n"/>
      <c r="V93" s="239" t="n"/>
      <c r="W93" s="239" t="n"/>
      <c r="X93" s="239" t="n"/>
      <c r="Y93" s="239" t="n"/>
      <c r="Z93" s="239" t="n"/>
      <c r="AA93" s="239" t="n"/>
    </row>
    <row customHeight="1" ht="15.75" r="94" s="199" spans="1:28" thickBot="1"/>
    <row customHeight="1" ht="14.65" r="95" s="199" spans="1:28" thickBot="1">
      <c r="A95" s="240" t="s">
        <v>30</v>
      </c>
      <c r="B95" s="241" t="s">
        <v>31</v>
      </c>
      <c r="N95" s="242" t="s">
        <v>32</v>
      </c>
      <c r="O95" s="243">
        <f>SUM(Tabla523[Paltas])</f>
        <v/>
      </c>
      <c r="P95" s="220">
        <f>SUM(Tabla523[Quesos])</f>
        <v/>
      </c>
      <c r="Q95" s="220">
        <f>SUM(Tabla523[Frutillas])</f>
        <v/>
      </c>
      <c r="R95" s="220">
        <f>SUM(Tabla523[Tomate Cherry])</f>
        <v/>
      </c>
      <c r="S95" s="220">
        <f>SUM(Tabla523[Nueces])</f>
        <v/>
      </c>
      <c r="T95" s="220">
        <f>SUM(Tabla523[Mani])</f>
        <v/>
      </c>
      <c r="U95" s="220">
        <f>SUM(Tabla523[Pistachos])</f>
        <v/>
      </c>
      <c r="V95" s="220">
        <f>SUM(Tabla523[Caju])</f>
        <v/>
      </c>
      <c r="W95" s="220">
        <f>SUM(Tabla523[Almendras])</f>
        <v/>
      </c>
      <c r="X95" s="220">
        <f>SUM(Tabla523[Cerezas])</f>
        <v/>
      </c>
      <c r="Y95" s="220">
        <f>SUM(Tabla523[Arandanos])</f>
        <v/>
      </c>
      <c r="Z95" s="244">
        <f>SUM(Tabla523[Empanadas])</f>
        <v/>
      </c>
    </row>
    <row customHeight="1" ht="14.65" r="96" s="199" spans="1:28" thickBot="1">
      <c r="N96" s="242" t="s">
        <v>33</v>
      </c>
      <c r="O96" s="245" t="n">
        <v>5</v>
      </c>
      <c r="P96" s="226" t="n">
        <v>4</v>
      </c>
      <c r="Q96" s="226" t="n">
        <v>2</v>
      </c>
      <c r="R96" s="246" t="n">
        <v>1</v>
      </c>
      <c r="S96" s="247" t="n">
        <v>0.5</v>
      </c>
      <c r="T96" s="247" t="n">
        <v>1</v>
      </c>
      <c r="U96" s="247" t="n">
        <v>0.5</v>
      </c>
      <c r="V96" s="247" t="n">
        <v>0.4</v>
      </c>
      <c r="W96" s="247" t="n">
        <v>0.5</v>
      </c>
      <c r="X96" s="247" t="n">
        <v>5</v>
      </c>
      <c r="Y96" s="247" t="n">
        <v>0.5</v>
      </c>
      <c r="Z96" s="248" t="n">
        <v>12</v>
      </c>
    </row>
    <row customHeight="1" ht="14.65" r="97" s="199" spans="1:28" thickBot="1">
      <c r="N97" s="242" t="s">
        <v>34</v>
      </c>
      <c r="O97" s="245">
        <f>O96*O95</f>
        <v/>
      </c>
      <c r="P97" s="226">
        <f>P96*P95</f>
        <v/>
      </c>
      <c r="Q97" s="226">
        <f>Q96*Q95</f>
        <v/>
      </c>
      <c r="R97" s="226">
        <f>R96*R95</f>
        <v/>
      </c>
      <c r="S97" s="226">
        <f>S96*S95</f>
        <v/>
      </c>
      <c r="T97" s="226">
        <f>T96*T95</f>
        <v/>
      </c>
      <c r="U97" s="226">
        <f>U96*U95</f>
        <v/>
      </c>
      <c r="V97" s="226">
        <f>V96*V95</f>
        <v/>
      </c>
      <c r="W97" s="226">
        <f>W96*W95</f>
        <v/>
      </c>
      <c r="X97" s="226">
        <f>X96*X95</f>
        <v/>
      </c>
      <c r="Y97" s="226">
        <f>Y96*Y95</f>
        <v/>
      </c>
      <c r="Z97" s="249">
        <f>Z96*Z95</f>
        <v/>
      </c>
    </row>
    <row customHeight="1" ht="15.75" r="98" s="199" spans="1:28" thickBot="1">
      <c r="N98" s="242" t="s">
        <v>35</v>
      </c>
      <c r="O98" s="250" t="n"/>
      <c r="P98" s="232" t="n"/>
      <c r="Q98" s="232" t="n"/>
      <c r="R98" s="232" t="n"/>
      <c r="S98" s="232" t="n"/>
      <c r="T98" s="232" t="n"/>
      <c r="U98" s="232" t="n"/>
      <c r="V98" s="232" t="n"/>
      <c r="W98" s="232" t="n"/>
      <c r="X98" s="232" t="n"/>
      <c r="Y98" s="232" t="n"/>
      <c r="Z98" s="251" t="n"/>
    </row>
    <row customHeight="1" ht="15.75" r="99" s="199" spans="1:28" thickBot="1">
      <c r="B99" s="252" t="n"/>
      <c r="C99" s="236" t="n"/>
      <c r="D99" s="253" t="n"/>
      <c r="E99" s="254" t="n"/>
      <c r="F99" s="254" t="n"/>
      <c r="G99" s="254" t="n"/>
      <c r="H99" s="254" t="n"/>
      <c r="I99" s="254" t="n"/>
      <c r="J99" s="254" t="n"/>
      <c r="K99" s="255" t="n"/>
      <c r="N99" s="256" t="n"/>
    </row>
    <row customHeight="1" ht="15.75" r="100" s="199" spans="1:28" thickBot="1">
      <c r="B100" s="241" t="s">
        <v>36</v>
      </c>
      <c r="N100" s="242" t="s">
        <v>37</v>
      </c>
      <c r="O100" s="257" t="n">
        <v>3100</v>
      </c>
      <c r="P100" s="217" t="n">
        <v>6716</v>
      </c>
      <c r="Q100" s="217" t="n">
        <v>2600</v>
      </c>
      <c r="R100" s="217" t="n">
        <v>2300</v>
      </c>
      <c r="S100" s="217">
        <f>S101*S96</f>
        <v/>
      </c>
      <c r="T100" s="217">
        <f>T101*T96</f>
        <v/>
      </c>
      <c r="U100" s="217">
        <f>U101*U96</f>
        <v/>
      </c>
      <c r="V100" s="217">
        <f>V101*V96</f>
        <v/>
      </c>
      <c r="W100" s="217">
        <f>W101*W96</f>
        <v/>
      </c>
      <c r="X100" s="217">
        <f>X101*X96</f>
        <v/>
      </c>
      <c r="Y100" s="217">
        <f>Y101*Y96</f>
        <v/>
      </c>
      <c r="Z100" s="258">
        <f>Z101*Z96</f>
        <v/>
      </c>
    </row>
    <row customHeight="1" ht="15.75" r="101" s="199" spans="1:28" thickBot="1">
      <c r="N101" s="242" t="s">
        <v>34</v>
      </c>
      <c r="O101" s="259" t="n">
        <v>1550</v>
      </c>
      <c r="P101" s="260" t="n">
        <v>6716</v>
      </c>
      <c r="Q101" s="260" t="n">
        <v>1300</v>
      </c>
      <c r="R101" s="260" t="n">
        <v>2300</v>
      </c>
      <c r="S101" s="260" t="n">
        <v>7500</v>
      </c>
      <c r="T101" s="260" t="n">
        <v>3500</v>
      </c>
      <c r="U101" s="260" t="n">
        <v>14100</v>
      </c>
      <c r="V101" s="260" t="n">
        <v>13300</v>
      </c>
      <c r="W101" s="260" t="n">
        <v>10700</v>
      </c>
      <c r="X101" s="260">
        <f>6000/5</f>
        <v/>
      </c>
      <c r="Y101" s="260">
        <f>6000/5</f>
        <v/>
      </c>
      <c r="Z101" s="261" t="n">
        <v>1000</v>
      </c>
    </row>
    <row customHeight="1" ht="15.75" r="102" s="199" spans="1:28" thickBot="1">
      <c r="N102" s="242" t="s">
        <v>38</v>
      </c>
      <c r="O102" s="262" t="n">
        <v>4500</v>
      </c>
      <c r="P102" s="263" t="n">
        <v>7500</v>
      </c>
      <c r="Q102" s="263" t="n">
        <v>4500</v>
      </c>
      <c r="R102" s="263" t="n">
        <v>4500</v>
      </c>
      <c r="S102" s="263" t="n">
        <v>5500</v>
      </c>
      <c r="T102" s="263" t="n">
        <v>4500</v>
      </c>
      <c r="U102" s="263" t="n">
        <v>8500</v>
      </c>
      <c r="V102" s="263" t="n">
        <v>7500</v>
      </c>
      <c r="W102" s="263" t="n">
        <v>7500</v>
      </c>
      <c r="X102" s="263" t="n">
        <v>9500</v>
      </c>
      <c r="Y102" s="263" t="n">
        <v>4500</v>
      </c>
      <c r="Z102" s="264" t="n">
        <v>17500</v>
      </c>
    </row>
    <row customHeight="1" ht="15.75" r="103" s="199" spans="1:28" thickBot="1">
      <c r="B103" s="252" t="n"/>
      <c r="C103" s="236" t="n"/>
      <c r="D103" s="253" t="n"/>
      <c r="E103" s="254" t="n"/>
      <c r="F103" s="254" t="n"/>
      <c r="G103" s="254" t="n"/>
      <c r="H103" s="254" t="n"/>
      <c r="I103" s="254" t="n"/>
      <c r="J103" s="254" t="n"/>
      <c r="K103" s="255" t="n"/>
      <c r="N103" s="256" t="n"/>
    </row>
    <row customHeight="1" ht="14.65" r="104" s="199" spans="1:28" thickBot="1">
      <c r="B104" s="241" t="s">
        <v>39</v>
      </c>
      <c r="N104" s="242" t="s">
        <v>40</v>
      </c>
      <c r="O104" s="257">
        <f>O95*O100</f>
        <v/>
      </c>
      <c r="P104" s="217">
        <f>P95*P100</f>
        <v/>
      </c>
      <c r="Q104" s="217">
        <f>Q95*Q100</f>
        <v/>
      </c>
      <c r="R104" s="265">
        <f>R95*R100</f>
        <v/>
      </c>
      <c r="S104" s="217">
        <f>S95*S100</f>
        <v/>
      </c>
      <c r="T104" s="217">
        <f>T95*T100</f>
        <v/>
      </c>
      <c r="U104" s="217">
        <f>U95*U100</f>
        <v/>
      </c>
      <c r="V104" s="217">
        <f>V95*V100</f>
        <v/>
      </c>
      <c r="W104" s="217">
        <f>W95*W100</f>
        <v/>
      </c>
      <c r="X104" s="217">
        <f>X95*X100</f>
        <v/>
      </c>
      <c r="Y104" s="217">
        <f>Y95*Y100</f>
        <v/>
      </c>
      <c r="Z104" s="258">
        <f>Z95*Z100</f>
        <v/>
      </c>
    </row>
    <row customHeight="1" ht="15.75" r="105" s="199" spans="1:28" thickBot="1">
      <c r="N105" s="242" t="s">
        <v>27</v>
      </c>
      <c r="O105" s="266">
        <f>SUM(O104:Z104)</f>
        <v/>
      </c>
    </row>
    <row customHeight="1" ht="15.75" r="106" s="199" spans="1:28" thickBot="1">
      <c r="B106" s="241" t="s">
        <v>41</v>
      </c>
      <c r="N106" s="242" t="s">
        <v>40</v>
      </c>
      <c r="O106" s="267">
        <f>O102*O95</f>
        <v/>
      </c>
      <c r="P106" s="223">
        <f>P102*P95</f>
        <v/>
      </c>
      <c r="Q106" s="223">
        <f>Q102*Q95</f>
        <v/>
      </c>
      <c r="R106" s="223">
        <f>R102*R95</f>
        <v/>
      </c>
      <c r="S106" s="223">
        <f>S102*S95</f>
        <v/>
      </c>
      <c r="T106" s="223">
        <f>T102*T95</f>
        <v/>
      </c>
      <c r="U106" s="223">
        <f>U102*U95</f>
        <v/>
      </c>
      <c r="V106" s="223">
        <f>V102*V95</f>
        <v/>
      </c>
      <c r="W106" s="223">
        <f>W102*W95</f>
        <v/>
      </c>
      <c r="X106" s="223">
        <f>X102*X95</f>
        <v/>
      </c>
      <c r="Y106" s="223">
        <f>Y102*Y95</f>
        <v/>
      </c>
      <c r="Z106" s="268">
        <f>Z102*Z95</f>
        <v/>
      </c>
    </row>
    <row customHeight="1" ht="15.75" r="107" s="199" spans="1:28" thickBot="1">
      <c r="N107" s="242" t="s">
        <v>27</v>
      </c>
      <c r="O107" s="266">
        <f>SUM(O106:Z106)</f>
        <v/>
      </c>
    </row>
    <row customHeight="1" ht="14.65" r="108" s="199" spans="1:28" thickBot="1">
      <c r="B108" s="241" t="s">
        <v>42</v>
      </c>
      <c r="N108" s="242" t="s">
        <v>40</v>
      </c>
      <c r="O108" s="267">
        <f>O106-O104</f>
        <v/>
      </c>
      <c r="P108" s="223">
        <f>P106-P104</f>
        <v/>
      </c>
      <c r="Q108" s="223">
        <f>Q106-Q104</f>
        <v/>
      </c>
      <c r="R108" s="223">
        <f>R106-R104</f>
        <v/>
      </c>
      <c r="S108" s="223">
        <f>S106-S104</f>
        <v/>
      </c>
      <c r="T108" s="223">
        <f>T106-T104</f>
        <v/>
      </c>
      <c r="U108" s="223">
        <f>U106-U104</f>
        <v/>
      </c>
      <c r="V108" s="223">
        <f>V106-V104</f>
        <v/>
      </c>
      <c r="W108" s="223">
        <f>W106-W104</f>
        <v/>
      </c>
      <c r="X108" s="223">
        <f>X106-X104</f>
        <v/>
      </c>
      <c r="Y108" s="223">
        <f>Y106-Y104</f>
        <v/>
      </c>
      <c r="Z108" s="268">
        <f>Z106-Z104</f>
        <v/>
      </c>
    </row>
    <row customHeight="1" ht="29.65" r="109" s="199" spans="1:28" thickBot="1">
      <c r="N109" s="242" t="s">
        <v>43</v>
      </c>
      <c r="O109" s="269">
        <f>O107-O105</f>
        <v/>
      </c>
    </row>
    <row customHeight="1" ht="15.75" r="110" s="199" spans="1:28" thickBot="1"/>
    <row customHeight="1" ht="14.65" r="111" s="199" spans="1:28" thickBot="1">
      <c r="B111" s="270" t="s">
        <v>44</v>
      </c>
      <c r="O111" s="271" t="s">
        <v>45</v>
      </c>
      <c r="R111" s="272" t="s">
        <v>46</v>
      </c>
      <c r="S111" s="256" t="n"/>
      <c r="T111" s="256" t="n"/>
      <c r="U111" s="256" t="n"/>
      <c r="V111" s="256" t="n"/>
      <c r="W111" s="256" t="n"/>
      <c r="X111" s="256" t="n"/>
      <c r="Y111" s="256" t="n"/>
      <c r="Z111" s="256" t="n"/>
    </row>
    <row customHeight="1" ht="15" r="112" s="199" spans="1:28">
      <c r="O112" s="273" t="n"/>
      <c r="R112" s="274" t="n"/>
      <c r="S112" s="236" t="n"/>
      <c r="T112" s="236" t="n"/>
      <c r="U112" s="236" t="n"/>
      <c r="V112" s="236" t="n"/>
      <c r="W112" s="236" t="n"/>
      <c r="X112" s="236" t="n"/>
      <c r="Y112" s="236" t="n"/>
      <c r="Z112" s="236" t="n"/>
    </row>
    <row customHeight="1" ht="15" r="113" s="199" spans="1:28">
      <c r="O113" s="275" t="n"/>
      <c r="R113" s="276" t="n"/>
      <c r="S113" s="236" t="n"/>
      <c r="T113" s="236" t="n"/>
      <c r="U113" s="236" t="n"/>
      <c r="V113" s="236" t="n"/>
      <c r="W113" s="236" t="n"/>
      <c r="X113" s="236" t="n"/>
      <c r="Y113" s="236" t="n"/>
      <c r="Z113" s="236" t="n"/>
    </row>
    <row customHeight="1" ht="15" r="114" s="199" spans="1:28">
      <c r="O114" s="275" t="n"/>
      <c r="R114" s="276" t="n"/>
      <c r="S114" s="236" t="n"/>
      <c r="T114" s="236" t="n"/>
      <c r="U114" s="236" t="n"/>
      <c r="V114" s="236" t="n"/>
      <c r="W114" s="236" t="n"/>
      <c r="X114" s="236" t="n"/>
      <c r="Y114" s="236" t="n"/>
      <c r="Z114" s="236" t="n"/>
    </row>
    <row customHeight="1" ht="15" r="115" s="199" spans="1:28">
      <c r="O115" s="275" t="n"/>
      <c r="R115" s="276" t="n"/>
      <c r="S115" s="236" t="n"/>
      <c r="T115" s="236" t="n"/>
      <c r="U115" s="236" t="n"/>
      <c r="V115" s="236" t="n"/>
      <c r="W115" s="236" t="n"/>
      <c r="X115" s="236" t="n"/>
      <c r="Y115" s="236" t="n"/>
      <c r="Z115" s="236" t="n"/>
    </row>
    <row customHeight="1" ht="15" r="116" s="199" spans="1:28">
      <c r="O116" s="275" t="n"/>
      <c r="R116" s="276" t="n"/>
      <c r="S116" s="236" t="n"/>
      <c r="T116" s="236" t="n"/>
      <c r="U116" s="236" t="n"/>
      <c r="V116" s="236" t="n"/>
      <c r="W116" s="236" t="n"/>
      <c r="X116" s="236" t="n"/>
      <c r="Y116" s="236" t="n"/>
      <c r="Z116" s="236" t="n"/>
    </row>
    <row customHeight="1" ht="15" r="117" s="199" spans="1:28">
      <c r="O117" s="275" t="n"/>
      <c r="R117" s="276" t="n"/>
      <c r="S117" s="236" t="n"/>
      <c r="T117" s="236" t="n"/>
      <c r="U117" s="236" t="n"/>
      <c r="V117" s="236" t="n"/>
      <c r="W117" s="236" t="n"/>
      <c r="X117" s="236" t="n"/>
      <c r="Y117" s="236" t="n"/>
      <c r="Z117" s="236" t="n"/>
    </row>
    <row customHeight="1" ht="15" r="118" s="199" spans="1:28" thickBot="1">
      <c r="O118" s="277" t="n"/>
      <c r="R118" s="276" t="n"/>
      <c r="S118" s="236" t="n"/>
      <c r="T118" s="236" t="n"/>
      <c r="U118" s="236" t="n"/>
      <c r="V118" s="236" t="n"/>
      <c r="W118" s="236" t="n"/>
      <c r="X118" s="236" t="n"/>
      <c r="Y118" s="236" t="n"/>
      <c r="Z118" s="236" t="n"/>
    </row>
    <row customHeight="1" ht="15.75" r="119" s="199" spans="1:28" thickBot="1">
      <c r="O119" s="278" t="s">
        <v>27</v>
      </c>
      <c r="R119" s="279">
        <f>SUM(R112:R118)</f>
        <v/>
      </c>
      <c r="S119" s="236" t="n"/>
      <c r="T119" s="236" t="n"/>
      <c r="U119" s="236" t="n"/>
      <c r="V119" s="236" t="n"/>
      <c r="W119" s="236" t="n"/>
      <c r="X119" s="236" t="n"/>
      <c r="Y119" s="236" t="n"/>
      <c r="Z119" s="236" t="n"/>
    </row>
    <row customHeight="1" ht="15.75" r="120" s="199" spans="1:28" thickBot="1"/>
    <row customHeight="1" ht="51.75" r="121" s="199" spans="1:28" thickBot="1">
      <c r="B121" s="271" t="s">
        <v>42</v>
      </c>
      <c r="M121" s="242" t="n"/>
      <c r="N121" s="271" t="s">
        <v>27</v>
      </c>
      <c r="O121" s="280">
        <f>O109-SUM(R112:R118)</f>
        <v/>
      </c>
      <c r="T121" s="281" t="n"/>
      <c r="U121" s="281" t="n"/>
      <c r="V121" s="281" t="n"/>
      <c r="W121" s="281" t="n"/>
      <c r="X121" s="281" t="n"/>
      <c r="Y121" s="281" t="n"/>
      <c r="Z121" s="281" t="n"/>
    </row>
    <row customHeight="1" ht="15.75" r="122" s="199" spans="1:28">
      <c r="A122" s="282" t="n"/>
      <c r="P122" s="236" t="n"/>
      <c r="Q122" s="236" t="n"/>
      <c r="R122" s="236" t="n"/>
      <c r="S122" s="256" t="n"/>
      <c r="T122" s="256" t="n"/>
      <c r="U122" s="256" t="n"/>
      <c r="V122" s="256" t="n"/>
      <c r="W122" s="256" t="n"/>
      <c r="X122" s="256" t="n"/>
      <c r="Y122" s="256" t="n"/>
      <c r="Z122" s="256" t="n"/>
    </row>
    <row customHeight="1" ht="15" r="123" s="199" spans="1:28">
      <c r="A123" s="282" t="n"/>
      <c r="P123" s="236" t="n"/>
      <c r="Q123" s="236" t="n"/>
      <c r="R123" s="236" t="n"/>
      <c r="S123" s="203" t="n"/>
      <c r="T123" s="203" t="n"/>
      <c r="U123" s="203" t="n"/>
      <c r="V123" s="203" t="n"/>
      <c r="W123" s="203" t="n"/>
      <c r="X123" s="203" t="n"/>
      <c r="Y123" s="203" t="n"/>
      <c r="Z123" s="203" t="n"/>
    </row>
    <row customHeight="1" ht="15" r="124" s="199" spans="1:28">
      <c r="P124" s="236" t="n"/>
      <c r="Q124" s="236" t="n"/>
      <c r="R124" s="236" t="n"/>
      <c r="S124" s="203" t="n"/>
      <c r="T124" s="203" t="n"/>
      <c r="U124" s="203" t="n"/>
      <c r="V124" s="203" t="n"/>
      <c r="W124" s="203" t="n"/>
      <c r="X124" s="203" t="n"/>
      <c r="Y124" s="203" t="n"/>
      <c r="Z124" s="203" t="n"/>
    </row>
    <row customHeight="1" ht="15" r="125" s="199" spans="1:28">
      <c r="P125" s="236" t="n"/>
      <c r="Q125" s="236" t="n"/>
      <c r="R125" s="236" t="n"/>
      <c r="S125" s="203" t="n"/>
      <c r="T125" s="203" t="n"/>
      <c r="U125" s="203" t="n"/>
      <c r="V125" s="203" t="n"/>
      <c r="W125" s="203" t="n"/>
      <c r="X125" s="203" t="n"/>
      <c r="Y125" s="203" t="n"/>
      <c r="Z125" s="203" t="n"/>
    </row>
    <row customHeight="1" ht="15" r="126" s="199" spans="1:28">
      <c r="P126" s="236" t="n"/>
      <c r="Q126" s="236" t="n"/>
      <c r="R126" s="236" t="n"/>
      <c r="S126" s="203" t="n"/>
      <c r="T126" s="203" t="n"/>
      <c r="U126" s="203" t="n"/>
      <c r="V126" s="203" t="n"/>
      <c r="W126" s="203" t="n"/>
      <c r="X126" s="203" t="n"/>
      <c r="Y126" s="203" t="n"/>
      <c r="Z126" s="203" t="n"/>
    </row>
    <row customHeight="1" ht="15" r="127" s="199" spans="1:28">
      <c r="P127" s="236" t="n"/>
      <c r="Q127" s="236" t="n"/>
      <c r="R127" s="236" t="n"/>
      <c r="S127" s="203" t="n"/>
      <c r="T127" s="203" t="n"/>
      <c r="U127" s="203" t="n"/>
      <c r="V127" s="203" t="n"/>
      <c r="W127" s="203" t="n"/>
      <c r="X127" s="203" t="n"/>
      <c r="Y127" s="203" t="n"/>
      <c r="Z127" s="203" t="n"/>
    </row>
    <row customHeight="1" ht="15" r="128" s="199" spans="1:28">
      <c r="P128" s="236" t="n"/>
      <c r="Q128" s="236" t="n"/>
      <c r="R128" s="236" t="n"/>
      <c r="S128" s="203" t="n"/>
      <c r="T128" s="203" t="n"/>
      <c r="U128" s="203" t="n"/>
      <c r="V128" s="203" t="n"/>
      <c r="W128" s="203" t="n"/>
      <c r="X128" s="203" t="n"/>
      <c r="Y128" s="203" t="n"/>
      <c r="Z128" s="203" t="n"/>
    </row>
    <row customHeight="1" ht="15" r="129" s="199" spans="1:28">
      <c r="P129" s="236" t="n"/>
      <c r="Q129" s="236" t="n"/>
      <c r="R129" s="236" t="n"/>
      <c r="S129" s="203" t="n"/>
      <c r="T129" s="203" t="n"/>
      <c r="U129" s="203" t="n"/>
      <c r="V129" s="203" t="n"/>
      <c r="W129" s="203" t="n"/>
      <c r="X129" s="203" t="n"/>
      <c r="Y129" s="203" t="n"/>
      <c r="Z129" s="203" t="n"/>
    </row>
    <row customHeight="1" ht="15.75" r="130" s="199" spans="1:28">
      <c r="P130" s="236" t="n"/>
      <c r="Q130" s="236" t="n"/>
      <c r="R130" s="236" t="n"/>
      <c r="S130" s="203" t="n"/>
      <c r="T130" s="203" t="n"/>
      <c r="U130" s="203" t="n"/>
      <c r="V130" s="203" t="n"/>
      <c r="W130" s="203" t="n"/>
      <c r="X130" s="203" t="n"/>
      <c r="Y130" s="203" t="n"/>
      <c r="Z130" s="203" t="n"/>
    </row>
  </sheetData>
  <mergeCells count="24">
    <mergeCell ref="A5:A92"/>
    <mergeCell ref="O2:Z2"/>
    <mergeCell ref="O109:Z109"/>
    <mergeCell ref="O107:Z107"/>
    <mergeCell ref="O105:Z105"/>
    <mergeCell ref="B104:M105"/>
    <mergeCell ref="B106:M107"/>
    <mergeCell ref="B2:N2"/>
    <mergeCell ref="A95:A121"/>
    <mergeCell ref="B121:L121"/>
    <mergeCell ref="O121:S121"/>
    <mergeCell ref="B95:M98"/>
    <mergeCell ref="B100:M102"/>
    <mergeCell ref="B108:M109"/>
    <mergeCell ref="B111:N119"/>
    <mergeCell ref="O111:Q111"/>
    <mergeCell ref="O119:Q119"/>
    <mergeCell ref="O116:Q116"/>
    <mergeCell ref="O117:Q117"/>
    <mergeCell ref="O112:Q112"/>
    <mergeCell ref="O113:Q113"/>
    <mergeCell ref="O114:Q114"/>
    <mergeCell ref="O115:Q115"/>
    <mergeCell ref="O118:Q118"/>
  </mergeCells>
  <conditionalFormatting sqref="AA5:AA92">
    <cfRule dxfId="85" operator="lessThan" priority="1" type="cellIs">
      <formula>20</formula>
    </cfRule>
    <cfRule dxfId="84" operator="between" priority="2" type="cellIs">
      <formula>20</formula>
      <formula>29</formula>
    </cfRule>
    <cfRule dxfId="83" operator="greaterThan" priority="3" type="cellIs">
      <formula>29</formula>
    </cfRule>
  </conditionalFormatting>
  <pageMargins bottom="0.75" footer="0.3" header="0.3" left="0.7" right="0.7" top="0.75"/>
  <pageSetup orientation="portrait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2">
    <outlinePr summaryBelow="1" summaryRight="1"/>
    <pageSetUpPr autoPageBreaks="0"/>
  </sheetPr>
  <dimension ref="A2:AC72"/>
  <sheetViews>
    <sheetView workbookViewId="0" zoomScale="85" zoomScaleNormal="85" zoomScalePageLayoutView="85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10" defaultColWidth="11.42578125" defaultRowHeight="15" outlineLevelCol="1" outlineLevelRow="1"/>
  <cols>
    <col customWidth="1" max="2" min="2" style="199" width="12.42578125"/>
    <col customWidth="1" max="3" min="3" style="199" width="15.28515625"/>
    <col customWidth="1" hidden="1" max="4" min="4" outlineLevel="1" style="199" width="38"/>
    <col customWidth="1" hidden="1" max="5" min="5" outlineLevel="1" style="199" width="15.140625"/>
    <col customWidth="1" hidden="1" max="6" min="6" outlineLevel="1" style="199" width="16.5703125"/>
    <col customWidth="1" hidden="1" max="7" min="7" outlineLevel="1" style="199" width="14.7109375"/>
    <col customWidth="1" hidden="1" max="8" min="8" outlineLevel="1" style="199" width="10.5703125"/>
    <col customWidth="1" hidden="1" max="9" min="9" outlineLevel="1" style="199" width="18.42578125"/>
    <col customWidth="1" hidden="1" max="10" min="10" outlineLevel="1" style="199" width="33.5703125"/>
    <col customWidth="1" max="11" min="11" outlineLevel="1" style="199" width="20.7109375"/>
    <col customWidth="1" max="14" min="12" style="199" width="10.7109375"/>
    <col customWidth="1" max="27" min="15" style="199" width="15.42578125"/>
    <col customWidth="1" max="29" min="29" style="200" width="71.42578125"/>
  </cols>
  <sheetData>
    <row customHeight="1" ht="15.75" r="1" s="199" spans="1:29" thickBot="1"/>
    <row customHeight="1" ht="29.65" r="2" s="199" spans="1:29" thickBot="1">
      <c r="B2" s="201" t="s">
        <v>0</v>
      </c>
      <c r="O2" s="283" t="s">
        <v>1</v>
      </c>
    </row>
    <row customFormat="1" customHeight="1" ht="15.75" r="3" s="203" spans="1:29" thickBot="1">
      <c r="L3" s="204" t="n"/>
      <c r="M3" s="204" t="n"/>
      <c r="N3" s="204" t="n"/>
      <c r="O3" s="205" t="s">
        <v>47</v>
      </c>
      <c r="P3" s="205" t="s">
        <v>48</v>
      </c>
      <c r="Q3" s="205" t="s">
        <v>2</v>
      </c>
      <c r="R3" s="205" t="s">
        <v>3</v>
      </c>
      <c r="S3" s="205" t="s">
        <v>4</v>
      </c>
      <c r="T3" s="205" t="s">
        <v>5</v>
      </c>
      <c r="U3" s="205" t="s">
        <v>6</v>
      </c>
      <c r="V3" s="206" t="s">
        <v>7</v>
      </c>
      <c r="W3" s="206" t="s">
        <v>8</v>
      </c>
      <c r="X3" s="206" t="s">
        <v>9</v>
      </c>
      <c r="Y3" s="206" t="s">
        <v>10</v>
      </c>
      <c r="Z3" s="207" t="s">
        <v>11</v>
      </c>
      <c r="AA3" s="208" t="s">
        <v>12</v>
      </c>
      <c r="AC3" s="200" t="n"/>
    </row>
    <row customFormat="1" customHeight="1" ht="15.75" r="4" s="209" spans="1:29" thickBot="1">
      <c r="B4" s="210" t="s">
        <v>14</v>
      </c>
      <c r="C4" s="210" t="s">
        <v>15</v>
      </c>
      <c r="D4" s="210" t="s">
        <v>16</v>
      </c>
      <c r="E4" s="210" t="s">
        <v>17</v>
      </c>
      <c r="F4" s="210" t="s">
        <v>18</v>
      </c>
      <c r="G4" s="210" t="s">
        <v>19</v>
      </c>
      <c r="H4" s="210" t="s">
        <v>20</v>
      </c>
      <c r="I4" s="210" t="s">
        <v>21</v>
      </c>
      <c r="J4" s="210" t="s">
        <v>22</v>
      </c>
      <c r="K4" s="210" t="s">
        <v>23</v>
      </c>
      <c r="L4" s="210" t="s">
        <v>24</v>
      </c>
      <c r="M4" s="210" t="s">
        <v>25</v>
      </c>
      <c r="N4" s="210" t="s">
        <v>26</v>
      </c>
      <c r="O4" s="211" t="s">
        <v>47</v>
      </c>
      <c r="P4" s="211" t="s">
        <v>48</v>
      </c>
      <c r="Q4" s="211" t="s">
        <v>2</v>
      </c>
      <c r="R4" s="211" t="s">
        <v>3</v>
      </c>
      <c r="S4" s="212" t="s">
        <v>4</v>
      </c>
      <c r="T4" s="212" t="s">
        <v>5</v>
      </c>
      <c r="U4" s="212" t="s">
        <v>6</v>
      </c>
      <c r="V4" s="213" t="s">
        <v>7</v>
      </c>
      <c r="W4" s="213" t="s">
        <v>8</v>
      </c>
      <c r="X4" s="213" t="s">
        <v>9</v>
      </c>
      <c r="Y4" s="213" t="s">
        <v>10</v>
      </c>
      <c r="Z4" s="213" t="s">
        <v>11</v>
      </c>
      <c r="AA4" s="213" t="s">
        <v>12</v>
      </c>
      <c r="AB4" s="213" t="s">
        <v>27</v>
      </c>
      <c r="AC4" s="214" t="s">
        <v>28</v>
      </c>
    </row>
    <row outlineLevel="1" r="5" s="199" spans="1:29">
      <c r="A5" s="284" t="n"/>
      <c r="B5" s="257" t="s">
        <v>49</v>
      </c>
      <c r="C5" s="217" t="s">
        <v>50</v>
      </c>
      <c r="D5" s="114" t="s">
        <v>51</v>
      </c>
      <c r="E5" s="114" t="s">
        <v>52</v>
      </c>
      <c r="F5" s="114" t="s">
        <v>53</v>
      </c>
      <c r="G5" s="114" t="s">
        <v>54</v>
      </c>
      <c r="H5" s="114" t="s">
        <v>55</v>
      </c>
      <c r="I5" s="115" t="n">
        <v>56994792301</v>
      </c>
      <c r="J5" s="219" t="s">
        <v>56</v>
      </c>
      <c r="K5" s="219" t="s">
        <v>57</v>
      </c>
      <c r="L5" s="220" t="s">
        <v>58</v>
      </c>
      <c r="M5" s="220" t="s">
        <v>59</v>
      </c>
      <c r="N5" s="285">
        <f>SUMPRODUCT(Tabla5232[[#This Row],[Naranjas]:[Arandanos]],O$44:AA$44)</f>
        <v/>
      </c>
      <c r="O5" s="220" t="n">
        <v>0</v>
      </c>
      <c r="P5" s="220" t="n">
        <v>0</v>
      </c>
      <c r="Q5" s="220" t="n">
        <v>1</v>
      </c>
      <c r="R5" s="220" t="n">
        <v>1</v>
      </c>
      <c r="S5" s="220" t="n">
        <v>1</v>
      </c>
      <c r="T5" s="220" t="n">
        <v>0</v>
      </c>
      <c r="U5" s="220" t="n">
        <v>0</v>
      </c>
      <c r="V5" s="220" t="n">
        <v>0</v>
      </c>
      <c r="W5" s="220" t="n">
        <v>0</v>
      </c>
      <c r="X5" s="220" t="n">
        <v>0</v>
      </c>
      <c r="Y5" s="220" t="n">
        <v>0</v>
      </c>
      <c r="Z5" s="220" t="n">
        <v>1</v>
      </c>
      <c r="AA5" s="220" t="n">
        <v>0</v>
      </c>
      <c r="AB5" s="220">
        <f>SUM(Tabla5232[[#This Row],[Naranjas]:[Arandanos]])</f>
        <v/>
      </c>
      <c r="AC5" s="221" t="n"/>
    </row>
    <row outlineLevel="1" r="6" s="199" spans="1:29">
      <c r="B6" s="267" t="s">
        <v>60</v>
      </c>
      <c r="C6" s="223" t="s">
        <v>61</v>
      </c>
      <c r="D6" s="223" t="s">
        <v>62</v>
      </c>
      <c r="E6" s="223" t="s">
        <v>63</v>
      </c>
      <c r="F6" s="223" t="s">
        <v>64</v>
      </c>
      <c r="G6" s="223" t="s">
        <v>65</v>
      </c>
      <c r="H6" s="223" t="s">
        <v>55</v>
      </c>
      <c r="I6" s="224" t="n">
        <v>56982328251</v>
      </c>
      <c r="J6" s="225" t="s">
        <v>66</v>
      </c>
      <c r="K6" s="225" t="s">
        <v>57</v>
      </c>
      <c r="L6" s="226" t="s">
        <v>58</v>
      </c>
      <c r="M6" s="226" t="s">
        <v>59</v>
      </c>
      <c r="N6" s="223">
        <f>SUMPRODUCT(Tabla5232[[#This Row],[Naranjas]:[Arandanos]],O$44:AA$44)</f>
        <v/>
      </c>
      <c r="O6" s="226" t="n">
        <v>0</v>
      </c>
      <c r="P6" s="226" t="n">
        <v>0</v>
      </c>
      <c r="Q6" s="226" t="n">
        <v>1</v>
      </c>
      <c r="R6" s="226" t="n">
        <v>0</v>
      </c>
      <c r="S6" s="226" t="n">
        <v>2</v>
      </c>
      <c r="T6" s="226" t="n">
        <v>0</v>
      </c>
      <c r="U6" s="226" t="n">
        <v>0</v>
      </c>
      <c r="V6" s="226" t="n">
        <v>0</v>
      </c>
      <c r="W6" s="226" t="n">
        <v>2</v>
      </c>
      <c r="X6" s="226" t="n">
        <v>0</v>
      </c>
      <c r="Y6" s="226" t="n">
        <v>0</v>
      </c>
      <c r="Z6" s="226" t="n">
        <v>2</v>
      </c>
      <c r="AA6" s="226" t="n">
        <v>0</v>
      </c>
      <c r="AB6" s="226">
        <f>SUM(Tabla5232[[#This Row],[Naranjas]:[Arandanos]])</f>
        <v/>
      </c>
      <c r="AC6" s="227" t="n"/>
    </row>
    <row outlineLevel="1" r="7" s="199" spans="1:29">
      <c r="B7" s="267" t="s">
        <v>67</v>
      </c>
      <c r="C7" s="223" t="s">
        <v>68</v>
      </c>
      <c r="D7" s="223" t="s">
        <v>69</v>
      </c>
      <c r="E7" s="223" t="s">
        <v>52</v>
      </c>
      <c r="F7" s="223" t="s">
        <v>53</v>
      </c>
      <c r="G7" s="223" t="s">
        <v>70</v>
      </c>
      <c r="H7" s="223" t="s">
        <v>55</v>
      </c>
      <c r="I7" s="224" t="n">
        <v>56967289638</v>
      </c>
      <c r="J7" s="225" t="s">
        <v>71</v>
      </c>
      <c r="K7" s="225" t="s">
        <v>57</v>
      </c>
      <c r="L7" s="226" t="s">
        <v>58</v>
      </c>
      <c r="M7" s="226" t="s">
        <v>59</v>
      </c>
      <c r="N7" s="223">
        <f>SUMPRODUCT(Tabla5232[[#This Row],[Naranjas]:[Arandanos]],O$44:AA$44)</f>
        <v/>
      </c>
      <c r="O7" s="226" t="n">
        <v>0</v>
      </c>
      <c r="P7" s="226" t="n">
        <v>0</v>
      </c>
      <c r="Q7" s="226" t="n">
        <v>3</v>
      </c>
      <c r="R7" s="226" t="n">
        <v>1</v>
      </c>
      <c r="S7" s="226" t="n">
        <v>0</v>
      </c>
      <c r="T7" s="226" t="n">
        <v>1</v>
      </c>
      <c r="U7" s="226" t="n">
        <v>3</v>
      </c>
      <c r="V7" s="226" t="n">
        <v>4</v>
      </c>
      <c r="W7" s="226" t="n">
        <v>4</v>
      </c>
      <c r="X7" s="226" t="n">
        <v>3</v>
      </c>
      <c r="Y7" s="226" t="n">
        <v>2</v>
      </c>
      <c r="Z7" s="226" t="n">
        <v>3</v>
      </c>
      <c r="AA7" s="226" t="n">
        <v>1</v>
      </c>
      <c r="AB7" s="226">
        <f>SUM(Tabla5232[[#This Row],[Naranjas]:[Arandanos]])</f>
        <v/>
      </c>
      <c r="AC7" s="227" t="n"/>
    </row>
    <row outlineLevel="1" r="8" s="199" spans="1:29">
      <c r="B8" s="267" t="s">
        <v>72</v>
      </c>
      <c r="C8" s="223" t="s">
        <v>73</v>
      </c>
      <c r="D8" s="223" t="s">
        <v>74</v>
      </c>
      <c r="E8" s="223" t="s">
        <v>63</v>
      </c>
      <c r="F8" s="223" t="s">
        <v>64</v>
      </c>
      <c r="G8" s="223" t="s">
        <v>75</v>
      </c>
      <c r="H8" s="223" t="s">
        <v>55</v>
      </c>
      <c r="I8" s="224" t="n">
        <v>56968320616</v>
      </c>
      <c r="J8" s="225" t="s">
        <v>76</v>
      </c>
      <c r="K8" s="225" t="s">
        <v>57</v>
      </c>
      <c r="L8" s="226" t="s">
        <v>58</v>
      </c>
      <c r="M8" s="226" t="s">
        <v>59</v>
      </c>
      <c r="N8" s="223">
        <f>SUMPRODUCT(Tabla5232[[#This Row],[Naranjas]:[Arandanos]],O$44:AA$44)</f>
        <v/>
      </c>
      <c r="O8" s="226" t="n">
        <v>0</v>
      </c>
      <c r="P8" s="226" t="n">
        <v>0</v>
      </c>
      <c r="Q8" s="226" t="n">
        <v>0</v>
      </c>
      <c r="R8" s="226" t="n">
        <v>0</v>
      </c>
      <c r="S8" s="226" t="n">
        <v>35</v>
      </c>
      <c r="T8" s="226" t="n">
        <v>0</v>
      </c>
      <c r="U8" s="226" t="n">
        <v>0</v>
      </c>
      <c r="V8" s="226" t="n">
        <v>0</v>
      </c>
      <c r="W8" s="226" t="n">
        <v>0</v>
      </c>
      <c r="X8" s="226" t="n">
        <v>0</v>
      </c>
      <c r="Y8" s="226" t="n">
        <v>0</v>
      </c>
      <c r="Z8" s="226" t="n">
        <v>0</v>
      </c>
      <c r="AA8" s="226" t="n">
        <v>0</v>
      </c>
      <c r="AB8" s="226">
        <f>SUM(Tabla5232[[#This Row],[Naranjas]:[Arandanos]])</f>
        <v/>
      </c>
      <c r="AC8" s="227" t="n"/>
    </row>
    <row outlineLevel="1" r="9" s="199" spans="1:29">
      <c r="B9" s="267" t="s">
        <v>77</v>
      </c>
      <c r="C9" s="223" t="s">
        <v>78</v>
      </c>
      <c r="D9" s="59" t="s">
        <v>79</v>
      </c>
      <c r="E9" s="59" t="s">
        <v>63</v>
      </c>
      <c r="F9" s="59" t="s">
        <v>80</v>
      </c>
      <c r="G9" s="59" t="s">
        <v>81</v>
      </c>
      <c r="H9" s="59" t="s">
        <v>55</v>
      </c>
      <c r="I9" s="60" t="n">
        <v>56992704205</v>
      </c>
      <c r="J9" s="225" t="s">
        <v>82</v>
      </c>
      <c r="K9" s="225" t="s">
        <v>57</v>
      </c>
      <c r="L9" s="226" t="s">
        <v>58</v>
      </c>
      <c r="M9" s="226" t="s">
        <v>59</v>
      </c>
      <c r="N9" s="228">
        <f>SUMPRODUCT(Tabla5232[[#This Row],[Naranjas]:[Arandanos]],O$44:AA$44)</f>
        <v/>
      </c>
      <c r="O9" s="226" t="n">
        <v>0</v>
      </c>
      <c r="P9" s="226" t="n">
        <v>0</v>
      </c>
      <c r="Q9" s="226" t="n">
        <v>0</v>
      </c>
      <c r="R9" s="226" t="n">
        <v>2</v>
      </c>
      <c r="S9" s="226" t="n">
        <v>1</v>
      </c>
      <c r="T9" s="226" t="n">
        <v>0</v>
      </c>
      <c r="U9" s="226" t="n">
        <v>0</v>
      </c>
      <c r="V9" s="226" t="n">
        <v>0</v>
      </c>
      <c r="W9" s="226" t="n">
        <v>0</v>
      </c>
      <c r="X9" s="226" t="n">
        <v>0</v>
      </c>
      <c r="Y9" s="226" t="n">
        <v>0</v>
      </c>
      <c r="Z9" s="226" t="n">
        <v>4</v>
      </c>
      <c r="AA9" s="226" t="n">
        <v>0</v>
      </c>
      <c r="AB9" s="226">
        <f>SUM(Tabla5232[[#This Row],[Naranjas]:[Arandanos]])</f>
        <v/>
      </c>
      <c r="AC9" s="227" t="n"/>
    </row>
    <row outlineLevel="1" r="10" s="199" spans="1:29">
      <c r="B10" s="267" t="s">
        <v>83</v>
      </c>
      <c r="C10" s="223" t="s">
        <v>84</v>
      </c>
      <c r="D10" s="59" t="s">
        <v>85</v>
      </c>
      <c r="E10" s="59" t="s">
        <v>63</v>
      </c>
      <c r="F10" s="59" t="s">
        <v>64</v>
      </c>
      <c r="G10" s="59" t="s">
        <v>65</v>
      </c>
      <c r="H10" s="59" t="s">
        <v>55</v>
      </c>
      <c r="I10" s="60" t="n">
        <v>56974397201</v>
      </c>
      <c r="J10" s="225" t="s">
        <v>86</v>
      </c>
      <c r="K10" s="225" t="s">
        <v>57</v>
      </c>
      <c r="L10" s="226" t="s">
        <v>58</v>
      </c>
      <c r="M10" s="226" t="s">
        <v>59</v>
      </c>
      <c r="N10" s="223">
        <f>SUMPRODUCT(Tabla5232[[#This Row],[Naranjas]:[Arandanos]],O$44:AA$44)</f>
        <v/>
      </c>
      <c r="O10" s="226" t="n">
        <v>0</v>
      </c>
      <c r="P10" s="226" t="n">
        <v>0</v>
      </c>
      <c r="Q10" s="226" t="n">
        <v>1</v>
      </c>
      <c r="R10" s="226" t="n">
        <v>0</v>
      </c>
      <c r="S10" s="226" t="n">
        <v>0</v>
      </c>
      <c r="T10" s="226" t="n">
        <v>0</v>
      </c>
      <c r="U10" s="226" t="n">
        <v>0</v>
      </c>
      <c r="V10" s="226" t="n">
        <v>1</v>
      </c>
      <c r="W10" s="226" t="n">
        <v>0</v>
      </c>
      <c r="X10" s="226" t="n">
        <v>0</v>
      </c>
      <c r="Y10" s="226" t="n">
        <v>1</v>
      </c>
      <c r="Z10" s="226" t="n">
        <v>1</v>
      </c>
      <c r="AA10" s="226" t="n">
        <v>0</v>
      </c>
      <c r="AB10" s="226">
        <f>SUM(Tabla5232[[#This Row],[Naranjas]:[Arandanos]])</f>
        <v/>
      </c>
      <c r="AC10" s="227" t="n"/>
    </row>
    <row outlineLevel="1" r="11" s="199" spans="1:29">
      <c r="B11" s="267" t="s">
        <v>87</v>
      </c>
      <c r="C11" s="223" t="s">
        <v>88</v>
      </c>
      <c r="D11" s="59" t="s">
        <v>89</v>
      </c>
      <c r="E11" s="59" t="s">
        <v>90</v>
      </c>
      <c r="F11" s="59" t="s">
        <v>91</v>
      </c>
      <c r="G11" s="59" t="s">
        <v>92</v>
      </c>
      <c r="H11" s="59" t="s">
        <v>55</v>
      </c>
      <c r="I11" s="60" t="n">
        <v>56975580528</v>
      </c>
      <c r="J11" s="225" t="s">
        <v>93</v>
      </c>
      <c r="K11" s="225" t="s">
        <v>94</v>
      </c>
      <c r="L11" s="226" t="s">
        <v>58</v>
      </c>
      <c r="M11" s="226" t="s">
        <v>59</v>
      </c>
      <c r="N11" s="228">
        <f>SUMPRODUCT(Tabla5232[[#This Row],[Naranjas]:[Arandanos]],O$44:AA$44)</f>
        <v/>
      </c>
      <c r="O11" s="226" t="n">
        <v>0</v>
      </c>
      <c r="P11" s="226" t="n">
        <v>0</v>
      </c>
      <c r="Q11" s="226" t="n">
        <v>2</v>
      </c>
      <c r="R11" s="226" t="n">
        <v>0</v>
      </c>
      <c r="S11" s="226" t="n">
        <v>5</v>
      </c>
      <c r="T11" s="226" t="n">
        <v>0</v>
      </c>
      <c r="U11" s="226" t="n">
        <v>0</v>
      </c>
      <c r="V11" s="226" t="n">
        <v>0</v>
      </c>
      <c r="W11" s="226" t="n">
        <v>0</v>
      </c>
      <c r="X11" s="226" t="n">
        <v>0</v>
      </c>
      <c r="Y11" s="226" t="n">
        <v>0</v>
      </c>
      <c r="Z11" s="226" t="n">
        <v>11</v>
      </c>
      <c r="AA11" s="226" t="n">
        <v>1</v>
      </c>
      <c r="AB11" s="226">
        <f>SUM(Tabla5232[[#This Row],[Naranjas]:[Arandanos]])</f>
        <v/>
      </c>
      <c r="AC11" s="227" t="n"/>
    </row>
    <row outlineLevel="1" r="12" s="199" spans="1:29">
      <c r="B12" s="267" t="s">
        <v>95</v>
      </c>
      <c r="C12" s="223" t="s">
        <v>96</v>
      </c>
      <c r="D12" s="223" t="s">
        <v>97</v>
      </c>
      <c r="E12" s="223" t="s">
        <v>52</v>
      </c>
      <c r="F12" s="223" t="s">
        <v>98</v>
      </c>
      <c r="G12" s="223" t="s">
        <v>99</v>
      </c>
      <c r="H12" s="223" t="s">
        <v>55</v>
      </c>
      <c r="I12" s="224" t="n">
        <v>56963061299</v>
      </c>
      <c r="J12" s="225" t="s">
        <v>100</v>
      </c>
      <c r="K12" s="225" t="s">
        <v>94</v>
      </c>
      <c r="L12" s="226" t="s">
        <v>58</v>
      </c>
      <c r="M12" s="226" t="s">
        <v>59</v>
      </c>
      <c r="N12" s="223">
        <f>SUMPRODUCT(Tabla5232[[#This Row],[Naranjas]:[Arandanos]],O$44:AA$44)</f>
        <v/>
      </c>
      <c r="O12" s="226" t="n">
        <v>0</v>
      </c>
      <c r="P12" s="226" t="n">
        <v>0</v>
      </c>
      <c r="Q12" s="226" t="n">
        <v>3</v>
      </c>
      <c r="R12" s="226" t="n">
        <v>3</v>
      </c>
      <c r="S12" s="226" t="n">
        <v>4</v>
      </c>
      <c r="T12" s="226" t="n">
        <v>1</v>
      </c>
      <c r="U12" s="226" t="n">
        <v>0</v>
      </c>
      <c r="V12" s="226" t="n">
        <v>0</v>
      </c>
      <c r="W12" s="226" t="n">
        <v>0</v>
      </c>
      <c r="X12" s="226" t="n">
        <v>0</v>
      </c>
      <c r="Y12" s="226" t="n">
        <v>0</v>
      </c>
      <c r="Z12" s="226" t="n">
        <v>6</v>
      </c>
      <c r="AA12" s="226" t="n">
        <v>2</v>
      </c>
      <c r="AB12" s="226">
        <f>SUM(Tabla5232[[#This Row],[Naranjas]:[Arandanos]])</f>
        <v/>
      </c>
      <c r="AC12" s="227" t="n"/>
    </row>
    <row outlineLevel="1" r="13" s="199" spans="1:29">
      <c r="B13" s="267" t="s">
        <v>101</v>
      </c>
      <c r="C13" s="223" t="s">
        <v>102</v>
      </c>
      <c r="D13" s="59" t="s">
        <v>103</v>
      </c>
      <c r="E13" s="59" t="s">
        <v>90</v>
      </c>
      <c r="F13" s="59" t="s">
        <v>91</v>
      </c>
      <c r="G13" s="59" t="s">
        <v>104</v>
      </c>
      <c r="H13" s="59" t="s">
        <v>55</v>
      </c>
      <c r="I13" s="60" t="n">
        <v>56999194650</v>
      </c>
      <c r="J13" s="225" t="s">
        <v>105</v>
      </c>
      <c r="K13" s="225" t="s">
        <v>94</v>
      </c>
      <c r="L13" s="226" t="s">
        <v>58</v>
      </c>
      <c r="M13" s="226" t="s">
        <v>59</v>
      </c>
      <c r="N13" s="228">
        <f>SUMPRODUCT(Tabla5232[[#This Row],[Naranjas]:[Arandanos]],O$44:AA$44)</f>
        <v/>
      </c>
      <c r="O13" s="226" t="n">
        <v>0</v>
      </c>
      <c r="P13" s="226" t="n">
        <v>0</v>
      </c>
      <c r="Q13" s="226" t="n">
        <v>8</v>
      </c>
      <c r="R13" s="226" t="n">
        <v>4</v>
      </c>
      <c r="S13" s="226" t="n">
        <v>7</v>
      </c>
      <c r="T13" s="226" t="n">
        <v>1</v>
      </c>
      <c r="U13" s="226" t="n">
        <v>0</v>
      </c>
      <c r="V13" s="226" t="n">
        <v>3</v>
      </c>
      <c r="W13" s="226" t="n">
        <v>2</v>
      </c>
      <c r="X13" s="226" t="n">
        <v>2</v>
      </c>
      <c r="Y13" s="226" t="n">
        <v>1</v>
      </c>
      <c r="Z13" s="226" t="n">
        <v>8</v>
      </c>
      <c r="AA13" s="226" t="n">
        <v>2</v>
      </c>
      <c r="AB13" s="226">
        <f>SUM(Tabla5232[[#This Row],[Naranjas]:[Arandanos]])</f>
        <v/>
      </c>
      <c r="AC13" s="227" t="n"/>
    </row>
    <row outlineLevel="1" r="14" s="199" spans="1:29">
      <c r="B14" s="267" t="s">
        <v>106</v>
      </c>
      <c r="C14" s="223" t="s">
        <v>107</v>
      </c>
      <c r="D14" s="59" t="s">
        <v>108</v>
      </c>
      <c r="E14" s="59" t="s">
        <v>63</v>
      </c>
      <c r="F14" s="59" t="s">
        <v>80</v>
      </c>
      <c r="G14" s="59" t="s">
        <v>109</v>
      </c>
      <c r="H14" s="59" t="s">
        <v>55</v>
      </c>
      <c r="I14" s="60" t="n">
        <v>56991592586</v>
      </c>
      <c r="J14" s="225" t="s">
        <v>110</v>
      </c>
      <c r="K14" s="225" t="s">
        <v>94</v>
      </c>
      <c r="L14" s="226" t="s">
        <v>58</v>
      </c>
      <c r="M14" s="226" t="s">
        <v>59</v>
      </c>
      <c r="N14" s="228">
        <f>SUMPRODUCT(Tabla5232[[#This Row],[Naranjas]:[Arandanos]],O$44:AA$44)</f>
        <v/>
      </c>
      <c r="O14" s="226" t="n">
        <v>0</v>
      </c>
      <c r="P14" s="226" t="n">
        <v>0</v>
      </c>
      <c r="Q14" s="226" t="n">
        <v>1</v>
      </c>
      <c r="R14" s="226" t="n">
        <v>0</v>
      </c>
      <c r="S14" s="226" t="n">
        <v>1</v>
      </c>
      <c r="T14" s="226" t="n">
        <v>0</v>
      </c>
      <c r="U14" s="226" t="n">
        <v>0</v>
      </c>
      <c r="V14" s="226" t="n">
        <v>0</v>
      </c>
      <c r="W14" s="226" t="n">
        <v>0</v>
      </c>
      <c r="X14" s="226" t="n">
        <v>0</v>
      </c>
      <c r="Y14" s="226" t="n">
        <v>0</v>
      </c>
      <c r="Z14" s="226" t="n">
        <v>1</v>
      </c>
      <c r="AA14" s="226" t="n">
        <v>1</v>
      </c>
      <c r="AB14" s="226">
        <f>SUM(Tabla5232[[#This Row],[Naranjas]:[Arandanos]])</f>
        <v/>
      </c>
      <c r="AC14" s="227" t="n"/>
    </row>
    <row outlineLevel="1" r="15" s="199" spans="1:29">
      <c r="B15" s="267" t="s">
        <v>111</v>
      </c>
      <c r="C15" s="223" t="s">
        <v>112</v>
      </c>
      <c r="D15" s="59" t="s">
        <v>113</v>
      </c>
      <c r="E15" s="59" t="s">
        <v>52</v>
      </c>
      <c r="F15" s="59" t="s">
        <v>98</v>
      </c>
      <c r="G15" s="59" t="s">
        <v>99</v>
      </c>
      <c r="H15" s="59" t="s">
        <v>55</v>
      </c>
      <c r="I15" s="60" t="n">
        <v>56997792386</v>
      </c>
      <c r="J15" s="225" t="s">
        <v>114</v>
      </c>
      <c r="K15" s="225" t="s">
        <v>115</v>
      </c>
      <c r="L15" s="226" t="s">
        <v>58</v>
      </c>
      <c r="M15" s="226" t="s">
        <v>59</v>
      </c>
      <c r="N15" s="228">
        <f>SUMPRODUCT(Tabla5232[[#This Row],[Naranjas]:[Arandanos]],O$44:AA$44)</f>
        <v/>
      </c>
      <c r="O15" s="226" t="n">
        <v>0</v>
      </c>
      <c r="P15" s="226" t="n">
        <v>0</v>
      </c>
      <c r="Q15" s="226" t="n">
        <v>2</v>
      </c>
      <c r="R15" s="226" t="n">
        <v>0</v>
      </c>
      <c r="S15" s="226" t="n">
        <v>4</v>
      </c>
      <c r="T15" s="226" t="n">
        <v>1</v>
      </c>
      <c r="U15" s="226" t="n">
        <v>0</v>
      </c>
      <c r="V15" s="226" t="n">
        <v>0</v>
      </c>
      <c r="W15" s="226" t="n">
        <v>1</v>
      </c>
      <c r="X15" s="226" t="n">
        <v>1</v>
      </c>
      <c r="Y15" s="226" t="n">
        <v>1</v>
      </c>
      <c r="Z15" s="226" t="n">
        <v>5</v>
      </c>
      <c r="AA15" s="226" t="n">
        <v>0</v>
      </c>
      <c r="AB15" s="226">
        <f>SUM(Tabla5232[[#This Row],[Naranjas]:[Arandanos]])</f>
        <v/>
      </c>
      <c r="AC15" s="227" t="n"/>
    </row>
    <row outlineLevel="1" r="16" s="199" spans="1:29">
      <c r="B16" s="267" t="s">
        <v>116</v>
      </c>
      <c r="C16" s="223" t="s">
        <v>117</v>
      </c>
      <c r="D16" s="223" t="s">
        <v>118</v>
      </c>
      <c r="E16" s="223" t="s">
        <v>52</v>
      </c>
      <c r="F16" s="223" t="s">
        <v>119</v>
      </c>
      <c r="G16" s="223" t="s">
        <v>92</v>
      </c>
      <c r="H16" s="223" t="s">
        <v>55</v>
      </c>
      <c r="I16" s="224" t="n">
        <v>56997267212</v>
      </c>
      <c r="J16" s="225" t="s">
        <v>120</v>
      </c>
      <c r="K16" s="225" t="s">
        <v>115</v>
      </c>
      <c r="L16" s="226" t="s">
        <v>58</v>
      </c>
      <c r="M16" s="226" t="s">
        <v>59</v>
      </c>
      <c r="N16" s="223">
        <f>SUMPRODUCT(Tabla5232[[#This Row],[Naranjas]:[Arandanos]],O$44:AA$44)</f>
        <v/>
      </c>
      <c r="O16" s="226" t="n">
        <v>0</v>
      </c>
      <c r="P16" s="226" t="n">
        <v>0</v>
      </c>
      <c r="Q16" s="226" t="n">
        <v>3</v>
      </c>
      <c r="R16" s="226" t="n">
        <v>1</v>
      </c>
      <c r="S16" s="226" t="n">
        <v>2</v>
      </c>
      <c r="T16" s="226" t="n">
        <v>1</v>
      </c>
      <c r="U16" s="226" t="n">
        <v>0</v>
      </c>
      <c r="V16" s="226" t="n">
        <v>0</v>
      </c>
      <c r="W16" s="226" t="n">
        <v>0</v>
      </c>
      <c r="X16" s="226" t="n">
        <v>0</v>
      </c>
      <c r="Y16" s="226" t="n">
        <v>0</v>
      </c>
      <c r="Z16" s="226" t="n">
        <v>2</v>
      </c>
      <c r="AA16" s="226" t="n">
        <v>1</v>
      </c>
      <c r="AB16" s="226">
        <f>SUM(Tabla5232[[#This Row],[Naranjas]:[Arandanos]])</f>
        <v/>
      </c>
      <c r="AC16" s="227" t="n"/>
    </row>
    <row outlineLevel="1" r="17" s="199" spans="1:29">
      <c r="B17" s="267" t="s">
        <v>121</v>
      </c>
      <c r="C17" s="223" t="s">
        <v>122</v>
      </c>
      <c r="D17" s="223" t="s">
        <v>123</v>
      </c>
      <c r="E17" s="223" t="s">
        <v>63</v>
      </c>
      <c r="F17" s="223" t="s">
        <v>64</v>
      </c>
      <c r="G17" s="223" t="s">
        <v>99</v>
      </c>
      <c r="H17" s="223" t="s">
        <v>55</v>
      </c>
      <c r="I17" s="224" t="n">
        <v>56986194003</v>
      </c>
      <c r="J17" s="225" t="s">
        <v>124</v>
      </c>
      <c r="K17" s="225" t="s">
        <v>115</v>
      </c>
      <c r="L17" s="226" t="s">
        <v>58</v>
      </c>
      <c r="M17" s="226" t="s">
        <v>59</v>
      </c>
      <c r="N17" s="223">
        <f>SUMPRODUCT(Tabla5232[[#This Row],[Naranjas]:[Arandanos]],O$44:AA$44)</f>
        <v/>
      </c>
      <c r="O17" s="226" t="n">
        <v>0</v>
      </c>
      <c r="P17" s="226" t="n">
        <v>0</v>
      </c>
      <c r="Q17" s="226" t="n">
        <v>12</v>
      </c>
      <c r="R17" s="226" t="n">
        <v>0</v>
      </c>
      <c r="S17" s="226" t="n">
        <v>0</v>
      </c>
      <c r="T17" s="226" t="n">
        <v>0</v>
      </c>
      <c r="U17" s="226" t="n">
        <v>0</v>
      </c>
      <c r="V17" s="226" t="n">
        <v>0</v>
      </c>
      <c r="W17" s="226" t="n">
        <v>0</v>
      </c>
      <c r="X17" s="226" t="n">
        <v>0</v>
      </c>
      <c r="Y17" s="226" t="n">
        <v>0</v>
      </c>
      <c r="Z17" s="226" t="n">
        <v>0</v>
      </c>
      <c r="AA17" s="226" t="n">
        <v>0</v>
      </c>
      <c r="AB17" s="226">
        <f>SUM(Tabla5232[[#This Row],[Naranjas]:[Arandanos]])</f>
        <v/>
      </c>
      <c r="AC17" s="227" t="n"/>
    </row>
    <row outlineLevel="1" r="18" s="199" spans="1:29">
      <c r="B18" s="267" t="s">
        <v>125</v>
      </c>
      <c r="C18" s="223" t="s">
        <v>126</v>
      </c>
      <c r="D18" s="223" t="s">
        <v>127</v>
      </c>
      <c r="E18" s="223" t="s">
        <v>63</v>
      </c>
      <c r="F18" s="223" t="s">
        <v>64</v>
      </c>
      <c r="G18" s="223" t="s">
        <v>81</v>
      </c>
      <c r="H18" s="223" t="s">
        <v>55</v>
      </c>
      <c r="I18" s="224" t="n">
        <v>56979891544</v>
      </c>
      <c r="J18" s="225" t="s">
        <v>128</v>
      </c>
      <c r="K18" s="225" t="s">
        <v>115</v>
      </c>
      <c r="L18" s="226" t="s">
        <v>58</v>
      </c>
      <c r="M18" s="226" t="s">
        <v>59</v>
      </c>
      <c r="N18" s="223">
        <f>SUMPRODUCT(Tabla5232[[#This Row],[Naranjas]:[Arandanos]],O$44:AA$44)</f>
        <v/>
      </c>
      <c r="O18" s="226" t="n">
        <v>0</v>
      </c>
      <c r="P18" s="226" t="n">
        <v>0</v>
      </c>
      <c r="Q18" s="226" t="n">
        <v>1</v>
      </c>
      <c r="R18" s="226" t="n">
        <v>0</v>
      </c>
      <c r="S18" s="226" t="n">
        <v>2</v>
      </c>
      <c r="T18" s="226" t="n">
        <v>1</v>
      </c>
      <c r="U18" s="226" t="n">
        <v>0</v>
      </c>
      <c r="V18" s="226" t="n">
        <v>0</v>
      </c>
      <c r="W18" s="226" t="n">
        <v>0</v>
      </c>
      <c r="X18" s="226" t="n">
        <v>1</v>
      </c>
      <c r="Y18" s="226" t="n">
        <v>0</v>
      </c>
      <c r="Z18" s="226" t="n">
        <v>2</v>
      </c>
      <c r="AA18" s="226" t="n">
        <v>0</v>
      </c>
      <c r="AB18" s="226">
        <f>SUM(Tabla5232[[#This Row],[Naranjas]:[Arandanos]])</f>
        <v/>
      </c>
      <c r="AC18" s="227" t="n"/>
    </row>
    <row outlineLevel="1" r="19" s="199" spans="1:29">
      <c r="B19" s="267" t="s">
        <v>129</v>
      </c>
      <c r="C19" s="223" t="s">
        <v>130</v>
      </c>
      <c r="D19" s="223" t="s">
        <v>131</v>
      </c>
      <c r="E19" s="223" t="s">
        <v>63</v>
      </c>
      <c r="F19" s="223" t="s">
        <v>80</v>
      </c>
      <c r="G19" s="223" t="s">
        <v>81</v>
      </c>
      <c r="H19" s="223" t="s">
        <v>55</v>
      </c>
      <c r="I19" s="224" t="n">
        <v>56988587944</v>
      </c>
      <c r="J19" s="225" t="s">
        <v>132</v>
      </c>
      <c r="K19" s="225" t="s">
        <v>115</v>
      </c>
      <c r="L19" s="226" t="s">
        <v>58</v>
      </c>
      <c r="M19" s="226" t="s">
        <v>59</v>
      </c>
      <c r="N19" s="223">
        <f>SUMPRODUCT(Tabla5232[[#This Row],[Naranjas]:[Arandanos]],O$44:AA$44)</f>
        <v/>
      </c>
      <c r="O19" s="226" t="n">
        <v>0</v>
      </c>
      <c r="P19" s="226" t="n">
        <v>0</v>
      </c>
      <c r="Q19" s="226" t="n">
        <v>2</v>
      </c>
      <c r="R19" s="226" t="n">
        <v>0</v>
      </c>
      <c r="S19" s="226" t="n">
        <v>2</v>
      </c>
      <c r="T19" s="226" t="n">
        <v>0</v>
      </c>
      <c r="U19" s="226" t="n">
        <v>0</v>
      </c>
      <c r="V19" s="226" t="n">
        <v>0</v>
      </c>
      <c r="W19" s="226" t="n">
        <v>0</v>
      </c>
      <c r="X19" s="226" t="n">
        <v>0</v>
      </c>
      <c r="Y19" s="226" t="n">
        <v>0</v>
      </c>
      <c r="Z19" s="226" t="n">
        <v>1</v>
      </c>
      <c r="AA19" s="226" t="n">
        <v>0</v>
      </c>
      <c r="AB19" s="226">
        <f>SUM(Tabla5232[[#This Row],[Naranjas]:[Arandanos]])</f>
        <v/>
      </c>
      <c r="AC19" s="227" t="n"/>
    </row>
    <row outlineLevel="1" r="20" s="199" spans="1:29">
      <c r="B20" s="267" t="s">
        <v>121</v>
      </c>
      <c r="C20" s="223" t="s">
        <v>133</v>
      </c>
      <c r="D20" s="223" t="s">
        <v>134</v>
      </c>
      <c r="E20" s="223" t="s">
        <v>63</v>
      </c>
      <c r="F20" s="223" t="s">
        <v>64</v>
      </c>
      <c r="G20" s="223" t="s">
        <v>70</v>
      </c>
      <c r="H20" s="223" t="s">
        <v>55</v>
      </c>
      <c r="I20" s="224" t="n">
        <v>56975684552</v>
      </c>
      <c r="J20" s="225" t="s">
        <v>135</v>
      </c>
      <c r="K20" s="225" t="s">
        <v>115</v>
      </c>
      <c r="L20" s="226" t="s">
        <v>58</v>
      </c>
      <c r="M20" s="226" t="s">
        <v>59</v>
      </c>
      <c r="N20" s="223">
        <f>SUMPRODUCT(Tabla5232[[#This Row],[Naranjas]:[Arandanos]],O$44:AA$44)</f>
        <v/>
      </c>
      <c r="O20" s="226" t="n">
        <v>0</v>
      </c>
      <c r="P20" s="226" t="n">
        <v>0</v>
      </c>
      <c r="Q20" s="226" t="n">
        <v>6</v>
      </c>
      <c r="R20" s="226" t="n">
        <v>0</v>
      </c>
      <c r="S20" s="226" t="n">
        <v>10</v>
      </c>
      <c r="T20" s="226" t="n">
        <v>0</v>
      </c>
      <c r="U20" s="226" t="n">
        <v>0</v>
      </c>
      <c r="V20" s="226" t="n">
        <v>0</v>
      </c>
      <c r="W20" s="226" t="n">
        <v>0</v>
      </c>
      <c r="X20" s="226" t="n">
        <v>0</v>
      </c>
      <c r="Y20" s="226" t="n">
        <v>0</v>
      </c>
      <c r="Z20" s="226" t="n">
        <v>4</v>
      </c>
      <c r="AA20" s="226" t="n">
        <v>0</v>
      </c>
      <c r="AB20" s="226">
        <f>SUM(Tabla5232[[#This Row],[Naranjas]:[Arandanos]])</f>
        <v/>
      </c>
      <c r="AC20" s="227" t="n"/>
    </row>
    <row outlineLevel="1" r="21" s="199" spans="1:29">
      <c r="B21" s="267" t="s">
        <v>129</v>
      </c>
      <c r="C21" s="223" t="s">
        <v>136</v>
      </c>
      <c r="D21" s="59" t="n">
        <v>0</v>
      </c>
      <c r="E21" s="59" t="n">
        <v>0</v>
      </c>
      <c r="F21" s="59" t="n">
        <v>0</v>
      </c>
      <c r="G21" s="59" t="n">
        <v>0</v>
      </c>
      <c r="H21" s="59" t="n">
        <v>0</v>
      </c>
      <c r="I21" s="60" t="n">
        <v>0</v>
      </c>
      <c r="J21" s="225" t="s">
        <v>137</v>
      </c>
      <c r="K21" s="225" t="s">
        <v>115</v>
      </c>
      <c r="L21" s="226" t="s">
        <v>58</v>
      </c>
      <c r="M21" s="226" t="s">
        <v>59</v>
      </c>
      <c r="N21" s="228">
        <f>SUMPRODUCT(Tabla5232[[#This Row],[Naranjas]:[Arandanos]],O$44:AA$44)</f>
        <v/>
      </c>
      <c r="O21" s="226" t="n">
        <v>0</v>
      </c>
      <c r="P21" s="226" t="n">
        <v>0</v>
      </c>
      <c r="Q21" s="226" t="n">
        <v>0</v>
      </c>
      <c r="R21" s="226" t="n">
        <v>0</v>
      </c>
      <c r="S21" s="226" t="n">
        <v>0</v>
      </c>
      <c r="T21" s="226" t="n">
        <v>1</v>
      </c>
      <c r="U21" s="226" t="n">
        <v>0</v>
      </c>
      <c r="V21" s="226" t="n">
        <v>0</v>
      </c>
      <c r="W21" s="226" t="n">
        <v>0</v>
      </c>
      <c r="X21" s="226" t="n">
        <v>0</v>
      </c>
      <c r="Y21" s="226" t="n">
        <v>0</v>
      </c>
      <c r="Z21" s="226" t="n">
        <v>3</v>
      </c>
      <c r="AA21" s="226" t="n">
        <v>0</v>
      </c>
      <c r="AB21" s="226">
        <f>SUM(Tabla5232[[#This Row],[Naranjas]:[Arandanos]])</f>
        <v/>
      </c>
      <c r="AC21" s="227" t="n"/>
    </row>
    <row outlineLevel="1" r="22" s="199" spans="1:29">
      <c r="B22" s="267" t="s">
        <v>138</v>
      </c>
      <c r="C22" s="223" t="s">
        <v>139</v>
      </c>
      <c r="D22" s="223" t="s">
        <v>140</v>
      </c>
      <c r="E22" s="223" t="s">
        <v>63</v>
      </c>
      <c r="F22" s="223" t="s">
        <v>64</v>
      </c>
      <c r="G22" s="223" t="s">
        <v>141</v>
      </c>
      <c r="H22" s="223" t="s">
        <v>55</v>
      </c>
      <c r="I22" s="224" t="n">
        <v>56952304675</v>
      </c>
      <c r="J22" s="225" t="s">
        <v>142</v>
      </c>
      <c r="K22" s="225" t="s">
        <v>115</v>
      </c>
      <c r="L22" s="226" t="s">
        <v>58</v>
      </c>
      <c r="M22" s="226" t="s">
        <v>59</v>
      </c>
      <c r="N22" s="223">
        <f>SUMPRODUCT(Tabla5232[[#This Row],[Naranjas]:[Arandanos]],O$44:AA$44)</f>
        <v/>
      </c>
      <c r="O22" s="286" t="n">
        <v>0</v>
      </c>
      <c r="P22" s="286" t="n">
        <v>0</v>
      </c>
      <c r="Q22" s="226" t="n">
        <v>1</v>
      </c>
      <c r="R22" s="226" t="n">
        <v>3</v>
      </c>
      <c r="S22" s="226" t="n">
        <v>2</v>
      </c>
      <c r="T22" s="226" t="n">
        <v>1</v>
      </c>
      <c r="U22" s="226" t="n">
        <v>1</v>
      </c>
      <c r="V22" s="286" t="n">
        <v>0</v>
      </c>
      <c r="W22" s="286" t="n">
        <v>0</v>
      </c>
      <c r="X22" s="286" t="n">
        <v>0</v>
      </c>
      <c r="Y22" s="286" t="n">
        <v>0</v>
      </c>
      <c r="Z22" s="226" t="n">
        <v>40</v>
      </c>
      <c r="AA22" s="226" t="n">
        <v>1</v>
      </c>
      <c r="AB22" s="226">
        <f>SUM(Tabla5232[[#This Row],[Naranjas]:[Arandanos]])</f>
        <v/>
      </c>
      <c r="AC22" s="227" t="n"/>
    </row>
    <row outlineLevel="1" r="23" s="199" spans="1:29">
      <c r="B23" s="267" t="s">
        <v>143</v>
      </c>
      <c r="C23" s="223" t="s">
        <v>144</v>
      </c>
      <c r="D23" s="223" t="s">
        <v>145</v>
      </c>
      <c r="E23" s="223" t="s">
        <v>63</v>
      </c>
      <c r="F23" s="223" t="s">
        <v>64</v>
      </c>
      <c r="G23" s="223" t="s">
        <v>70</v>
      </c>
      <c r="H23" s="223" t="s">
        <v>55</v>
      </c>
      <c r="I23" s="224" t="n">
        <v>56987143347</v>
      </c>
      <c r="J23" s="225" t="s">
        <v>146</v>
      </c>
      <c r="K23" s="225" t="s">
        <v>115</v>
      </c>
      <c r="L23" s="226" t="s">
        <v>58</v>
      </c>
      <c r="M23" s="226" t="s">
        <v>59</v>
      </c>
      <c r="N23" s="223">
        <f>SUMPRODUCT(Tabla5232[[#This Row],[Naranjas]:[Arandanos]],O$44:AA$44)</f>
        <v/>
      </c>
      <c r="O23" s="226" t="n">
        <v>0</v>
      </c>
      <c r="P23" s="226" t="n">
        <v>0</v>
      </c>
      <c r="Q23" s="226" t="n">
        <v>5</v>
      </c>
      <c r="R23" s="226" t="n">
        <v>0</v>
      </c>
      <c r="S23" s="226" t="n">
        <v>5</v>
      </c>
      <c r="T23" s="226" t="n">
        <v>0</v>
      </c>
      <c r="U23" s="226" t="n">
        <v>0</v>
      </c>
      <c r="V23" s="226" t="n">
        <v>0</v>
      </c>
      <c r="W23" s="226" t="n">
        <v>0</v>
      </c>
      <c r="X23" s="226" t="n">
        <v>0</v>
      </c>
      <c r="Y23" s="226" t="n">
        <v>0</v>
      </c>
      <c r="Z23" s="226" t="n">
        <v>0</v>
      </c>
      <c r="AA23" s="226" t="n">
        <v>0</v>
      </c>
      <c r="AB23" s="226">
        <f>SUM(Tabla5232[[#This Row],[Naranjas]:[Arandanos]])</f>
        <v/>
      </c>
      <c r="AC23" s="227" t="n"/>
    </row>
    <row outlineLevel="1" r="24" s="199" spans="1:29">
      <c r="B24" s="267" t="s">
        <v>147</v>
      </c>
      <c r="C24" s="223" t="s">
        <v>148</v>
      </c>
      <c r="D24" s="223" t="s">
        <v>149</v>
      </c>
      <c r="E24" s="223" t="s">
        <v>90</v>
      </c>
      <c r="F24" s="223" t="s">
        <v>91</v>
      </c>
      <c r="G24" s="223" t="s">
        <v>92</v>
      </c>
      <c r="H24" s="223" t="s">
        <v>55</v>
      </c>
      <c r="I24" s="224" t="n">
        <v>56956481962</v>
      </c>
      <c r="J24" s="225" t="s">
        <v>150</v>
      </c>
      <c r="K24" s="225" t="s">
        <v>115</v>
      </c>
      <c r="L24" s="226" t="s">
        <v>58</v>
      </c>
      <c r="M24" s="226" t="s">
        <v>59</v>
      </c>
      <c r="N24" s="223">
        <f>SUMPRODUCT(Tabla5232[[#This Row],[Naranjas]:[Arandanos]],O$44:AA$44)</f>
        <v/>
      </c>
      <c r="O24" s="226" t="n">
        <v>0</v>
      </c>
      <c r="P24" s="226" t="n">
        <v>0</v>
      </c>
      <c r="Q24" s="226" t="n">
        <v>2</v>
      </c>
      <c r="R24" s="226" t="n">
        <v>0</v>
      </c>
      <c r="S24" s="226" t="n">
        <v>0</v>
      </c>
      <c r="T24" s="226" t="n">
        <v>0</v>
      </c>
      <c r="U24" s="226" t="n">
        <v>0</v>
      </c>
      <c r="V24" s="226" t="n">
        <v>0</v>
      </c>
      <c r="W24" s="226" t="n">
        <v>0</v>
      </c>
      <c r="X24" s="226" t="n">
        <v>0</v>
      </c>
      <c r="Y24" s="226" t="n">
        <v>0</v>
      </c>
      <c r="Z24" s="226" t="n">
        <v>1</v>
      </c>
      <c r="AA24" s="226" t="n">
        <v>0</v>
      </c>
      <c r="AB24" s="226">
        <f>SUM(Tabla5232[[#This Row],[Naranjas]:[Arandanos]])</f>
        <v/>
      </c>
      <c r="AC24" s="227" t="n"/>
    </row>
    <row outlineLevel="1" r="25" s="199" spans="1:29">
      <c r="B25" s="267" t="s">
        <v>151</v>
      </c>
      <c r="C25" s="223" t="s">
        <v>152</v>
      </c>
      <c r="D25" s="59" t="s">
        <v>153</v>
      </c>
      <c r="E25" s="59" t="s">
        <v>154</v>
      </c>
      <c r="F25" s="59" t="s">
        <v>155</v>
      </c>
      <c r="G25" s="59" t="s">
        <v>99</v>
      </c>
      <c r="H25" s="59" t="s">
        <v>55</v>
      </c>
      <c r="I25" s="60" t="n">
        <v>56979312762</v>
      </c>
      <c r="J25" s="225" t="s">
        <v>156</v>
      </c>
      <c r="K25" s="225" t="s">
        <v>115</v>
      </c>
      <c r="L25" s="226" t="s">
        <v>58</v>
      </c>
      <c r="M25" s="226" t="s">
        <v>59</v>
      </c>
      <c r="N25" s="228">
        <f>SUMPRODUCT(Tabla5232[[#This Row],[Naranjas]:[Arandanos]],O$44:AA$44)</f>
        <v/>
      </c>
      <c r="O25" s="226" t="n">
        <v>0</v>
      </c>
      <c r="P25" s="226" t="n">
        <v>0</v>
      </c>
      <c r="Q25" s="226" t="n">
        <v>2</v>
      </c>
      <c r="R25" s="226" t="n">
        <v>0</v>
      </c>
      <c r="S25" s="226" t="n">
        <v>1</v>
      </c>
      <c r="T25" s="226" t="n">
        <v>0</v>
      </c>
      <c r="U25" s="226" t="n">
        <v>0</v>
      </c>
      <c r="V25" s="226" t="n">
        <v>0</v>
      </c>
      <c r="W25" s="226" t="n">
        <v>0</v>
      </c>
      <c r="X25" s="226" t="n">
        <v>0</v>
      </c>
      <c r="Y25" s="226" t="n">
        <v>0</v>
      </c>
      <c r="Z25" s="226" t="n">
        <v>28</v>
      </c>
      <c r="AA25" s="226" t="n">
        <v>0</v>
      </c>
      <c r="AB25" s="226">
        <f>SUM(Tabla5232[[#This Row],[Naranjas]:[Arandanos]])</f>
        <v/>
      </c>
      <c r="AC25" s="227" t="n"/>
    </row>
    <row outlineLevel="1" r="26" s="199" spans="1:29">
      <c r="B26" s="267" t="s">
        <v>72</v>
      </c>
      <c r="C26" s="223" t="s">
        <v>157</v>
      </c>
      <c r="D26" s="59" t="s">
        <v>158</v>
      </c>
      <c r="E26" s="59" t="s">
        <v>63</v>
      </c>
      <c r="F26" s="59" t="s">
        <v>64</v>
      </c>
      <c r="G26" s="59" t="s">
        <v>99</v>
      </c>
      <c r="H26" s="59" t="s">
        <v>55</v>
      </c>
      <c r="I26" s="60" t="n">
        <v>56997594184</v>
      </c>
      <c r="J26" s="225" t="s">
        <v>159</v>
      </c>
      <c r="K26" s="225" t="s">
        <v>115</v>
      </c>
      <c r="L26" s="226" t="s">
        <v>58</v>
      </c>
      <c r="M26" s="226" t="s">
        <v>59</v>
      </c>
      <c r="N26" s="228">
        <f>SUMPRODUCT(Tabla5232[[#This Row],[Naranjas]:[Arandanos]],O$44:AA$44)</f>
        <v/>
      </c>
      <c r="O26" s="226" t="n">
        <v>0</v>
      </c>
      <c r="P26" s="226" t="n">
        <v>0</v>
      </c>
      <c r="Q26" s="226" t="n">
        <v>2</v>
      </c>
      <c r="R26" s="226" t="n">
        <v>0</v>
      </c>
      <c r="S26" s="226" t="n">
        <v>1</v>
      </c>
      <c r="T26" s="226" t="n">
        <v>0</v>
      </c>
      <c r="U26" s="226" t="n">
        <v>0</v>
      </c>
      <c r="V26" s="226" t="n">
        <v>0</v>
      </c>
      <c r="W26" s="226" t="n">
        <v>0</v>
      </c>
      <c r="X26" s="226" t="n">
        <v>0</v>
      </c>
      <c r="Y26" s="226" t="n">
        <v>0</v>
      </c>
      <c r="Z26" s="226" t="n">
        <v>2</v>
      </c>
      <c r="AA26" s="226" t="n">
        <v>0</v>
      </c>
      <c r="AB26" s="226">
        <f>SUM(Tabla5232[[#This Row],[Naranjas]:[Arandanos]])</f>
        <v/>
      </c>
      <c r="AC26" s="227" t="n"/>
    </row>
    <row outlineLevel="1" r="27" s="199" spans="1:29">
      <c r="B27" s="267" t="s">
        <v>160</v>
      </c>
      <c r="C27" s="223" t="s">
        <v>161</v>
      </c>
      <c r="D27" s="59" t="s">
        <v>162</v>
      </c>
      <c r="E27" s="59" t="s">
        <v>63</v>
      </c>
      <c r="F27" s="59" t="s">
        <v>64</v>
      </c>
      <c r="G27" s="59" t="s">
        <v>163</v>
      </c>
      <c r="H27" s="59" t="s">
        <v>55</v>
      </c>
      <c r="I27" s="60" t="n">
        <v>56964829508</v>
      </c>
      <c r="J27" s="225" t="s">
        <v>164</v>
      </c>
      <c r="K27" s="225" t="s">
        <v>115</v>
      </c>
      <c r="L27" s="226" t="s">
        <v>58</v>
      </c>
      <c r="M27" s="226" t="s">
        <v>59</v>
      </c>
      <c r="N27" s="223">
        <f>SUMPRODUCT(Tabla5232[[#This Row],[Naranjas]:[Arandanos]],O$44:AA$44)</f>
        <v/>
      </c>
      <c r="O27" s="226" t="n">
        <v>0</v>
      </c>
      <c r="P27" s="226" t="n">
        <v>0</v>
      </c>
      <c r="Q27" s="226" t="n">
        <v>2</v>
      </c>
      <c r="R27" s="226" t="n">
        <v>1</v>
      </c>
      <c r="S27" s="226" t="n">
        <v>0</v>
      </c>
      <c r="T27" s="226" t="n">
        <v>0</v>
      </c>
      <c r="U27" s="226" t="n">
        <v>0</v>
      </c>
      <c r="V27" s="226" t="n">
        <v>0</v>
      </c>
      <c r="W27" s="226" t="n">
        <v>0</v>
      </c>
      <c r="X27" s="226" t="n">
        <v>0</v>
      </c>
      <c r="Y27" s="226" t="n">
        <v>1</v>
      </c>
      <c r="Z27" s="226" t="n">
        <v>2</v>
      </c>
      <c r="AA27" s="226" t="n">
        <v>0</v>
      </c>
      <c r="AB27" s="226">
        <f>SUM(Tabla5232[[#This Row],[Naranjas]:[Arandanos]])</f>
        <v/>
      </c>
      <c r="AC27" s="227" t="n"/>
    </row>
    <row outlineLevel="1" r="28" s="199" spans="1:29">
      <c r="B28" s="267" t="s">
        <v>165</v>
      </c>
      <c r="C28" s="223" t="s">
        <v>148</v>
      </c>
      <c r="D28" s="59" t="s">
        <v>166</v>
      </c>
      <c r="E28" s="59" t="s">
        <v>52</v>
      </c>
      <c r="F28" s="59" t="s">
        <v>98</v>
      </c>
      <c r="G28" s="59" t="n"/>
      <c r="H28" s="59" t="s">
        <v>55</v>
      </c>
      <c r="I28" s="60" t="n">
        <v>0</v>
      </c>
      <c r="J28" s="225" t="s">
        <v>167</v>
      </c>
      <c r="K28" s="225" t="n"/>
      <c r="L28" s="226" t="s">
        <v>58</v>
      </c>
      <c r="M28" s="226" t="s">
        <v>59</v>
      </c>
      <c r="N28" s="228">
        <f>SUMPRODUCT(Tabla5232[[#This Row],[Naranjas]:[Arandanos]],O$44:AA$44)</f>
        <v/>
      </c>
      <c r="O28" s="226" t="n">
        <v>0</v>
      </c>
      <c r="P28" s="226" t="n">
        <v>0</v>
      </c>
      <c r="Q28" s="226" t="n">
        <v>6</v>
      </c>
      <c r="R28" s="226" t="n">
        <v>1</v>
      </c>
      <c r="S28" s="226" t="n">
        <v>5</v>
      </c>
      <c r="T28" s="226" t="n">
        <v>2</v>
      </c>
      <c r="U28" s="226" t="n">
        <v>0</v>
      </c>
      <c r="V28" s="226" t="n">
        <v>1</v>
      </c>
      <c r="W28" s="226" t="n">
        <v>1</v>
      </c>
      <c r="X28" s="226" t="n">
        <v>2</v>
      </c>
      <c r="Y28" s="226" t="n">
        <v>1</v>
      </c>
      <c r="Z28" s="226" t="n">
        <v>5</v>
      </c>
      <c r="AA28" s="226" t="n">
        <v>0</v>
      </c>
      <c r="AB28" s="226">
        <f>SUM(Tabla5232[[#This Row],[Naranjas]:[Arandanos]])</f>
        <v/>
      </c>
      <c r="AC28" s="227" t="n"/>
    </row>
    <row outlineLevel="1" r="29" s="199" spans="1:29">
      <c r="B29" s="267" t="s">
        <v>168</v>
      </c>
      <c r="C29" s="223" t="s">
        <v>169</v>
      </c>
      <c r="D29" s="223" t="s">
        <v>170</v>
      </c>
      <c r="E29" s="223" t="s">
        <v>63</v>
      </c>
      <c r="F29" s="223" t="s">
        <v>64</v>
      </c>
      <c r="G29" s="223" t="s">
        <v>99</v>
      </c>
      <c r="H29" s="223" t="s">
        <v>55</v>
      </c>
      <c r="I29" s="224" t="n">
        <v>56967898535</v>
      </c>
      <c r="J29" s="225" t="s">
        <v>171</v>
      </c>
      <c r="K29" s="225" t="s">
        <v>57</v>
      </c>
      <c r="L29" s="226" t="s">
        <v>58</v>
      </c>
      <c r="M29" s="226" t="s">
        <v>58</v>
      </c>
      <c r="N29" s="223">
        <f>SUMPRODUCT(Tabla5232[[#This Row],[Naranjas]:[Arandanos]],O$44:AA$44)</f>
        <v/>
      </c>
      <c r="O29" s="226" t="n">
        <v>0</v>
      </c>
      <c r="P29" s="226" t="n">
        <v>0</v>
      </c>
      <c r="Q29" s="226" t="n">
        <v>8</v>
      </c>
      <c r="R29" s="226" t="n">
        <v>0</v>
      </c>
      <c r="S29" s="226" t="n">
        <v>4</v>
      </c>
      <c r="T29" s="226" t="n">
        <v>2</v>
      </c>
      <c r="U29" s="226" t="n">
        <v>0</v>
      </c>
      <c r="V29" s="226" t="n">
        <v>0</v>
      </c>
      <c r="W29" s="226" t="n">
        <v>0</v>
      </c>
      <c r="X29" s="226" t="n">
        <v>1</v>
      </c>
      <c r="Y29" s="226" t="n">
        <v>1</v>
      </c>
      <c r="Z29" s="226" t="n">
        <v>10</v>
      </c>
      <c r="AA29" s="226" t="n">
        <v>2</v>
      </c>
      <c r="AB29" s="226">
        <f>SUM(Tabla5232[[#This Row],[Naranjas]:[Arandanos]])</f>
        <v/>
      </c>
      <c r="AC29" s="227" t="n"/>
    </row>
    <row outlineLevel="1" r="30" s="199" spans="1:29">
      <c r="B30" s="267" t="s">
        <v>172</v>
      </c>
      <c r="C30" s="223" t="s">
        <v>173</v>
      </c>
      <c r="D30" s="223" t="s">
        <v>174</v>
      </c>
      <c r="E30" s="223" t="s">
        <v>63</v>
      </c>
      <c r="F30" s="223" t="s">
        <v>64</v>
      </c>
      <c r="G30" s="223" t="s">
        <v>99</v>
      </c>
      <c r="H30" s="223" t="s">
        <v>55</v>
      </c>
      <c r="I30" s="224" t="n">
        <v>56963033603</v>
      </c>
      <c r="J30" s="225" t="s">
        <v>175</v>
      </c>
      <c r="K30" s="225" t="s">
        <v>94</v>
      </c>
      <c r="L30" s="226" t="s">
        <v>58</v>
      </c>
      <c r="M30" s="226" t="s">
        <v>58</v>
      </c>
      <c r="N30" s="223">
        <f>SUMPRODUCT(Tabla5232[[#This Row],[Naranjas]:[Arandanos]],O$44:AA$44)</f>
        <v/>
      </c>
      <c r="O30" s="226" t="n">
        <v>0</v>
      </c>
      <c r="P30" s="226" t="n">
        <v>0</v>
      </c>
      <c r="Q30" s="226" t="n">
        <v>3</v>
      </c>
      <c r="R30" s="226" t="n">
        <v>2</v>
      </c>
      <c r="S30" s="226" t="n">
        <v>2</v>
      </c>
      <c r="T30" s="226" t="n">
        <v>2</v>
      </c>
      <c r="U30" s="226" t="n">
        <v>0</v>
      </c>
      <c r="V30" s="226" t="n">
        <v>0</v>
      </c>
      <c r="W30" s="226" t="n">
        <v>0</v>
      </c>
      <c r="X30" s="226" t="n">
        <v>0</v>
      </c>
      <c r="Y30" s="226" t="n">
        <v>0</v>
      </c>
      <c r="Z30" s="226" t="n">
        <v>2</v>
      </c>
      <c r="AA30" s="226" t="n">
        <v>0</v>
      </c>
      <c r="AB30" s="226">
        <f>SUM(Tabla5232[[#This Row],[Naranjas]:[Arandanos]])</f>
        <v/>
      </c>
      <c r="AC30" s="227" t="n"/>
    </row>
    <row outlineLevel="1" r="31" s="199" spans="1:29">
      <c r="B31" s="267" t="s">
        <v>176</v>
      </c>
      <c r="C31" s="223" t="s">
        <v>177</v>
      </c>
      <c r="D31" s="223" t="s">
        <v>178</v>
      </c>
      <c r="E31" s="223" t="s">
        <v>52</v>
      </c>
      <c r="F31" s="223" t="s">
        <v>179</v>
      </c>
      <c r="G31" s="223" t="n">
        <v>0</v>
      </c>
      <c r="H31" s="223" t="s">
        <v>55</v>
      </c>
      <c r="I31" s="224" t="n">
        <v>56954243532</v>
      </c>
      <c r="J31" s="225" t="s">
        <v>180</v>
      </c>
      <c r="K31" s="225" t="s">
        <v>94</v>
      </c>
      <c r="L31" s="226" t="s">
        <v>58</v>
      </c>
      <c r="M31" s="226" t="s">
        <v>58</v>
      </c>
      <c r="N31" s="223">
        <f>SUMPRODUCT(Tabla5232[[#This Row],[Naranjas]:[Arandanos]],O$44:AA$44)</f>
        <v/>
      </c>
      <c r="O31" s="226" t="n">
        <v>0</v>
      </c>
      <c r="P31" s="226" t="n">
        <v>0</v>
      </c>
      <c r="Q31" s="226" t="n">
        <v>3</v>
      </c>
      <c r="R31" s="226" t="n">
        <v>0</v>
      </c>
      <c r="S31" s="226" t="n">
        <v>0</v>
      </c>
      <c r="T31" s="226" t="n">
        <v>0</v>
      </c>
      <c r="U31" s="226" t="n">
        <v>0</v>
      </c>
      <c r="V31" s="226" t="n">
        <v>0</v>
      </c>
      <c r="W31" s="226" t="n">
        <v>0</v>
      </c>
      <c r="X31" s="226" t="n">
        <v>0</v>
      </c>
      <c r="Y31" s="226" t="n">
        <v>0</v>
      </c>
      <c r="Z31" s="226" t="n">
        <v>0</v>
      </c>
      <c r="AA31" s="226" t="n">
        <v>0</v>
      </c>
      <c r="AB31" s="226">
        <f>SUM(Tabla5232[[#This Row],[Naranjas]:[Arandanos]])</f>
        <v/>
      </c>
      <c r="AC31" s="227" t="n"/>
    </row>
    <row outlineLevel="1" r="32" s="199" spans="1:29">
      <c r="B32" s="267" t="s">
        <v>181</v>
      </c>
      <c r="C32" s="223" t="s">
        <v>182</v>
      </c>
      <c r="D32" s="59" t="s">
        <v>183</v>
      </c>
      <c r="E32" s="59" t="s">
        <v>52</v>
      </c>
      <c r="F32" s="59" t="s">
        <v>98</v>
      </c>
      <c r="G32" s="59" t="s">
        <v>99</v>
      </c>
      <c r="H32" s="59" t="s">
        <v>55</v>
      </c>
      <c r="I32" s="60" t="n">
        <v>56966685970</v>
      </c>
      <c r="J32" s="225" t="s">
        <v>184</v>
      </c>
      <c r="K32" s="225" t="s">
        <v>94</v>
      </c>
      <c r="L32" s="226" t="s">
        <v>58</v>
      </c>
      <c r="M32" s="226" t="s">
        <v>58</v>
      </c>
      <c r="N32" s="228">
        <f>SUMPRODUCT(Tabla5232[[#This Row],[Naranjas]:[Arandanos]],O$44:AA$44)</f>
        <v/>
      </c>
      <c r="O32" s="226" t="n">
        <v>0</v>
      </c>
      <c r="P32" s="226" t="n">
        <v>0</v>
      </c>
      <c r="Q32" s="226" t="n">
        <v>1</v>
      </c>
      <c r="R32" s="226" t="n">
        <v>1</v>
      </c>
      <c r="S32" s="226" t="n">
        <v>3</v>
      </c>
      <c r="T32" s="226" t="n">
        <v>1</v>
      </c>
      <c r="U32" s="226" t="n">
        <v>0</v>
      </c>
      <c r="V32" s="226" t="n">
        <v>1</v>
      </c>
      <c r="W32" s="226" t="n">
        <v>2</v>
      </c>
      <c r="X32" s="226" t="n">
        <v>1</v>
      </c>
      <c r="Y32" s="226" t="n">
        <v>0</v>
      </c>
      <c r="Z32" s="226" t="n">
        <v>12</v>
      </c>
      <c r="AA32" s="226" t="n">
        <v>5</v>
      </c>
      <c r="AB32" s="226">
        <f>SUM(Tabla5232[[#This Row],[Naranjas]:[Arandanos]])</f>
        <v/>
      </c>
      <c r="AC32" s="227" t="n"/>
    </row>
    <row outlineLevel="1" r="33" s="199" spans="1:29">
      <c r="B33" s="267" t="s">
        <v>185</v>
      </c>
      <c r="C33" s="223" t="s">
        <v>122</v>
      </c>
      <c r="D33" s="223" t="s">
        <v>186</v>
      </c>
      <c r="E33" s="223" t="s">
        <v>90</v>
      </c>
      <c r="F33" s="223" t="s">
        <v>91</v>
      </c>
      <c r="G33" s="223" t="s">
        <v>54</v>
      </c>
      <c r="H33" s="223" t="s">
        <v>55</v>
      </c>
      <c r="I33" s="224" t="n">
        <v>56982978895</v>
      </c>
      <c r="J33" s="225" t="s">
        <v>187</v>
      </c>
      <c r="K33" s="225" t="s">
        <v>115</v>
      </c>
      <c r="L33" s="226" t="s">
        <v>58</v>
      </c>
      <c r="M33" s="226" t="s">
        <v>58</v>
      </c>
      <c r="N33" s="223">
        <f>SUMPRODUCT(Tabla5232[[#This Row],[Naranjas]:[Arandanos]],O$44:AA$44)</f>
        <v/>
      </c>
      <c r="O33" s="226" t="n">
        <v>0</v>
      </c>
      <c r="P33" s="226" t="n">
        <v>0</v>
      </c>
      <c r="Q33" s="226" t="n">
        <v>4</v>
      </c>
      <c r="R33" s="226" t="n">
        <v>0</v>
      </c>
      <c r="S33" s="226" t="n">
        <v>1</v>
      </c>
      <c r="T33" s="226" t="n">
        <v>1</v>
      </c>
      <c r="U33" s="226" t="n">
        <v>0</v>
      </c>
      <c r="V33" s="226" t="n">
        <v>0</v>
      </c>
      <c r="W33" s="226" t="n">
        <v>0</v>
      </c>
      <c r="X33" s="226" t="n">
        <v>0</v>
      </c>
      <c r="Y33" s="226" t="n">
        <v>0</v>
      </c>
      <c r="Z33" s="226" t="n">
        <v>0</v>
      </c>
      <c r="AA33" s="226" t="n">
        <v>2</v>
      </c>
      <c r="AB33" s="226">
        <f>SUM(Tabla5232[[#This Row],[Naranjas]:[Arandanos]])</f>
        <v/>
      </c>
      <c r="AC33" s="227" t="n"/>
    </row>
    <row customHeight="1" ht="15.75" outlineLevel="1" r="34" s="199" spans="1:29" thickBot="1">
      <c r="B34" s="287" t="s">
        <v>188</v>
      </c>
      <c r="C34" s="230" t="s">
        <v>189</v>
      </c>
      <c r="D34" s="65" t="s">
        <v>190</v>
      </c>
      <c r="E34" s="65" t="s">
        <v>63</v>
      </c>
      <c r="F34" s="65" t="s">
        <v>64</v>
      </c>
      <c r="G34" s="65" t="s">
        <v>141</v>
      </c>
      <c r="H34" s="65" t="s">
        <v>55</v>
      </c>
      <c r="I34" s="66" t="n">
        <v>56966640363</v>
      </c>
      <c r="J34" s="231" t="s">
        <v>191</v>
      </c>
      <c r="K34" s="231" t="s">
        <v>115</v>
      </c>
      <c r="L34" s="232" t="s">
        <v>58</v>
      </c>
      <c r="M34" s="232" t="s">
        <v>58</v>
      </c>
      <c r="N34" s="233">
        <f>SUMPRODUCT(Tabla5232[[#This Row],[Naranjas]:[Arandanos]],O$44:AA$44)</f>
        <v/>
      </c>
      <c r="O34" s="232" t="n">
        <v>0</v>
      </c>
      <c r="P34" s="232" t="n">
        <v>0</v>
      </c>
      <c r="Q34" s="232" t="n">
        <v>1</v>
      </c>
      <c r="R34" s="232" t="n">
        <v>1</v>
      </c>
      <c r="S34" s="232" t="n">
        <v>2</v>
      </c>
      <c r="T34" s="232" t="n">
        <v>0</v>
      </c>
      <c r="U34" s="232" t="n">
        <v>2</v>
      </c>
      <c r="V34" s="232" t="n">
        <v>0</v>
      </c>
      <c r="W34" s="232" t="n">
        <v>0</v>
      </c>
      <c r="X34" s="232" t="n">
        <v>0</v>
      </c>
      <c r="Y34" s="232" t="n">
        <v>0</v>
      </c>
      <c r="Z34" s="232" t="n">
        <v>11</v>
      </c>
      <c r="AA34" s="232" t="n">
        <v>0</v>
      </c>
      <c r="AB34" s="232">
        <f>SUM(Tabla5232[[#This Row],[Naranjas]:[Arandanos]])</f>
        <v/>
      </c>
      <c r="AC34" s="234" t="n"/>
    </row>
    <row outlineLevel="1" r="35" s="199" spans="1:29">
      <c r="A35" s="235" t="n"/>
      <c r="B35" s="236" t="n"/>
      <c r="C35" s="236" t="n"/>
      <c r="D35" s="236" t="n"/>
      <c r="E35" s="236" t="n"/>
      <c r="F35" s="236" t="n"/>
      <c r="G35" s="236" t="n"/>
      <c r="H35" s="236" t="n"/>
      <c r="I35" s="237" t="n"/>
      <c r="J35" s="238" t="n"/>
      <c r="K35" s="238" t="n"/>
      <c r="L35" s="239" t="n"/>
      <c r="M35" s="239" t="n"/>
      <c r="N35" s="239" t="n"/>
      <c r="O35" s="239" t="n"/>
      <c r="P35" s="239" t="n"/>
      <c r="Q35" s="239" t="n"/>
      <c r="R35" s="239" t="n"/>
      <c r="S35" s="239" t="n"/>
      <c r="T35" s="239" t="n"/>
      <c r="U35" s="239" t="n"/>
      <c r="V35" s="239" t="n"/>
      <c r="W35" s="239" t="n"/>
      <c r="X35" s="239" t="n"/>
      <c r="Y35" s="239" t="n"/>
      <c r="Z35" s="239" t="n"/>
      <c r="AA35" s="239" t="n"/>
      <c r="AB35" s="239" t="n"/>
    </row>
    <row customHeight="1" ht="15.75" r="36" s="199" spans="1:29" thickBot="1"/>
    <row customHeight="1" ht="14.65" r="37" s="199" spans="1:29" thickBot="1">
      <c r="A37" s="240" t="s">
        <v>30</v>
      </c>
      <c r="B37" s="241" t="s">
        <v>31</v>
      </c>
      <c r="N37" s="242" t="s">
        <v>32</v>
      </c>
      <c r="O37" s="243">
        <f>SUM(Tabla5232[Naranjas])</f>
        <v/>
      </c>
      <c r="P37" s="220">
        <f>SUM(Tabla5232[Mandarinas])</f>
        <v/>
      </c>
      <c r="Q37" s="220">
        <f>SUM(Tabla5232[Paltas])</f>
        <v/>
      </c>
      <c r="R37" s="220">
        <f>SUM(Tabla5232[Quesos])</f>
        <v/>
      </c>
      <c r="S37" s="220">
        <f>SUM(Tabla5232[Frutillas])</f>
        <v/>
      </c>
      <c r="T37" s="220">
        <f>SUM(Tabla5232[Tomate Cherry])</f>
        <v/>
      </c>
      <c r="U37" s="220">
        <f>SUM(Tabla5232[Nueces])</f>
        <v/>
      </c>
      <c r="V37" s="220">
        <f>SUM(Tabla5232[Mani])</f>
        <v/>
      </c>
      <c r="W37" s="220">
        <f>SUM(Tabla5232[Pistachos])</f>
        <v/>
      </c>
      <c r="X37" s="220">
        <f>SUM(Tabla5232[Caju])</f>
        <v/>
      </c>
      <c r="Y37" s="220">
        <f>SUM(Tabla5232[Almendras])</f>
        <v/>
      </c>
      <c r="Z37" s="220">
        <f>SUM(Tabla5232[Cerezas])</f>
        <v/>
      </c>
      <c r="AA37" s="244">
        <f>SUM(Tabla5232[Arandanos])</f>
        <v/>
      </c>
    </row>
    <row customHeight="1" ht="14.65" r="38" s="199" spans="1:29" thickBot="1">
      <c r="N38" s="242" t="s">
        <v>33</v>
      </c>
      <c r="O38" s="245" t="n">
        <v>5</v>
      </c>
      <c r="P38" s="226" t="n">
        <v>4</v>
      </c>
      <c r="Q38" s="226" t="n">
        <v>2</v>
      </c>
      <c r="R38" s="246" t="n">
        <v>1</v>
      </c>
      <c r="S38" s="246" t="n">
        <v>2</v>
      </c>
      <c r="T38" s="226" t="n">
        <v>1</v>
      </c>
      <c r="U38" s="247" t="n">
        <v>0.5</v>
      </c>
      <c r="V38" s="247" t="n">
        <v>1</v>
      </c>
      <c r="W38" s="247" t="n">
        <v>0.5</v>
      </c>
      <c r="X38" s="247" t="n">
        <v>0.4</v>
      </c>
      <c r="Y38" s="247" t="n">
        <v>0.5</v>
      </c>
      <c r="Z38" s="247" t="n">
        <v>5</v>
      </c>
      <c r="AA38" s="248" t="n">
        <v>0.5</v>
      </c>
    </row>
    <row customHeight="1" ht="14.65" r="39" s="199" spans="1:29" thickBot="1">
      <c r="N39" s="242" t="s">
        <v>34</v>
      </c>
      <c r="O39" s="245">
        <f>O38*O37</f>
        <v/>
      </c>
      <c r="P39" s="226">
        <f>P38*P37</f>
        <v/>
      </c>
      <c r="Q39" s="226">
        <f>Q38*Q37</f>
        <v/>
      </c>
      <c r="R39" s="226">
        <f>R38*R37</f>
        <v/>
      </c>
      <c r="S39" s="226">
        <f>S38*S37</f>
        <v/>
      </c>
      <c r="T39" s="226">
        <f>T38*T37</f>
        <v/>
      </c>
      <c r="U39" s="226">
        <f>U38*U37</f>
        <v/>
      </c>
      <c r="V39" s="226">
        <f>V38*V37</f>
        <v/>
      </c>
      <c r="W39" s="226">
        <f>W38*W37</f>
        <v/>
      </c>
      <c r="X39" s="226">
        <f>X38*X37</f>
        <v/>
      </c>
      <c r="Y39" s="226">
        <f>Y38*Y37</f>
        <v/>
      </c>
      <c r="Z39" s="226">
        <f>Z38*Z37</f>
        <v/>
      </c>
      <c r="AA39" s="249">
        <f>AA38*AA37</f>
        <v/>
      </c>
    </row>
    <row customHeight="1" ht="15.75" r="40" s="199" spans="1:29" thickBot="1">
      <c r="N40" s="242" t="s">
        <v>35</v>
      </c>
      <c r="O40" s="250" t="n"/>
      <c r="P40" s="232" t="n"/>
      <c r="Q40" s="232" t="n"/>
      <c r="R40" s="232" t="n"/>
      <c r="S40" s="232" t="n"/>
      <c r="T40" s="232" t="n"/>
      <c r="U40" s="232" t="n"/>
      <c r="V40" s="232" t="n"/>
      <c r="W40" s="232" t="n"/>
      <c r="X40" s="232" t="n"/>
      <c r="Y40" s="232" t="n"/>
      <c r="Z40" s="232" t="n"/>
      <c r="AA40" s="251" t="n"/>
    </row>
    <row customHeight="1" ht="15.75" r="41" s="199" spans="1:29" thickBot="1">
      <c r="B41" s="252" t="n"/>
      <c r="C41" s="236" t="n"/>
      <c r="D41" s="253" t="n"/>
      <c r="E41" s="254" t="n"/>
      <c r="F41" s="254" t="n"/>
      <c r="G41" s="254" t="n"/>
      <c r="H41" s="254" t="n"/>
      <c r="I41" s="254" t="n"/>
      <c r="J41" s="254" t="n"/>
      <c r="K41" s="255" t="n"/>
      <c r="N41" s="256" t="n"/>
    </row>
    <row customHeight="1" ht="15.75" r="42" s="199" spans="1:29" thickBot="1">
      <c r="B42" s="241" t="s">
        <v>36</v>
      </c>
      <c r="N42" s="242" t="s">
        <v>37</v>
      </c>
      <c r="O42" s="257">
        <f>O43*O38</f>
        <v/>
      </c>
      <c r="P42" s="217">
        <f>P43*P38</f>
        <v/>
      </c>
      <c r="Q42" s="217">
        <f>Q43*Q38</f>
        <v/>
      </c>
      <c r="R42" s="217">
        <f>R43*R38</f>
        <v/>
      </c>
      <c r="S42" s="217">
        <f>S43*S38</f>
        <v/>
      </c>
      <c r="T42" s="217">
        <f>T43*T38</f>
        <v/>
      </c>
      <c r="U42" s="217">
        <f>U43*U38</f>
        <v/>
      </c>
      <c r="V42" s="217">
        <f>V43*V38</f>
        <v/>
      </c>
      <c r="W42" s="217">
        <f>W43*W38</f>
        <v/>
      </c>
      <c r="X42" s="217">
        <f>X43*X38</f>
        <v/>
      </c>
      <c r="Y42" s="217">
        <f>Y43*Y38</f>
        <v/>
      </c>
      <c r="Z42" s="217">
        <f>Z43*Z38</f>
        <v/>
      </c>
      <c r="AA42" s="258">
        <f>AA43*AA38</f>
        <v/>
      </c>
    </row>
    <row customHeight="1" ht="15.75" r="43" s="199" spans="1:29" thickBot="1">
      <c r="N43" s="242" t="s">
        <v>34</v>
      </c>
      <c r="O43" s="259" t="n">
        <v>550</v>
      </c>
      <c r="P43" s="260" t="n">
        <v>550</v>
      </c>
      <c r="Q43" s="260" t="n">
        <v>1550</v>
      </c>
      <c r="R43" s="260" t="n">
        <v>6716</v>
      </c>
      <c r="S43" s="260" t="n">
        <v>1300</v>
      </c>
      <c r="T43" s="260" t="n">
        <v>2300</v>
      </c>
      <c r="U43" s="260" t="n">
        <v>7500</v>
      </c>
      <c r="V43" s="260" t="n">
        <v>3500</v>
      </c>
      <c r="W43" s="260" t="n">
        <v>14100</v>
      </c>
      <c r="X43" s="260" t="n">
        <v>13300</v>
      </c>
      <c r="Y43" s="260" t="n">
        <v>10700</v>
      </c>
      <c r="Z43" s="260">
        <f>6000/5</f>
        <v/>
      </c>
      <c r="AA43" s="261">
        <f>6000/5</f>
        <v/>
      </c>
    </row>
    <row customHeight="1" ht="15.75" r="44" s="199" spans="1:29" thickBot="1">
      <c r="N44" s="242" t="s">
        <v>38</v>
      </c>
      <c r="O44" s="262" t="n">
        <v>3500</v>
      </c>
      <c r="P44" s="263" t="n">
        <v>4500</v>
      </c>
      <c r="Q44" s="263" t="n">
        <v>4500</v>
      </c>
      <c r="R44" s="263" t="n">
        <v>7500</v>
      </c>
      <c r="S44" s="263" t="n">
        <v>4500</v>
      </c>
      <c r="T44" s="263" t="n">
        <v>4500</v>
      </c>
      <c r="U44" s="263" t="n">
        <v>5500</v>
      </c>
      <c r="V44" s="263" t="n">
        <v>4500</v>
      </c>
      <c r="W44" s="263" t="n">
        <v>8500</v>
      </c>
      <c r="X44" s="263" t="n">
        <v>7500</v>
      </c>
      <c r="Y44" s="263" t="n">
        <v>7500</v>
      </c>
      <c r="Z44" s="263" t="n">
        <v>7500</v>
      </c>
      <c r="AA44" s="264" t="n">
        <v>4500</v>
      </c>
    </row>
    <row customHeight="1" ht="15.75" r="45" s="199" spans="1:29" thickBot="1">
      <c r="B45" s="252" t="n"/>
      <c r="C45" s="236" t="n"/>
      <c r="D45" s="253" t="n"/>
      <c r="E45" s="254" t="n"/>
      <c r="F45" s="254" t="n"/>
      <c r="G45" s="254" t="n"/>
      <c r="H45" s="254" t="n"/>
      <c r="I45" s="254" t="n"/>
      <c r="J45" s="254" t="n"/>
      <c r="K45" s="255" t="n"/>
      <c r="N45" s="256" t="n"/>
    </row>
    <row customHeight="1" ht="14.65" r="46" s="199" spans="1:29" thickBot="1">
      <c r="B46" s="241" t="s">
        <v>39</v>
      </c>
      <c r="N46" s="242" t="s">
        <v>40</v>
      </c>
      <c r="O46" s="257">
        <f>O37*O42</f>
        <v/>
      </c>
      <c r="P46" s="217">
        <f>P37*P42</f>
        <v/>
      </c>
      <c r="Q46" s="217">
        <f>Q37*Q42</f>
        <v/>
      </c>
      <c r="R46" s="265">
        <f>R37*R42</f>
        <v/>
      </c>
      <c r="S46" s="265">
        <f>S37*S42</f>
        <v/>
      </c>
      <c r="T46" s="217">
        <f>T37*T42</f>
        <v/>
      </c>
      <c r="U46" s="217">
        <f>U37*U42</f>
        <v/>
      </c>
      <c r="V46" s="217">
        <f>V37*V42</f>
        <v/>
      </c>
      <c r="W46" s="217">
        <f>W37*W42</f>
        <v/>
      </c>
      <c r="X46" s="217">
        <f>X37*X42</f>
        <v/>
      </c>
      <c r="Y46" s="217">
        <f>Y37*Y42</f>
        <v/>
      </c>
      <c r="Z46" s="217">
        <f>Z37*Z42</f>
        <v/>
      </c>
      <c r="AA46" s="258">
        <f>AA37*AA42</f>
        <v/>
      </c>
    </row>
    <row customHeight="1" ht="15.75" r="47" s="199" spans="1:29" thickBot="1">
      <c r="N47" s="242" t="s">
        <v>27</v>
      </c>
      <c r="O47" s="266">
        <f>SUM(O46:AA46)</f>
        <v/>
      </c>
    </row>
    <row customHeight="1" ht="15.75" r="48" s="199" spans="1:29" thickBot="1">
      <c r="B48" s="241" t="s">
        <v>41</v>
      </c>
      <c r="N48" s="242" t="s">
        <v>40</v>
      </c>
      <c r="O48" s="267">
        <f>O44*O37</f>
        <v/>
      </c>
      <c r="P48" s="223">
        <f>P44*P37</f>
        <v/>
      </c>
      <c r="Q48" s="223">
        <f>Q44*Q37</f>
        <v/>
      </c>
      <c r="R48" s="223">
        <f>R44*R37</f>
        <v/>
      </c>
      <c r="S48" s="223">
        <f>S44*S37</f>
        <v/>
      </c>
      <c r="T48" s="223">
        <f>T44*T37</f>
        <v/>
      </c>
      <c r="U48" s="223">
        <f>U44*U37</f>
        <v/>
      </c>
      <c r="V48" s="223">
        <f>V44*V37</f>
        <v/>
      </c>
      <c r="W48" s="223">
        <f>W44*W37</f>
        <v/>
      </c>
      <c r="X48" s="223">
        <f>X44*X37</f>
        <v/>
      </c>
      <c r="Y48" s="223">
        <f>Y44*Y37</f>
        <v/>
      </c>
      <c r="Z48" s="223">
        <f>Z44*Z37</f>
        <v/>
      </c>
      <c r="AA48" s="268">
        <f>AA44*AA37</f>
        <v/>
      </c>
    </row>
    <row customHeight="1" ht="15.75" r="49" s="199" spans="1:29" thickBot="1">
      <c r="N49" s="242" t="s">
        <v>27</v>
      </c>
      <c r="O49" s="266">
        <f>SUM(O48:AA48)</f>
        <v/>
      </c>
    </row>
    <row customHeight="1" ht="14.65" r="50" s="199" spans="1:29" thickBot="1">
      <c r="B50" s="241" t="s">
        <v>42</v>
      </c>
      <c r="N50" s="242" t="s">
        <v>40</v>
      </c>
      <c r="O50" s="267">
        <f>O48-O46</f>
        <v/>
      </c>
      <c r="P50" s="223">
        <f>P48-P46</f>
        <v/>
      </c>
      <c r="Q50" s="223">
        <f>Q48-Q46</f>
        <v/>
      </c>
      <c r="R50" s="223">
        <f>R48-R46</f>
        <v/>
      </c>
      <c r="S50" s="223">
        <f>S48-S46</f>
        <v/>
      </c>
      <c r="T50" s="223">
        <f>T48-T46</f>
        <v/>
      </c>
      <c r="U50" s="223">
        <f>U48-U46</f>
        <v/>
      </c>
      <c r="V50" s="223">
        <f>V48-V46</f>
        <v/>
      </c>
      <c r="W50" s="223">
        <f>W48-W46</f>
        <v/>
      </c>
      <c r="X50" s="223">
        <f>X48-X46</f>
        <v/>
      </c>
      <c r="Y50" s="223">
        <f>Y48-Y46</f>
        <v/>
      </c>
      <c r="Z50" s="223">
        <f>Z48-Z46</f>
        <v/>
      </c>
      <c r="AA50" s="268">
        <f>AA48-AA46</f>
        <v/>
      </c>
    </row>
    <row customHeight="1" ht="29.65" r="51" s="199" spans="1:29" thickBot="1">
      <c r="N51" s="242" t="s">
        <v>43</v>
      </c>
      <c r="O51" s="269">
        <f>O49-O47</f>
        <v/>
      </c>
    </row>
    <row customHeight="1" ht="15.75" r="52" s="199" spans="1:29" thickBot="1"/>
    <row customHeight="1" ht="14.65" r="53" s="199" spans="1:29" thickBot="1">
      <c r="B53" s="270" t="s">
        <v>44</v>
      </c>
      <c r="O53" s="271" t="s">
        <v>45</v>
      </c>
      <c r="R53" s="272" t="s">
        <v>46</v>
      </c>
      <c r="S53" s="288" t="n"/>
      <c r="T53" s="256" t="n"/>
      <c r="U53" s="256" t="n"/>
      <c r="V53" s="256" t="n"/>
      <c r="W53" s="256" t="n"/>
      <c r="X53" s="256" t="n"/>
      <c r="Y53" s="256" t="n"/>
      <c r="Z53" s="256" t="n"/>
      <c r="AA53" s="256" t="n"/>
    </row>
    <row customHeight="1" ht="15" r="54" s="199" spans="1:29">
      <c r="O54" s="273" t="n"/>
      <c r="R54" s="274" t="n"/>
      <c r="S54" s="289" t="n"/>
      <c r="T54" s="236" t="n"/>
      <c r="U54" s="236" t="n"/>
      <c r="V54" s="236" t="n"/>
      <c r="W54" s="236" t="n"/>
      <c r="X54" s="236" t="n"/>
      <c r="Y54" s="236" t="n"/>
      <c r="Z54" s="236" t="n"/>
      <c r="AA54" s="236" t="n"/>
    </row>
    <row customHeight="1" ht="15" r="55" s="199" spans="1:29">
      <c r="O55" s="275" t="n"/>
      <c r="R55" s="276" t="n"/>
      <c r="S55" s="289" t="n"/>
      <c r="T55" s="236" t="n"/>
      <c r="U55" s="236" t="n"/>
      <c r="V55" s="236" t="n"/>
      <c r="W55" s="236" t="n"/>
      <c r="X55" s="236" t="n"/>
      <c r="Y55" s="236" t="n"/>
      <c r="Z55" s="236" t="n"/>
      <c r="AA55" s="236" t="n"/>
    </row>
    <row customHeight="1" ht="15" r="56" s="199" spans="1:29">
      <c r="O56" s="275" t="n"/>
      <c r="R56" s="276" t="n"/>
      <c r="S56" s="289" t="n"/>
      <c r="T56" s="236" t="n"/>
      <c r="U56" s="236" t="n"/>
      <c r="V56" s="236" t="n"/>
      <c r="W56" s="236" t="n"/>
      <c r="X56" s="236" t="n"/>
      <c r="Y56" s="236" t="n"/>
      <c r="Z56" s="236" t="n"/>
      <c r="AA56" s="236" t="n"/>
    </row>
    <row customHeight="1" ht="15" r="57" s="199" spans="1:29">
      <c r="O57" s="275" t="n"/>
      <c r="R57" s="276" t="n"/>
      <c r="S57" s="289" t="n"/>
      <c r="T57" s="236" t="n"/>
      <c r="U57" s="236" t="n"/>
      <c r="V57" s="236" t="n"/>
      <c r="W57" s="236" t="n"/>
      <c r="X57" s="236" t="n"/>
      <c r="Y57" s="236" t="n"/>
      <c r="Z57" s="236" t="n"/>
      <c r="AA57" s="236" t="n"/>
    </row>
    <row customHeight="1" ht="15" r="58" s="199" spans="1:29">
      <c r="O58" s="275" t="n"/>
      <c r="R58" s="276" t="n"/>
      <c r="S58" s="289" t="n"/>
      <c r="T58" s="236" t="n"/>
      <c r="U58" s="236" t="n"/>
      <c r="V58" s="236" t="n"/>
      <c r="W58" s="236" t="n"/>
      <c r="X58" s="236" t="n"/>
      <c r="Y58" s="236" t="n"/>
      <c r="Z58" s="236" t="n"/>
      <c r="AA58" s="236" t="n"/>
    </row>
    <row customHeight="1" ht="15" r="59" s="199" spans="1:29">
      <c r="O59" s="275" t="n"/>
      <c r="R59" s="276" t="n"/>
      <c r="S59" s="289" t="n"/>
      <c r="T59" s="236" t="n"/>
      <c r="U59" s="236" t="n"/>
      <c r="V59" s="236" t="n"/>
      <c r="W59" s="236" t="n"/>
      <c r="X59" s="236" t="n"/>
      <c r="Y59" s="236" t="n"/>
      <c r="Z59" s="236" t="n"/>
      <c r="AA59" s="236" t="n"/>
    </row>
    <row customHeight="1" ht="15" r="60" s="199" spans="1:29" thickBot="1">
      <c r="O60" s="277" t="n"/>
      <c r="R60" s="276" t="n"/>
      <c r="S60" s="289" t="n"/>
      <c r="T60" s="236" t="n"/>
      <c r="U60" s="236" t="n"/>
      <c r="V60" s="236" t="n"/>
      <c r="W60" s="236" t="n"/>
      <c r="X60" s="236" t="n"/>
      <c r="Y60" s="236" t="n"/>
      <c r="Z60" s="236" t="n"/>
      <c r="AA60" s="236" t="n"/>
    </row>
    <row customHeight="1" ht="15.75" r="61" s="199" spans="1:29" thickBot="1">
      <c r="O61" s="278" t="s">
        <v>27</v>
      </c>
      <c r="R61" s="279">
        <f>SUM(R54:R60)</f>
        <v/>
      </c>
      <c r="S61" s="290" t="n"/>
      <c r="T61" s="236" t="n"/>
      <c r="U61" s="236" t="n"/>
      <c r="V61" s="236" t="n"/>
      <c r="W61" s="236" t="n"/>
      <c r="X61" s="236" t="n"/>
      <c r="Y61" s="236" t="n"/>
      <c r="Z61" s="236" t="n"/>
      <c r="AA61" s="236" t="n"/>
    </row>
    <row customHeight="1" ht="15.75" r="62" s="199" spans="1:29" thickBot="1"/>
    <row customHeight="1" ht="51.75" r="63" s="199" spans="1:29" thickBot="1">
      <c r="B63" s="271" t="s">
        <v>42</v>
      </c>
      <c r="M63" s="242" t="n"/>
      <c r="N63" s="271" t="s">
        <v>27</v>
      </c>
      <c r="O63" s="280">
        <f>O51-SUM(R54:R60)</f>
        <v/>
      </c>
      <c r="V63" s="281" t="n"/>
      <c r="W63" s="281" t="n"/>
      <c r="X63" s="281" t="n"/>
      <c r="Y63" s="281" t="n"/>
      <c r="Z63" s="281" t="n"/>
      <c r="AA63" s="281" t="n"/>
    </row>
    <row customHeight="1" ht="15.75" r="64" s="199" spans="1:29">
      <c r="A64" s="282" t="n"/>
      <c r="P64" s="236" t="n"/>
      <c r="Q64" s="236" t="n"/>
      <c r="R64" s="236" t="n"/>
      <c r="S64" s="236" t="n"/>
      <c r="U64" s="256" t="n"/>
      <c r="V64" s="256" t="n"/>
      <c r="W64" s="256" t="n"/>
      <c r="X64" s="256" t="n"/>
      <c r="Y64" s="256" t="n"/>
      <c r="Z64" s="256" t="n"/>
      <c r="AA64" s="256" t="n"/>
    </row>
    <row customHeight="1" ht="15" r="65" s="199" spans="1:29">
      <c r="A65" s="282" t="n"/>
      <c r="P65" s="236" t="n"/>
      <c r="Q65" s="236" t="n"/>
      <c r="R65" s="236" t="n"/>
      <c r="S65" s="236" t="n"/>
      <c r="U65" s="203" t="n"/>
      <c r="V65" s="203" t="n"/>
      <c r="W65" s="203" t="n"/>
      <c r="X65" s="203" t="n"/>
      <c r="Y65" s="203" t="n"/>
      <c r="Z65" s="203" t="n"/>
      <c r="AA65" s="203" t="n"/>
    </row>
    <row customHeight="1" ht="15" r="66" s="199" spans="1:29">
      <c r="P66" s="236" t="n"/>
      <c r="Q66" s="236" t="n"/>
      <c r="R66" s="236" t="n"/>
      <c r="S66" s="236" t="n"/>
      <c r="U66" s="203" t="n"/>
      <c r="V66" s="203" t="n"/>
      <c r="W66" s="203" t="n"/>
      <c r="X66" s="203" t="n"/>
      <c r="Y66" s="203" t="n"/>
      <c r="Z66" s="203" t="n"/>
      <c r="AA66" s="203" t="n"/>
    </row>
    <row customHeight="1" ht="15" r="67" s="199" spans="1:29">
      <c r="P67" s="236" t="n"/>
      <c r="Q67" s="236" t="n"/>
      <c r="R67" s="236" t="n"/>
      <c r="S67" s="236" t="n"/>
      <c r="U67" s="203" t="n"/>
      <c r="V67" s="203" t="n"/>
      <c r="W67" s="203" t="n"/>
      <c r="X67" s="203" t="n"/>
      <c r="Y67" s="203" t="n"/>
      <c r="Z67" s="203" t="n"/>
      <c r="AA67" s="203" t="n"/>
    </row>
    <row customHeight="1" ht="15" r="68" s="199" spans="1:29">
      <c r="P68" s="236" t="n"/>
      <c r="Q68" s="236" t="n"/>
      <c r="R68" s="236" t="n"/>
      <c r="S68" s="236" t="n"/>
      <c r="U68" s="203" t="n"/>
      <c r="V68" s="203" t="n"/>
      <c r="W68" s="203" t="n"/>
      <c r="X68" s="203" t="n"/>
      <c r="Y68" s="203" t="n"/>
      <c r="Z68" s="203" t="n"/>
      <c r="AA68" s="203" t="n"/>
    </row>
    <row customHeight="1" ht="15" r="69" s="199" spans="1:29">
      <c r="P69" s="236" t="n"/>
      <c r="Q69" s="236" t="n"/>
      <c r="R69" s="236" t="n"/>
      <c r="S69" s="236" t="n"/>
      <c r="U69" s="203" t="n"/>
      <c r="V69" s="203" t="n"/>
      <c r="W69" s="203" t="n"/>
      <c r="X69" s="203" t="n"/>
      <c r="Y69" s="203" t="n"/>
      <c r="Z69" s="203" t="n"/>
      <c r="AA69" s="203" t="n"/>
    </row>
    <row customHeight="1" ht="15" r="70" s="199" spans="1:29">
      <c r="P70" s="236" t="n"/>
      <c r="Q70" s="236" t="n"/>
      <c r="R70" s="236" t="n"/>
      <c r="S70" s="236" t="n"/>
      <c r="U70" s="203" t="n"/>
      <c r="V70" s="203" t="n"/>
      <c r="W70" s="203" t="n"/>
      <c r="X70" s="203" t="n"/>
      <c r="Y70" s="203" t="n"/>
      <c r="Z70" s="203" t="n"/>
      <c r="AA70" s="203" t="n"/>
    </row>
    <row customHeight="1" ht="15" r="71" s="199" spans="1:29">
      <c r="P71" s="236" t="n"/>
      <c r="Q71" s="236" t="n"/>
      <c r="R71" s="236" t="n"/>
      <c r="S71" s="236" t="n"/>
      <c r="U71" s="203" t="n"/>
      <c r="V71" s="203" t="n"/>
      <c r="W71" s="203" t="n"/>
      <c r="X71" s="203" t="n"/>
      <c r="Y71" s="203" t="n"/>
      <c r="Z71" s="203" t="n"/>
      <c r="AA71" s="203" t="n"/>
    </row>
    <row customHeight="1" ht="15.75" r="72" s="199" spans="1:29">
      <c r="P72" s="236" t="n"/>
      <c r="Q72" s="236" t="n"/>
      <c r="R72" s="236" t="n"/>
      <c r="S72" s="236" t="n"/>
      <c r="U72" s="203" t="n"/>
      <c r="V72" s="203" t="n"/>
      <c r="W72" s="203" t="n"/>
      <c r="X72" s="203" t="n"/>
      <c r="Y72" s="203" t="n"/>
      <c r="Z72" s="203" t="n"/>
      <c r="AA72" s="203" t="n"/>
    </row>
  </sheetData>
  <mergeCells count="24">
    <mergeCell ref="B2:N2"/>
    <mergeCell ref="O2:AA2"/>
    <mergeCell ref="A37:A63"/>
    <mergeCell ref="B37:M40"/>
    <mergeCell ref="B42:M44"/>
    <mergeCell ref="B46:M47"/>
    <mergeCell ref="O47:AA47"/>
    <mergeCell ref="B48:M49"/>
    <mergeCell ref="O49:AA49"/>
    <mergeCell ref="A5:A34"/>
    <mergeCell ref="O60:Q60"/>
    <mergeCell ref="O61:Q61"/>
    <mergeCell ref="B63:L63"/>
    <mergeCell ref="O63:U63"/>
    <mergeCell ref="B50:M51"/>
    <mergeCell ref="O51:AA51"/>
    <mergeCell ref="B53:N61"/>
    <mergeCell ref="O53:Q53"/>
    <mergeCell ref="O54:Q54"/>
    <mergeCell ref="O55:Q55"/>
    <mergeCell ref="O56:Q56"/>
    <mergeCell ref="O57:Q57"/>
    <mergeCell ref="O58:Q58"/>
    <mergeCell ref="O59:Q59"/>
  </mergeCells>
  <conditionalFormatting sqref="AB5:AB34">
    <cfRule dxfId="85" operator="lessThan" priority="1" type="cellIs">
      <formula>20</formula>
    </cfRule>
    <cfRule dxfId="84" operator="between" priority="2" type="cellIs">
      <formula>20</formula>
      <formula>29</formula>
    </cfRule>
    <cfRule dxfId="83" operator="greaterThan" priority="3" type="cellIs">
      <formula>29</formula>
    </cfRule>
  </conditionalFormatting>
  <hyperlinks>
    <hyperlink ref="J21" r:id="rId1"/>
  </hyperlinks>
  <pageMargins bottom="0.75" footer="0.3" header="0.3" left="0.7" right="0.7" top="0.75"/>
  <pageSetup orientation="portrait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3">
    <outlinePr summaryBelow="1" summaryRight="1"/>
    <pageSetUpPr autoPageBreaks="0"/>
  </sheetPr>
  <dimension ref="A2:AB62"/>
  <sheetViews>
    <sheetView workbookViewId="0" zoomScale="85" zoomScaleNormal="85" zoomScalePageLayoutView="85">
      <pane activePane="bottomRight" state="frozen" topLeftCell="D5" xSplit="3" ySplit="4"/>
      <selection activeCell="D1" pane="topRight" sqref="D1"/>
      <selection activeCell="A5" pane="bottomLeft" sqref="A5"/>
      <selection activeCell="P9" pane="bottomRight" sqref="P9"/>
    </sheetView>
  </sheetViews>
  <sheetFormatPr baseColWidth="10" defaultColWidth="11.42578125" defaultRowHeight="15" outlineLevelCol="1" outlineLevelRow="1"/>
  <cols>
    <col customWidth="1" max="2" min="2" style="199" width="12.42578125"/>
    <col customWidth="1" max="3" min="3" style="199" width="15.28515625"/>
    <col customWidth="1" hidden="1" max="4" min="4" outlineLevel="1" style="199" width="38"/>
    <col customWidth="1" hidden="1" max="5" min="5" outlineLevel="1" style="199" width="15.140625"/>
    <col customWidth="1" hidden="1" max="6" min="6" outlineLevel="1" style="199" width="16.5703125"/>
    <col customWidth="1" hidden="1" max="7" min="7" outlineLevel="1" style="199" width="14.7109375"/>
    <col customWidth="1" hidden="1" max="8" min="8" outlineLevel="1" style="199" width="10.5703125"/>
    <col customWidth="1" hidden="1" max="9" min="9" outlineLevel="1" style="199" width="18.42578125"/>
    <col customWidth="1" hidden="1" max="10" min="10" outlineLevel="1" style="199" width="33.5703125"/>
    <col customWidth="1" max="11" min="11" outlineLevel="1" style="199" width="20.7109375"/>
    <col customWidth="1" max="14" min="12" style="199" width="10.7109375"/>
    <col customWidth="1" max="26" min="15" style="199" width="15.42578125"/>
    <col customWidth="1" max="28" min="28" style="200" width="71.42578125"/>
  </cols>
  <sheetData>
    <row customHeight="1" ht="15.75" r="1" s="199" spans="1:28" thickBot="1"/>
    <row customHeight="1" ht="29.65" r="2" s="199" spans="1:28" thickBot="1">
      <c r="B2" s="201" t="s">
        <v>0</v>
      </c>
      <c r="O2" s="283" t="n"/>
    </row>
    <row customFormat="1" customHeight="1" ht="15.75" r="3" s="203" spans="1:28" thickBot="1">
      <c r="L3" s="204" t="n"/>
      <c r="M3" s="204" t="n"/>
      <c r="N3" s="204" t="n"/>
      <c r="O3" s="205" t="s">
        <v>2</v>
      </c>
      <c r="P3" s="205" t="s">
        <v>3</v>
      </c>
      <c r="Q3" s="205" t="s">
        <v>4</v>
      </c>
      <c r="R3" s="205" t="s">
        <v>5</v>
      </c>
      <c r="S3" s="205" t="s">
        <v>6</v>
      </c>
      <c r="T3" s="206" t="s">
        <v>7</v>
      </c>
      <c r="U3" s="206" t="s">
        <v>8</v>
      </c>
      <c r="V3" s="206" t="s">
        <v>9</v>
      </c>
      <c r="W3" s="206" t="s">
        <v>10</v>
      </c>
      <c r="X3" s="207" t="s">
        <v>11</v>
      </c>
      <c r="Y3" s="208" t="s">
        <v>12</v>
      </c>
      <c r="Z3" s="208" t="s">
        <v>13</v>
      </c>
      <c r="AB3" s="200" t="n"/>
    </row>
    <row customFormat="1" customHeight="1" ht="15.75" r="4" s="209" spans="1:28" thickBot="1">
      <c r="B4" s="210" t="s">
        <v>14</v>
      </c>
      <c r="C4" s="210" t="s">
        <v>15</v>
      </c>
      <c r="D4" s="210" t="s">
        <v>16</v>
      </c>
      <c r="E4" s="210" t="s">
        <v>17</v>
      </c>
      <c r="F4" s="210" t="s">
        <v>18</v>
      </c>
      <c r="G4" s="210" t="s">
        <v>19</v>
      </c>
      <c r="H4" s="210" t="s">
        <v>20</v>
      </c>
      <c r="I4" s="210" t="s">
        <v>21</v>
      </c>
      <c r="J4" s="210" t="s">
        <v>22</v>
      </c>
      <c r="K4" s="210" t="s">
        <v>23</v>
      </c>
      <c r="L4" s="210" t="s">
        <v>24</v>
      </c>
      <c r="M4" s="210" t="s">
        <v>25</v>
      </c>
      <c r="N4" s="210" t="s">
        <v>26</v>
      </c>
      <c r="O4" s="211" t="s">
        <v>2</v>
      </c>
      <c r="P4" s="211" t="s">
        <v>3</v>
      </c>
      <c r="Q4" s="212" t="s">
        <v>4</v>
      </c>
      <c r="R4" s="212" t="s">
        <v>5</v>
      </c>
      <c r="S4" s="212" t="s">
        <v>6</v>
      </c>
      <c r="T4" s="213" t="s">
        <v>7</v>
      </c>
      <c r="U4" s="213" t="s">
        <v>8</v>
      </c>
      <c r="V4" s="213" t="s">
        <v>9</v>
      </c>
      <c r="W4" s="213" t="s">
        <v>10</v>
      </c>
      <c r="X4" s="213" t="s">
        <v>11</v>
      </c>
      <c r="Y4" s="213" t="s">
        <v>12</v>
      </c>
      <c r="Z4" s="213" t="s">
        <v>13</v>
      </c>
      <c r="AA4" s="213" t="s">
        <v>27</v>
      </c>
      <c r="AB4" s="214" t="s">
        <v>28</v>
      </c>
    </row>
    <row customHeight="1" ht="14.65" outlineLevel="1" r="5" s="199" spans="1:28">
      <c r="A5" s="284" t="s">
        <v>29</v>
      </c>
      <c r="B5" s="257" t="s">
        <v>192</v>
      </c>
      <c r="C5" s="217" t="s">
        <v>193</v>
      </c>
      <c r="D5" s="114" t="n">
        <v>0</v>
      </c>
      <c r="E5" s="114" t="n">
        <v>0</v>
      </c>
      <c r="F5" s="114" t="n">
        <v>0</v>
      </c>
      <c r="G5" s="114" t="n">
        <v>0</v>
      </c>
      <c r="H5" s="114" t="n">
        <v>0</v>
      </c>
      <c r="I5" s="115" t="n">
        <v>0</v>
      </c>
      <c r="J5" s="219" t="s">
        <v>167</v>
      </c>
      <c r="K5" s="219" t="n">
        <v>0</v>
      </c>
      <c r="L5" s="220" t="s">
        <v>59</v>
      </c>
      <c r="M5" s="220" t="s">
        <v>59</v>
      </c>
      <c r="N5" s="285">
        <f>SUMPRODUCT(Tabla5234[[#This Row],[Paltas]:[Empanadas]],O$34:Z$34)</f>
        <v/>
      </c>
      <c r="O5" s="220" t="n">
        <v>1</v>
      </c>
      <c r="P5" s="220" t="n">
        <v>2</v>
      </c>
      <c r="Q5" s="220" t="n">
        <v>0</v>
      </c>
      <c r="R5" s="220" t="n">
        <v>1</v>
      </c>
      <c r="S5" s="220" t="n">
        <v>0</v>
      </c>
      <c r="T5" s="220" t="n">
        <v>0</v>
      </c>
      <c r="U5" s="220" t="n">
        <v>1</v>
      </c>
      <c r="V5" s="220" t="n">
        <v>0</v>
      </c>
      <c r="W5" s="220" t="n">
        <v>2</v>
      </c>
      <c r="X5" s="220" t="n">
        <v>3</v>
      </c>
      <c r="Y5" s="220" t="n">
        <v>0</v>
      </c>
      <c r="Z5" s="220" t="n">
        <v>0</v>
      </c>
      <c r="AA5" s="220">
        <f>SUM(Tabla5234[[#This Row],[Paltas]:[Empanadas]])</f>
        <v/>
      </c>
      <c r="AB5" s="221" t="n"/>
    </row>
    <row outlineLevel="1" r="6" s="199" spans="1:28">
      <c r="B6" s="267" t="s">
        <v>165</v>
      </c>
      <c r="C6" s="223" t="s">
        <v>148</v>
      </c>
      <c r="D6" s="59" t="s">
        <v>166</v>
      </c>
      <c r="E6" s="59" t="s">
        <v>52</v>
      </c>
      <c r="F6" s="59" t="s">
        <v>98</v>
      </c>
      <c r="G6" s="59" t="n">
        <v>0</v>
      </c>
      <c r="H6" s="59" t="s">
        <v>55</v>
      </c>
      <c r="I6" s="60" t="n">
        <v>0</v>
      </c>
      <c r="J6" s="225" t="s">
        <v>167</v>
      </c>
      <c r="K6" s="225" t="n">
        <v>0</v>
      </c>
      <c r="L6" s="226" t="s">
        <v>58</v>
      </c>
      <c r="M6" s="226" t="s">
        <v>59</v>
      </c>
      <c r="N6" s="228">
        <f>SUMPRODUCT(Tabla5234[[#This Row],[Paltas]:[Empanadas]],O$34:Z$34)</f>
        <v/>
      </c>
      <c r="O6" s="226" t="n">
        <v>2</v>
      </c>
      <c r="P6" s="226" t="n">
        <v>2</v>
      </c>
      <c r="Q6" s="226">
        <f>2+1</f>
        <v/>
      </c>
      <c r="R6" s="226" t="n">
        <v>0</v>
      </c>
      <c r="S6" s="226" t="n">
        <v>0</v>
      </c>
      <c r="T6" s="226" t="n">
        <v>1</v>
      </c>
      <c r="U6" s="226" t="n">
        <v>0</v>
      </c>
      <c r="V6" s="226" t="n">
        <v>0</v>
      </c>
      <c r="W6" s="226" t="n">
        <v>0</v>
      </c>
      <c r="X6" s="226" t="n">
        <v>5</v>
      </c>
      <c r="Y6" s="226">
        <f>2+1</f>
        <v/>
      </c>
      <c r="Z6" s="226" t="n">
        <v>13</v>
      </c>
      <c r="AA6" s="226">
        <f>SUM(Tabla5234[[#This Row],[Paltas]:[Empanadas]])</f>
        <v/>
      </c>
      <c r="AB6" s="227" t="n"/>
    </row>
    <row outlineLevel="1" r="7" s="199" spans="1:28">
      <c r="B7" s="267" t="s">
        <v>77</v>
      </c>
      <c r="C7" s="223" t="s">
        <v>78</v>
      </c>
      <c r="D7" s="59" t="s">
        <v>79</v>
      </c>
      <c r="E7" s="59" t="s">
        <v>63</v>
      </c>
      <c r="F7" s="59" t="s">
        <v>80</v>
      </c>
      <c r="G7" s="59" t="s">
        <v>81</v>
      </c>
      <c r="H7" s="59" t="s">
        <v>55</v>
      </c>
      <c r="I7" s="60" t="n">
        <v>56992704205</v>
      </c>
      <c r="J7" s="225" t="s">
        <v>82</v>
      </c>
      <c r="K7" s="225" t="s">
        <v>57</v>
      </c>
      <c r="L7" s="226" t="s">
        <v>58</v>
      </c>
      <c r="M7" s="226" t="s">
        <v>59</v>
      </c>
      <c r="N7" s="228">
        <f>SUMPRODUCT(Tabla5234[[#This Row],[Paltas]:[Empanadas]],O$34:Z$34)</f>
        <v/>
      </c>
      <c r="O7" s="226" t="n">
        <v>0</v>
      </c>
      <c r="P7" s="226" t="n">
        <v>0</v>
      </c>
      <c r="Q7" s="226" t="n">
        <v>0</v>
      </c>
      <c r="R7" s="226" t="n">
        <v>0</v>
      </c>
      <c r="S7" s="226" t="n">
        <v>0</v>
      </c>
      <c r="T7" s="226" t="n">
        <v>0</v>
      </c>
      <c r="U7" s="226" t="n">
        <v>0</v>
      </c>
      <c r="V7" s="226" t="n">
        <v>0</v>
      </c>
      <c r="W7" s="226" t="n">
        <v>0</v>
      </c>
      <c r="X7" s="226" t="n">
        <v>30</v>
      </c>
      <c r="Y7" s="226" t="n">
        <v>0</v>
      </c>
      <c r="Z7" s="226" t="n">
        <v>0</v>
      </c>
      <c r="AA7" s="226">
        <f>SUM(Tabla5234[[#This Row],[Paltas]:[Empanadas]])</f>
        <v/>
      </c>
      <c r="AB7" s="227" t="n"/>
    </row>
    <row outlineLevel="1" r="8" s="199" spans="1:28">
      <c r="B8" s="267" t="s">
        <v>72</v>
      </c>
      <c r="C8" s="223" t="s">
        <v>73</v>
      </c>
      <c r="D8" s="223" t="s">
        <v>74</v>
      </c>
      <c r="E8" s="223" t="s">
        <v>63</v>
      </c>
      <c r="F8" s="223" t="s">
        <v>64</v>
      </c>
      <c r="G8" s="223" t="s">
        <v>75</v>
      </c>
      <c r="H8" s="223" t="s">
        <v>55</v>
      </c>
      <c r="I8" s="224" t="n">
        <v>56968320616</v>
      </c>
      <c r="J8" s="225" t="s">
        <v>76</v>
      </c>
      <c r="K8" s="225" t="s">
        <v>57</v>
      </c>
      <c r="L8" s="226" t="s">
        <v>58</v>
      </c>
      <c r="M8" s="226" t="s">
        <v>59</v>
      </c>
      <c r="N8" s="223">
        <f>SUMPRODUCT(Tabla5234[[#This Row],[Paltas]:[Empanadas]],O$34:Z$34)</f>
        <v/>
      </c>
      <c r="O8" s="226" t="n">
        <v>0</v>
      </c>
      <c r="P8" s="226" t="n">
        <v>0</v>
      </c>
      <c r="Q8" s="226" t="n">
        <v>3</v>
      </c>
      <c r="R8" s="226" t="n">
        <v>0</v>
      </c>
      <c r="S8" s="226" t="n">
        <v>0</v>
      </c>
      <c r="T8" s="226" t="n">
        <v>0</v>
      </c>
      <c r="U8" s="226" t="n">
        <v>0</v>
      </c>
      <c r="V8" s="226" t="n">
        <v>0</v>
      </c>
      <c r="W8" s="226" t="n">
        <v>0</v>
      </c>
      <c r="X8" s="226" t="n">
        <v>0</v>
      </c>
      <c r="Y8" s="226" t="n">
        <v>1</v>
      </c>
      <c r="Z8" s="226" t="n">
        <v>0</v>
      </c>
      <c r="AA8" s="226">
        <f>SUM(Tabla5234[[#This Row],[Paltas]:[Empanadas]])</f>
        <v/>
      </c>
      <c r="AB8" s="227" t="n"/>
    </row>
    <row outlineLevel="1" r="9" s="199" spans="1:28">
      <c r="B9" s="267" t="s">
        <v>181</v>
      </c>
      <c r="C9" s="223" t="s">
        <v>182</v>
      </c>
      <c r="D9" s="59" t="s">
        <v>183</v>
      </c>
      <c r="E9" s="59" t="s">
        <v>52</v>
      </c>
      <c r="F9" s="59" t="s">
        <v>98</v>
      </c>
      <c r="G9" s="59" t="s">
        <v>99</v>
      </c>
      <c r="H9" s="59" t="s">
        <v>55</v>
      </c>
      <c r="I9" s="60" t="n">
        <v>56966685970</v>
      </c>
      <c r="J9" s="225" t="s">
        <v>184</v>
      </c>
      <c r="K9" s="225" t="s">
        <v>94</v>
      </c>
      <c r="L9" s="226" t="s">
        <v>58</v>
      </c>
      <c r="M9" s="226" t="s">
        <v>59</v>
      </c>
      <c r="N9" s="228">
        <f>SUMPRODUCT(Tabla5234[[#This Row],[Paltas]:[Empanadas]],O$34:Z$34)</f>
        <v/>
      </c>
      <c r="O9" s="226" t="n">
        <v>0</v>
      </c>
      <c r="P9" s="226" t="n">
        <v>1</v>
      </c>
      <c r="Q9" s="226">
        <f>0+2</f>
        <v/>
      </c>
      <c r="R9" s="226" t="n">
        <v>0</v>
      </c>
      <c r="S9" s="226" t="n">
        <v>1</v>
      </c>
      <c r="T9" s="226" t="n">
        <v>1</v>
      </c>
      <c r="U9" s="226" t="n">
        <v>0</v>
      </c>
      <c r="V9" s="226" t="n">
        <v>0</v>
      </c>
      <c r="W9" s="226" t="n">
        <v>0</v>
      </c>
      <c r="X9" s="226">
        <f>1+1</f>
        <v/>
      </c>
      <c r="Y9" s="226" t="n">
        <v>1</v>
      </c>
      <c r="Z9" s="226" t="n">
        <v>0</v>
      </c>
      <c r="AA9" s="226">
        <f>SUM(Tabla5234[[#This Row],[Paltas]:[Empanadas]])</f>
        <v/>
      </c>
      <c r="AB9" s="227" t="n"/>
    </row>
    <row outlineLevel="1" r="10" s="199" spans="1:28">
      <c r="B10" s="267" t="s">
        <v>106</v>
      </c>
      <c r="C10" s="223" t="s">
        <v>107</v>
      </c>
      <c r="D10" s="59" t="s">
        <v>108</v>
      </c>
      <c r="E10" s="59" t="s">
        <v>63</v>
      </c>
      <c r="F10" s="59" t="s">
        <v>80</v>
      </c>
      <c r="G10" s="59" t="s">
        <v>109</v>
      </c>
      <c r="H10" s="59" t="s">
        <v>55</v>
      </c>
      <c r="I10" s="60" t="n">
        <v>56991592586</v>
      </c>
      <c r="J10" s="225" t="s">
        <v>110</v>
      </c>
      <c r="K10" s="225" t="s">
        <v>94</v>
      </c>
      <c r="L10" s="226" t="s">
        <v>58</v>
      </c>
      <c r="M10" s="226" t="s">
        <v>59</v>
      </c>
      <c r="N10" s="228">
        <f>SUMPRODUCT(Tabla5234[[#This Row],[Paltas]:[Empanadas]],O$34:Z$34)</f>
        <v/>
      </c>
      <c r="O10" s="226" t="n">
        <v>1</v>
      </c>
      <c r="P10" s="226" t="n">
        <v>0</v>
      </c>
      <c r="Q10" s="226" t="n">
        <v>0</v>
      </c>
      <c r="R10" s="226" t="n">
        <v>0</v>
      </c>
      <c r="S10" s="226" t="n">
        <v>0</v>
      </c>
      <c r="T10" s="226" t="n">
        <v>0</v>
      </c>
      <c r="U10" s="226" t="n">
        <v>0</v>
      </c>
      <c r="V10" s="226" t="n">
        <v>0</v>
      </c>
      <c r="W10" s="226" t="n">
        <v>0</v>
      </c>
      <c r="X10" s="226" t="n">
        <v>0</v>
      </c>
      <c r="Y10" s="226" t="n">
        <v>0</v>
      </c>
      <c r="Z10" s="226" t="n">
        <v>0</v>
      </c>
      <c r="AA10" s="226">
        <f>SUM(Tabla5234[[#This Row],[Paltas]:[Empanadas]])</f>
        <v/>
      </c>
      <c r="AB10" s="227" t="n"/>
    </row>
    <row outlineLevel="1" r="11" s="199" spans="1:28">
      <c r="B11" s="267" t="s">
        <v>101</v>
      </c>
      <c r="C11" s="223" t="s">
        <v>102</v>
      </c>
      <c r="D11" s="59" t="s">
        <v>194</v>
      </c>
      <c r="E11" s="59" t="s">
        <v>90</v>
      </c>
      <c r="F11" s="59" t="s">
        <v>91</v>
      </c>
      <c r="G11" s="59" t="s">
        <v>104</v>
      </c>
      <c r="H11" s="59" t="s">
        <v>55</v>
      </c>
      <c r="I11" s="60" t="n">
        <v>56999194650</v>
      </c>
      <c r="J11" s="225" t="s">
        <v>105</v>
      </c>
      <c r="K11" s="225" t="s">
        <v>94</v>
      </c>
      <c r="L11" s="226" t="s">
        <v>58</v>
      </c>
      <c r="M11" s="226" t="s">
        <v>59</v>
      </c>
      <c r="N11" s="228">
        <f>SUMPRODUCT(Tabla5234[[#This Row],[Paltas]:[Empanadas]],O$34:Z$34)</f>
        <v/>
      </c>
      <c r="O11" s="226" t="n">
        <v>2</v>
      </c>
      <c r="P11" s="226" t="n">
        <v>1</v>
      </c>
      <c r="Q11" s="226" t="n">
        <v>1</v>
      </c>
      <c r="R11" s="226" t="n">
        <v>1</v>
      </c>
      <c r="S11" s="226" t="n">
        <v>0</v>
      </c>
      <c r="T11" s="226" t="n">
        <v>0</v>
      </c>
      <c r="U11" s="226" t="n">
        <v>0</v>
      </c>
      <c r="V11" s="226" t="n">
        <v>0</v>
      </c>
      <c r="W11" s="226" t="n">
        <v>1</v>
      </c>
      <c r="X11" s="226" t="n">
        <v>0</v>
      </c>
      <c r="Y11" s="226" t="n">
        <v>0</v>
      </c>
      <c r="Z11" s="226" t="n">
        <v>9</v>
      </c>
      <c r="AA11" s="226">
        <f>SUM(Tabla5234[[#This Row],[Paltas]:[Empanadas]])</f>
        <v/>
      </c>
      <c r="AB11" s="227" t="n"/>
    </row>
    <row outlineLevel="1" r="12" s="199" spans="1:28">
      <c r="B12" s="267" t="s">
        <v>143</v>
      </c>
      <c r="C12" s="223" t="s">
        <v>144</v>
      </c>
      <c r="D12" s="223" t="s">
        <v>145</v>
      </c>
      <c r="E12" s="223" t="s">
        <v>63</v>
      </c>
      <c r="F12" s="223" t="s">
        <v>64</v>
      </c>
      <c r="G12" s="223" t="s">
        <v>70</v>
      </c>
      <c r="H12" s="223" t="s">
        <v>55</v>
      </c>
      <c r="I12" s="224" t="n">
        <v>56987143347</v>
      </c>
      <c r="J12" s="225" t="s">
        <v>146</v>
      </c>
      <c r="K12" s="225" t="s">
        <v>115</v>
      </c>
      <c r="L12" s="226" t="s">
        <v>58</v>
      </c>
      <c r="M12" s="226" t="s">
        <v>59</v>
      </c>
      <c r="N12" s="223">
        <f>SUMPRODUCT(Tabla5234[[#This Row],[Paltas]:[Empanadas]],O$34:Z$34)</f>
        <v/>
      </c>
      <c r="O12" s="226" t="n">
        <v>1</v>
      </c>
      <c r="P12" s="226" t="n">
        <v>0</v>
      </c>
      <c r="Q12" s="226" t="n">
        <v>1</v>
      </c>
      <c r="R12" s="226" t="n">
        <v>1</v>
      </c>
      <c r="S12" s="226" t="n">
        <v>0</v>
      </c>
      <c r="T12" s="226" t="n">
        <v>0</v>
      </c>
      <c r="U12" s="226" t="n">
        <v>0</v>
      </c>
      <c r="V12" s="226" t="n">
        <v>0</v>
      </c>
      <c r="W12" s="226" t="n">
        <v>0</v>
      </c>
      <c r="X12" s="226" t="n">
        <v>0</v>
      </c>
      <c r="Y12" s="226" t="n">
        <v>0</v>
      </c>
      <c r="Z12" s="226" t="n">
        <v>0</v>
      </c>
      <c r="AA12" s="226">
        <f>SUM(Tabla5234[[#This Row],[Paltas]:[Empanadas]])</f>
        <v/>
      </c>
      <c r="AB12" s="227" t="n"/>
    </row>
    <row outlineLevel="1" r="13" s="199" spans="1:28">
      <c r="B13" s="267" t="s">
        <v>195</v>
      </c>
      <c r="C13" s="223" t="s">
        <v>196</v>
      </c>
      <c r="D13" s="223" t="s">
        <v>197</v>
      </c>
      <c r="E13" s="223" t="s">
        <v>52</v>
      </c>
      <c r="F13" s="223" t="s">
        <v>198</v>
      </c>
      <c r="G13" s="223" t="s">
        <v>70</v>
      </c>
      <c r="H13" s="223" t="s">
        <v>55</v>
      </c>
      <c r="I13" s="224" t="n">
        <v>56955324629</v>
      </c>
      <c r="J13" s="225" t="s">
        <v>199</v>
      </c>
      <c r="K13" s="225" t="s">
        <v>115</v>
      </c>
      <c r="L13" s="226" t="s">
        <v>58</v>
      </c>
      <c r="M13" s="226" t="s">
        <v>59</v>
      </c>
      <c r="N13" s="223">
        <f>SUMPRODUCT(Tabla5234[[#This Row],[Paltas]:[Empanadas]],O$34:Z$34)</f>
        <v/>
      </c>
      <c r="O13" s="226" t="n">
        <v>0</v>
      </c>
      <c r="P13" s="226" t="n">
        <v>0</v>
      </c>
      <c r="Q13" s="226" t="n">
        <v>0</v>
      </c>
      <c r="R13" s="226" t="n">
        <v>0</v>
      </c>
      <c r="S13" s="226" t="n">
        <v>0</v>
      </c>
      <c r="T13" s="226" t="n">
        <v>0</v>
      </c>
      <c r="U13" s="226" t="n">
        <v>0</v>
      </c>
      <c r="V13" s="226" t="n">
        <v>0</v>
      </c>
      <c r="W13" s="226" t="n">
        <v>0</v>
      </c>
      <c r="X13" s="226" t="n">
        <v>2</v>
      </c>
      <c r="Y13" s="226" t="n">
        <v>0</v>
      </c>
      <c r="Z13" s="226" t="n">
        <v>0</v>
      </c>
      <c r="AA13" s="226">
        <f>SUM(Tabla5234[[#This Row],[Paltas]:[Empanadas]])</f>
        <v/>
      </c>
      <c r="AB13" s="227" t="n"/>
    </row>
    <row outlineLevel="1" r="14" s="199" spans="1:28">
      <c r="B14" s="267" t="s">
        <v>111</v>
      </c>
      <c r="C14" s="223" t="s">
        <v>112</v>
      </c>
      <c r="D14" s="59" t="s">
        <v>113</v>
      </c>
      <c r="E14" s="59" t="s">
        <v>52</v>
      </c>
      <c r="F14" s="59" t="s">
        <v>98</v>
      </c>
      <c r="G14" s="59" t="s">
        <v>99</v>
      </c>
      <c r="H14" s="59" t="s">
        <v>55</v>
      </c>
      <c r="I14" s="60" t="n">
        <v>56997792386</v>
      </c>
      <c r="J14" s="225" t="s">
        <v>114</v>
      </c>
      <c r="K14" s="225" t="s">
        <v>115</v>
      </c>
      <c r="L14" s="226" t="s">
        <v>58</v>
      </c>
      <c r="M14" s="226" t="s">
        <v>59</v>
      </c>
      <c r="N14" s="228">
        <f>SUMPRODUCT(Tabla5234[[#This Row],[Paltas]:[Empanadas]],O$34:Z$34)</f>
        <v/>
      </c>
      <c r="O14" s="226" t="n">
        <v>2</v>
      </c>
      <c r="P14" s="226" t="n">
        <v>0</v>
      </c>
      <c r="Q14" s="226" t="n">
        <v>2</v>
      </c>
      <c r="R14" s="226" t="n">
        <v>2</v>
      </c>
      <c r="S14" s="226" t="n">
        <v>0</v>
      </c>
      <c r="T14" s="226" t="n">
        <v>1</v>
      </c>
      <c r="U14" s="226" t="n">
        <v>2</v>
      </c>
      <c r="V14" s="226" t="n">
        <v>2</v>
      </c>
      <c r="W14" s="226" t="n">
        <v>1</v>
      </c>
      <c r="X14" s="226">
        <f>7+2</f>
        <v/>
      </c>
      <c r="Y14" s="226" t="n">
        <v>2</v>
      </c>
      <c r="Z14" s="226" t="n">
        <v>0</v>
      </c>
      <c r="AA14" s="226">
        <f>SUM(Tabla5234[[#This Row],[Paltas]:[Empanadas]])</f>
        <v/>
      </c>
      <c r="AB14" s="227" t="n"/>
    </row>
    <row outlineLevel="1" r="15" s="199" spans="1:28">
      <c r="B15" s="267" t="s">
        <v>129</v>
      </c>
      <c r="C15" s="223" t="s">
        <v>136</v>
      </c>
      <c r="D15" s="59" t="s">
        <v>200</v>
      </c>
      <c r="E15" s="59" t="s">
        <v>52</v>
      </c>
      <c r="F15" s="59" t="s">
        <v>98</v>
      </c>
      <c r="G15" s="59" t="s">
        <v>92</v>
      </c>
      <c r="H15" s="59" t="s">
        <v>55</v>
      </c>
      <c r="I15" s="60" t="n">
        <v>0</v>
      </c>
      <c r="J15" s="225" t="s">
        <v>137</v>
      </c>
      <c r="K15" s="225" t="s">
        <v>115</v>
      </c>
      <c r="L15" s="226" t="s">
        <v>58</v>
      </c>
      <c r="M15" s="226" t="s">
        <v>59</v>
      </c>
      <c r="N15" s="228">
        <f>SUMPRODUCT(Tabla5234[[#This Row],[Paltas]:[Empanadas]],O$34:Z$34)</f>
        <v/>
      </c>
      <c r="O15" s="226" t="n">
        <v>1</v>
      </c>
      <c r="P15" s="226" t="n">
        <v>0</v>
      </c>
      <c r="Q15" s="226" t="n">
        <v>2</v>
      </c>
      <c r="R15" s="226" t="n">
        <v>2</v>
      </c>
      <c r="S15" s="226" t="n">
        <v>0</v>
      </c>
      <c r="T15" s="226" t="n">
        <v>0</v>
      </c>
      <c r="U15" s="226" t="n">
        <v>1</v>
      </c>
      <c r="V15" s="226" t="n">
        <v>0</v>
      </c>
      <c r="W15" s="226" t="n">
        <v>0</v>
      </c>
      <c r="X15" s="226">
        <f>43+10</f>
        <v/>
      </c>
      <c r="Y15" s="226" t="n">
        <v>0</v>
      </c>
      <c r="Z15" s="226" t="n">
        <v>0</v>
      </c>
      <c r="AA15" s="226">
        <f>SUM(Tabla5234[[#This Row],[Paltas]:[Empanadas]])</f>
        <v/>
      </c>
      <c r="AB15" s="227" t="n"/>
    </row>
    <row outlineLevel="1" r="16" s="199" spans="1:28">
      <c r="B16" s="267" t="s">
        <v>121</v>
      </c>
      <c r="C16" s="223" t="s">
        <v>133</v>
      </c>
      <c r="D16" s="59" t="s">
        <v>134</v>
      </c>
      <c r="E16" s="59" t="s">
        <v>63</v>
      </c>
      <c r="F16" s="59" t="s">
        <v>64</v>
      </c>
      <c r="G16" s="59" t="s">
        <v>70</v>
      </c>
      <c r="H16" s="59" t="s">
        <v>55</v>
      </c>
      <c r="I16" s="60" t="n">
        <v>56975684552</v>
      </c>
      <c r="J16" s="225" t="s">
        <v>135</v>
      </c>
      <c r="K16" s="225" t="s">
        <v>115</v>
      </c>
      <c r="L16" s="226" t="s">
        <v>58</v>
      </c>
      <c r="M16" s="226" t="s">
        <v>59</v>
      </c>
      <c r="N16" s="228">
        <f>SUMPRODUCT(Tabla5234[[#This Row],[Paltas]:[Empanadas]],O$34:Z$34)</f>
        <v/>
      </c>
      <c r="O16" s="226" t="n">
        <v>1</v>
      </c>
      <c r="P16" s="226" t="n">
        <v>0</v>
      </c>
      <c r="Q16" s="226" t="n">
        <v>6</v>
      </c>
      <c r="R16" s="226" t="n">
        <v>0</v>
      </c>
      <c r="S16" s="226" t="n">
        <v>0</v>
      </c>
      <c r="T16" s="226" t="n">
        <v>0</v>
      </c>
      <c r="U16" s="226" t="n">
        <v>0</v>
      </c>
      <c r="V16" s="226" t="n">
        <v>0</v>
      </c>
      <c r="W16" s="226" t="n">
        <v>0</v>
      </c>
      <c r="X16" s="226" t="n">
        <v>0</v>
      </c>
      <c r="Y16" s="226" t="n">
        <v>0</v>
      </c>
      <c r="Z16" s="226" t="n">
        <v>0</v>
      </c>
      <c r="AA16" s="226">
        <f>SUM(Tabla5234[[#This Row],[Paltas]:[Empanadas]])</f>
        <v/>
      </c>
      <c r="AB16" s="227" t="n"/>
    </row>
    <row outlineLevel="1" r="17" s="199" spans="1:28">
      <c r="B17" s="267" t="s">
        <v>72</v>
      </c>
      <c r="C17" s="223" t="s">
        <v>157</v>
      </c>
      <c r="D17" s="59" t="s">
        <v>158</v>
      </c>
      <c r="E17" s="59" t="s">
        <v>63</v>
      </c>
      <c r="F17" s="59" t="s">
        <v>64</v>
      </c>
      <c r="G17" s="59" t="s">
        <v>99</v>
      </c>
      <c r="H17" s="59" t="s">
        <v>55</v>
      </c>
      <c r="I17" s="60" t="n">
        <v>56997594184</v>
      </c>
      <c r="J17" s="225" t="s">
        <v>159</v>
      </c>
      <c r="K17" s="225" t="s">
        <v>115</v>
      </c>
      <c r="L17" s="226" t="s">
        <v>58</v>
      </c>
      <c r="M17" s="226" t="s">
        <v>59</v>
      </c>
      <c r="N17" s="228">
        <f>SUMPRODUCT(Tabla5234[[#This Row],[Paltas]:[Empanadas]],O$34:Z$34)</f>
        <v/>
      </c>
      <c r="O17" s="226" t="n">
        <v>17</v>
      </c>
      <c r="P17" s="226" t="n">
        <v>0</v>
      </c>
      <c r="Q17" s="226" t="n">
        <v>17</v>
      </c>
      <c r="R17" s="226" t="n">
        <v>0</v>
      </c>
      <c r="S17" s="226" t="n">
        <v>0</v>
      </c>
      <c r="T17" s="226" t="n">
        <v>0</v>
      </c>
      <c r="U17" s="226" t="n">
        <v>0</v>
      </c>
      <c r="V17" s="226" t="n">
        <v>0</v>
      </c>
      <c r="W17" s="226" t="n">
        <v>0</v>
      </c>
      <c r="X17" s="226" t="n">
        <v>0</v>
      </c>
      <c r="Y17" s="226" t="n">
        <v>0</v>
      </c>
      <c r="Z17" s="226" t="n">
        <v>0</v>
      </c>
      <c r="AA17" s="226">
        <f>SUM(Tabla5234[[#This Row],[Paltas]:[Empanadas]])</f>
        <v/>
      </c>
      <c r="AB17" s="227" t="n"/>
    </row>
    <row outlineLevel="1" r="18" s="199" spans="1:28">
      <c r="B18" s="267" t="s">
        <v>101</v>
      </c>
      <c r="C18" s="223" t="s">
        <v>201</v>
      </c>
      <c r="D18" s="59" t="s">
        <v>202</v>
      </c>
      <c r="E18" s="59" t="s">
        <v>63</v>
      </c>
      <c r="F18" s="59" t="s">
        <v>64</v>
      </c>
      <c r="G18" s="59" t="s">
        <v>81</v>
      </c>
      <c r="H18" s="59" t="s">
        <v>55</v>
      </c>
      <c r="I18" s="60" t="n">
        <v>56976994719</v>
      </c>
      <c r="J18" s="225" t="s">
        <v>203</v>
      </c>
      <c r="K18" s="225" t="s">
        <v>115</v>
      </c>
      <c r="L18" s="226" t="s">
        <v>58</v>
      </c>
      <c r="M18" s="226" t="s">
        <v>59</v>
      </c>
      <c r="N18" s="228">
        <f>SUMPRODUCT(Tabla5234[[#This Row],[Paltas]:[Empanadas]],O$34:Z$34)</f>
        <v/>
      </c>
      <c r="O18" s="226">
        <f>5+4</f>
        <v/>
      </c>
      <c r="P18" s="226" t="n">
        <v>2</v>
      </c>
      <c r="Q18" s="226" t="n">
        <v>4</v>
      </c>
      <c r="R18" s="226" t="n">
        <v>3</v>
      </c>
      <c r="S18" s="226" t="n">
        <v>0</v>
      </c>
      <c r="T18" s="226" t="n">
        <v>0</v>
      </c>
      <c r="U18" s="226" t="n">
        <v>1</v>
      </c>
      <c r="V18" s="226" t="n">
        <v>1</v>
      </c>
      <c r="W18" s="226" t="n">
        <v>1</v>
      </c>
      <c r="X18" s="226">
        <f>6+2</f>
        <v/>
      </c>
      <c r="Y18" s="226" t="n">
        <v>2</v>
      </c>
      <c r="Z18" s="226" t="n">
        <v>0</v>
      </c>
      <c r="AA18" s="226">
        <f>SUM(Tabla5234[[#This Row],[Paltas]:[Empanadas]])</f>
        <v/>
      </c>
      <c r="AB18" s="227" t="n"/>
    </row>
    <row outlineLevel="1" r="19" s="199" spans="1:28">
      <c r="B19" s="267" t="s">
        <v>204</v>
      </c>
      <c r="C19" s="223" t="s">
        <v>205</v>
      </c>
      <c r="D19" s="223" t="s">
        <v>206</v>
      </c>
      <c r="E19" s="223" t="s">
        <v>154</v>
      </c>
      <c r="F19" s="223" t="s">
        <v>207</v>
      </c>
      <c r="G19" s="223" t="s">
        <v>208</v>
      </c>
      <c r="H19" s="223" t="s">
        <v>55</v>
      </c>
      <c r="I19" s="224" t="n">
        <v>56979987750</v>
      </c>
      <c r="J19" s="225" t="s">
        <v>209</v>
      </c>
      <c r="K19" s="225" t="s">
        <v>115</v>
      </c>
      <c r="L19" s="226" t="s">
        <v>58</v>
      </c>
      <c r="M19" s="226" t="s">
        <v>59</v>
      </c>
      <c r="N19" s="223">
        <f>SUMPRODUCT(Tabla5234[[#This Row],[Paltas]:[Empanadas]],O$34:Z$34)</f>
        <v/>
      </c>
      <c r="O19" s="226" t="n">
        <v>0</v>
      </c>
      <c r="P19" s="226" t="n">
        <v>0</v>
      </c>
      <c r="Q19" s="226" t="n">
        <v>0</v>
      </c>
      <c r="R19" s="226" t="n">
        <v>0</v>
      </c>
      <c r="S19" s="226" t="n">
        <v>0</v>
      </c>
      <c r="T19" s="226" t="n">
        <v>0</v>
      </c>
      <c r="U19" s="226" t="n">
        <v>0</v>
      </c>
      <c r="V19" s="226" t="n">
        <v>0</v>
      </c>
      <c r="W19" s="226" t="n">
        <v>0</v>
      </c>
      <c r="X19" s="226" t="n">
        <v>30</v>
      </c>
      <c r="Y19" s="226" t="n">
        <v>0</v>
      </c>
      <c r="Z19" s="226" t="n">
        <v>0</v>
      </c>
      <c r="AA19" s="226">
        <f>SUM(Tabla5234[[#This Row],[Paltas]:[Empanadas]])</f>
        <v/>
      </c>
      <c r="AB19" s="227" t="n"/>
    </row>
    <row outlineLevel="1" r="20" s="199" spans="1:28">
      <c r="B20" s="267" t="s">
        <v>138</v>
      </c>
      <c r="C20" s="223" t="s">
        <v>139</v>
      </c>
      <c r="D20" s="59" t="s">
        <v>140</v>
      </c>
      <c r="E20" s="59" t="s">
        <v>63</v>
      </c>
      <c r="F20" s="59" t="s">
        <v>64</v>
      </c>
      <c r="G20" s="59" t="s">
        <v>141</v>
      </c>
      <c r="H20" s="59" t="s">
        <v>55</v>
      </c>
      <c r="I20" s="60" t="n">
        <v>56952304675</v>
      </c>
      <c r="J20" s="225" t="s">
        <v>142</v>
      </c>
      <c r="K20" s="225" t="s">
        <v>115</v>
      </c>
      <c r="L20" s="226" t="s">
        <v>58</v>
      </c>
      <c r="M20" s="226" t="s">
        <v>59</v>
      </c>
      <c r="N20" s="228">
        <f>SUMPRODUCT(Tabla5234[[#This Row],[Paltas]:[Empanadas]],O$34:Z$34)</f>
        <v/>
      </c>
      <c r="O20" s="226" t="n">
        <v>0</v>
      </c>
      <c r="P20" s="226" t="n">
        <v>0</v>
      </c>
      <c r="Q20" s="226" t="n">
        <v>0</v>
      </c>
      <c r="R20" s="226" t="n">
        <v>0</v>
      </c>
      <c r="S20" s="226" t="n">
        <v>0</v>
      </c>
      <c r="T20" s="226" t="n">
        <v>0</v>
      </c>
      <c r="U20" s="226" t="n">
        <v>0</v>
      </c>
      <c r="V20" s="226" t="n">
        <v>0</v>
      </c>
      <c r="W20" s="226" t="n">
        <v>0</v>
      </c>
      <c r="X20" s="226" t="n">
        <v>10</v>
      </c>
      <c r="Y20" s="226" t="n">
        <v>0</v>
      </c>
      <c r="Z20" s="226" t="n">
        <v>0</v>
      </c>
      <c r="AA20" s="226">
        <f>SUM(Tabla5234[[#This Row],[Paltas]:[Empanadas]])</f>
        <v/>
      </c>
      <c r="AB20" s="227" t="n"/>
    </row>
    <row outlineLevel="1" r="21" s="199" spans="1:28">
      <c r="B21" s="267" t="s">
        <v>168</v>
      </c>
      <c r="C21" s="223" t="s">
        <v>169</v>
      </c>
      <c r="D21" s="223" t="s">
        <v>170</v>
      </c>
      <c r="E21" s="223" t="s">
        <v>63</v>
      </c>
      <c r="F21" s="223" t="s">
        <v>64</v>
      </c>
      <c r="G21" s="223" t="s">
        <v>99</v>
      </c>
      <c r="H21" s="223" t="s">
        <v>55</v>
      </c>
      <c r="I21" s="224" t="n">
        <v>56967898535</v>
      </c>
      <c r="J21" s="225" t="s">
        <v>171</v>
      </c>
      <c r="K21" s="225" t="s">
        <v>57</v>
      </c>
      <c r="L21" s="226" t="s">
        <v>58</v>
      </c>
      <c r="M21" s="226" t="s">
        <v>58</v>
      </c>
      <c r="N21" s="223">
        <f>SUMPRODUCT(Tabla5234[[#This Row],[Paltas]:[Empanadas]],O$34:Z$34)</f>
        <v/>
      </c>
      <c r="O21" s="226" t="n">
        <v>3</v>
      </c>
      <c r="P21" s="226" t="n">
        <v>0</v>
      </c>
      <c r="Q21" s="226" t="n">
        <v>1</v>
      </c>
      <c r="R21" s="226" t="n">
        <v>0</v>
      </c>
      <c r="S21" s="226" t="n">
        <v>0</v>
      </c>
      <c r="T21" s="226" t="n">
        <v>0</v>
      </c>
      <c r="U21" s="226" t="n">
        <v>0</v>
      </c>
      <c r="V21" s="226" t="n">
        <v>0</v>
      </c>
      <c r="W21" s="226" t="n">
        <v>0</v>
      </c>
      <c r="X21" s="226">
        <f>4+1</f>
        <v/>
      </c>
      <c r="Y21" s="226" t="n">
        <v>0</v>
      </c>
      <c r="Z21" s="226" t="n">
        <v>0</v>
      </c>
      <c r="AA21" s="226">
        <f>SUM(Tabla5234[[#This Row],[Paltas]:[Empanadas]])</f>
        <v/>
      </c>
      <c r="AB21" s="227" t="n"/>
    </row>
    <row outlineLevel="1" r="22" s="199" spans="1:28">
      <c r="B22" s="291" t="s">
        <v>172</v>
      </c>
      <c r="C22" s="292" t="s">
        <v>173</v>
      </c>
      <c r="D22" s="111" t="s">
        <v>174</v>
      </c>
      <c r="E22" s="111" t="s">
        <v>63</v>
      </c>
      <c r="F22" s="111" t="s">
        <v>64</v>
      </c>
      <c r="G22" s="111" t="s">
        <v>99</v>
      </c>
      <c r="H22" s="111" t="s">
        <v>55</v>
      </c>
      <c r="I22" s="112" t="n">
        <v>56963033603</v>
      </c>
      <c r="J22" s="293" t="s">
        <v>175</v>
      </c>
      <c r="K22" s="293" t="s">
        <v>94</v>
      </c>
      <c r="L22" s="294" t="s">
        <v>58</v>
      </c>
      <c r="M22" s="294" t="s">
        <v>58</v>
      </c>
      <c r="N22" s="295">
        <f>SUMPRODUCT(Tabla5234[[#This Row],[Paltas]:[Empanadas]],O$34:Z$34)</f>
        <v/>
      </c>
      <c r="O22" s="294" t="n">
        <v>0</v>
      </c>
      <c r="P22" s="294" t="n">
        <v>0</v>
      </c>
      <c r="Q22" s="294" t="n">
        <v>0</v>
      </c>
      <c r="R22" s="294" t="n">
        <v>0</v>
      </c>
      <c r="S22" s="294" t="n">
        <v>0</v>
      </c>
      <c r="T22" s="294" t="n">
        <v>0</v>
      </c>
      <c r="U22" s="294" t="n">
        <v>0</v>
      </c>
      <c r="V22" s="294" t="n">
        <v>0</v>
      </c>
      <c r="W22" s="294" t="n">
        <v>0</v>
      </c>
      <c r="X22" s="294" t="n">
        <v>0</v>
      </c>
      <c r="Y22" s="294" t="n">
        <v>0</v>
      </c>
      <c r="Z22" s="294" t="n">
        <v>4</v>
      </c>
      <c r="AA22" s="294">
        <f>SUM(Tabla5234[[#This Row],[Paltas]:[Empanadas]])</f>
        <v/>
      </c>
      <c r="AB22" s="296" t="n"/>
    </row>
    <row customHeight="1" ht="15.75" outlineLevel="1" r="23" s="199" spans="1:28" thickBot="1">
      <c r="B23" s="291" t="s">
        <v>188</v>
      </c>
      <c r="C23" s="292" t="s">
        <v>189</v>
      </c>
      <c r="D23" s="111" t="s">
        <v>190</v>
      </c>
      <c r="E23" s="111" t="s">
        <v>63</v>
      </c>
      <c r="F23" s="111" t="s">
        <v>64</v>
      </c>
      <c r="G23" s="111" t="s">
        <v>141</v>
      </c>
      <c r="H23" s="111" t="s">
        <v>55</v>
      </c>
      <c r="I23" s="112" t="n">
        <v>56966640363</v>
      </c>
      <c r="J23" s="293" t="s">
        <v>191</v>
      </c>
      <c r="K23" s="293" t="s">
        <v>115</v>
      </c>
      <c r="L23" s="294" t="s">
        <v>58</v>
      </c>
      <c r="M23" s="294" t="s">
        <v>58</v>
      </c>
      <c r="N23" s="295">
        <f>SUMPRODUCT(Tabla5234[[#This Row],[Paltas]:[Empanadas]],O$34:Z$34)</f>
        <v/>
      </c>
      <c r="O23" s="294" t="n">
        <v>0</v>
      </c>
      <c r="P23" s="294" t="n">
        <v>0</v>
      </c>
      <c r="Q23" s="294" t="n">
        <v>1</v>
      </c>
      <c r="R23" s="294" t="n">
        <v>0</v>
      </c>
      <c r="S23" s="294" t="n">
        <v>0</v>
      </c>
      <c r="T23" s="294" t="n">
        <v>0</v>
      </c>
      <c r="U23" s="294" t="n">
        <v>0</v>
      </c>
      <c r="V23" s="294" t="n">
        <v>0</v>
      </c>
      <c r="W23" s="294" t="n">
        <v>1</v>
      </c>
      <c r="X23" s="294">
        <f>0+1</f>
        <v/>
      </c>
      <c r="Y23" s="294" t="n">
        <v>1</v>
      </c>
      <c r="Z23" s="294" t="n">
        <v>0</v>
      </c>
      <c r="AA23" s="294">
        <f>SUM(Tabla5234[[#This Row],[Paltas]:[Empanadas]])</f>
        <v/>
      </c>
      <c r="AB23" s="296" t="n"/>
    </row>
    <row outlineLevel="1" r="24" s="199" spans="1:28">
      <c r="A24" s="235" t="n"/>
      <c r="B24" s="291" t="s">
        <v>151</v>
      </c>
      <c r="C24" s="292" t="s">
        <v>152</v>
      </c>
      <c r="D24" s="111" t="s">
        <v>153</v>
      </c>
      <c r="E24" s="111" t="s">
        <v>154</v>
      </c>
      <c r="F24" s="111" t="s">
        <v>155</v>
      </c>
      <c r="G24" s="111" t="s">
        <v>99</v>
      </c>
      <c r="H24" s="111" t="s">
        <v>55</v>
      </c>
      <c r="I24" s="112" t="n">
        <v>56979312762</v>
      </c>
      <c r="J24" s="293" t="s">
        <v>156</v>
      </c>
      <c r="K24" s="293" t="s">
        <v>115</v>
      </c>
      <c r="L24" s="294" t="s">
        <v>58</v>
      </c>
      <c r="M24" s="294" t="s">
        <v>58</v>
      </c>
      <c r="N24" s="295">
        <f>SUMPRODUCT(Tabla5234[[#This Row],[Paltas]:[Empanadas]],O$34:Z$34)</f>
        <v/>
      </c>
      <c r="O24" s="294" t="n">
        <v>1</v>
      </c>
      <c r="P24" s="294" t="n">
        <v>1</v>
      </c>
      <c r="Q24" s="294" t="n">
        <v>1</v>
      </c>
      <c r="R24" s="294" t="n">
        <v>1</v>
      </c>
      <c r="S24" s="294" t="n">
        <v>0</v>
      </c>
      <c r="T24" s="294" t="n">
        <v>0</v>
      </c>
      <c r="U24" s="294" t="n">
        <v>0</v>
      </c>
      <c r="V24" s="294" t="n">
        <v>0</v>
      </c>
      <c r="W24" s="294" t="n">
        <v>0</v>
      </c>
      <c r="X24" s="294">
        <f>38-10</f>
        <v/>
      </c>
      <c r="Y24" s="294" t="n">
        <v>0</v>
      </c>
      <c r="Z24" s="294" t="n">
        <v>3</v>
      </c>
      <c r="AA24" s="294">
        <f>SUM(Tabla5234[[#This Row],[Paltas]:[Empanadas]])</f>
        <v/>
      </c>
      <c r="AB24" s="296" t="n"/>
    </row>
    <row outlineLevel="1" r="25" s="199" spans="1:28">
      <c r="A25" s="235" t="n"/>
      <c r="B25" s="236" t="n"/>
      <c r="C25" s="236" t="n"/>
      <c r="D25" s="236" t="n"/>
      <c r="E25" s="236" t="n"/>
      <c r="F25" s="236" t="n"/>
      <c r="G25" s="236" t="n"/>
      <c r="H25" s="236" t="n"/>
      <c r="I25" s="237" t="n"/>
      <c r="J25" s="238" t="n"/>
      <c r="K25" s="238" t="n"/>
      <c r="L25" s="239" t="n"/>
      <c r="M25" s="239" t="n"/>
      <c r="N25" s="239" t="n"/>
      <c r="O25" s="239" t="n"/>
      <c r="P25" s="239" t="n"/>
      <c r="Q25" s="239" t="n"/>
      <c r="R25" s="239" t="n"/>
      <c r="S25" s="239" t="n"/>
      <c r="T25" s="239" t="n"/>
      <c r="U25" s="239" t="n"/>
      <c r="V25" s="239" t="n"/>
      <c r="W25" s="239" t="n"/>
      <c r="X25" s="239" t="n"/>
      <c r="Y25" s="239" t="n"/>
      <c r="Z25" s="239" t="n"/>
      <c r="AA25" s="239" t="n"/>
    </row>
    <row customHeight="1" ht="15.75" r="26" s="199" spans="1:28" thickBot="1"/>
    <row customHeight="1" ht="14.65" r="27" s="199" spans="1:28" thickBot="1">
      <c r="A27" s="240" t="s">
        <v>30</v>
      </c>
      <c r="B27" s="241" t="s">
        <v>31</v>
      </c>
      <c r="N27" s="242" t="s">
        <v>32</v>
      </c>
      <c r="O27" s="220">
        <f>SUM(Tabla5234[Paltas])</f>
        <v/>
      </c>
      <c r="P27" s="220">
        <f>SUM(Tabla5234[Quesos])</f>
        <v/>
      </c>
      <c r="Q27" s="220">
        <f>SUM(Tabla5234[Frutillas])</f>
        <v/>
      </c>
      <c r="R27" s="220">
        <f>SUM(Tabla5234[Tomate Cherry])</f>
        <v/>
      </c>
      <c r="S27" s="220">
        <f>SUM(Tabla5234[Nueces])</f>
        <v/>
      </c>
      <c r="T27" s="220">
        <f>SUM(Tabla5234[Mani])</f>
        <v/>
      </c>
      <c r="U27" s="220">
        <f>SUM(Tabla5234[Pistachos])</f>
        <v/>
      </c>
      <c r="V27" s="220">
        <f>SUM(Tabla5234[Caju])</f>
        <v/>
      </c>
      <c r="W27" s="220">
        <f>SUM(Tabla5234[Almendras])</f>
        <v/>
      </c>
      <c r="X27" s="220">
        <f>SUM(Tabla5234[Cerezas])</f>
        <v/>
      </c>
      <c r="Y27" s="220">
        <f>SUM(Tabla5234[Arandanos])</f>
        <v/>
      </c>
      <c r="Z27" s="244">
        <f>SUM(Tabla5234[Empanadas])</f>
        <v/>
      </c>
    </row>
    <row customHeight="1" ht="14.65" r="28" s="199" spans="1:28" thickBot="1">
      <c r="N28" s="242" t="s">
        <v>33</v>
      </c>
      <c r="O28" s="226" t="n">
        <v>2</v>
      </c>
      <c r="P28" s="246" t="n">
        <v>1</v>
      </c>
      <c r="Q28" s="246" t="n">
        <v>2</v>
      </c>
      <c r="R28" s="226" t="n">
        <v>1</v>
      </c>
      <c r="S28" s="247" t="n">
        <v>0.5</v>
      </c>
      <c r="T28" s="247" t="n">
        <v>1</v>
      </c>
      <c r="U28" s="247" t="n">
        <v>0.5</v>
      </c>
      <c r="V28" s="247" t="n">
        <v>0.4</v>
      </c>
      <c r="W28" s="247" t="n">
        <v>0.5</v>
      </c>
      <c r="X28" s="247" t="n">
        <v>5</v>
      </c>
      <c r="Y28" s="247" t="n">
        <v>0.5</v>
      </c>
      <c r="Z28" s="248" t="n">
        <v>12</v>
      </c>
    </row>
    <row customHeight="1" ht="14.65" r="29" s="199" spans="1:28" thickBot="1">
      <c r="N29" s="242" t="s">
        <v>34</v>
      </c>
      <c r="O29" s="226">
        <f>O28*O27</f>
        <v/>
      </c>
      <c r="P29" s="226">
        <f>P28*P27</f>
        <v/>
      </c>
      <c r="Q29" s="226">
        <f>Q28*Q27</f>
        <v/>
      </c>
      <c r="R29" s="226">
        <f>R28*R27</f>
        <v/>
      </c>
      <c r="S29" s="226">
        <f>S28*S27</f>
        <v/>
      </c>
      <c r="T29" s="226">
        <f>T28*T27</f>
        <v/>
      </c>
      <c r="U29" s="226">
        <f>U28*U27</f>
        <v/>
      </c>
      <c r="V29" s="226">
        <f>V28*V27</f>
        <v/>
      </c>
      <c r="W29" s="226">
        <f>W28*W27</f>
        <v/>
      </c>
      <c r="X29" s="226">
        <f>X28*X27</f>
        <v/>
      </c>
      <c r="Y29" s="226">
        <f>Y28*Y27</f>
        <v/>
      </c>
      <c r="Z29" s="249">
        <f>Z28*Z27</f>
        <v/>
      </c>
    </row>
    <row customHeight="1" ht="15.75" r="30" s="199" spans="1:28" thickBot="1">
      <c r="N30" s="242" t="s">
        <v>35</v>
      </c>
      <c r="O30" s="232" t="n"/>
      <c r="P30" s="232" t="n"/>
      <c r="Q30" s="232" t="n"/>
      <c r="R30" s="232" t="n"/>
      <c r="S30" s="232" t="n"/>
      <c r="T30" s="232" t="n"/>
      <c r="U30" s="232" t="n"/>
      <c r="V30" s="232" t="n"/>
      <c r="W30" s="232" t="n"/>
      <c r="X30" s="232" t="n"/>
      <c r="Y30" s="232" t="n"/>
      <c r="Z30" s="251" t="n"/>
    </row>
    <row customHeight="1" ht="15.75" r="31" s="199" spans="1:28" thickBot="1">
      <c r="B31" s="252" t="n"/>
      <c r="C31" s="236" t="n"/>
      <c r="D31" s="253" t="n"/>
      <c r="E31" s="254" t="n"/>
      <c r="F31" s="254" t="n"/>
      <c r="G31" s="254" t="n"/>
      <c r="H31" s="254" t="n"/>
      <c r="I31" s="254" t="n"/>
      <c r="J31" s="254" t="n"/>
      <c r="K31" s="255" t="n"/>
      <c r="N31" s="256" t="n"/>
    </row>
    <row customHeight="1" ht="15.75" r="32" s="199" spans="1:28" thickBot="1">
      <c r="B32" s="241" t="s">
        <v>36</v>
      </c>
      <c r="N32" s="242" t="s">
        <v>37</v>
      </c>
      <c r="O32" s="217">
        <f>O33*O28</f>
        <v/>
      </c>
      <c r="P32" s="217">
        <f>P33*P28</f>
        <v/>
      </c>
      <c r="Q32" s="217">
        <f>Q33*Q28</f>
        <v/>
      </c>
      <c r="R32" s="217">
        <f>R33*R28</f>
        <v/>
      </c>
      <c r="S32" s="217">
        <f>S33*S28</f>
        <v/>
      </c>
      <c r="T32" s="217">
        <f>T33*T28</f>
        <v/>
      </c>
      <c r="U32" s="217">
        <f>U33*U28</f>
        <v/>
      </c>
      <c r="V32" s="217">
        <f>V33*V28</f>
        <v/>
      </c>
      <c r="W32" s="217">
        <f>W33*W28</f>
        <v/>
      </c>
      <c r="X32" s="217">
        <f>X33*X28</f>
        <v/>
      </c>
      <c r="Y32" s="217">
        <f>Y33*Y28</f>
        <v/>
      </c>
      <c r="Z32" s="258">
        <f>Z33*Z28</f>
        <v/>
      </c>
    </row>
    <row customHeight="1" ht="15.75" r="33" s="199" spans="1:28" thickBot="1">
      <c r="N33" s="242" t="s">
        <v>34</v>
      </c>
      <c r="O33" s="260" t="n">
        <v>1550</v>
      </c>
      <c r="P33" s="260" t="n">
        <v>6716</v>
      </c>
      <c r="Q33" s="260" t="n">
        <v>1300</v>
      </c>
      <c r="R33" s="260" t="n">
        <v>2300</v>
      </c>
      <c r="S33" s="260" t="n">
        <v>7500</v>
      </c>
      <c r="T33" s="260" t="n">
        <v>3500</v>
      </c>
      <c r="U33" s="260" t="n">
        <v>14100</v>
      </c>
      <c r="V33" s="260" t="n">
        <v>13300</v>
      </c>
      <c r="W33" s="260" t="n">
        <v>10700</v>
      </c>
      <c r="X33" s="260">
        <f>6000/5</f>
        <v/>
      </c>
      <c r="Y33" s="260">
        <f>6000/5</f>
        <v/>
      </c>
      <c r="Z33" s="261" t="n">
        <v>1000</v>
      </c>
    </row>
    <row customHeight="1" ht="15.75" r="34" s="199" spans="1:28" thickBot="1">
      <c r="N34" s="242" t="s">
        <v>38</v>
      </c>
      <c r="O34" s="263" t="n">
        <v>4500</v>
      </c>
      <c r="P34" s="263" t="n">
        <v>7500</v>
      </c>
      <c r="Q34" s="263" t="n">
        <v>4500</v>
      </c>
      <c r="R34" s="263" t="n">
        <v>4500</v>
      </c>
      <c r="S34" s="263" t="n">
        <v>5500</v>
      </c>
      <c r="T34" s="263" t="n">
        <v>4500</v>
      </c>
      <c r="U34" s="263" t="n">
        <v>8500</v>
      </c>
      <c r="V34" s="263" t="n">
        <v>7500</v>
      </c>
      <c r="W34" s="263" t="n">
        <v>7500</v>
      </c>
      <c r="X34" s="263" t="n">
        <v>7500</v>
      </c>
      <c r="Y34" s="263" t="n">
        <v>4500</v>
      </c>
      <c r="Z34" s="264" t="n">
        <v>17500</v>
      </c>
    </row>
    <row customHeight="1" ht="15.75" r="35" s="199" spans="1:28" thickBot="1">
      <c r="B35" s="252" t="n"/>
      <c r="C35" s="236" t="n"/>
      <c r="D35" s="253" t="n"/>
      <c r="E35" s="254" t="n"/>
      <c r="F35" s="254" t="n"/>
      <c r="G35" s="254" t="n"/>
      <c r="H35" s="254" t="n"/>
      <c r="I35" s="254" t="n"/>
      <c r="J35" s="254" t="n"/>
      <c r="K35" s="255" t="n"/>
      <c r="N35" s="256" t="n"/>
    </row>
    <row customHeight="1" ht="14.65" r="36" s="199" spans="1:28" thickBot="1">
      <c r="B36" s="241" t="s">
        <v>39</v>
      </c>
      <c r="N36" s="242" t="s">
        <v>40</v>
      </c>
      <c r="O36" s="217">
        <f>O27*O32</f>
        <v/>
      </c>
      <c r="P36" s="265">
        <f>P27*P32</f>
        <v/>
      </c>
      <c r="Q36" s="265">
        <f>Q27*Q32</f>
        <v/>
      </c>
      <c r="R36" s="217">
        <f>R27*R32</f>
        <v/>
      </c>
      <c r="S36" s="217">
        <f>S27*S32</f>
        <v/>
      </c>
      <c r="T36" s="217">
        <f>T27*T32</f>
        <v/>
      </c>
      <c r="U36" s="217">
        <f>U27*U32</f>
        <v/>
      </c>
      <c r="V36" s="217">
        <f>V27*V32</f>
        <v/>
      </c>
      <c r="W36" s="217">
        <f>W27*W32</f>
        <v/>
      </c>
      <c r="X36" s="217">
        <f>X27*X32</f>
        <v/>
      </c>
      <c r="Y36" s="217">
        <f>Y27*Y32</f>
        <v/>
      </c>
      <c r="Z36" s="258">
        <f>Z27*Z32</f>
        <v/>
      </c>
    </row>
    <row customHeight="1" ht="15.75" r="37" s="199" spans="1:28" thickBot="1">
      <c r="N37" s="242" t="s">
        <v>27</v>
      </c>
      <c r="O37" s="297">
        <f>SUM(O36:Z36)</f>
        <v/>
      </c>
    </row>
    <row customHeight="1" ht="15.75" r="38" s="199" spans="1:28" thickBot="1">
      <c r="B38" s="241" t="s">
        <v>41</v>
      </c>
      <c r="N38" s="242" t="s">
        <v>40</v>
      </c>
      <c r="O38" s="223">
        <f>O34*O27</f>
        <v/>
      </c>
      <c r="P38" s="223">
        <f>P34*P27</f>
        <v/>
      </c>
      <c r="Q38" s="223">
        <f>Q34*Q27</f>
        <v/>
      </c>
      <c r="R38" s="223">
        <f>R34*R27</f>
        <v/>
      </c>
      <c r="S38" s="223">
        <f>S34*S27</f>
        <v/>
      </c>
      <c r="T38" s="223">
        <f>T34*T27</f>
        <v/>
      </c>
      <c r="U38" s="223">
        <f>U34*U27</f>
        <v/>
      </c>
      <c r="V38" s="223">
        <f>V34*V27</f>
        <v/>
      </c>
      <c r="W38" s="223">
        <f>W34*W27</f>
        <v/>
      </c>
      <c r="X38" s="223">
        <f>X34*X27</f>
        <v/>
      </c>
      <c r="Y38" s="223">
        <f>Y34*Y27</f>
        <v/>
      </c>
      <c r="Z38" s="268">
        <f>Z34*Z27</f>
        <v/>
      </c>
    </row>
    <row customHeight="1" ht="15.75" r="39" s="199" spans="1:28" thickBot="1">
      <c r="N39" s="242" t="s">
        <v>27</v>
      </c>
      <c r="O39" s="297">
        <f>SUM(O38:Z38)</f>
        <v/>
      </c>
    </row>
    <row customHeight="1" ht="14.65" r="40" s="199" spans="1:28" thickBot="1">
      <c r="B40" s="241" t="s">
        <v>42</v>
      </c>
      <c r="N40" s="242" t="s">
        <v>40</v>
      </c>
      <c r="O40" s="223">
        <f>O38-O36</f>
        <v/>
      </c>
      <c r="P40" s="223">
        <f>P38-P36</f>
        <v/>
      </c>
      <c r="Q40" s="223">
        <f>Q38-Q36</f>
        <v/>
      </c>
      <c r="R40" s="223">
        <f>R38-R36</f>
        <v/>
      </c>
      <c r="S40" s="223">
        <f>S38-S36</f>
        <v/>
      </c>
      <c r="T40" s="223">
        <f>T38-T36</f>
        <v/>
      </c>
      <c r="U40" s="223">
        <f>U38-U36</f>
        <v/>
      </c>
      <c r="V40" s="223">
        <f>V38-V36</f>
        <v/>
      </c>
      <c r="W40" s="223">
        <f>W38-W36</f>
        <v/>
      </c>
      <c r="X40" s="223">
        <f>X38-X36</f>
        <v/>
      </c>
      <c r="Y40" s="223">
        <f>Y38-Y36</f>
        <v/>
      </c>
      <c r="Z40" s="268">
        <f>Z38-Z36</f>
        <v/>
      </c>
    </row>
    <row customHeight="1" ht="29.65" r="41" s="199" spans="1:28" thickBot="1">
      <c r="N41" s="242" t="s">
        <v>43</v>
      </c>
      <c r="O41" s="298">
        <f>O39-O37</f>
        <v/>
      </c>
    </row>
    <row customHeight="1" ht="15.75" r="42" s="199" spans="1:28" thickBot="1"/>
    <row customHeight="1" ht="14.65" r="43" s="199" spans="1:28" thickBot="1">
      <c r="B43" s="270" t="s">
        <v>44</v>
      </c>
      <c r="O43" s="299" t="s">
        <v>45</v>
      </c>
      <c r="P43" s="272" t="s">
        <v>46</v>
      </c>
      <c r="Q43" s="288" t="n"/>
      <c r="R43" s="256" t="n"/>
      <c r="S43" s="256" t="n"/>
      <c r="T43" s="256" t="n"/>
      <c r="U43" s="256" t="n"/>
      <c r="V43" s="256" t="n"/>
      <c r="W43" s="256" t="n"/>
      <c r="X43" s="256" t="n"/>
      <c r="Y43" s="256" t="n"/>
      <c r="Z43" s="256" t="n"/>
    </row>
    <row customHeight="1" ht="15" r="44" s="199" spans="1:28">
      <c r="O44" s="300" t="n"/>
      <c r="P44" s="274" t="n"/>
      <c r="Q44" s="289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</row>
    <row customHeight="1" ht="15" r="45" s="199" spans="1:28">
      <c r="O45" s="301" t="n"/>
      <c r="P45" s="276" t="n"/>
      <c r="Q45" s="289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</row>
    <row customHeight="1" ht="15" r="46" s="199" spans="1:28">
      <c r="O46" s="301" t="n"/>
      <c r="P46" s="276" t="n"/>
      <c r="Q46" s="289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</row>
    <row customHeight="1" ht="15" r="47" s="199" spans="1:28">
      <c r="O47" s="301" t="n"/>
      <c r="P47" s="276" t="n"/>
      <c r="Q47" s="289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</row>
    <row customHeight="1" ht="15" r="48" s="199" spans="1:28">
      <c r="O48" s="301" t="n"/>
      <c r="P48" s="276" t="n"/>
      <c r="Q48" s="289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</row>
    <row customHeight="1" ht="15" r="49" s="199" spans="1:28">
      <c r="O49" s="301" t="n"/>
      <c r="P49" s="276" t="n"/>
      <c r="Q49" s="289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</row>
    <row customHeight="1" ht="15" r="50" s="199" spans="1:28" thickBot="1">
      <c r="O50" s="302" t="n"/>
      <c r="P50" s="276" t="n"/>
      <c r="Q50" s="289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</row>
    <row customHeight="1" ht="15.75" r="51" s="199" spans="1:28" thickBot="1">
      <c r="O51" s="299" t="n"/>
      <c r="P51" s="279">
        <f>SUM(P44:P50)</f>
        <v/>
      </c>
      <c r="Q51" s="290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</row>
    <row customHeight="1" ht="15.75" r="52" s="199" spans="1:28" thickBot="1"/>
    <row customHeight="1" ht="51.75" r="53" s="199" spans="1:28" thickBot="1">
      <c r="B53" s="271" t="s">
        <v>42</v>
      </c>
      <c r="M53" s="242" t="n"/>
      <c r="N53" s="271" t="s">
        <v>27</v>
      </c>
      <c r="O53" s="303" t="n"/>
      <c r="T53" s="281" t="n"/>
      <c r="U53" s="281" t="n"/>
      <c r="V53" s="281" t="n"/>
      <c r="W53" s="281" t="n"/>
      <c r="X53" s="281" t="n"/>
      <c r="Y53" s="281" t="n"/>
      <c r="Z53" s="281" t="n"/>
    </row>
    <row customHeight="1" ht="15.75" r="54" s="199" spans="1:28">
      <c r="A54" s="282" t="n"/>
      <c r="O54" s="236" t="n"/>
      <c r="P54" s="236" t="n"/>
      <c r="Q54" s="236" t="n"/>
      <c r="S54" s="256" t="n"/>
      <c r="T54" s="256" t="n"/>
      <c r="U54" s="256" t="n"/>
      <c r="V54" s="256" t="n"/>
      <c r="W54" s="256" t="n"/>
      <c r="X54" s="256" t="n"/>
      <c r="Y54" s="256" t="n"/>
      <c r="Z54" s="256" t="n"/>
    </row>
    <row customHeight="1" ht="15" r="55" s="199" spans="1:28">
      <c r="A55" s="282" t="n"/>
      <c r="O55" s="236" t="n"/>
      <c r="P55" s="236" t="n"/>
      <c r="Q55" s="236" t="n"/>
      <c r="S55" s="203" t="n"/>
      <c r="T55" s="203" t="n"/>
      <c r="U55" s="203" t="n"/>
      <c r="V55" s="203" t="n"/>
      <c r="W55" s="203" t="n"/>
      <c r="X55" s="203" t="n"/>
      <c r="Y55" s="203" t="n"/>
      <c r="Z55" s="203" t="n"/>
    </row>
    <row customHeight="1" ht="15" r="56" s="199" spans="1:28">
      <c r="O56" s="236" t="n"/>
      <c r="P56" s="236" t="n"/>
      <c r="Q56" s="236" t="n"/>
      <c r="S56" s="203" t="n"/>
      <c r="T56" s="203" t="n"/>
      <c r="U56" s="203" t="n"/>
      <c r="V56" s="203" t="n"/>
      <c r="W56" s="203" t="n"/>
      <c r="X56" s="203" t="n"/>
      <c r="Y56" s="203" t="n"/>
      <c r="Z56" s="203" t="n"/>
    </row>
    <row customHeight="1" ht="15" r="57" s="199" spans="1:28">
      <c r="O57" s="236" t="n"/>
      <c r="P57" s="236" t="n"/>
      <c r="Q57" s="236" t="n"/>
      <c r="S57" s="203" t="n"/>
      <c r="T57" s="203" t="n"/>
      <c r="U57" s="203" t="n"/>
      <c r="V57" s="203" t="n"/>
      <c r="W57" s="203" t="n"/>
      <c r="X57" s="203" t="n"/>
      <c r="Y57" s="203" t="n"/>
      <c r="Z57" s="203" t="n"/>
    </row>
    <row customHeight="1" ht="15" r="58" s="199" spans="1:28">
      <c r="O58" s="236" t="n"/>
      <c r="P58" s="236" t="n"/>
      <c r="Q58" s="236" t="n"/>
      <c r="S58" s="203" t="n"/>
      <c r="T58" s="203" t="n"/>
      <c r="U58" s="203" t="n"/>
      <c r="V58" s="203" t="n"/>
      <c r="W58" s="203" t="n"/>
      <c r="X58" s="203" t="n"/>
      <c r="Y58" s="203" t="n"/>
      <c r="Z58" s="203" t="n"/>
    </row>
    <row customHeight="1" ht="15" r="59" s="199" spans="1:28">
      <c r="O59" s="236" t="n"/>
      <c r="P59" s="236" t="n"/>
      <c r="Q59" s="236" t="n"/>
      <c r="S59" s="203" t="n"/>
      <c r="T59" s="203" t="n"/>
      <c r="U59" s="203" t="n"/>
      <c r="V59" s="203" t="n"/>
      <c r="W59" s="203" t="n"/>
      <c r="X59" s="203" t="n"/>
      <c r="Y59" s="203" t="n"/>
      <c r="Z59" s="203" t="n"/>
    </row>
    <row customHeight="1" ht="15" r="60" s="199" spans="1:28">
      <c r="O60" s="236" t="n"/>
      <c r="P60" s="236" t="n"/>
      <c r="Q60" s="236" t="n"/>
      <c r="S60" s="203" t="n"/>
      <c r="T60" s="203" t="n"/>
      <c r="U60" s="203" t="n"/>
      <c r="V60" s="203" t="n"/>
      <c r="W60" s="203" t="n"/>
      <c r="X60" s="203" t="n"/>
      <c r="Y60" s="203" t="n"/>
      <c r="Z60" s="203" t="n"/>
    </row>
    <row customHeight="1" ht="15" r="61" s="199" spans="1:28">
      <c r="O61" s="236" t="n"/>
      <c r="P61" s="236" t="n"/>
      <c r="Q61" s="236" t="n"/>
      <c r="S61" s="203" t="n"/>
      <c r="T61" s="203" t="n"/>
      <c r="U61" s="203" t="n"/>
      <c r="V61" s="203" t="n"/>
      <c r="W61" s="203" t="n"/>
      <c r="X61" s="203" t="n"/>
      <c r="Y61" s="203" t="n"/>
      <c r="Z61" s="203" t="n"/>
    </row>
    <row customHeight="1" ht="15.75" r="62" s="199" spans="1:28">
      <c r="O62" s="236" t="n"/>
      <c r="P62" s="236" t="n"/>
      <c r="Q62" s="236" t="n"/>
      <c r="S62" s="203" t="n"/>
      <c r="T62" s="203" t="n"/>
      <c r="U62" s="203" t="n"/>
      <c r="V62" s="203" t="n"/>
      <c r="W62" s="203" t="n"/>
      <c r="X62" s="203" t="n"/>
      <c r="Y62" s="203" t="n"/>
      <c r="Z62" s="203" t="n"/>
    </row>
  </sheetData>
  <mergeCells count="15">
    <mergeCell ref="B2:N2"/>
    <mergeCell ref="O2:Z2"/>
    <mergeCell ref="A27:A53"/>
    <mergeCell ref="B27:M30"/>
    <mergeCell ref="B32:M34"/>
    <mergeCell ref="B36:M37"/>
    <mergeCell ref="O37:Z37"/>
    <mergeCell ref="B38:M39"/>
    <mergeCell ref="O39:Z39"/>
    <mergeCell ref="B53:L53"/>
    <mergeCell ref="O53:S53"/>
    <mergeCell ref="A5:A23"/>
    <mergeCell ref="B40:M41"/>
    <mergeCell ref="O41:Z41"/>
    <mergeCell ref="B43:N51"/>
  </mergeCells>
  <conditionalFormatting sqref="AA5:AA24">
    <cfRule dxfId="85" operator="lessThan" priority="1" type="cellIs">
      <formula>20</formula>
    </cfRule>
    <cfRule dxfId="84" operator="between" priority="2" type="cellIs">
      <formula>20</formula>
      <formula>29</formula>
    </cfRule>
    <cfRule dxfId="83" operator="greaterThan" priority="3" type="cellIs">
      <formula>29</formula>
    </cfRule>
  </conditionalFormatting>
  <hyperlinks>
    <hyperlink ref="J15" r:id="rId1"/>
  </hyperlinks>
  <pageMargins bottom="0.75" footer="0.3" header="0.3" left="0.7" right="0.7" top="0.75"/>
  <pageSetup orientation="portrait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4">
    <outlinePr summaryBelow="1" summaryRight="1"/>
    <pageSetUpPr autoPageBreaks="0"/>
  </sheetPr>
  <dimension ref="A2:AB54"/>
  <sheetViews>
    <sheetView workbookViewId="0" zoomScale="85" zoomScaleNormal="85" zoomScalePageLayoutView="85">
      <pane activePane="bottomRight" state="frozen" topLeftCell="N5" xSplit="3" ySplit="4"/>
      <selection activeCell="D1" pane="topRight" sqref="D1"/>
      <selection activeCell="A5" pane="bottomLeft" sqref="A5"/>
      <selection activeCell="N5" pane="bottomRight" sqref="N5"/>
    </sheetView>
  </sheetViews>
  <sheetFormatPr baseColWidth="10" defaultColWidth="11.42578125" defaultRowHeight="15" outlineLevelCol="1" outlineLevelRow="1"/>
  <cols>
    <col customWidth="1" max="2" min="2" style="199" width="12.42578125"/>
    <col customWidth="1" max="3" min="3" style="199" width="15.28515625"/>
    <col customWidth="1" hidden="1" max="4" min="4" outlineLevel="1" style="199" width="38"/>
    <col customWidth="1" hidden="1" max="5" min="5" outlineLevel="1" style="199" width="15.140625"/>
    <col customWidth="1" hidden="1" max="6" min="6" outlineLevel="1" style="199" width="16.5703125"/>
    <col customWidth="1" hidden="1" max="7" min="7" outlineLevel="1" style="199" width="14.7109375"/>
    <col customWidth="1" hidden="1" max="8" min="8" outlineLevel="1" style="199" width="10.5703125"/>
    <col customWidth="1" hidden="1" max="9" min="9" outlineLevel="1" style="199" width="18.42578125"/>
    <col customWidth="1" hidden="1" max="10" min="10" outlineLevel="1" style="199" width="33.5703125"/>
    <col customWidth="1" hidden="1" max="11" min="11" outlineLevel="1" style="199" width="20.7109375"/>
    <col collapsed="1" customWidth="1" max="12" min="12" style="199" width="10.7109375"/>
    <col customWidth="1" max="14" min="13" style="199" width="10.7109375"/>
    <col customWidth="1" max="26" min="15" style="199" width="15.42578125"/>
    <col customWidth="1" max="28" min="28" style="200" width="71.42578125"/>
  </cols>
  <sheetData>
    <row customHeight="1" ht="15.75" r="1" s="199" spans="1:28" thickBot="1"/>
    <row customHeight="1" ht="29.65" r="2" s="199" spans="1:28" thickBot="1">
      <c r="B2" s="201" t="s">
        <v>0</v>
      </c>
      <c r="O2" s="283" t="n"/>
    </row>
    <row customFormat="1" customHeight="1" ht="15.75" r="3" s="203" spans="1:28" thickBot="1">
      <c r="L3" s="204" t="n"/>
      <c r="M3" s="204" t="n"/>
      <c r="N3" s="204" t="n"/>
      <c r="O3" s="205" t="s">
        <v>2</v>
      </c>
      <c r="P3" s="205" t="s">
        <v>3</v>
      </c>
      <c r="Q3" s="205" t="s">
        <v>4</v>
      </c>
      <c r="R3" s="205" t="s">
        <v>5</v>
      </c>
      <c r="S3" s="205" t="s">
        <v>6</v>
      </c>
      <c r="T3" s="206" t="s">
        <v>7</v>
      </c>
      <c r="U3" s="206" t="s">
        <v>8</v>
      </c>
      <c r="V3" s="206" t="s">
        <v>9</v>
      </c>
      <c r="W3" s="206" t="s">
        <v>10</v>
      </c>
      <c r="X3" s="207" t="s">
        <v>11</v>
      </c>
      <c r="Y3" s="208" t="s">
        <v>12</v>
      </c>
      <c r="Z3" s="208" t="s">
        <v>13</v>
      </c>
      <c r="AB3" s="200" t="n"/>
    </row>
    <row customFormat="1" customHeight="1" ht="15.75" r="4" s="209" spans="1:28" thickBot="1">
      <c r="B4" s="210" t="s">
        <v>14</v>
      </c>
      <c r="C4" s="210" t="s">
        <v>15</v>
      </c>
      <c r="D4" s="210" t="s">
        <v>16</v>
      </c>
      <c r="E4" s="210" t="s">
        <v>17</v>
      </c>
      <c r="F4" s="210" t="s">
        <v>18</v>
      </c>
      <c r="G4" s="210" t="s">
        <v>19</v>
      </c>
      <c r="H4" s="210" t="s">
        <v>20</v>
      </c>
      <c r="I4" s="210" t="s">
        <v>21</v>
      </c>
      <c r="J4" s="210" t="s">
        <v>22</v>
      </c>
      <c r="K4" s="210" t="s">
        <v>23</v>
      </c>
      <c r="L4" s="210" t="s">
        <v>24</v>
      </c>
      <c r="M4" s="210" t="s">
        <v>25</v>
      </c>
      <c r="N4" s="210" t="s">
        <v>26</v>
      </c>
      <c r="O4" s="211" t="s">
        <v>2</v>
      </c>
      <c r="P4" s="211" t="s">
        <v>3</v>
      </c>
      <c r="Q4" s="212" t="s">
        <v>4</v>
      </c>
      <c r="R4" s="212" t="s">
        <v>5</v>
      </c>
      <c r="S4" s="212" t="s">
        <v>6</v>
      </c>
      <c r="T4" s="213" t="s">
        <v>7</v>
      </c>
      <c r="U4" s="213" t="s">
        <v>8</v>
      </c>
      <c r="V4" s="213" t="s">
        <v>9</v>
      </c>
      <c r="W4" s="213" t="s">
        <v>10</v>
      </c>
      <c r="X4" s="213" t="s">
        <v>11</v>
      </c>
      <c r="Y4" s="213" t="s">
        <v>12</v>
      </c>
      <c r="Z4" s="213" t="s">
        <v>13</v>
      </c>
      <c r="AA4" s="213" t="s">
        <v>27</v>
      </c>
      <c r="AB4" s="214" t="s">
        <v>28</v>
      </c>
    </row>
    <row customHeight="1" ht="14.65" outlineLevel="1" r="5" s="199" spans="1:28">
      <c r="A5" s="284" t="s">
        <v>29</v>
      </c>
      <c r="B5" s="257" t="s">
        <v>151</v>
      </c>
      <c r="C5" s="217" t="s">
        <v>152</v>
      </c>
      <c r="D5" s="114" t="s">
        <v>153</v>
      </c>
      <c r="E5" s="114" t="s">
        <v>154</v>
      </c>
      <c r="F5" s="114" t="s">
        <v>155</v>
      </c>
      <c r="G5" s="114" t="s">
        <v>99</v>
      </c>
      <c r="H5" s="114" t="s">
        <v>55</v>
      </c>
      <c r="I5" s="115" t="n">
        <v>56979312762</v>
      </c>
      <c r="J5" s="219" t="s">
        <v>156</v>
      </c>
      <c r="K5" s="219" t="s">
        <v>115</v>
      </c>
      <c r="L5" s="220" t="s">
        <v>58</v>
      </c>
      <c r="M5" s="220" t="s">
        <v>59</v>
      </c>
      <c r="N5" s="285">
        <f>SUMPRODUCT(Tabla5235[[#This Row],[Paltas]:[Empanadas]],O$26:Z$26)</f>
        <v/>
      </c>
      <c r="O5" s="220" t="n">
        <v>2</v>
      </c>
      <c r="P5" s="220" t="n">
        <v>5</v>
      </c>
      <c r="Q5" s="220" t="n">
        <v>1</v>
      </c>
      <c r="R5" s="220" t="n">
        <v>0</v>
      </c>
      <c r="S5" s="220" t="n">
        <v>0</v>
      </c>
      <c r="T5" s="220" t="n">
        <v>0</v>
      </c>
      <c r="U5" s="220" t="n">
        <v>0</v>
      </c>
      <c r="V5" s="220" t="n">
        <v>0</v>
      </c>
      <c r="W5" s="220" t="n">
        <v>0</v>
      </c>
      <c r="X5" s="220">
        <f>11+7</f>
        <v/>
      </c>
      <c r="Y5" s="220" t="n">
        <v>1</v>
      </c>
      <c r="Z5" s="220">
        <f>6+2</f>
        <v/>
      </c>
      <c r="AA5" s="220">
        <f>SUM(Tabla5235[[#This Row],[Paltas]:[Empanadas]])</f>
        <v/>
      </c>
      <c r="AB5" s="221" t="n"/>
    </row>
    <row outlineLevel="1" r="6" s="199" spans="1:28">
      <c r="B6" s="267" t="s">
        <v>95</v>
      </c>
      <c r="C6" s="223" t="s">
        <v>96</v>
      </c>
      <c r="D6" s="223" t="s">
        <v>97</v>
      </c>
      <c r="E6" s="223" t="s">
        <v>52</v>
      </c>
      <c r="F6" s="223" t="s">
        <v>98</v>
      </c>
      <c r="G6" s="223" t="s">
        <v>99</v>
      </c>
      <c r="H6" s="223" t="s">
        <v>55</v>
      </c>
      <c r="I6" s="224" t="n">
        <v>56963061299</v>
      </c>
      <c r="J6" s="225" t="s">
        <v>100</v>
      </c>
      <c r="K6" s="225" t="s">
        <v>94</v>
      </c>
      <c r="L6" s="226" t="s">
        <v>59</v>
      </c>
      <c r="M6" s="226" t="s">
        <v>59</v>
      </c>
      <c r="N6" s="223">
        <f>SUMPRODUCT(Tabla5235[[#This Row],[Paltas]:[Empanadas]],O$26:Z$26)</f>
        <v/>
      </c>
      <c r="O6" s="226" t="n">
        <v>1</v>
      </c>
      <c r="P6" s="226" t="n">
        <v>1</v>
      </c>
      <c r="Q6" s="226" t="n">
        <v>2</v>
      </c>
      <c r="R6" s="226" t="n">
        <v>0</v>
      </c>
      <c r="S6" s="226" t="n">
        <v>0</v>
      </c>
      <c r="T6" s="226" t="n">
        <v>0</v>
      </c>
      <c r="U6" s="226" t="n">
        <v>0</v>
      </c>
      <c r="V6" s="226" t="n">
        <v>0</v>
      </c>
      <c r="W6" s="226" t="n">
        <v>0</v>
      </c>
      <c r="X6" s="226" t="n">
        <v>1</v>
      </c>
      <c r="Y6" s="226" t="n">
        <v>1</v>
      </c>
      <c r="Z6" s="226" t="n">
        <v>0</v>
      </c>
      <c r="AA6" s="226">
        <f>SUM(Tabla5235[[#This Row],[Paltas]:[Empanadas]])</f>
        <v/>
      </c>
      <c r="AB6" s="227" t="n"/>
    </row>
    <row outlineLevel="1" r="7" s="199" spans="1:28">
      <c r="B7" s="267" t="s">
        <v>185</v>
      </c>
      <c r="C7" s="223" t="s">
        <v>122</v>
      </c>
      <c r="D7" s="223" t="s">
        <v>186</v>
      </c>
      <c r="E7" s="223" t="s">
        <v>90</v>
      </c>
      <c r="F7" s="223" t="s">
        <v>91</v>
      </c>
      <c r="G7" s="223" t="s">
        <v>54</v>
      </c>
      <c r="H7" s="223" t="s">
        <v>55</v>
      </c>
      <c r="I7" s="224" t="n">
        <v>56982978895</v>
      </c>
      <c r="J7" s="225" t="s">
        <v>187</v>
      </c>
      <c r="K7" s="225" t="s">
        <v>115</v>
      </c>
      <c r="L7" s="226" t="s">
        <v>58</v>
      </c>
      <c r="M7" s="226" t="s">
        <v>59</v>
      </c>
      <c r="N7" s="223">
        <f>SUMPRODUCT(Tabla5235[[#This Row],[Paltas]:[Empanadas]],O$26:Z$26)</f>
        <v/>
      </c>
      <c r="O7" s="226" t="n">
        <v>0</v>
      </c>
      <c r="P7" s="226" t="n">
        <v>1</v>
      </c>
      <c r="Q7" s="226" t="n">
        <v>2</v>
      </c>
      <c r="R7" s="226" t="n">
        <v>1</v>
      </c>
      <c r="S7" s="226" t="n">
        <v>0</v>
      </c>
      <c r="T7" s="226" t="n">
        <v>0</v>
      </c>
      <c r="U7" s="226" t="n">
        <v>0</v>
      </c>
      <c r="V7" s="226" t="n">
        <v>0</v>
      </c>
      <c r="W7" s="226" t="n">
        <v>0</v>
      </c>
      <c r="X7" s="226" t="n">
        <v>0</v>
      </c>
      <c r="Y7" s="226" t="n">
        <v>0</v>
      </c>
      <c r="Z7" s="226" t="n">
        <v>1</v>
      </c>
      <c r="AA7" s="226">
        <f>SUM(Tabla5235[[#This Row],[Paltas]:[Empanadas]])</f>
        <v/>
      </c>
      <c r="AB7" s="227" t="n"/>
    </row>
    <row outlineLevel="1" r="8" s="199" spans="1:28">
      <c r="B8" s="267" t="s">
        <v>165</v>
      </c>
      <c r="C8" s="223" t="s">
        <v>148</v>
      </c>
      <c r="D8" s="59" t="s">
        <v>166</v>
      </c>
      <c r="E8" s="59" t="s">
        <v>52</v>
      </c>
      <c r="F8" s="59" t="s">
        <v>98</v>
      </c>
      <c r="G8" s="59" t="n">
        <v>0</v>
      </c>
      <c r="H8" s="59" t="s">
        <v>55</v>
      </c>
      <c r="I8" s="60" t="n">
        <v>0</v>
      </c>
      <c r="J8" s="225" t="s">
        <v>167</v>
      </c>
      <c r="K8" s="225" t="n">
        <v>0</v>
      </c>
      <c r="L8" s="226" t="s">
        <v>59</v>
      </c>
      <c r="M8" s="226" t="s">
        <v>59</v>
      </c>
      <c r="N8" s="228">
        <f>SUMPRODUCT(Tabla5235[[#This Row],[Paltas]:[Empanadas]],O$26:Z$26)</f>
        <v/>
      </c>
      <c r="O8" s="226" t="n">
        <v>3</v>
      </c>
      <c r="P8" s="226" t="n">
        <v>0</v>
      </c>
      <c r="Q8" s="226" t="n">
        <v>0</v>
      </c>
      <c r="R8" s="226" t="n">
        <v>0</v>
      </c>
      <c r="S8" s="226" t="n">
        <v>0</v>
      </c>
      <c r="T8" s="226" t="n">
        <v>0</v>
      </c>
      <c r="U8" s="226" t="n">
        <v>0</v>
      </c>
      <c r="V8" s="226" t="n">
        <v>0</v>
      </c>
      <c r="W8" s="226" t="n">
        <v>0</v>
      </c>
      <c r="X8" s="226" t="n">
        <v>2</v>
      </c>
      <c r="Y8" s="226" t="n">
        <v>0</v>
      </c>
      <c r="Z8" s="226" t="n">
        <v>0</v>
      </c>
      <c r="AA8" s="226">
        <f>SUM(Tabla5235[[#This Row],[Paltas]:[Empanadas]])</f>
        <v/>
      </c>
      <c r="AB8" s="227" t="n"/>
    </row>
    <row outlineLevel="1" r="9" s="199" spans="1:28">
      <c r="B9" s="267" t="s">
        <v>101</v>
      </c>
      <c r="C9" s="223" t="s">
        <v>201</v>
      </c>
      <c r="D9" s="59" t="s">
        <v>202</v>
      </c>
      <c r="E9" s="59" t="s">
        <v>63</v>
      </c>
      <c r="F9" s="59" t="s">
        <v>64</v>
      </c>
      <c r="G9" s="59" t="s">
        <v>81</v>
      </c>
      <c r="H9" s="59" t="s">
        <v>55</v>
      </c>
      <c r="I9" s="60" t="n">
        <v>56976994719</v>
      </c>
      <c r="J9" s="225" t="s">
        <v>203</v>
      </c>
      <c r="K9" s="225" t="s">
        <v>115</v>
      </c>
      <c r="L9" s="226" t="s">
        <v>58</v>
      </c>
      <c r="M9" s="226" t="s">
        <v>59</v>
      </c>
      <c r="N9" s="228">
        <f>SUMPRODUCT(Tabla5235[[#This Row],[Paltas]:[Empanadas]],O$26:Z$26)</f>
        <v/>
      </c>
      <c r="O9" s="226" t="n">
        <v>1</v>
      </c>
      <c r="P9" s="226" t="n">
        <v>1</v>
      </c>
      <c r="Q9" s="226" t="n">
        <v>0</v>
      </c>
      <c r="R9" s="226" t="n">
        <v>1</v>
      </c>
      <c r="S9" s="226" t="n">
        <v>0</v>
      </c>
      <c r="T9" s="226" t="n">
        <v>0</v>
      </c>
      <c r="U9" s="226" t="n">
        <v>0</v>
      </c>
      <c r="V9" s="226" t="n">
        <v>0</v>
      </c>
      <c r="W9" s="226" t="n">
        <v>0</v>
      </c>
      <c r="X9" s="226" t="n">
        <v>1</v>
      </c>
      <c r="Y9" s="226" t="n">
        <v>0</v>
      </c>
      <c r="Z9" s="226" t="n">
        <v>0</v>
      </c>
      <c r="AA9" s="226">
        <f>SUM(Tabla5235[[#This Row],[Paltas]:[Empanadas]])</f>
        <v/>
      </c>
      <c r="AB9" s="227" t="n"/>
    </row>
    <row outlineLevel="1" r="10" s="199" spans="1:28">
      <c r="B10" s="267" t="s">
        <v>168</v>
      </c>
      <c r="C10" s="223" t="s">
        <v>169</v>
      </c>
      <c r="D10" s="223" t="s">
        <v>170</v>
      </c>
      <c r="E10" s="223" t="s">
        <v>63</v>
      </c>
      <c r="F10" s="223" t="s">
        <v>64</v>
      </c>
      <c r="G10" s="223" t="s">
        <v>99</v>
      </c>
      <c r="H10" s="223" t="s">
        <v>55</v>
      </c>
      <c r="I10" s="224" t="n">
        <v>56967898535</v>
      </c>
      <c r="J10" s="225" t="s">
        <v>171</v>
      </c>
      <c r="K10" s="225" t="s">
        <v>57</v>
      </c>
      <c r="L10" s="226" t="s">
        <v>210</v>
      </c>
      <c r="M10" s="226" t="s">
        <v>59</v>
      </c>
      <c r="N10" s="223">
        <f>SUMPRODUCT(Tabla5235[[#This Row],[Paltas]:[Empanadas]],O$26:Z$26)</f>
        <v/>
      </c>
      <c r="O10" s="226" t="n">
        <v>2</v>
      </c>
      <c r="P10" s="226" t="n">
        <v>0</v>
      </c>
      <c r="Q10" s="226" t="n">
        <v>0</v>
      </c>
      <c r="R10" s="226" t="n">
        <v>1</v>
      </c>
      <c r="S10" s="226" t="n">
        <v>0</v>
      </c>
      <c r="T10" s="226" t="n">
        <v>0</v>
      </c>
      <c r="U10" s="226" t="n">
        <v>0</v>
      </c>
      <c r="V10" s="226" t="n">
        <v>0</v>
      </c>
      <c r="W10" s="226" t="n">
        <v>0</v>
      </c>
      <c r="X10" s="226" t="n">
        <v>1</v>
      </c>
      <c r="Y10" s="226" t="n">
        <v>0</v>
      </c>
      <c r="Z10" s="226" t="n">
        <v>0</v>
      </c>
      <c r="AA10" s="226">
        <f>SUM(Tabla5235[[#This Row],[Paltas]:[Empanadas]])</f>
        <v/>
      </c>
      <c r="AB10" s="227" t="n"/>
    </row>
    <row outlineLevel="1" r="11" s="199" spans="1:28">
      <c r="B11" s="267" t="s">
        <v>188</v>
      </c>
      <c r="C11" s="223" t="s">
        <v>189</v>
      </c>
      <c r="D11" s="59" t="s">
        <v>190</v>
      </c>
      <c r="E11" s="59" t="s">
        <v>63</v>
      </c>
      <c r="F11" s="59" t="s">
        <v>64</v>
      </c>
      <c r="G11" s="59" t="s">
        <v>141</v>
      </c>
      <c r="H11" s="59" t="s">
        <v>55</v>
      </c>
      <c r="I11" s="60" t="n">
        <v>56966640363</v>
      </c>
      <c r="J11" s="225" t="s">
        <v>191</v>
      </c>
      <c r="K11" s="225" t="s">
        <v>115</v>
      </c>
      <c r="L11" s="226" t="s">
        <v>58</v>
      </c>
      <c r="M11" s="226" t="s">
        <v>59</v>
      </c>
      <c r="N11" s="228">
        <f>SUMPRODUCT(Tabla5235[[#This Row],[Paltas]:[Empanadas]],O$26:Z$26)</f>
        <v/>
      </c>
      <c r="O11" s="226" t="n">
        <v>0</v>
      </c>
      <c r="P11" s="226" t="n">
        <v>0</v>
      </c>
      <c r="Q11" s="226" t="n">
        <v>0</v>
      </c>
      <c r="R11" s="226" t="n">
        <v>1</v>
      </c>
      <c r="S11" s="226" t="n">
        <v>0</v>
      </c>
      <c r="T11" s="226" t="n">
        <v>0</v>
      </c>
      <c r="U11" s="226" t="n">
        <v>0</v>
      </c>
      <c r="V11" s="226" t="n">
        <v>0</v>
      </c>
      <c r="W11" s="226" t="n">
        <v>0</v>
      </c>
      <c r="X11" s="226" t="n">
        <v>2</v>
      </c>
      <c r="Y11" s="226" t="n">
        <v>0</v>
      </c>
      <c r="Z11" s="226" t="n">
        <v>0</v>
      </c>
      <c r="AA11" s="226">
        <f>SUM(Tabla5235[[#This Row],[Paltas]:[Empanadas]])</f>
        <v/>
      </c>
      <c r="AB11" s="227" t="n"/>
    </row>
    <row outlineLevel="1" r="12" s="199" spans="1:28">
      <c r="B12" s="267" t="s">
        <v>121</v>
      </c>
      <c r="C12" s="223" t="s">
        <v>133</v>
      </c>
      <c r="D12" s="223" t="s">
        <v>134</v>
      </c>
      <c r="E12" s="223" t="s">
        <v>63</v>
      </c>
      <c r="F12" s="223" t="s">
        <v>64</v>
      </c>
      <c r="G12" s="223" t="s">
        <v>70</v>
      </c>
      <c r="H12" s="223" t="s">
        <v>55</v>
      </c>
      <c r="I12" s="224" t="n">
        <v>56975684552</v>
      </c>
      <c r="J12" s="225" t="s">
        <v>135</v>
      </c>
      <c r="K12" s="225" t="s">
        <v>115</v>
      </c>
      <c r="L12" s="226" t="s">
        <v>210</v>
      </c>
      <c r="M12" s="226" t="s">
        <v>59</v>
      </c>
      <c r="N12" s="223">
        <f>SUMPRODUCT(Tabla5235[[#This Row],[Paltas]:[Empanadas]],O$26:Z$26)</f>
        <v/>
      </c>
      <c r="O12" s="226" t="n">
        <v>0</v>
      </c>
      <c r="P12" s="226" t="n">
        <v>0</v>
      </c>
      <c r="Q12" s="226" t="n">
        <v>1</v>
      </c>
      <c r="R12" s="226" t="n">
        <v>0</v>
      </c>
      <c r="S12" s="226" t="n">
        <v>0</v>
      </c>
      <c r="T12" s="226" t="n">
        <v>0</v>
      </c>
      <c r="U12" s="226" t="n">
        <v>0</v>
      </c>
      <c r="V12" s="226" t="n">
        <v>0</v>
      </c>
      <c r="W12" s="226" t="n">
        <v>0</v>
      </c>
      <c r="X12" s="226" t="n">
        <v>2</v>
      </c>
      <c r="Y12" s="226" t="n">
        <v>0</v>
      </c>
      <c r="Z12" s="226" t="n">
        <v>0</v>
      </c>
      <c r="AA12" s="226">
        <f>SUM(Tabla5235[[#This Row],[Paltas]:[Empanadas]])</f>
        <v/>
      </c>
      <c r="AB12" s="227" t="n"/>
    </row>
    <row outlineLevel="1" r="13" s="199" spans="1:28">
      <c r="B13" s="267" t="s">
        <v>67</v>
      </c>
      <c r="C13" s="223" t="s">
        <v>68</v>
      </c>
      <c r="D13" s="223" t="s">
        <v>69</v>
      </c>
      <c r="E13" s="223" t="s">
        <v>52</v>
      </c>
      <c r="F13" s="223" t="s">
        <v>53</v>
      </c>
      <c r="G13" s="223" t="s">
        <v>70</v>
      </c>
      <c r="H13" s="223" t="s">
        <v>55</v>
      </c>
      <c r="I13" s="224" t="n">
        <v>56967289638</v>
      </c>
      <c r="J13" s="225" t="s">
        <v>71</v>
      </c>
      <c r="K13" s="225" t="s">
        <v>57</v>
      </c>
      <c r="L13" s="226" t="s">
        <v>210</v>
      </c>
      <c r="M13" s="226" t="s">
        <v>59</v>
      </c>
      <c r="N13" s="223">
        <f>SUMPRODUCT(Tabla5235[[#This Row],[Paltas]:[Empanadas]],O$26:Z$26)</f>
        <v/>
      </c>
      <c r="O13" s="226" t="n">
        <v>1</v>
      </c>
      <c r="P13" s="226" t="n">
        <v>0</v>
      </c>
      <c r="Q13" s="226" t="n">
        <v>0</v>
      </c>
      <c r="R13" s="226" t="n">
        <v>0</v>
      </c>
      <c r="S13" s="226" t="n">
        <v>0</v>
      </c>
      <c r="T13" s="226" t="n">
        <v>0</v>
      </c>
      <c r="U13" s="226" t="n">
        <v>0</v>
      </c>
      <c r="V13" s="226" t="n">
        <v>0</v>
      </c>
      <c r="W13" s="226" t="n">
        <v>0</v>
      </c>
      <c r="X13" s="226" t="n">
        <v>0</v>
      </c>
      <c r="Y13" s="226" t="n">
        <v>0</v>
      </c>
      <c r="Z13" s="226" t="n">
        <v>1</v>
      </c>
      <c r="AA13" s="226">
        <f>SUM(Tabla5235[[#This Row],[Paltas]:[Empanadas]])</f>
        <v/>
      </c>
      <c r="AB13" s="227" t="n"/>
    </row>
    <row outlineLevel="1" r="14" s="199" spans="1:28">
      <c r="B14" s="267" t="s">
        <v>211</v>
      </c>
      <c r="C14" s="223" t="s">
        <v>212</v>
      </c>
      <c r="D14" s="223" t="s">
        <v>213</v>
      </c>
      <c r="E14" s="223" t="s">
        <v>63</v>
      </c>
      <c r="F14" s="223" t="s">
        <v>80</v>
      </c>
      <c r="G14" s="223" t="s">
        <v>65</v>
      </c>
      <c r="H14" s="223" t="s">
        <v>55</v>
      </c>
      <c r="I14" s="224" t="n">
        <v>56966477967</v>
      </c>
      <c r="J14" s="225" t="s">
        <v>214</v>
      </c>
      <c r="K14" s="225" t="s">
        <v>57</v>
      </c>
      <c r="L14" s="226" t="s">
        <v>58</v>
      </c>
      <c r="M14" s="226" t="s">
        <v>59</v>
      </c>
      <c r="N14" s="223">
        <f>SUMPRODUCT(Tabla5235[[#This Row],[Paltas]:[Empanadas]],O$26:Z$26)</f>
        <v/>
      </c>
      <c r="O14" s="226" t="n">
        <v>0</v>
      </c>
      <c r="P14" s="226" t="n">
        <v>0</v>
      </c>
      <c r="Q14" s="226" t="n">
        <v>2</v>
      </c>
      <c r="R14" s="226" t="n">
        <v>0</v>
      </c>
      <c r="S14" s="226" t="n">
        <v>0</v>
      </c>
      <c r="T14" s="226" t="n">
        <v>0</v>
      </c>
      <c r="U14" s="226" t="n">
        <v>0</v>
      </c>
      <c r="V14" s="226" t="n">
        <v>0</v>
      </c>
      <c r="W14" s="226" t="n">
        <v>0</v>
      </c>
      <c r="X14" s="226" t="n">
        <v>0</v>
      </c>
      <c r="Y14" s="226" t="n">
        <v>0</v>
      </c>
      <c r="Z14" s="226" t="n">
        <v>0</v>
      </c>
      <c r="AA14" s="226">
        <f>SUM(Tabla5235[[#This Row],[Paltas]:[Empanadas]])</f>
        <v/>
      </c>
      <c r="AB14" s="227" t="n"/>
    </row>
    <row outlineLevel="1" r="15" s="199" spans="1:28">
      <c r="B15" s="267" t="s">
        <v>83</v>
      </c>
      <c r="C15" s="223" t="s">
        <v>84</v>
      </c>
      <c r="D15" s="59" t="s">
        <v>85</v>
      </c>
      <c r="E15" s="59" t="s">
        <v>63</v>
      </c>
      <c r="F15" s="59" t="s">
        <v>64</v>
      </c>
      <c r="G15" s="59" t="s">
        <v>65</v>
      </c>
      <c r="H15" s="59" t="s">
        <v>55</v>
      </c>
      <c r="I15" s="60" t="n">
        <v>56974397201</v>
      </c>
      <c r="J15" s="225" t="s">
        <v>86</v>
      </c>
      <c r="K15" s="225" t="s">
        <v>57</v>
      </c>
      <c r="L15" s="226" t="s">
        <v>58</v>
      </c>
      <c r="M15" s="226" t="s">
        <v>59</v>
      </c>
      <c r="N15" s="223">
        <f>SUMPRODUCT(Tabla5235[[#This Row],[Paltas]:[Empanadas]],O$26:Z$26)</f>
        <v/>
      </c>
      <c r="O15" s="226" t="n">
        <v>0</v>
      </c>
      <c r="P15" s="226" t="n">
        <v>0</v>
      </c>
      <c r="Q15" s="226" t="n">
        <v>0</v>
      </c>
      <c r="R15" s="226" t="n">
        <v>0</v>
      </c>
      <c r="S15" s="226" t="n">
        <v>0</v>
      </c>
      <c r="T15" s="226" t="n">
        <v>0</v>
      </c>
      <c r="U15" s="226" t="n">
        <v>0</v>
      </c>
      <c r="V15" s="226" t="n">
        <v>0</v>
      </c>
      <c r="W15" s="226" t="n">
        <v>0</v>
      </c>
      <c r="X15" s="226" t="n">
        <v>1</v>
      </c>
      <c r="Y15" s="226" t="n">
        <v>0</v>
      </c>
      <c r="Z15" s="226" t="n">
        <v>0</v>
      </c>
      <c r="AA15" s="226">
        <f>SUM(Tabla5235[[#This Row],[Paltas]:[Empanadas]])</f>
        <v/>
      </c>
      <c r="AB15" s="227" t="n"/>
    </row>
    <row outlineLevel="1" r="16" s="199" spans="1:28">
      <c r="B16" s="267" t="s">
        <v>129</v>
      </c>
      <c r="C16" s="223" t="s">
        <v>136</v>
      </c>
      <c r="D16" s="59" t="s">
        <v>200</v>
      </c>
      <c r="E16" s="59" t="s">
        <v>52</v>
      </c>
      <c r="F16" s="59" t="s">
        <v>98</v>
      </c>
      <c r="G16" s="59" t="s">
        <v>92</v>
      </c>
      <c r="H16" s="59" t="s">
        <v>55</v>
      </c>
      <c r="I16" s="60" t="n">
        <v>0</v>
      </c>
      <c r="J16" s="225" t="s">
        <v>137</v>
      </c>
      <c r="K16" s="225" t="s">
        <v>115</v>
      </c>
      <c r="L16" s="226" t="s">
        <v>59</v>
      </c>
      <c r="M16" s="226" t="s">
        <v>59</v>
      </c>
      <c r="N16" s="228">
        <f>SUMPRODUCT(Tabla5235[[#This Row],[Paltas]:[Empanadas]],O$26:Z$26)</f>
        <v/>
      </c>
      <c r="O16" s="226" t="n">
        <v>1</v>
      </c>
      <c r="P16" s="226" t="n">
        <v>0</v>
      </c>
      <c r="Q16" s="226" t="n">
        <v>0</v>
      </c>
      <c r="R16" s="226" t="n">
        <v>0</v>
      </c>
      <c r="S16" s="226" t="n">
        <v>0</v>
      </c>
      <c r="T16" s="226" t="n">
        <v>0</v>
      </c>
      <c r="U16" s="226" t="n">
        <v>0</v>
      </c>
      <c r="V16" s="226" t="n">
        <v>0</v>
      </c>
      <c r="W16" s="226" t="n">
        <v>0</v>
      </c>
      <c r="X16" s="226" t="n">
        <v>0</v>
      </c>
      <c r="Y16" s="226" t="n">
        <v>0</v>
      </c>
      <c r="Z16" s="226" t="n">
        <v>0</v>
      </c>
      <c r="AA16" s="226">
        <f>SUM(Tabla5235[[#This Row],[Paltas]:[Empanadas]])</f>
        <v/>
      </c>
      <c r="AB16" s="227" t="n"/>
    </row>
    <row outlineLevel="1" r="17" s="199" spans="1:28">
      <c r="A17" s="235" t="n"/>
      <c r="B17" s="236" t="n"/>
      <c r="C17" s="236" t="n"/>
      <c r="D17" s="236" t="n"/>
      <c r="E17" s="236" t="n"/>
      <c r="F17" s="236" t="n"/>
      <c r="G17" s="236" t="n"/>
      <c r="H17" s="236" t="n"/>
      <c r="I17" s="237" t="n"/>
      <c r="J17" s="238" t="n"/>
      <c r="K17" s="238" t="n"/>
      <c r="L17" s="239" t="n"/>
      <c r="M17" s="239" t="n"/>
      <c r="N17" s="239" t="n"/>
      <c r="O17" s="239" t="n"/>
      <c r="P17" s="239" t="n"/>
      <c r="Q17" s="239" t="n"/>
      <c r="R17" s="239" t="n"/>
      <c r="S17" s="239" t="n"/>
      <c r="T17" s="239" t="n"/>
      <c r="U17" s="239" t="n"/>
      <c r="V17" s="239" t="n"/>
      <c r="W17" s="239" t="n"/>
      <c r="X17" s="239" t="n"/>
      <c r="Y17" s="239" t="n"/>
      <c r="Z17" s="239" t="n"/>
      <c r="AA17" s="239" t="n"/>
    </row>
    <row customHeight="1" ht="15.75" r="18" s="199" spans="1:28" thickBot="1"/>
    <row customHeight="1" ht="14.65" r="19" s="199" spans="1:28" thickBot="1">
      <c r="A19" s="240" t="s">
        <v>30</v>
      </c>
      <c r="B19" s="241" t="s">
        <v>31</v>
      </c>
      <c r="N19" s="242" t="s">
        <v>32</v>
      </c>
      <c r="O19" s="220">
        <f>SUM(Tabla5235[Paltas])</f>
        <v/>
      </c>
      <c r="P19" s="220">
        <f>SUM(Tabla5235[Quesos])</f>
        <v/>
      </c>
      <c r="Q19" s="220">
        <f>SUM(Tabla5235[Frutillas])</f>
        <v/>
      </c>
      <c r="R19" s="220">
        <f>SUM(Tabla5235[Tomate Cherry])</f>
        <v/>
      </c>
      <c r="S19" s="220">
        <f>SUM(Tabla5235[Nueces])</f>
        <v/>
      </c>
      <c r="T19" s="220">
        <f>SUM(Tabla5235[Mani])</f>
        <v/>
      </c>
      <c r="U19" s="220">
        <f>SUM(Tabla5235[Pistachos])</f>
        <v/>
      </c>
      <c r="V19" s="220">
        <f>SUM(Tabla5235[Caju])</f>
        <v/>
      </c>
      <c r="W19" s="220">
        <f>SUM(Tabla5235[Almendras])</f>
        <v/>
      </c>
      <c r="X19" s="220">
        <f>SUM(Tabla5235[Cerezas])</f>
        <v/>
      </c>
      <c r="Y19" s="220">
        <f>SUM(Tabla5235[Arandanos])</f>
        <v/>
      </c>
      <c r="Z19" s="244">
        <f>SUM(Tabla5235[Empanadas])</f>
        <v/>
      </c>
    </row>
    <row customHeight="1" ht="14.65" r="20" s="199" spans="1:28" thickBot="1">
      <c r="N20" s="242" t="s">
        <v>33</v>
      </c>
      <c r="O20" s="226" t="n">
        <v>2</v>
      </c>
      <c r="P20" s="246" t="n">
        <v>1</v>
      </c>
      <c r="Q20" s="246" t="n">
        <v>2</v>
      </c>
      <c r="R20" s="226" t="n">
        <v>1</v>
      </c>
      <c r="S20" s="247" t="n">
        <v>0.5</v>
      </c>
      <c r="T20" s="247" t="n">
        <v>1</v>
      </c>
      <c r="U20" s="247" t="n">
        <v>0.5</v>
      </c>
      <c r="V20" s="247" t="n">
        <v>0.4</v>
      </c>
      <c r="W20" s="247" t="n">
        <v>0.5</v>
      </c>
      <c r="X20" s="247" t="n">
        <v>5</v>
      </c>
      <c r="Y20" s="247" t="n">
        <v>0.5</v>
      </c>
      <c r="Z20" s="248" t="n">
        <v>12</v>
      </c>
    </row>
    <row customHeight="1" ht="14.65" r="21" s="199" spans="1:28" thickBot="1">
      <c r="N21" s="242" t="s">
        <v>34</v>
      </c>
      <c r="O21" s="226">
        <f>O20*O19</f>
        <v/>
      </c>
      <c r="P21" s="226">
        <f>P20*P19</f>
        <v/>
      </c>
      <c r="Q21" s="226">
        <f>Q20*Q19</f>
        <v/>
      </c>
      <c r="R21" s="226">
        <f>R20*R19</f>
        <v/>
      </c>
      <c r="S21" s="226">
        <f>S20*S19</f>
        <v/>
      </c>
      <c r="T21" s="226">
        <f>T20*T19</f>
        <v/>
      </c>
      <c r="U21" s="226">
        <f>U20*U19</f>
        <v/>
      </c>
      <c r="V21" s="226">
        <f>V20*V19</f>
        <v/>
      </c>
      <c r="W21" s="226">
        <f>W20*W19</f>
        <v/>
      </c>
      <c r="X21" s="226">
        <f>X20*X19</f>
        <v/>
      </c>
      <c r="Y21" s="226">
        <f>Y20*Y19</f>
        <v/>
      </c>
      <c r="Z21" s="249">
        <f>Z20*Z19</f>
        <v/>
      </c>
    </row>
    <row customHeight="1" ht="15.75" r="22" s="199" spans="1:28" thickBot="1">
      <c r="N22" s="242" t="s">
        <v>35</v>
      </c>
      <c r="O22" s="232" t="n"/>
      <c r="P22" s="232" t="n"/>
      <c r="Q22" s="232" t="n"/>
      <c r="R22" s="232" t="n"/>
      <c r="S22" s="232" t="n"/>
      <c r="T22" s="232" t="n"/>
      <c r="U22" s="232" t="n"/>
      <c r="V22" s="232" t="n"/>
      <c r="W22" s="232" t="n"/>
      <c r="X22" s="232" t="n"/>
      <c r="Y22" s="232" t="n"/>
      <c r="Z22" s="251" t="n"/>
    </row>
    <row customHeight="1" ht="15.75" r="23" s="199" spans="1:28" thickBot="1">
      <c r="B23" s="252" t="n"/>
      <c r="C23" s="236" t="n"/>
      <c r="D23" s="253" t="n"/>
      <c r="E23" s="254" t="n"/>
      <c r="F23" s="254" t="n"/>
      <c r="G23" s="254" t="n"/>
      <c r="H23" s="254" t="n"/>
      <c r="I23" s="254" t="n"/>
      <c r="J23" s="254" t="n"/>
      <c r="K23" s="255" t="n"/>
      <c r="N23" s="256" t="n"/>
    </row>
    <row customHeight="1" ht="15.75" r="24" s="199" spans="1:28" thickBot="1">
      <c r="B24" s="241" t="s">
        <v>36</v>
      </c>
      <c r="N24" s="242" t="s">
        <v>37</v>
      </c>
      <c r="O24" s="217">
        <f>O25*O20</f>
        <v/>
      </c>
      <c r="P24" s="217">
        <f>P25*P20</f>
        <v/>
      </c>
      <c r="Q24" s="217">
        <f>Q25*Q20</f>
        <v/>
      </c>
      <c r="R24" s="217">
        <f>R25*R20</f>
        <v/>
      </c>
      <c r="S24" s="217">
        <f>S25*S20</f>
        <v/>
      </c>
      <c r="T24" s="217">
        <f>T25*T20</f>
        <v/>
      </c>
      <c r="U24" s="217">
        <f>U25*U20</f>
        <v/>
      </c>
      <c r="V24" s="217">
        <f>V25*V20</f>
        <v/>
      </c>
      <c r="W24" s="217">
        <f>W25*W20</f>
        <v/>
      </c>
      <c r="X24" s="217">
        <f>X25*X20</f>
        <v/>
      </c>
      <c r="Y24" s="217">
        <f>Y25*Y20</f>
        <v/>
      </c>
      <c r="Z24" s="258">
        <f>Z25*Z20</f>
        <v/>
      </c>
    </row>
    <row customHeight="1" ht="15.75" r="25" s="199" spans="1:28" thickBot="1">
      <c r="N25" s="242" t="s">
        <v>34</v>
      </c>
      <c r="O25" s="260" t="n">
        <v>1550</v>
      </c>
      <c r="P25" s="260" t="n">
        <v>6716</v>
      </c>
      <c r="Q25" s="260" t="n">
        <v>1300</v>
      </c>
      <c r="R25" s="260" t="n">
        <v>2300</v>
      </c>
      <c r="S25" s="260" t="n">
        <v>7500</v>
      </c>
      <c r="T25" s="260" t="n">
        <v>3500</v>
      </c>
      <c r="U25" s="260" t="n">
        <v>14100</v>
      </c>
      <c r="V25" s="260" t="n">
        <v>13300</v>
      </c>
      <c r="W25" s="260" t="n">
        <v>10700</v>
      </c>
      <c r="X25" s="260">
        <f>6000/5</f>
        <v/>
      </c>
      <c r="Y25" s="260">
        <f>6000/5</f>
        <v/>
      </c>
      <c r="Z25" s="261" t="n">
        <v>1000</v>
      </c>
    </row>
    <row customHeight="1" ht="15.75" r="26" s="199" spans="1:28" thickBot="1">
      <c r="N26" s="242" t="s">
        <v>38</v>
      </c>
      <c r="O26" s="263" t="n">
        <v>4500</v>
      </c>
      <c r="P26" s="263" t="n">
        <v>7500</v>
      </c>
      <c r="Q26" s="263" t="n">
        <v>4500</v>
      </c>
      <c r="R26" s="263" t="n">
        <v>4500</v>
      </c>
      <c r="S26" s="263" t="n">
        <v>5500</v>
      </c>
      <c r="T26" s="263" t="n">
        <v>4500</v>
      </c>
      <c r="U26" s="263" t="n">
        <v>8500</v>
      </c>
      <c r="V26" s="263" t="n">
        <v>7500</v>
      </c>
      <c r="W26" s="263" t="n">
        <v>7500</v>
      </c>
      <c r="X26" s="263" t="n">
        <v>7500</v>
      </c>
      <c r="Y26" s="263" t="n">
        <v>4500</v>
      </c>
      <c r="Z26" s="264" t="n">
        <v>17500</v>
      </c>
    </row>
    <row customHeight="1" ht="15.75" r="27" s="199" spans="1:28" thickBot="1">
      <c r="B27" s="252" t="n"/>
      <c r="C27" s="236" t="n"/>
      <c r="D27" s="253" t="n"/>
      <c r="E27" s="254" t="n"/>
      <c r="F27" s="254" t="n"/>
      <c r="G27" s="254" t="n"/>
      <c r="H27" s="254" t="n"/>
      <c r="I27" s="254" t="n"/>
      <c r="J27" s="254" t="n"/>
      <c r="K27" s="255" t="n"/>
      <c r="N27" s="256" t="n"/>
    </row>
    <row customHeight="1" ht="14.65" r="28" s="199" spans="1:28" thickBot="1">
      <c r="B28" s="241" t="s">
        <v>39</v>
      </c>
      <c r="N28" s="242" t="s">
        <v>40</v>
      </c>
      <c r="O28" s="217">
        <f>O19*O24</f>
        <v/>
      </c>
      <c r="P28" s="265">
        <f>P19*P24</f>
        <v/>
      </c>
      <c r="Q28" s="265">
        <f>Q19*Q24</f>
        <v/>
      </c>
      <c r="R28" s="217">
        <f>R19*R24</f>
        <v/>
      </c>
      <c r="S28" s="217">
        <f>S19*S24</f>
        <v/>
      </c>
      <c r="T28" s="217">
        <f>T19*T24</f>
        <v/>
      </c>
      <c r="U28" s="217">
        <f>U19*U24</f>
        <v/>
      </c>
      <c r="V28" s="217">
        <f>V19*V24</f>
        <v/>
      </c>
      <c r="W28" s="217">
        <f>W19*W24</f>
        <v/>
      </c>
      <c r="X28" s="217">
        <f>X19*X24</f>
        <v/>
      </c>
      <c r="Y28" s="217">
        <f>Y19*Y24</f>
        <v/>
      </c>
      <c r="Z28" s="258">
        <f>Z19*Z24</f>
        <v/>
      </c>
    </row>
    <row customHeight="1" ht="15.75" r="29" s="199" spans="1:28" thickBot="1">
      <c r="N29" s="242" t="s">
        <v>27</v>
      </c>
      <c r="O29" s="304">
        <f>SUM(O28:Z28)</f>
        <v/>
      </c>
    </row>
    <row customHeight="1" ht="15.75" r="30" s="199" spans="1:28" thickBot="1">
      <c r="B30" s="241" t="s">
        <v>41</v>
      </c>
      <c r="N30" s="242" t="s">
        <v>40</v>
      </c>
      <c r="O30" s="223">
        <f>O26*O19</f>
        <v/>
      </c>
      <c r="P30" s="223">
        <f>P26*P19</f>
        <v/>
      </c>
      <c r="Q30" s="223">
        <f>Q26*Q19</f>
        <v/>
      </c>
      <c r="R30" s="223">
        <f>R26*R19</f>
        <v/>
      </c>
      <c r="S30" s="223">
        <f>S26*S19</f>
        <v/>
      </c>
      <c r="T30" s="223">
        <f>T26*T19</f>
        <v/>
      </c>
      <c r="U30" s="223">
        <f>U26*U19</f>
        <v/>
      </c>
      <c r="V30" s="223">
        <f>V26*V19</f>
        <v/>
      </c>
      <c r="W30" s="223">
        <f>W26*W19</f>
        <v/>
      </c>
      <c r="X30" s="223">
        <f>X26*X19</f>
        <v/>
      </c>
      <c r="Y30" s="223">
        <f>Y26*Y19</f>
        <v/>
      </c>
      <c r="Z30" s="268">
        <f>Z26*Z19</f>
        <v/>
      </c>
    </row>
    <row customHeight="1" ht="15.75" r="31" s="199" spans="1:28" thickBot="1">
      <c r="N31" s="242" t="s">
        <v>27</v>
      </c>
      <c r="O31" s="297">
        <f>SUM(O30:Z30)</f>
        <v/>
      </c>
    </row>
    <row customHeight="1" ht="14.65" r="32" s="199" spans="1:28" thickBot="1">
      <c r="B32" s="241" t="s">
        <v>42</v>
      </c>
      <c r="N32" s="242" t="s">
        <v>40</v>
      </c>
      <c r="O32" s="223">
        <f>O30-O28</f>
        <v/>
      </c>
      <c r="P32" s="223">
        <f>P30-P28</f>
        <v/>
      </c>
      <c r="Q32" s="223">
        <f>Q30-Q28</f>
        <v/>
      </c>
      <c r="R32" s="223">
        <f>R30-R28</f>
        <v/>
      </c>
      <c r="S32" s="223">
        <f>S30-S28</f>
        <v/>
      </c>
      <c r="T32" s="223">
        <f>T30-T28</f>
        <v/>
      </c>
      <c r="U32" s="223">
        <f>U30-U28</f>
        <v/>
      </c>
      <c r="V32" s="223">
        <f>V30-V28</f>
        <v/>
      </c>
      <c r="W32" s="223">
        <f>W30-W28</f>
        <v/>
      </c>
      <c r="X32" s="223">
        <f>X30-X28</f>
        <v/>
      </c>
      <c r="Y32" s="223">
        <f>Y30-Y28</f>
        <v/>
      </c>
      <c r="Z32" s="268">
        <f>Z30-Z28</f>
        <v/>
      </c>
    </row>
    <row customHeight="1" ht="29.65" r="33" s="199" spans="1:28" thickBot="1">
      <c r="N33" s="242" t="s">
        <v>43</v>
      </c>
      <c r="O33" s="298">
        <f>O31-O29</f>
        <v/>
      </c>
    </row>
    <row customHeight="1" ht="15.75" r="34" s="199" spans="1:28" thickBot="1"/>
    <row customHeight="1" ht="14.65" r="35" s="199" spans="1:28" thickBot="1">
      <c r="B35" s="270" t="s">
        <v>44</v>
      </c>
      <c r="O35" s="299" t="n"/>
      <c r="P35" s="272" t="s">
        <v>46</v>
      </c>
      <c r="Q35" s="288" t="n"/>
      <c r="R35" s="256" t="n"/>
      <c r="S35" s="256" t="n"/>
      <c r="T35" s="256" t="n"/>
      <c r="U35" s="256" t="n"/>
      <c r="V35" s="256" t="n"/>
      <c r="W35" s="256" t="n"/>
      <c r="X35" s="256" t="n"/>
      <c r="Y35" s="256" t="n"/>
      <c r="Z35" s="256" t="n"/>
    </row>
    <row customHeight="1" ht="15" r="36" s="199" spans="1:28">
      <c r="O36" s="300" t="n"/>
      <c r="P36" s="274" t="n"/>
      <c r="Q36" s="289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</row>
    <row customHeight="1" ht="15" r="37" s="199" spans="1:28">
      <c r="O37" s="301" t="n"/>
      <c r="P37" s="276" t="n"/>
      <c r="Q37" s="289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</row>
    <row customHeight="1" ht="15" r="38" s="199" spans="1:28">
      <c r="O38" s="301" t="n"/>
      <c r="P38" s="276" t="n"/>
      <c r="Q38" s="289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</row>
    <row customHeight="1" ht="15" r="39" s="199" spans="1:28">
      <c r="O39" s="301" t="n"/>
      <c r="P39" s="276" t="n"/>
      <c r="Q39" s="289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</row>
    <row customHeight="1" ht="15" r="40" s="199" spans="1:28">
      <c r="O40" s="301" t="n"/>
      <c r="P40" s="276" t="n"/>
      <c r="Q40" s="289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</row>
    <row customHeight="1" ht="15" r="41" s="199" spans="1:28">
      <c r="O41" s="301" t="n"/>
      <c r="P41" s="276" t="n"/>
      <c r="Q41" s="289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</row>
    <row customHeight="1" ht="15" r="42" s="199" spans="1:28" thickBot="1">
      <c r="O42" s="302" t="n"/>
      <c r="P42" s="276" t="n"/>
      <c r="Q42" s="289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</row>
    <row customHeight="1" ht="15.75" r="43" s="199" spans="1:28" thickBot="1">
      <c r="O43" s="299" t="n"/>
      <c r="P43" s="279">
        <f>SUM(P36:P42)</f>
        <v/>
      </c>
      <c r="Q43" s="290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</row>
    <row customHeight="1" ht="15.75" r="44" s="199" spans="1:28" thickBot="1"/>
    <row customHeight="1" ht="51.75" r="45" s="199" spans="1:28" thickBot="1">
      <c r="B45" s="271" t="s">
        <v>42</v>
      </c>
      <c r="M45" s="242" t="n"/>
      <c r="N45" s="271" t="s">
        <v>27</v>
      </c>
      <c r="O45" s="303" t="n"/>
      <c r="T45" s="281" t="n"/>
      <c r="U45" s="281" t="n"/>
      <c r="V45" s="281" t="n"/>
      <c r="W45" s="281" t="n"/>
      <c r="X45" s="281" t="n"/>
      <c r="Y45" s="281" t="n"/>
      <c r="Z45" s="281" t="n"/>
    </row>
    <row customHeight="1" ht="15.75" r="46" s="199" spans="1:28">
      <c r="A46" s="282" t="n"/>
      <c r="O46" s="236" t="n"/>
      <c r="P46" s="236" t="n"/>
      <c r="Q46" s="236" t="n"/>
      <c r="S46" s="256" t="n"/>
      <c r="T46" s="256" t="n"/>
      <c r="U46" s="256" t="n"/>
      <c r="V46" s="256" t="n"/>
      <c r="W46" s="256" t="n"/>
      <c r="X46" s="256" t="n"/>
      <c r="Y46" s="256" t="n"/>
      <c r="Z46" s="256" t="n"/>
    </row>
    <row customHeight="1" ht="15" r="47" s="199" spans="1:28">
      <c r="A47" s="282" t="n"/>
      <c r="O47" s="236" t="n"/>
      <c r="P47" s="236" t="n"/>
      <c r="Q47" s="236" t="n"/>
      <c r="S47" s="203" t="n"/>
      <c r="T47" s="203" t="n"/>
      <c r="U47" s="203" t="n"/>
      <c r="V47" s="203" t="n"/>
      <c r="W47" s="203" t="n"/>
      <c r="X47" s="203" t="n"/>
      <c r="Y47" s="203" t="n"/>
      <c r="Z47" s="203" t="n"/>
    </row>
    <row customHeight="1" ht="15" r="48" s="199" spans="1:28">
      <c r="O48" s="236" t="n"/>
      <c r="P48" s="236" t="n"/>
      <c r="Q48" s="236" t="n"/>
      <c r="S48" s="203" t="n"/>
      <c r="T48" s="203" t="n"/>
      <c r="U48" s="203" t="n"/>
      <c r="V48" s="203" t="n"/>
      <c r="W48" s="203" t="n"/>
      <c r="X48" s="203" t="n"/>
      <c r="Y48" s="203" t="n"/>
      <c r="Z48" s="203" t="n"/>
    </row>
    <row customHeight="1" ht="15" r="49" s="199" spans="1:28">
      <c r="O49" s="236" t="n"/>
      <c r="P49" s="236" t="n"/>
      <c r="Q49" s="236" t="n"/>
      <c r="S49" s="203" t="n"/>
      <c r="T49" s="203" t="n"/>
      <c r="U49" s="203" t="n"/>
      <c r="V49" s="203" t="n"/>
      <c r="W49" s="203" t="n"/>
      <c r="X49" s="203" t="n"/>
      <c r="Y49" s="203" t="n"/>
      <c r="Z49" s="203" t="n"/>
    </row>
    <row customHeight="1" ht="15" r="50" s="199" spans="1:28">
      <c r="O50" s="236" t="n"/>
      <c r="P50" s="236" t="n"/>
      <c r="Q50" s="236" t="n"/>
      <c r="S50" s="203" t="n"/>
      <c r="T50" s="203" t="n"/>
      <c r="U50" s="203" t="n"/>
      <c r="V50" s="203" t="n"/>
      <c r="W50" s="203" t="n"/>
      <c r="X50" s="203" t="n"/>
      <c r="Y50" s="203" t="n"/>
      <c r="Z50" s="203" t="n"/>
    </row>
    <row customHeight="1" ht="15" r="51" s="199" spans="1:28">
      <c r="O51" s="236" t="n"/>
      <c r="P51" s="236" t="n"/>
      <c r="Q51" s="236" t="n"/>
      <c r="S51" s="203" t="n"/>
      <c r="T51" s="203" t="n"/>
      <c r="U51" s="203" t="n"/>
      <c r="V51" s="203" t="n"/>
      <c r="W51" s="203" t="n"/>
      <c r="X51" s="203" t="n"/>
      <c r="Y51" s="203" t="n"/>
      <c r="Z51" s="203" t="n"/>
    </row>
    <row customHeight="1" ht="15" r="52" s="199" spans="1:28">
      <c r="O52" s="236" t="n"/>
      <c r="P52" s="236" t="n"/>
      <c r="Q52" s="236" t="n"/>
      <c r="S52" s="203" t="n"/>
      <c r="T52" s="203" t="n"/>
      <c r="U52" s="203" t="n"/>
      <c r="V52" s="203" t="n"/>
      <c r="W52" s="203" t="n"/>
      <c r="X52" s="203" t="n"/>
      <c r="Y52" s="203" t="n"/>
      <c r="Z52" s="203" t="n"/>
    </row>
    <row customHeight="1" ht="15" r="53" s="199" spans="1:28">
      <c r="O53" s="236" t="n"/>
      <c r="P53" s="236" t="n"/>
      <c r="Q53" s="236" t="n"/>
      <c r="S53" s="203" t="n"/>
      <c r="T53" s="203" t="n"/>
      <c r="U53" s="203" t="n"/>
      <c r="V53" s="203" t="n"/>
      <c r="W53" s="203" t="n"/>
      <c r="X53" s="203" t="n"/>
      <c r="Y53" s="203" t="n"/>
      <c r="Z53" s="203" t="n"/>
    </row>
    <row customHeight="1" ht="15.75" r="54" s="199" spans="1:28">
      <c r="O54" s="236" t="n"/>
      <c r="P54" s="236" t="n"/>
      <c r="Q54" s="236" t="n"/>
      <c r="S54" s="203" t="n"/>
      <c r="T54" s="203" t="n"/>
      <c r="U54" s="203" t="n"/>
      <c r="V54" s="203" t="n"/>
      <c r="W54" s="203" t="n"/>
      <c r="X54" s="203" t="n"/>
      <c r="Y54" s="203" t="n"/>
      <c r="Z54" s="203" t="n"/>
    </row>
  </sheetData>
  <mergeCells count="15">
    <mergeCell ref="B2:N2"/>
    <mergeCell ref="O2:Z2"/>
    <mergeCell ref="A5:A16"/>
    <mergeCell ref="A19:A45"/>
    <mergeCell ref="B19:M22"/>
    <mergeCell ref="B24:M26"/>
    <mergeCell ref="B28:M29"/>
    <mergeCell ref="O29:Z29"/>
    <mergeCell ref="B30:M31"/>
    <mergeCell ref="O31:Z31"/>
    <mergeCell ref="B45:L45"/>
    <mergeCell ref="O45:S45"/>
    <mergeCell ref="B32:M33"/>
    <mergeCell ref="O33:Z33"/>
    <mergeCell ref="B35:N43"/>
  </mergeCells>
  <conditionalFormatting sqref="AA5:AA16">
    <cfRule dxfId="85" operator="lessThan" priority="1" type="cellIs">
      <formula>20</formula>
    </cfRule>
    <cfRule dxfId="84" operator="between" priority="2" type="cellIs">
      <formula>20</formula>
      <formula>29</formula>
    </cfRule>
    <cfRule dxfId="83" operator="greaterThan" priority="3" type="cellIs">
      <formula>29</formula>
    </cfRule>
  </conditionalFormatting>
  <pageMargins bottom="0.75" footer="0.3" header="0.3" left="0.7" right="0.7" top="0.75"/>
  <pageSetup orientation="portrait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5">
    <outlinePr summaryBelow="1" summaryRight="1"/>
    <pageSetUpPr autoPageBreaks="0"/>
  </sheetPr>
  <dimension ref="A2:AB56"/>
  <sheetViews>
    <sheetView tabSelected="1" workbookViewId="0" zoomScale="85" zoomScaleNormal="85" zoomScalePageLayoutView="85">
      <pane activePane="bottomRight" state="frozen" topLeftCell="L20" xSplit="3" ySplit="4"/>
      <selection activeCell="D1" pane="topRight" sqref="D1"/>
      <selection activeCell="A5" pane="bottomLeft" sqref="A5"/>
      <selection activeCell="X5" pane="bottomRight" sqref="X5"/>
    </sheetView>
  </sheetViews>
  <sheetFormatPr baseColWidth="10" defaultColWidth="11.42578125" defaultRowHeight="15" outlineLevelCol="1" outlineLevelRow="1"/>
  <cols>
    <col customWidth="1" max="2" min="2" style="199" width="12.42578125"/>
    <col customWidth="1" max="3" min="3" style="199" width="15.28515625"/>
    <col customWidth="1" hidden="1" max="4" min="4" outlineLevel="1" style="199" width="38"/>
    <col customWidth="1" hidden="1" max="5" min="5" outlineLevel="1" style="199" width="15.140625"/>
    <col customWidth="1" hidden="1" max="6" min="6" outlineLevel="1" style="199" width="16.5703125"/>
    <col customWidth="1" hidden="1" max="7" min="7" outlineLevel="1" style="199" width="14.7109375"/>
    <col customWidth="1" hidden="1" max="8" min="8" outlineLevel="1" style="199" width="10.5703125"/>
    <col customWidth="1" hidden="1" max="9" min="9" outlineLevel="1" style="199" width="18.42578125"/>
    <col customWidth="1" hidden="1" max="10" min="10" outlineLevel="1" style="199" width="33.5703125"/>
    <col customWidth="1" hidden="1" max="11" min="11" outlineLevel="1" style="199" width="20.7109375"/>
    <col collapsed="1" customWidth="1" max="12" min="12" style="199" width="10.7109375"/>
    <col customWidth="1" max="14" min="13" style="199" width="10.7109375"/>
    <col customWidth="1" max="26" min="15" style="199" width="15.42578125"/>
    <col customWidth="1" max="28" min="28" style="200" width="71.42578125"/>
  </cols>
  <sheetData>
    <row customHeight="1" ht="15.75" r="1" s="199" spans="1:28" thickBot="1"/>
    <row customHeight="1" ht="29.65" r="2" s="199" spans="1:28" thickBot="1">
      <c r="B2" s="201" t="s">
        <v>0</v>
      </c>
      <c r="O2" s="283" t="n"/>
    </row>
    <row customFormat="1" customHeight="1" ht="15.75" r="3" s="203" spans="1:28" thickBot="1">
      <c r="L3" s="204" t="n"/>
      <c r="M3" s="204" t="n"/>
      <c r="N3" s="204" t="n"/>
      <c r="O3" s="205" t="s">
        <v>2</v>
      </c>
      <c r="P3" s="205" t="s">
        <v>3</v>
      </c>
      <c r="Q3" s="205" t="s">
        <v>4</v>
      </c>
      <c r="R3" s="205" t="s">
        <v>5</v>
      </c>
      <c r="S3" s="205" t="s">
        <v>6</v>
      </c>
      <c r="T3" s="206" t="s">
        <v>7</v>
      </c>
      <c r="U3" s="206" t="s">
        <v>8</v>
      </c>
      <c r="V3" s="206" t="s">
        <v>9</v>
      </c>
      <c r="W3" s="206" t="s">
        <v>10</v>
      </c>
      <c r="X3" s="207" t="s">
        <v>11</v>
      </c>
      <c r="Y3" s="208" t="s">
        <v>12</v>
      </c>
      <c r="Z3" s="208" t="s">
        <v>13</v>
      </c>
      <c r="AB3" s="200" t="n"/>
    </row>
    <row customFormat="1" customHeight="1" ht="15.75" r="4" s="209" spans="1:28" thickBot="1">
      <c r="B4" s="210" t="s">
        <v>14</v>
      </c>
      <c r="C4" s="210" t="s">
        <v>15</v>
      </c>
      <c r="D4" s="210" t="s">
        <v>16</v>
      </c>
      <c r="E4" s="210" t="s">
        <v>17</v>
      </c>
      <c r="F4" s="210" t="s">
        <v>18</v>
      </c>
      <c r="G4" s="210" t="s">
        <v>19</v>
      </c>
      <c r="H4" s="210" t="s">
        <v>20</v>
      </c>
      <c r="I4" s="210" t="s">
        <v>21</v>
      </c>
      <c r="J4" s="210" t="s">
        <v>22</v>
      </c>
      <c r="K4" s="210" t="s">
        <v>23</v>
      </c>
      <c r="L4" s="210" t="s">
        <v>24</v>
      </c>
      <c r="M4" s="210" t="s">
        <v>25</v>
      </c>
      <c r="N4" s="210" t="s">
        <v>26</v>
      </c>
      <c r="O4" s="211" t="s">
        <v>2</v>
      </c>
      <c r="P4" s="211" t="s">
        <v>3</v>
      </c>
      <c r="Q4" s="212" t="s">
        <v>4</v>
      </c>
      <c r="R4" s="212" t="s">
        <v>5</v>
      </c>
      <c r="S4" s="212" t="s">
        <v>6</v>
      </c>
      <c r="T4" s="213" t="s">
        <v>7</v>
      </c>
      <c r="U4" s="213" t="s">
        <v>8</v>
      </c>
      <c r="V4" s="213" t="s">
        <v>9</v>
      </c>
      <c r="W4" s="213" t="s">
        <v>10</v>
      </c>
      <c r="X4" s="213" t="s">
        <v>11</v>
      </c>
      <c r="Y4" s="213" t="s">
        <v>12</v>
      </c>
      <c r="Z4" s="213" t="s">
        <v>13</v>
      </c>
      <c r="AA4" s="213" t="s">
        <v>27</v>
      </c>
      <c r="AB4" s="214" t="s">
        <v>28</v>
      </c>
    </row>
    <row outlineLevel="1" r="5" s="199" spans="1:28">
      <c r="A5" s="215" t="n"/>
      <c r="B5" s="216" t="s">
        <v>151</v>
      </c>
      <c r="C5" s="217" t="s">
        <v>152</v>
      </c>
      <c r="D5" s="114" t="s">
        <v>153</v>
      </c>
      <c r="E5" s="114" t="s">
        <v>154</v>
      </c>
      <c r="F5" s="114" t="s">
        <v>155</v>
      </c>
      <c r="G5" s="114" t="s">
        <v>99</v>
      </c>
      <c r="H5" s="114" t="s">
        <v>55</v>
      </c>
      <c r="I5" s="115" t="n">
        <v>56979312762</v>
      </c>
      <c r="J5" s="219" t="s">
        <v>156</v>
      </c>
      <c r="K5" s="219" t="s">
        <v>115</v>
      </c>
      <c r="L5" s="220" t="s">
        <v>58</v>
      </c>
      <c r="M5" s="220" t="n"/>
      <c r="N5" s="285">
        <f>SUMPRODUCT(Tabla5236[[#This Row],[Paltas]:[Empanadas]],O$28:Z$28)</f>
        <v/>
      </c>
      <c r="O5" s="220" t="n">
        <v>3</v>
      </c>
      <c r="P5" s="220" t="n">
        <v>0</v>
      </c>
      <c r="Q5" s="220" t="n">
        <v>4</v>
      </c>
      <c r="R5" s="220" t="n">
        <v>0</v>
      </c>
      <c r="S5" s="220" t="n">
        <v>0</v>
      </c>
      <c r="T5" s="220" t="n">
        <v>0</v>
      </c>
      <c r="U5" s="220" t="n">
        <v>0</v>
      </c>
      <c r="V5" s="220" t="n">
        <v>0</v>
      </c>
      <c r="W5" s="220" t="n">
        <v>0</v>
      </c>
      <c r="X5" s="220">
        <f>7+3</f>
        <v/>
      </c>
      <c r="Y5" s="220" t="n">
        <v>1</v>
      </c>
      <c r="Z5" s="220" t="n">
        <v>25</v>
      </c>
      <c r="AA5" s="220">
        <f>SUM(Tabla5236[[#This Row],[Paltas]:[Empanadas]])</f>
        <v/>
      </c>
      <c r="AB5" s="221" t="n"/>
    </row>
    <row outlineLevel="1" r="6" s="199" spans="1:28">
      <c r="B6" s="222" t="s">
        <v>129</v>
      </c>
      <c r="C6" s="223" t="s">
        <v>136</v>
      </c>
      <c r="D6" s="59" t="s">
        <v>200</v>
      </c>
      <c r="E6" s="59" t="s">
        <v>52</v>
      </c>
      <c r="F6" s="59" t="s">
        <v>98</v>
      </c>
      <c r="G6" s="59" t="s">
        <v>92</v>
      </c>
      <c r="H6" s="59" t="s">
        <v>55</v>
      </c>
      <c r="I6" s="60" t="n">
        <v>56990163951</v>
      </c>
      <c r="J6" s="225" t="s">
        <v>137</v>
      </c>
      <c r="K6" s="225" t="s">
        <v>115</v>
      </c>
      <c r="L6" s="226" t="s">
        <v>58</v>
      </c>
      <c r="M6" s="226" t="n"/>
      <c r="N6" s="228">
        <f>SUMPRODUCT(Tabla5236[[#This Row],[Paltas]:[Empanadas]],O$28:Z$28)</f>
        <v/>
      </c>
      <c r="O6" s="226" t="n">
        <v>1</v>
      </c>
      <c r="P6" s="226" t="n">
        <v>0</v>
      </c>
      <c r="Q6" s="226" t="n">
        <v>2</v>
      </c>
      <c r="R6" s="226" t="n">
        <v>0</v>
      </c>
      <c r="S6" s="226" t="n">
        <v>0</v>
      </c>
      <c r="T6" s="226" t="n">
        <v>0</v>
      </c>
      <c r="U6" s="226" t="n">
        <v>0</v>
      </c>
      <c r="V6" s="226" t="n">
        <v>0</v>
      </c>
      <c r="W6" s="226" t="n">
        <v>0</v>
      </c>
      <c r="X6" s="226" t="n">
        <v>10</v>
      </c>
      <c r="Y6" s="226" t="n">
        <v>2</v>
      </c>
      <c r="Z6" s="226" t="n">
        <v>0</v>
      </c>
      <c r="AA6" s="226">
        <f>SUM(Tabla5236[[#This Row],[Paltas]:[Empanadas]])</f>
        <v/>
      </c>
      <c r="AB6" s="227" t="n"/>
    </row>
    <row outlineLevel="1" r="7" s="199" spans="1:28">
      <c r="B7" s="222" t="s">
        <v>165</v>
      </c>
      <c r="C7" s="223" t="s">
        <v>148</v>
      </c>
      <c r="D7" s="59" t="s">
        <v>166</v>
      </c>
      <c r="E7" s="59" t="s">
        <v>52</v>
      </c>
      <c r="F7" s="59" t="s">
        <v>98</v>
      </c>
      <c r="G7" s="59" t="n">
        <v>0</v>
      </c>
      <c r="H7" s="59" t="s">
        <v>55</v>
      </c>
      <c r="I7" s="60" t="n">
        <v>0</v>
      </c>
      <c r="J7" s="225" t="s">
        <v>167</v>
      </c>
      <c r="K7" s="225" t="s">
        <v>115</v>
      </c>
      <c r="L7" s="226" t="s">
        <v>59</v>
      </c>
      <c r="M7" s="226" t="n"/>
      <c r="N7" s="228">
        <f>SUMPRODUCT(Tabla5236[[#This Row],[Paltas]:[Empanadas]],O$28:Z$28)</f>
        <v/>
      </c>
      <c r="O7" s="226" t="n">
        <v>7</v>
      </c>
      <c r="P7" s="226" t="n">
        <v>0</v>
      </c>
      <c r="Q7" s="226" t="n">
        <v>1</v>
      </c>
      <c r="R7" s="226" t="n">
        <v>0</v>
      </c>
      <c r="S7" s="226" t="n">
        <v>0</v>
      </c>
      <c r="T7" s="226" t="n">
        <v>0</v>
      </c>
      <c r="U7" s="226" t="n">
        <v>0</v>
      </c>
      <c r="V7" s="226" t="n">
        <v>0</v>
      </c>
      <c r="W7" s="226" t="n">
        <v>0</v>
      </c>
      <c r="X7" s="226" t="n">
        <v>2</v>
      </c>
      <c r="Y7" s="226" t="n">
        <v>1</v>
      </c>
      <c r="Z7" s="226" t="n">
        <v>2</v>
      </c>
      <c r="AA7" s="226">
        <f>SUM(Tabla5236[[#This Row],[Paltas]:[Empanadas]])</f>
        <v/>
      </c>
      <c r="AB7" s="227" t="n"/>
    </row>
    <row outlineLevel="1" r="8" s="199" spans="1:28">
      <c r="B8" s="222" t="s">
        <v>181</v>
      </c>
      <c r="C8" s="223" t="s">
        <v>182</v>
      </c>
      <c r="D8" s="59" t="s">
        <v>183</v>
      </c>
      <c r="E8" s="59" t="s">
        <v>52</v>
      </c>
      <c r="F8" s="59" t="s">
        <v>98</v>
      </c>
      <c r="G8" s="59" t="s">
        <v>99</v>
      </c>
      <c r="H8" s="59" t="s">
        <v>55</v>
      </c>
      <c r="I8" s="60" t="n">
        <v>56966685970</v>
      </c>
      <c r="J8" s="225" t="s">
        <v>184</v>
      </c>
      <c r="K8" s="225" t="s">
        <v>94</v>
      </c>
      <c r="L8" s="226" t="s">
        <v>58</v>
      </c>
      <c r="M8" s="226" t="n"/>
      <c r="N8" s="228">
        <f>SUMPRODUCT(Tabla5236[[#This Row],[Paltas]:[Empanadas]],O$28:Z$28)</f>
        <v/>
      </c>
      <c r="O8" s="226" t="n">
        <v>0</v>
      </c>
      <c r="P8" s="226" t="n">
        <v>5</v>
      </c>
      <c r="Q8" s="226" t="n">
        <v>0</v>
      </c>
      <c r="R8" s="226" t="n">
        <v>0</v>
      </c>
      <c r="S8" s="226" t="n">
        <v>0</v>
      </c>
      <c r="T8" s="226" t="n">
        <v>0</v>
      </c>
      <c r="U8" s="226" t="n">
        <v>0</v>
      </c>
      <c r="V8" s="226" t="n">
        <v>0</v>
      </c>
      <c r="W8" s="226" t="n">
        <v>0</v>
      </c>
      <c r="X8" s="226" t="n">
        <v>0</v>
      </c>
      <c r="Y8" s="226" t="n">
        <v>0</v>
      </c>
      <c r="Z8" s="226" t="n">
        <v>7</v>
      </c>
      <c r="AA8" s="226">
        <f>SUM(Tabla5236[[#This Row],[Paltas]:[Empanadas]])</f>
        <v/>
      </c>
      <c r="AB8" s="227" t="n"/>
    </row>
    <row outlineLevel="1" r="9" s="199" spans="1:28">
      <c r="B9" s="222" t="s">
        <v>72</v>
      </c>
      <c r="C9" s="223" t="s">
        <v>157</v>
      </c>
      <c r="D9" s="59" t="s">
        <v>158</v>
      </c>
      <c r="E9" s="59" t="s">
        <v>63</v>
      </c>
      <c r="F9" s="59" t="s">
        <v>64</v>
      </c>
      <c r="G9" s="59" t="s">
        <v>99</v>
      </c>
      <c r="H9" s="59" t="s">
        <v>55</v>
      </c>
      <c r="I9" s="60" t="n">
        <v>56997594184</v>
      </c>
      <c r="J9" s="225" t="s">
        <v>159</v>
      </c>
      <c r="K9" s="225" t="s">
        <v>115</v>
      </c>
      <c r="L9" s="226" t="s">
        <v>58</v>
      </c>
      <c r="M9" s="226" t="n"/>
      <c r="N9" s="228">
        <f>SUMPRODUCT(Tabla5236[[#This Row],[Paltas]:[Empanadas]],O$28:Z$28)</f>
        <v/>
      </c>
      <c r="O9" s="226" t="n">
        <v>7</v>
      </c>
      <c r="P9" s="226" t="n">
        <v>0</v>
      </c>
      <c r="Q9" s="226" t="n">
        <v>5</v>
      </c>
      <c r="R9" s="226" t="n">
        <v>0</v>
      </c>
      <c r="S9" s="226" t="n">
        <v>0</v>
      </c>
      <c r="T9" s="226" t="n">
        <v>0</v>
      </c>
      <c r="U9" s="226" t="n">
        <v>0</v>
      </c>
      <c r="V9" s="226" t="n">
        <v>0</v>
      </c>
      <c r="W9" s="226" t="n">
        <v>0</v>
      </c>
      <c r="X9" s="226" t="n">
        <v>0</v>
      </c>
      <c r="Y9" s="226" t="n">
        <v>0</v>
      </c>
      <c r="Z9" s="226" t="n">
        <v>0</v>
      </c>
      <c r="AA9" s="226">
        <f>SUM(Tabla5236[[#This Row],[Paltas]:[Empanadas]])</f>
        <v/>
      </c>
      <c r="AB9" s="227" t="n"/>
    </row>
    <row outlineLevel="1" r="10" s="199" spans="1:28">
      <c r="B10" s="222" t="s">
        <v>129</v>
      </c>
      <c r="C10" s="223" t="s">
        <v>130</v>
      </c>
      <c r="D10" s="223" t="s">
        <v>131</v>
      </c>
      <c r="E10" s="223" t="s">
        <v>63</v>
      </c>
      <c r="F10" s="223" t="s">
        <v>80</v>
      </c>
      <c r="G10" s="223" t="s">
        <v>81</v>
      </c>
      <c r="H10" s="223" t="s">
        <v>55</v>
      </c>
      <c r="I10" s="224" t="n">
        <v>56988587944</v>
      </c>
      <c r="J10" s="225" t="s">
        <v>132</v>
      </c>
      <c r="K10" s="225" t="s">
        <v>115</v>
      </c>
      <c r="L10" s="226" t="s">
        <v>58</v>
      </c>
      <c r="M10" s="226" t="n"/>
      <c r="N10" s="223">
        <f>SUMPRODUCT(Tabla5236[[#This Row],[Paltas]:[Empanadas]],O$28:Z$28)</f>
        <v/>
      </c>
      <c r="O10" s="226" t="n">
        <v>0</v>
      </c>
      <c r="P10" s="226" t="n">
        <v>0</v>
      </c>
      <c r="Q10" s="226" t="n">
        <v>0</v>
      </c>
      <c r="R10" s="226" t="n">
        <v>0</v>
      </c>
      <c r="S10" s="226" t="n">
        <v>0</v>
      </c>
      <c r="T10" s="226" t="n">
        <v>0</v>
      </c>
      <c r="U10" s="226" t="n">
        <v>0</v>
      </c>
      <c r="V10" s="226" t="n">
        <v>0</v>
      </c>
      <c r="W10" s="226" t="n">
        <v>0</v>
      </c>
      <c r="X10" s="226" t="n">
        <v>10</v>
      </c>
      <c r="Y10" s="226" t="n">
        <v>0</v>
      </c>
      <c r="Z10" s="226" t="n">
        <v>0</v>
      </c>
      <c r="AA10" s="226">
        <f>SUM(Tabla5236[[#This Row],[Paltas]:[Empanadas]])</f>
        <v/>
      </c>
      <c r="AB10" s="227" t="n"/>
    </row>
    <row outlineLevel="1" r="11" s="199" spans="1:28">
      <c r="B11" s="222" t="s">
        <v>168</v>
      </c>
      <c r="C11" s="223" t="s">
        <v>169</v>
      </c>
      <c r="D11" s="223" t="s">
        <v>170</v>
      </c>
      <c r="E11" s="223" t="s">
        <v>63</v>
      </c>
      <c r="F11" s="223" t="s">
        <v>64</v>
      </c>
      <c r="G11" s="223" t="s">
        <v>99</v>
      </c>
      <c r="H11" s="223" t="s">
        <v>55</v>
      </c>
      <c r="I11" s="224" t="n">
        <v>56967898535</v>
      </c>
      <c r="J11" s="225" t="s">
        <v>171</v>
      </c>
      <c r="K11" s="225" t="s">
        <v>57</v>
      </c>
      <c r="L11" s="226" t="s">
        <v>58</v>
      </c>
      <c r="M11" s="226" t="n"/>
      <c r="N11" s="223">
        <f>SUMPRODUCT(Tabla5236[[#This Row],[Paltas]:[Empanadas]],O$28:Z$28)</f>
        <v/>
      </c>
      <c r="O11" s="226" t="n">
        <v>4</v>
      </c>
      <c r="P11" s="226" t="n">
        <v>0</v>
      </c>
      <c r="Q11" s="226" t="n">
        <v>1</v>
      </c>
      <c r="R11" s="226" t="n">
        <v>0</v>
      </c>
      <c r="S11" s="226" t="n">
        <v>1</v>
      </c>
      <c r="T11" s="226" t="n">
        <v>0</v>
      </c>
      <c r="U11" s="226" t="n">
        <v>0</v>
      </c>
      <c r="V11" s="226" t="n">
        <v>0</v>
      </c>
      <c r="W11" s="226" t="n">
        <v>0</v>
      </c>
      <c r="X11" s="226" t="n">
        <v>1</v>
      </c>
      <c r="Y11" s="226" t="n">
        <v>0</v>
      </c>
      <c r="Z11" s="226" t="n">
        <v>0</v>
      </c>
      <c r="AA11" s="226">
        <f>SUM(Tabla5236[[#This Row],[Paltas]:[Empanadas]])</f>
        <v/>
      </c>
      <c r="AB11" s="227" t="n"/>
    </row>
    <row outlineLevel="1" r="12" s="199" spans="1:28">
      <c r="B12" s="222" t="s">
        <v>72</v>
      </c>
      <c r="C12" s="223" t="s">
        <v>73</v>
      </c>
      <c r="D12" s="223" t="s">
        <v>74</v>
      </c>
      <c r="E12" s="223" t="s">
        <v>63</v>
      </c>
      <c r="F12" s="223" t="s">
        <v>64</v>
      </c>
      <c r="G12" s="223" t="s">
        <v>75</v>
      </c>
      <c r="H12" s="223" t="s">
        <v>55</v>
      </c>
      <c r="I12" s="224" t="n">
        <v>56968320616</v>
      </c>
      <c r="J12" s="225" t="s">
        <v>76</v>
      </c>
      <c r="K12" s="225" t="s">
        <v>57</v>
      </c>
      <c r="L12" s="226" t="s">
        <v>58</v>
      </c>
      <c r="M12" s="226" t="n"/>
      <c r="N12" s="223">
        <f>SUMPRODUCT(Tabla5236[[#This Row],[Paltas]:[Empanadas]],O$28:Z$28)</f>
        <v/>
      </c>
      <c r="O12" s="226" t="n">
        <v>1</v>
      </c>
      <c r="P12" s="226" t="n">
        <v>0</v>
      </c>
      <c r="Q12" s="226" t="n">
        <v>5</v>
      </c>
      <c r="R12" s="226" t="n">
        <v>0</v>
      </c>
      <c r="S12" s="226" t="n">
        <v>0</v>
      </c>
      <c r="T12" s="226" t="n">
        <v>0</v>
      </c>
      <c r="U12" s="226" t="n">
        <v>0</v>
      </c>
      <c r="V12" s="226" t="n">
        <v>0</v>
      </c>
      <c r="W12" s="226" t="n">
        <v>0</v>
      </c>
      <c r="X12" s="226" t="n">
        <v>0</v>
      </c>
      <c r="Y12" s="226" t="n">
        <v>0</v>
      </c>
      <c r="Z12" s="226" t="n">
        <v>0</v>
      </c>
      <c r="AA12" s="226">
        <f>SUM(Tabla5236[[#This Row],[Paltas]:[Empanadas]])</f>
        <v/>
      </c>
      <c r="AB12" s="227" t="n"/>
    </row>
    <row outlineLevel="1" r="13" s="199" spans="1:28">
      <c r="B13" s="222" t="s">
        <v>101</v>
      </c>
      <c r="C13" s="223" t="s">
        <v>201</v>
      </c>
      <c r="D13" s="59" t="s">
        <v>202</v>
      </c>
      <c r="E13" s="59" t="s">
        <v>63</v>
      </c>
      <c r="F13" s="59" t="s">
        <v>64</v>
      </c>
      <c r="G13" s="59" t="s">
        <v>81</v>
      </c>
      <c r="H13" s="59" t="s">
        <v>55</v>
      </c>
      <c r="I13" s="60" t="n">
        <v>56976994719</v>
      </c>
      <c r="J13" s="225" t="s">
        <v>203</v>
      </c>
      <c r="K13" s="225" t="s">
        <v>115</v>
      </c>
      <c r="L13" s="226" t="s">
        <v>58</v>
      </c>
      <c r="M13" s="226" t="n"/>
      <c r="N13" s="228">
        <f>SUMPRODUCT(Tabla5236[[#This Row],[Paltas]:[Empanadas]],O$28:Z$28)</f>
        <v/>
      </c>
      <c r="O13" s="226" t="n">
        <v>1</v>
      </c>
      <c r="P13" s="226" t="n">
        <v>0</v>
      </c>
      <c r="Q13" s="226" t="n">
        <v>0</v>
      </c>
      <c r="R13" s="226" t="n">
        <v>1</v>
      </c>
      <c r="S13" s="226" t="n">
        <v>1</v>
      </c>
      <c r="T13" s="226" t="n">
        <v>0</v>
      </c>
      <c r="U13" s="226" t="n">
        <v>0</v>
      </c>
      <c r="V13" s="226" t="n">
        <v>0</v>
      </c>
      <c r="W13" s="226" t="n">
        <v>0</v>
      </c>
      <c r="X13" s="226" t="n">
        <v>2</v>
      </c>
      <c r="Y13" s="226" t="n">
        <v>1</v>
      </c>
      <c r="Z13" s="226" t="n">
        <v>0</v>
      </c>
      <c r="AA13" s="226">
        <f>SUM(Tabla5236[[#This Row],[Paltas]:[Empanadas]])</f>
        <v/>
      </c>
      <c r="AB13" s="227" t="n"/>
    </row>
    <row outlineLevel="1" r="14" s="199" spans="1:28">
      <c r="B14" s="222" t="s">
        <v>111</v>
      </c>
      <c r="C14" s="223" t="s">
        <v>112</v>
      </c>
      <c r="D14" s="59" t="s">
        <v>113</v>
      </c>
      <c r="E14" s="59" t="s">
        <v>52</v>
      </c>
      <c r="F14" s="59" t="s">
        <v>98</v>
      </c>
      <c r="G14" s="59" t="s">
        <v>99</v>
      </c>
      <c r="H14" s="59" t="s">
        <v>55</v>
      </c>
      <c r="I14" s="60" t="n">
        <v>56997792386</v>
      </c>
      <c r="J14" s="225" t="s">
        <v>114</v>
      </c>
      <c r="K14" s="225" t="s">
        <v>94</v>
      </c>
      <c r="L14" s="226" t="s">
        <v>58</v>
      </c>
      <c r="M14" s="226" t="n"/>
      <c r="N14" s="228">
        <f>SUMPRODUCT(Tabla5236[[#This Row],[Paltas]:[Empanadas]],O$28:Z$28)</f>
        <v/>
      </c>
      <c r="O14" s="226" t="n">
        <v>0</v>
      </c>
      <c r="P14" s="226" t="n">
        <v>0</v>
      </c>
      <c r="Q14" s="226" t="n">
        <v>0</v>
      </c>
      <c r="R14" s="226" t="n">
        <v>0</v>
      </c>
      <c r="S14" s="226" t="n">
        <v>0</v>
      </c>
      <c r="T14" s="226" t="n">
        <v>0</v>
      </c>
      <c r="U14" s="226" t="n">
        <v>0</v>
      </c>
      <c r="V14" s="226" t="n">
        <v>0</v>
      </c>
      <c r="W14" s="226" t="n">
        <v>0</v>
      </c>
      <c r="X14" s="226" t="n">
        <v>5</v>
      </c>
      <c r="Y14" s="226" t="n">
        <v>0</v>
      </c>
      <c r="Z14" s="226" t="n">
        <v>0</v>
      </c>
      <c r="AA14" s="226">
        <f>SUM(Tabla5236[[#This Row],[Paltas]:[Empanadas]])</f>
        <v/>
      </c>
      <c r="AB14" s="227" t="n"/>
    </row>
    <row outlineLevel="1" r="15" s="199" spans="1:28">
      <c r="B15" s="222" t="s">
        <v>176</v>
      </c>
      <c r="C15" s="223" t="s">
        <v>177</v>
      </c>
      <c r="D15" s="223" t="s">
        <v>178</v>
      </c>
      <c r="E15" s="223" t="s">
        <v>52</v>
      </c>
      <c r="F15" s="223" t="s">
        <v>179</v>
      </c>
      <c r="G15" s="223" t="n">
        <v>0</v>
      </c>
      <c r="H15" s="223" t="s">
        <v>55</v>
      </c>
      <c r="I15" s="224" t="n">
        <v>56954243532</v>
      </c>
      <c r="J15" s="225" t="s">
        <v>180</v>
      </c>
      <c r="K15" s="225" t="s">
        <v>94</v>
      </c>
      <c r="L15" s="226" t="s">
        <v>58</v>
      </c>
      <c r="M15" s="226" t="n"/>
      <c r="N15" s="223">
        <f>SUMPRODUCT(Tabla5236[[#This Row],[Paltas]:[Empanadas]],O$28:Z$28)</f>
        <v/>
      </c>
      <c r="O15" s="226" t="n">
        <v>2</v>
      </c>
      <c r="P15" s="226" t="n">
        <v>0</v>
      </c>
      <c r="Q15" s="226" t="n">
        <v>1</v>
      </c>
      <c r="R15" s="226" t="n">
        <v>0</v>
      </c>
      <c r="S15" s="226" t="n">
        <v>0</v>
      </c>
      <c r="T15" s="226" t="n">
        <v>0</v>
      </c>
      <c r="U15" s="226" t="n">
        <v>0</v>
      </c>
      <c r="V15" s="226" t="n">
        <v>0</v>
      </c>
      <c r="W15" s="226" t="n">
        <v>0</v>
      </c>
      <c r="X15" s="226" t="n">
        <v>0</v>
      </c>
      <c r="Y15" s="226" t="n">
        <v>0</v>
      </c>
      <c r="Z15" s="226" t="n">
        <v>1</v>
      </c>
      <c r="AA15" s="226">
        <f>SUM(Tabla5236[[#This Row],[Paltas]:[Empanadas]])</f>
        <v/>
      </c>
      <c r="AB15" s="227" t="n"/>
    </row>
    <row outlineLevel="1" r="16" s="199" spans="1:28">
      <c r="B16" s="222" t="s">
        <v>60</v>
      </c>
      <c r="C16" s="223" t="s">
        <v>61</v>
      </c>
      <c r="D16" s="223" t="s">
        <v>62</v>
      </c>
      <c r="E16" s="223" t="s">
        <v>63</v>
      </c>
      <c r="F16" s="223" t="s">
        <v>64</v>
      </c>
      <c r="G16" s="223" t="s">
        <v>65</v>
      </c>
      <c r="H16" s="223" t="s">
        <v>55</v>
      </c>
      <c r="I16" s="224" t="n">
        <v>56982328251</v>
      </c>
      <c r="J16" s="225" t="s">
        <v>66</v>
      </c>
      <c r="K16" s="225" t="s">
        <v>57</v>
      </c>
      <c r="L16" s="226" t="s">
        <v>58</v>
      </c>
      <c r="M16" s="226" t="n"/>
      <c r="N16" s="223">
        <f>SUMPRODUCT(Tabla5236[[#This Row],[Paltas]:[Empanadas]],O$28:Z$28)</f>
        <v/>
      </c>
      <c r="O16" s="226" t="n">
        <v>1</v>
      </c>
      <c r="P16" s="226" t="n">
        <v>0</v>
      </c>
      <c r="Q16" s="226" t="n">
        <v>2</v>
      </c>
      <c r="R16" s="226" t="n">
        <v>0</v>
      </c>
      <c r="S16" s="226" t="n">
        <v>0</v>
      </c>
      <c r="T16" s="226" t="n">
        <v>0</v>
      </c>
      <c r="U16" s="226" t="n">
        <v>0</v>
      </c>
      <c r="V16" s="226" t="n">
        <v>0</v>
      </c>
      <c r="W16" s="226" t="n">
        <v>0</v>
      </c>
      <c r="X16" s="226" t="n">
        <v>0</v>
      </c>
      <c r="Y16" s="226" t="n">
        <v>0</v>
      </c>
      <c r="Z16" s="226" t="n">
        <v>0</v>
      </c>
      <c r="AA16" s="226">
        <f>SUM(Tabla5236[[#This Row],[Paltas]:[Empanadas]])</f>
        <v/>
      </c>
      <c r="AB16" s="227" t="n"/>
    </row>
    <row outlineLevel="1" r="17" s="199" spans="1:28">
      <c r="B17" s="222" t="s">
        <v>215</v>
      </c>
      <c r="C17" s="223" t="s">
        <v>216</v>
      </c>
      <c r="D17" s="59" t="s">
        <v>217</v>
      </c>
      <c r="E17" s="59" t="s">
        <v>52</v>
      </c>
      <c r="F17" s="59" t="n">
        <v>0</v>
      </c>
      <c r="G17" s="59" t="n">
        <v>0</v>
      </c>
      <c r="H17" s="59" t="s">
        <v>55</v>
      </c>
      <c r="I17" s="60" t="n">
        <v>56977895588</v>
      </c>
      <c r="J17" s="225" t="s">
        <v>218</v>
      </c>
      <c r="K17" s="225" t="s">
        <v>115</v>
      </c>
      <c r="L17" s="226" t="s">
        <v>58</v>
      </c>
      <c r="M17" s="226" t="n"/>
      <c r="N17" s="228">
        <f>SUMPRODUCT(Tabla5236[[#This Row],[Paltas]:[Empanadas]],O$28:Z$28)</f>
        <v/>
      </c>
      <c r="O17" s="226" t="n">
        <v>0</v>
      </c>
      <c r="P17" s="226" t="n">
        <v>0</v>
      </c>
      <c r="Q17" s="226" t="n">
        <v>0</v>
      </c>
      <c r="R17" s="226" t="n">
        <v>0</v>
      </c>
      <c r="S17" s="226" t="n">
        <v>0</v>
      </c>
      <c r="T17" s="226" t="n">
        <v>0</v>
      </c>
      <c r="U17" s="226" t="n">
        <v>0</v>
      </c>
      <c r="V17" s="226" t="n">
        <v>0</v>
      </c>
      <c r="W17" s="226" t="n">
        <v>0</v>
      </c>
      <c r="X17" s="226" t="n">
        <v>1</v>
      </c>
      <c r="Y17" s="226" t="n">
        <v>1</v>
      </c>
      <c r="Z17" s="226" t="n">
        <v>0</v>
      </c>
      <c r="AA17" s="226">
        <f>SUM(Tabla5236[[#This Row],[Paltas]:[Empanadas]])</f>
        <v/>
      </c>
      <c r="AB17" s="227" t="n"/>
    </row>
    <row customHeight="1" ht="15.75" outlineLevel="1" r="18" s="199" spans="1:28" thickBot="1">
      <c r="B18" s="229" t="s">
        <v>138</v>
      </c>
      <c r="C18" s="230" t="s">
        <v>139</v>
      </c>
      <c r="D18" s="65" t="s">
        <v>140</v>
      </c>
      <c r="E18" s="65" t="s">
        <v>63</v>
      </c>
      <c r="F18" s="65" t="s">
        <v>64</v>
      </c>
      <c r="G18" s="65" t="s">
        <v>141</v>
      </c>
      <c r="H18" s="65" t="s">
        <v>55</v>
      </c>
      <c r="I18" s="66" t="n">
        <v>56952304675</v>
      </c>
      <c r="J18" s="231" t="s">
        <v>142</v>
      </c>
      <c r="K18" s="231" t="s">
        <v>115</v>
      </c>
      <c r="L18" s="232" t="s">
        <v>58</v>
      </c>
      <c r="M18" s="232" t="n"/>
      <c r="N18" s="228">
        <f>SUMPRODUCT(Tabla5236[[#This Row],[Paltas]:[Empanadas]],O$28:Z$28)</f>
        <v/>
      </c>
      <c r="O18" s="232" t="n">
        <v>0</v>
      </c>
      <c r="P18" s="232" t="n">
        <v>0</v>
      </c>
      <c r="Q18" s="232" t="n">
        <v>0</v>
      </c>
      <c r="R18" s="232" t="n">
        <v>0</v>
      </c>
      <c r="S18" s="232" t="n">
        <v>0</v>
      </c>
      <c r="T18" s="232" t="n">
        <v>0</v>
      </c>
      <c r="U18" s="232" t="n">
        <v>0</v>
      </c>
      <c r="V18" s="232" t="n">
        <v>0</v>
      </c>
      <c r="W18" s="232" t="n">
        <v>0</v>
      </c>
      <c r="X18" s="232" t="n">
        <v>10</v>
      </c>
      <c r="Y18" s="232" t="n">
        <v>0</v>
      </c>
      <c r="Z18" s="232" t="n">
        <v>0</v>
      </c>
      <c r="AA18" s="232">
        <f>SUM(Tabla5236[[#This Row],[Paltas]:[Empanadas]])</f>
        <v/>
      </c>
      <c r="AB18" s="234" t="n"/>
    </row>
    <row outlineLevel="1" r="19" s="199" spans="1:28">
      <c r="A19" s="235" t="n"/>
      <c r="B19" s="236" t="n"/>
      <c r="C19" s="236" t="n"/>
      <c r="D19" s="236" t="n"/>
      <c r="E19" s="236" t="n"/>
      <c r="F19" s="236" t="n"/>
      <c r="G19" s="236" t="n"/>
      <c r="H19" s="236" t="n"/>
      <c r="I19" s="237" t="n"/>
      <c r="J19" s="238" t="n"/>
      <c r="K19" s="238" t="n"/>
      <c r="L19" s="239" t="n"/>
      <c r="M19" s="239" t="n"/>
      <c r="N19" s="239" t="n"/>
      <c r="O19" s="239" t="n"/>
      <c r="P19" s="239" t="n"/>
      <c r="Q19" s="239" t="n"/>
      <c r="R19" s="239" t="n"/>
      <c r="S19" s="239" t="n"/>
      <c r="T19" s="239" t="n"/>
      <c r="U19" s="239" t="n"/>
      <c r="V19" s="239" t="n"/>
      <c r="W19" s="239" t="n"/>
      <c r="X19" s="239" t="n"/>
      <c r="Y19" s="239" t="n"/>
      <c r="Z19" s="239" t="n"/>
      <c r="AA19" s="239" t="n"/>
    </row>
    <row customHeight="1" ht="15.75" r="20" s="199" spans="1:28" thickBot="1"/>
    <row customHeight="1" ht="14.65" r="21" s="199" spans="1:28" thickBot="1">
      <c r="A21" s="240" t="s">
        <v>30</v>
      </c>
      <c r="B21" s="241" t="s">
        <v>31</v>
      </c>
      <c r="N21" s="271" t="s">
        <v>32</v>
      </c>
      <c r="O21" s="243">
        <f>SUM(Tabla5236[Paltas])</f>
        <v/>
      </c>
      <c r="P21" s="220">
        <f>SUM(Tabla5236[Quesos])</f>
        <v/>
      </c>
      <c r="Q21" s="220">
        <f>SUM(Tabla5236[Frutillas])</f>
        <v/>
      </c>
      <c r="R21" s="220">
        <f>SUM(Tabla5236[Tomate Cherry])</f>
        <v/>
      </c>
      <c r="S21" s="220">
        <f>SUM(Tabla5236[Nueces])</f>
        <v/>
      </c>
      <c r="T21" s="220">
        <f>SUM(Tabla5236[Mani])</f>
        <v/>
      </c>
      <c r="U21" s="220">
        <f>SUM(Tabla5236[Pistachos])</f>
        <v/>
      </c>
      <c r="V21" s="220">
        <f>SUM(Tabla5236[Caju])</f>
        <v/>
      </c>
      <c r="W21" s="220">
        <f>SUM(Tabla5236[Almendras])</f>
        <v/>
      </c>
      <c r="X21" s="220">
        <f>SUM(Tabla5236[Cerezas])</f>
        <v/>
      </c>
      <c r="Y21" s="220">
        <f>SUM(Tabla5236[Arandanos])</f>
        <v/>
      </c>
      <c r="Z21" s="244">
        <f>SUM(Tabla5236[Empanadas])</f>
        <v/>
      </c>
    </row>
    <row customHeight="1" ht="14.65" r="22" s="199" spans="1:28" thickBot="1">
      <c r="N22" s="305" t="s">
        <v>33</v>
      </c>
      <c r="O22" s="245" t="n">
        <v>2</v>
      </c>
      <c r="P22" s="246" t="n">
        <v>1</v>
      </c>
      <c r="Q22" s="246" t="n">
        <v>2</v>
      </c>
      <c r="R22" s="226" t="n">
        <v>1</v>
      </c>
      <c r="S22" s="247" t="n">
        <v>0.5</v>
      </c>
      <c r="T22" s="247" t="n">
        <v>1</v>
      </c>
      <c r="U22" s="247" t="n">
        <v>0.5</v>
      </c>
      <c r="V22" s="247" t="n">
        <v>0.4</v>
      </c>
      <c r="W22" s="247" t="n">
        <v>0.5</v>
      </c>
      <c r="X22" s="247" t="n">
        <v>5</v>
      </c>
      <c r="Y22" s="247" t="n">
        <v>0.5</v>
      </c>
      <c r="Z22" s="248" t="n">
        <v>12</v>
      </c>
    </row>
    <row customHeight="1" ht="14.65" r="23" s="199" spans="1:28" thickBot="1">
      <c r="N23" s="242" t="s">
        <v>34</v>
      </c>
      <c r="O23" s="245">
        <f>O22*O21</f>
        <v/>
      </c>
      <c r="P23" s="226">
        <f>P22*P21</f>
        <v/>
      </c>
      <c r="Q23" s="226">
        <f>Q22*Q21</f>
        <v/>
      </c>
      <c r="R23" s="226">
        <f>R22*R21</f>
        <v/>
      </c>
      <c r="S23" s="226">
        <f>S22*S21</f>
        <v/>
      </c>
      <c r="T23" s="226">
        <f>T22*T21</f>
        <v/>
      </c>
      <c r="U23" s="226">
        <f>U22*U21</f>
        <v/>
      </c>
      <c r="V23" s="226">
        <f>V22*V21</f>
        <v/>
      </c>
      <c r="W23" s="226">
        <f>W22*W21</f>
        <v/>
      </c>
      <c r="X23" s="226">
        <f>X22*X21</f>
        <v/>
      </c>
      <c r="Y23" s="226">
        <f>Y22*Y21</f>
        <v/>
      </c>
      <c r="Z23" s="249">
        <f>Z22*Z21</f>
        <v/>
      </c>
    </row>
    <row customHeight="1" ht="15.75" r="24" s="199" spans="1:28" thickBot="1">
      <c r="N24" s="242" t="s">
        <v>35</v>
      </c>
      <c r="O24" s="250" t="n"/>
      <c r="P24" s="232" t="n"/>
      <c r="Q24" s="232" t="n"/>
      <c r="R24" s="232" t="n"/>
      <c r="S24" s="232" t="n"/>
      <c r="T24" s="232" t="n"/>
      <c r="U24" s="232" t="n"/>
      <c r="V24" s="232" t="n"/>
      <c r="W24" s="232" t="n"/>
      <c r="X24" s="232" t="n"/>
      <c r="Y24" s="232" t="n"/>
      <c r="Z24" s="251" t="n"/>
    </row>
    <row customHeight="1" ht="15.75" r="25" s="199" spans="1:28" thickBot="1">
      <c r="B25" s="252" t="n"/>
      <c r="C25" s="236" t="n"/>
      <c r="D25" s="253" t="n"/>
      <c r="E25" s="254" t="n"/>
      <c r="F25" s="254" t="n"/>
      <c r="G25" s="254" t="n"/>
      <c r="H25" s="254" t="n"/>
      <c r="I25" s="254" t="n"/>
      <c r="J25" s="254" t="n"/>
      <c r="K25" s="255" t="n"/>
      <c r="N25" s="256" t="n"/>
    </row>
    <row customHeight="1" ht="15.75" r="26" s="199" spans="1:28" thickBot="1">
      <c r="B26" s="241" t="s">
        <v>36</v>
      </c>
      <c r="N26" s="242" t="s">
        <v>37</v>
      </c>
      <c r="O26" s="257">
        <f>O27*O22</f>
        <v/>
      </c>
      <c r="P26" s="217">
        <f>P27*P22</f>
        <v/>
      </c>
      <c r="Q26" s="217">
        <f>Q27*Q22</f>
        <v/>
      </c>
      <c r="R26" s="217">
        <f>R27*R22</f>
        <v/>
      </c>
      <c r="S26" s="217">
        <f>S27*S22</f>
        <v/>
      </c>
      <c r="T26" s="217">
        <f>T27*T22</f>
        <v/>
      </c>
      <c r="U26" s="217">
        <f>U27*U22</f>
        <v/>
      </c>
      <c r="V26" s="217">
        <f>V27*V22</f>
        <v/>
      </c>
      <c r="W26" s="217">
        <f>W27*W22</f>
        <v/>
      </c>
      <c r="X26" s="217">
        <f>X27*X22</f>
        <v/>
      </c>
      <c r="Y26" s="217">
        <f>Y27*Y22</f>
        <v/>
      </c>
      <c r="Z26" s="258">
        <f>Z27*Z22</f>
        <v/>
      </c>
    </row>
    <row customHeight="1" ht="15.75" r="27" s="199" spans="1:28" thickBot="1">
      <c r="N27" s="242" t="s">
        <v>34</v>
      </c>
      <c r="O27" s="259" t="n">
        <v>1550</v>
      </c>
      <c r="P27" s="260" t="n">
        <v>6716</v>
      </c>
      <c r="Q27" s="260" t="n">
        <v>1300</v>
      </c>
      <c r="R27" s="260" t="n">
        <v>2300</v>
      </c>
      <c r="S27" s="260" t="n">
        <v>7500</v>
      </c>
      <c r="T27" s="260" t="n">
        <v>3500</v>
      </c>
      <c r="U27" s="260" t="n">
        <v>14100</v>
      </c>
      <c r="V27" s="260" t="n">
        <v>13300</v>
      </c>
      <c r="W27" s="260" t="n">
        <v>10700</v>
      </c>
      <c r="X27" s="260">
        <f>6000/5</f>
        <v/>
      </c>
      <c r="Y27" s="260">
        <f>6000/5</f>
        <v/>
      </c>
      <c r="Z27" s="261">
        <f>15500/12</f>
        <v/>
      </c>
    </row>
    <row customHeight="1" ht="15.75" r="28" s="199" spans="1:28" thickBot="1">
      <c r="N28" s="242" t="s">
        <v>38</v>
      </c>
      <c r="O28" s="262" t="n">
        <v>4500</v>
      </c>
      <c r="P28" s="263" t="n">
        <v>7500</v>
      </c>
      <c r="Q28" s="263" t="n">
        <v>4500</v>
      </c>
      <c r="R28" s="263" t="n">
        <v>4500</v>
      </c>
      <c r="S28" s="263" t="n">
        <v>5500</v>
      </c>
      <c r="T28" s="263" t="n">
        <v>4500</v>
      </c>
      <c r="U28" s="263" t="n">
        <v>8500</v>
      </c>
      <c r="V28" s="263" t="n">
        <v>7500</v>
      </c>
      <c r="W28" s="263" t="n">
        <v>7500</v>
      </c>
      <c r="X28" s="263" t="n">
        <v>7500</v>
      </c>
      <c r="Y28" s="263" t="n">
        <v>4500</v>
      </c>
      <c r="Z28" s="264" t="n">
        <v>17500</v>
      </c>
    </row>
    <row customHeight="1" ht="15.75" r="29" s="199" spans="1:28" thickBot="1">
      <c r="B29" s="252" t="n"/>
      <c r="C29" s="236" t="n"/>
      <c r="D29" s="253" t="n"/>
      <c r="E29" s="254" t="n"/>
      <c r="F29" s="254" t="n"/>
      <c r="G29" s="254" t="n"/>
      <c r="H29" s="254" t="n"/>
      <c r="I29" s="254" t="n"/>
      <c r="J29" s="254" t="n"/>
      <c r="K29" s="255" t="n"/>
      <c r="N29" s="256" t="n"/>
    </row>
    <row customHeight="1" ht="14.65" r="30" s="199" spans="1:28" thickBot="1">
      <c r="B30" s="241" t="s">
        <v>39</v>
      </c>
      <c r="N30" s="242" t="s">
        <v>40</v>
      </c>
      <c r="O30" s="257">
        <f>O21*O26</f>
        <v/>
      </c>
      <c r="P30" s="265">
        <f>P21*P26</f>
        <v/>
      </c>
      <c r="Q30" s="265">
        <f>Q21*Q26</f>
        <v/>
      </c>
      <c r="R30" s="217">
        <f>R21*R26</f>
        <v/>
      </c>
      <c r="S30" s="217">
        <f>S21*S26</f>
        <v/>
      </c>
      <c r="T30" s="217">
        <f>T21*T26</f>
        <v/>
      </c>
      <c r="U30" s="217">
        <f>U21*U26</f>
        <v/>
      </c>
      <c r="V30" s="217">
        <f>V21*V26</f>
        <v/>
      </c>
      <c r="W30" s="217">
        <f>W21*W26</f>
        <v/>
      </c>
      <c r="X30" s="217">
        <f>X21*X26</f>
        <v/>
      </c>
      <c r="Y30" s="217">
        <f>Y21*Y26</f>
        <v/>
      </c>
      <c r="Z30" s="258">
        <f>Z21*Z26</f>
        <v/>
      </c>
    </row>
    <row customHeight="1" ht="15.75" r="31" s="199" spans="1:28" thickBot="1">
      <c r="N31" s="242" t="s">
        <v>27</v>
      </c>
      <c r="O31" s="266">
        <f>SUM(O30:Z30)</f>
        <v/>
      </c>
    </row>
    <row customHeight="1" ht="15.75" r="32" s="199" spans="1:28" thickBot="1">
      <c r="B32" s="241" t="s">
        <v>41</v>
      </c>
      <c r="N32" s="242" t="s">
        <v>40</v>
      </c>
      <c r="O32" s="267">
        <f>O28*O21</f>
        <v/>
      </c>
      <c r="P32" s="223">
        <f>P28*P21</f>
        <v/>
      </c>
      <c r="Q32" s="223">
        <f>Q28*Q21</f>
        <v/>
      </c>
      <c r="R32" s="223">
        <f>R28*R21</f>
        <v/>
      </c>
      <c r="S32" s="223">
        <f>S28*S21</f>
        <v/>
      </c>
      <c r="T32" s="223">
        <f>T28*T21</f>
        <v/>
      </c>
      <c r="U32" s="223">
        <f>U28*U21</f>
        <v/>
      </c>
      <c r="V32" s="223">
        <f>V28*V21</f>
        <v/>
      </c>
      <c r="W32" s="223">
        <f>W28*W21</f>
        <v/>
      </c>
      <c r="X32" s="223">
        <f>X28*X21</f>
        <v/>
      </c>
      <c r="Y32" s="223">
        <f>Y28*Y21</f>
        <v/>
      </c>
      <c r="Z32" s="268">
        <f>Z28*Z21</f>
        <v/>
      </c>
    </row>
    <row customHeight="1" ht="15.75" r="33" s="199" spans="1:28" thickBot="1">
      <c r="N33" s="242" t="s">
        <v>27</v>
      </c>
      <c r="O33" s="266">
        <f>SUM(O32:Z32)</f>
        <v/>
      </c>
    </row>
    <row customHeight="1" ht="14.65" r="34" s="199" spans="1:28" thickBot="1">
      <c r="B34" s="241" t="s">
        <v>42</v>
      </c>
      <c r="N34" s="242" t="s">
        <v>40</v>
      </c>
      <c r="O34" s="267">
        <f>O32-O30</f>
        <v/>
      </c>
      <c r="P34" s="223">
        <f>P32-P30</f>
        <v/>
      </c>
      <c r="Q34" s="223">
        <f>Q32-Q30</f>
        <v/>
      </c>
      <c r="R34" s="223">
        <f>R32-R30</f>
        <v/>
      </c>
      <c r="S34" s="223">
        <f>S32-S30</f>
        <v/>
      </c>
      <c r="T34" s="223">
        <f>T32-T30</f>
        <v/>
      </c>
      <c r="U34" s="223">
        <f>U32-U30</f>
        <v/>
      </c>
      <c r="V34" s="223">
        <f>V32-V30</f>
        <v/>
      </c>
      <c r="W34" s="223">
        <f>W32-W30</f>
        <v/>
      </c>
      <c r="X34" s="223">
        <f>X32-X30</f>
        <v/>
      </c>
      <c r="Y34" s="223">
        <f>Y32-Y30</f>
        <v/>
      </c>
      <c r="Z34" s="268">
        <f>Z32-Z30</f>
        <v/>
      </c>
    </row>
    <row customHeight="1" ht="29.65" r="35" s="199" spans="1:28" thickBot="1">
      <c r="N35" s="242" t="s">
        <v>43</v>
      </c>
      <c r="O35" s="269">
        <f>O33-O31</f>
        <v/>
      </c>
    </row>
    <row customHeight="1" ht="15.75" r="36" s="199" spans="1:28" thickBot="1"/>
    <row customHeight="1" ht="14.65" r="37" s="199" spans="1:28" thickBot="1">
      <c r="B37" s="270" t="s">
        <v>44</v>
      </c>
      <c r="O37" s="299" t="n"/>
      <c r="P37" s="272" t="s">
        <v>46</v>
      </c>
      <c r="Q37" s="288" t="n"/>
      <c r="R37" s="256" t="n"/>
      <c r="S37" s="256" t="n"/>
      <c r="T37" s="256" t="n"/>
      <c r="U37" s="256" t="n"/>
      <c r="V37" s="256" t="n"/>
      <c r="W37" s="256" t="n"/>
      <c r="X37" s="256" t="n"/>
      <c r="Y37" s="256" t="n"/>
      <c r="Z37" s="256" t="n"/>
    </row>
    <row customHeight="1" ht="15" r="38" s="199" spans="1:28">
      <c r="O38" s="306" t="n"/>
      <c r="P38" s="274" t="n"/>
      <c r="Q38" s="289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</row>
    <row customHeight="1" ht="15" r="39" s="199" spans="1:28">
      <c r="O39" s="307" t="n"/>
      <c r="P39" s="276" t="n"/>
      <c r="Q39" s="289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</row>
    <row customHeight="1" ht="15" r="40" s="199" spans="1:28">
      <c r="O40" s="307" t="n"/>
      <c r="P40" s="276" t="n"/>
      <c r="Q40" s="289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</row>
    <row customHeight="1" ht="15" r="41" s="199" spans="1:28">
      <c r="O41" s="307" t="n"/>
      <c r="P41" s="276" t="n"/>
      <c r="Q41" s="289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</row>
    <row customHeight="1" ht="15" r="42" s="199" spans="1:28">
      <c r="O42" s="307" t="n"/>
      <c r="P42" s="276" t="n"/>
      <c r="Q42" s="289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</row>
    <row customHeight="1" ht="15" r="43" s="199" spans="1:28">
      <c r="O43" s="307" t="n"/>
      <c r="P43" s="276" t="n"/>
      <c r="Q43" s="289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</row>
    <row customHeight="1" ht="15" r="44" s="199" spans="1:28" thickBot="1">
      <c r="O44" s="308" t="n"/>
      <c r="P44" s="276" t="n"/>
      <c r="Q44" s="289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</row>
    <row customHeight="1" ht="15.75" r="45" s="199" spans="1:28" thickBot="1">
      <c r="O45" s="309" t="n"/>
      <c r="P45" s="279">
        <f>SUM(P38:P44)</f>
        <v/>
      </c>
      <c r="Q45" s="290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</row>
    <row customHeight="1" ht="15.75" r="46" s="199" spans="1:28" thickBot="1"/>
    <row customHeight="1" ht="51.75" r="47" s="199" spans="1:28" thickBot="1">
      <c r="B47" s="271" t="s">
        <v>42</v>
      </c>
      <c r="N47" s="271" t="s">
        <v>27</v>
      </c>
      <c r="O47" s="303" t="n"/>
      <c r="T47" s="281" t="n"/>
      <c r="U47" s="281" t="n"/>
      <c r="V47" s="281" t="n"/>
      <c r="W47" s="281" t="n"/>
      <c r="X47" s="281" t="n"/>
      <c r="Y47" s="281" t="n"/>
      <c r="Z47" s="281" t="n"/>
    </row>
    <row customHeight="1" ht="15.75" r="48" s="199" spans="1:28">
      <c r="A48" s="282" t="n"/>
      <c r="O48" s="236" t="n"/>
      <c r="P48" s="236" t="n"/>
      <c r="Q48" s="236" t="n"/>
      <c r="S48" s="256" t="n"/>
      <c r="T48" s="256" t="n"/>
      <c r="U48" s="256" t="n"/>
      <c r="V48" s="256" t="n"/>
      <c r="W48" s="256" t="n"/>
      <c r="X48" s="256" t="n"/>
      <c r="Y48" s="256" t="n"/>
      <c r="Z48" s="256" t="n"/>
    </row>
    <row customHeight="1" ht="15" r="49" s="199" spans="1:28">
      <c r="A49" s="282" t="n"/>
      <c r="O49" s="236" t="n"/>
      <c r="P49" s="236" t="n"/>
      <c r="Q49" s="236" t="n"/>
      <c r="S49" s="203" t="n"/>
      <c r="T49" s="203" t="n"/>
      <c r="U49" s="203" t="n"/>
      <c r="V49" s="203" t="n"/>
      <c r="W49" s="203" t="n"/>
      <c r="X49" s="203" t="n"/>
      <c r="Y49" s="203" t="n"/>
      <c r="Z49" s="203" t="n"/>
    </row>
    <row customHeight="1" ht="15" r="50" s="199" spans="1:28">
      <c r="O50" s="236" t="n"/>
      <c r="P50" s="236" t="n"/>
      <c r="Q50" s="236" t="n"/>
      <c r="S50" s="203" t="n"/>
      <c r="T50" s="203" t="n"/>
      <c r="U50" s="203" t="n"/>
      <c r="V50" s="203" t="n"/>
      <c r="W50" s="203" t="n"/>
      <c r="X50" s="203" t="n"/>
      <c r="Y50" s="203" t="n"/>
      <c r="Z50" s="203" t="n"/>
    </row>
    <row customHeight="1" ht="15" r="51" s="199" spans="1:28">
      <c r="O51" s="236" t="n"/>
      <c r="P51" s="236" t="n"/>
      <c r="Q51" s="236" t="n"/>
      <c r="S51" s="203" t="n"/>
      <c r="T51" s="203" t="n"/>
      <c r="U51" s="203" t="n"/>
      <c r="V51" s="203" t="n"/>
      <c r="W51" s="203" t="n"/>
      <c r="X51" s="203" t="n"/>
      <c r="Y51" s="203" t="n"/>
      <c r="Z51" s="203" t="n"/>
    </row>
    <row customHeight="1" ht="15" r="52" s="199" spans="1:28">
      <c r="O52" s="236" t="n"/>
      <c r="P52" s="236" t="n"/>
      <c r="Q52" s="236" t="n"/>
      <c r="S52" s="203" t="n"/>
      <c r="T52" s="203" t="n"/>
      <c r="U52" s="203" t="n"/>
      <c r="V52" s="203" t="n"/>
      <c r="W52" s="203" t="n"/>
      <c r="X52" s="203" t="n"/>
      <c r="Y52" s="203" t="n"/>
      <c r="Z52" s="203" t="n"/>
    </row>
    <row customHeight="1" ht="15" r="53" s="199" spans="1:28">
      <c r="O53" s="236" t="n"/>
      <c r="P53" s="236" t="n"/>
      <c r="Q53" s="236" t="n"/>
      <c r="S53" s="203" t="n"/>
      <c r="T53" s="203" t="n"/>
      <c r="U53" s="203" t="n"/>
      <c r="V53" s="203" t="n"/>
      <c r="W53" s="203" t="n"/>
      <c r="X53" s="203" t="n"/>
      <c r="Y53" s="203" t="n"/>
      <c r="Z53" s="203" t="n"/>
    </row>
    <row customHeight="1" ht="15" r="54" s="199" spans="1:28">
      <c r="O54" s="236" t="n"/>
      <c r="P54" s="236" t="n"/>
      <c r="Q54" s="236" t="n"/>
      <c r="S54" s="203" t="n"/>
      <c r="T54" s="203" t="n"/>
      <c r="U54" s="203" t="n"/>
      <c r="V54" s="203" t="n"/>
      <c r="W54" s="203" t="n"/>
      <c r="X54" s="203" t="n"/>
      <c r="Y54" s="203" t="n"/>
      <c r="Z54" s="203" t="n"/>
    </row>
    <row customHeight="1" ht="15" r="55" s="199" spans="1:28">
      <c r="O55" s="236" t="n"/>
      <c r="P55" s="236" t="n"/>
      <c r="Q55" s="236" t="n"/>
      <c r="S55" s="203" t="n"/>
      <c r="T55" s="203" t="n"/>
      <c r="U55" s="203" t="n"/>
      <c r="V55" s="203" t="n"/>
      <c r="W55" s="203" t="n"/>
      <c r="X55" s="203" t="n"/>
      <c r="Y55" s="203" t="n"/>
      <c r="Z55" s="203" t="n"/>
    </row>
    <row customHeight="1" ht="15.75" r="56" s="199" spans="1:28">
      <c r="O56" s="236" t="n"/>
      <c r="P56" s="236" t="n"/>
      <c r="Q56" s="236" t="n"/>
      <c r="S56" s="203" t="n"/>
      <c r="T56" s="203" t="n"/>
      <c r="U56" s="203" t="n"/>
      <c r="V56" s="203" t="n"/>
      <c r="W56" s="203" t="n"/>
      <c r="X56" s="203" t="n"/>
      <c r="Y56" s="203" t="n"/>
      <c r="Z56" s="203" t="n"/>
    </row>
  </sheetData>
  <mergeCells count="15">
    <mergeCell ref="B2:N2"/>
    <mergeCell ref="O2:Z2"/>
    <mergeCell ref="A21:A47"/>
    <mergeCell ref="B21:M24"/>
    <mergeCell ref="B26:M28"/>
    <mergeCell ref="B30:M31"/>
    <mergeCell ref="O31:Z31"/>
    <mergeCell ref="B32:M33"/>
    <mergeCell ref="O33:Z33"/>
    <mergeCell ref="B47:M47"/>
    <mergeCell ref="A5:A18"/>
    <mergeCell ref="O47:S47"/>
    <mergeCell ref="B34:M35"/>
    <mergeCell ref="O35:Z35"/>
    <mergeCell ref="B37:N45"/>
  </mergeCells>
  <conditionalFormatting sqref="AA5:AA18">
    <cfRule dxfId="85" operator="lessThan" priority="1" type="cellIs">
      <formula>20</formula>
    </cfRule>
    <cfRule dxfId="84" operator="between" priority="2" type="cellIs">
      <formula>20</formula>
      <formula>29</formula>
    </cfRule>
    <cfRule dxfId="83" operator="greaterThan" priority="3" type="cellIs">
      <formula>29</formula>
    </cfRule>
  </conditionalFormatting>
  <pageMargins bottom="0.75" footer="0.3" header="0.3" left="0.7" right="0.7" top="0.75"/>
  <pageSetup orientation="portrait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 autoPageBreaks="0"/>
  </sheetPr>
  <dimension ref="A2:AB130"/>
  <sheetViews>
    <sheetView workbookViewId="0" zoomScale="85" zoomScaleNormal="85" zoomScalePageLayoutView="85">
      <pane activePane="bottomRight" state="frozen" topLeftCell="D32" xSplit="3" ySplit="4"/>
      <selection activeCell="D1" pane="topRight" sqref="D1"/>
      <selection activeCell="A5" pane="bottomLeft" sqref="A5"/>
      <selection activeCell="E17" pane="bottomRight" sqref="E17"/>
    </sheetView>
  </sheetViews>
  <sheetFormatPr baseColWidth="10" defaultColWidth="11.42578125" defaultRowHeight="15" outlineLevelCol="1" outlineLevelRow="1"/>
  <cols>
    <col customWidth="1" max="2" min="2" style="199" width="12.42578125"/>
    <col customWidth="1" max="3" min="3" style="199" width="15.28515625"/>
    <col customWidth="1" max="4" min="4" outlineLevel="1" style="199" width="38"/>
    <col customWidth="1" max="5" min="5" outlineLevel="1" style="199" width="15.140625"/>
    <col customWidth="1" max="6" min="6" outlineLevel="1" style="199" width="16.5703125"/>
    <col customWidth="1" max="7" min="7" outlineLevel="1" style="199" width="14.7109375"/>
    <col customWidth="1" max="8" min="8" outlineLevel="1" style="199" width="10.5703125"/>
    <col customWidth="1" max="9" min="9" outlineLevel="1" style="199" width="18.42578125"/>
    <col customWidth="1" max="10" min="10" outlineLevel="1" style="199" width="33.5703125"/>
    <col customWidth="1" max="11" min="11" outlineLevel="1" style="199" width="20.7109375"/>
    <col customWidth="1" max="14" min="12" style="199" width="10.7109375"/>
    <col customWidth="1" max="26" min="15" style="199" width="15.42578125"/>
    <col customWidth="1" max="28" min="28" style="200" width="71.42578125"/>
  </cols>
  <sheetData>
    <row customHeight="1" ht="15.75" r="1" s="199" spans="1:28" thickBot="1"/>
    <row customHeight="1" ht="29.65" r="2" s="199" spans="1:28" thickBot="1">
      <c r="B2" s="201" t="s">
        <v>0</v>
      </c>
      <c r="O2" s="202" t="s">
        <v>1</v>
      </c>
    </row>
    <row customFormat="1" customHeight="1" ht="15.75" r="3" s="203" spans="1:28" thickBot="1">
      <c r="L3" s="204" t="n"/>
      <c r="M3" s="204" t="n"/>
      <c r="N3" s="204" t="n"/>
      <c r="O3" s="205" t="s">
        <v>2</v>
      </c>
      <c r="P3" s="205" t="s">
        <v>3</v>
      </c>
      <c r="Q3" s="205" t="s">
        <v>4</v>
      </c>
      <c r="R3" s="205" t="s">
        <v>5</v>
      </c>
      <c r="S3" s="205" t="s">
        <v>6</v>
      </c>
      <c r="T3" s="206" t="s">
        <v>7</v>
      </c>
      <c r="U3" s="206" t="s">
        <v>8</v>
      </c>
      <c r="V3" s="206" t="s">
        <v>9</v>
      </c>
      <c r="W3" s="206" t="s">
        <v>10</v>
      </c>
      <c r="X3" s="207" t="s">
        <v>11</v>
      </c>
      <c r="Y3" s="208" t="s">
        <v>12</v>
      </c>
      <c r="Z3" s="208" t="s">
        <v>13</v>
      </c>
      <c r="AB3" s="200" t="n"/>
    </row>
    <row customFormat="1" customHeight="1" ht="15.75" r="4" s="209" spans="1:28" thickBot="1">
      <c r="B4" s="210" t="s">
        <v>14</v>
      </c>
      <c r="C4" s="210" t="s">
        <v>15</v>
      </c>
      <c r="D4" s="210" t="s">
        <v>16</v>
      </c>
      <c r="E4" s="210" t="s">
        <v>17</v>
      </c>
      <c r="F4" s="210" t="s">
        <v>18</v>
      </c>
      <c r="G4" s="210" t="s">
        <v>19</v>
      </c>
      <c r="H4" s="210" t="s">
        <v>20</v>
      </c>
      <c r="I4" s="210" t="s">
        <v>21</v>
      </c>
      <c r="J4" s="210" t="s">
        <v>22</v>
      </c>
      <c r="K4" s="210" t="s">
        <v>23</v>
      </c>
      <c r="L4" s="210" t="s">
        <v>24</v>
      </c>
      <c r="M4" s="210" t="s">
        <v>25</v>
      </c>
      <c r="N4" s="210" t="s">
        <v>26</v>
      </c>
      <c r="O4" s="211" t="s">
        <v>2</v>
      </c>
      <c r="P4" s="211" t="s">
        <v>3</v>
      </c>
      <c r="Q4" s="211" t="s">
        <v>4</v>
      </c>
      <c r="R4" s="211" t="s">
        <v>5</v>
      </c>
      <c r="S4" s="212" t="s">
        <v>6</v>
      </c>
      <c r="T4" s="213" t="s">
        <v>7</v>
      </c>
      <c r="U4" s="213" t="s">
        <v>8</v>
      </c>
      <c r="V4" s="213" t="s">
        <v>9</v>
      </c>
      <c r="W4" s="213" t="s">
        <v>10</v>
      </c>
      <c r="X4" s="213" t="s">
        <v>11</v>
      </c>
      <c r="Y4" s="213" t="s">
        <v>12</v>
      </c>
      <c r="Z4" s="213" t="s">
        <v>13</v>
      </c>
      <c r="AA4" s="213" t="s">
        <v>27</v>
      </c>
      <c r="AB4" s="214" t="s">
        <v>28</v>
      </c>
    </row>
    <row customHeight="1" ht="14.65" outlineLevel="1" r="5" s="199" spans="1:28">
      <c r="A5" s="215" t="s">
        <v>29</v>
      </c>
      <c r="B5" s="216" t="s">
        <v>219</v>
      </c>
      <c r="C5" s="217" t="s">
        <v>220</v>
      </c>
      <c r="D5" s="217" t="s">
        <v>221</v>
      </c>
      <c r="E5" s="217" t="s">
        <v>154</v>
      </c>
      <c r="F5" s="217" t="s">
        <v>207</v>
      </c>
      <c r="G5" s="217" t="s">
        <v>222</v>
      </c>
      <c r="H5" s="217" t="s">
        <v>55</v>
      </c>
      <c r="I5" s="218" t="n">
        <v>56982328250</v>
      </c>
      <c r="J5" s="219" t="s">
        <v>223</v>
      </c>
      <c r="K5" s="219" t="s">
        <v>94</v>
      </c>
      <c r="L5" s="220" t="n"/>
      <c r="M5" s="220" t="n"/>
      <c r="N5" s="217">
        <f>SUMPRODUCT(Tabla5237[[#This Row],[Paltas]:[Empanadas]],O$102:Z$102)</f>
        <v/>
      </c>
      <c r="O5" s="220" t="n"/>
      <c r="P5" s="220" t="n"/>
      <c r="Q5" s="220" t="n"/>
      <c r="R5" s="220" t="n"/>
      <c r="S5" s="220" t="n"/>
      <c r="T5" s="220" t="n"/>
      <c r="U5" s="220" t="n"/>
      <c r="V5" s="220" t="n"/>
      <c r="W5" s="220" t="n"/>
      <c r="X5" s="220" t="n"/>
      <c r="Y5" s="220" t="n"/>
      <c r="Z5" s="220" t="n"/>
      <c r="AA5" s="220">
        <f>SUM(Tabla5237[[#This Row],[Paltas]:[Empanadas]])</f>
        <v/>
      </c>
      <c r="AB5" s="221" t="n"/>
    </row>
    <row outlineLevel="1" r="6" s="199" spans="1:28">
      <c r="B6" s="222" t="s">
        <v>224</v>
      </c>
      <c r="C6" s="223" t="s">
        <v>225</v>
      </c>
      <c r="D6" s="223" t="s">
        <v>226</v>
      </c>
      <c r="E6" s="223" t="s">
        <v>52</v>
      </c>
      <c r="F6" s="223" t="s">
        <v>119</v>
      </c>
      <c r="G6" s="223" t="s">
        <v>227</v>
      </c>
      <c r="H6" s="223" t="s">
        <v>55</v>
      </c>
      <c r="I6" s="224" t="n">
        <v>56954219968</v>
      </c>
      <c r="J6" s="225" t="s">
        <v>228</v>
      </c>
      <c r="K6" s="225" t="s">
        <v>94</v>
      </c>
      <c r="L6" s="226" t="n"/>
      <c r="M6" s="226" t="n"/>
      <c r="N6" s="223">
        <f>SUMPRODUCT(Tabla5237[[#This Row],[Paltas]:[Empanadas]],O$102:Z$102)</f>
        <v/>
      </c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>
        <f>SUM(Tabla5237[[#This Row],[Paltas]:[Empanadas]])</f>
        <v/>
      </c>
      <c r="AB6" s="227" t="n"/>
    </row>
    <row outlineLevel="1" r="7" s="199" spans="1:28">
      <c r="B7" s="222" t="s">
        <v>229</v>
      </c>
      <c r="C7" s="223" t="s">
        <v>230</v>
      </c>
      <c r="D7" s="223" t="s">
        <v>231</v>
      </c>
      <c r="E7" s="223" t="s">
        <v>52</v>
      </c>
      <c r="F7" s="223" t="s">
        <v>119</v>
      </c>
      <c r="G7" s="223" t="s">
        <v>70</v>
      </c>
      <c r="H7" s="223" t="s">
        <v>55</v>
      </c>
      <c r="I7" s="224" t="n">
        <v>56976237859</v>
      </c>
      <c r="J7" s="225" t="s">
        <v>232</v>
      </c>
      <c r="K7" s="225" t="s">
        <v>115</v>
      </c>
      <c r="L7" s="226" t="n"/>
      <c r="M7" s="226" t="n"/>
      <c r="N7" s="223">
        <f>SUMPRODUCT(Tabla5237[[#This Row],[Paltas]:[Empanadas]],O$102:Z$102)</f>
        <v/>
      </c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>
        <f>SUM(Tabla5237[[#This Row],[Paltas]:[Empanadas]])</f>
        <v/>
      </c>
      <c r="AB7" s="227" t="n"/>
    </row>
    <row outlineLevel="1" r="8" s="199" spans="1:28">
      <c r="B8" s="222" t="s">
        <v>233</v>
      </c>
      <c r="C8" s="223" t="s">
        <v>234</v>
      </c>
      <c r="D8" s="223" t="s">
        <v>235</v>
      </c>
      <c r="E8" s="223" t="s">
        <v>154</v>
      </c>
      <c r="F8" s="223" t="s">
        <v>236</v>
      </c>
      <c r="G8" s="223" t="s">
        <v>237</v>
      </c>
      <c r="H8" s="223" t="s">
        <v>55</v>
      </c>
      <c r="I8" s="224" t="n">
        <v>56962094749</v>
      </c>
      <c r="J8" s="225" t="s">
        <v>238</v>
      </c>
      <c r="K8" s="225" t="s">
        <v>115</v>
      </c>
      <c r="L8" s="226" t="n"/>
      <c r="M8" s="226" t="n"/>
      <c r="N8" s="223">
        <f>SUMPRODUCT(Tabla5237[[#This Row],[Paltas]:[Empanadas]],O$102:Z$102)</f>
        <v/>
      </c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>
        <f>SUM(Tabla5237[[#This Row],[Paltas]:[Empanadas]])</f>
        <v/>
      </c>
      <c r="AB8" s="227" t="n"/>
    </row>
    <row outlineLevel="1" r="9" s="199" spans="1:28">
      <c r="B9" s="222" t="s">
        <v>168</v>
      </c>
      <c r="C9" s="223" t="s">
        <v>239</v>
      </c>
      <c r="D9" s="223" t="s">
        <v>240</v>
      </c>
      <c r="E9" s="223" t="s">
        <v>63</v>
      </c>
      <c r="F9" s="223" t="s">
        <v>64</v>
      </c>
      <c r="G9" s="223" t="s">
        <v>81</v>
      </c>
      <c r="H9" s="223" t="s">
        <v>55</v>
      </c>
      <c r="I9" s="224" t="n">
        <v>56993333225</v>
      </c>
      <c r="J9" s="225" t="s">
        <v>241</v>
      </c>
      <c r="K9" s="225" t="s">
        <v>57</v>
      </c>
      <c r="L9" s="226" t="n"/>
      <c r="M9" s="226" t="n"/>
      <c r="N9" s="223">
        <f>SUMPRODUCT(Tabla5237[[#This Row],[Paltas]:[Empanadas]],O$102:Z$102)</f>
        <v/>
      </c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>
        <f>SUM(Tabla5237[[#This Row],[Paltas]:[Empanadas]])</f>
        <v/>
      </c>
      <c r="AB9" s="227" t="n"/>
    </row>
    <row outlineLevel="1" r="10" s="199" spans="1:28">
      <c r="B10" s="222" t="s">
        <v>242</v>
      </c>
      <c r="C10" s="223" t="s">
        <v>243</v>
      </c>
      <c r="D10" s="223" t="n">
        <v>0</v>
      </c>
      <c r="E10" s="223" t="n">
        <v>0</v>
      </c>
      <c r="F10" s="223" t="n">
        <v>0</v>
      </c>
      <c r="G10" s="223" t="s">
        <v>99</v>
      </c>
      <c r="H10" s="223" t="s">
        <v>55</v>
      </c>
      <c r="I10" s="224" t="n">
        <v>56977051605</v>
      </c>
      <c r="J10" s="225" t="s">
        <v>244</v>
      </c>
      <c r="K10" s="225" t="s">
        <v>94</v>
      </c>
      <c r="L10" s="226" t="n"/>
      <c r="M10" s="226" t="n"/>
      <c r="N10" s="223">
        <f>SUMPRODUCT(Tabla5237[[#This Row],[Paltas]:[Empanadas]],O$102:Z$102)</f>
        <v/>
      </c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>
        <f>SUM(Tabla5237[[#This Row],[Paltas]:[Empanadas]])</f>
        <v/>
      </c>
      <c r="AB10" s="227" t="n"/>
    </row>
    <row outlineLevel="1" r="11" s="199" spans="1:28">
      <c r="B11" s="222" t="s">
        <v>195</v>
      </c>
      <c r="C11" s="223" t="s">
        <v>196</v>
      </c>
      <c r="D11" s="223" t="s">
        <v>197</v>
      </c>
      <c r="E11" s="223" t="s">
        <v>52</v>
      </c>
      <c r="F11" s="223" t="s">
        <v>198</v>
      </c>
      <c r="G11" s="223" t="s">
        <v>70</v>
      </c>
      <c r="H11" s="223" t="s">
        <v>55</v>
      </c>
      <c r="I11" s="224" t="n">
        <v>56955324629</v>
      </c>
      <c r="J11" s="225" t="s">
        <v>199</v>
      </c>
      <c r="K11" s="225" t="s">
        <v>115</v>
      </c>
      <c r="L11" s="226" t="n"/>
      <c r="M11" s="226" t="n"/>
      <c r="N11" s="223">
        <f>SUMPRODUCT(Tabla5237[[#This Row],[Paltas]:[Empanadas]],O$102:Z$102)</f>
        <v/>
      </c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>
        <f>SUM(Tabla5237[[#This Row],[Paltas]:[Empanadas]])</f>
        <v/>
      </c>
      <c r="AB11" s="227" t="n"/>
    </row>
    <row outlineLevel="1" r="12" s="199" spans="1:28">
      <c r="B12" s="222" t="s">
        <v>172</v>
      </c>
      <c r="C12" s="223" t="s">
        <v>173</v>
      </c>
      <c r="D12" s="223" t="s">
        <v>174</v>
      </c>
      <c r="E12" s="223" t="s">
        <v>63</v>
      </c>
      <c r="F12" s="223" t="s">
        <v>64</v>
      </c>
      <c r="G12" s="223" t="s">
        <v>99</v>
      </c>
      <c r="H12" s="223" t="s">
        <v>55</v>
      </c>
      <c r="I12" s="224" t="n">
        <v>56963033603</v>
      </c>
      <c r="J12" s="225" t="s">
        <v>175</v>
      </c>
      <c r="K12" s="225" t="s">
        <v>94</v>
      </c>
      <c r="L12" s="226" t="n"/>
      <c r="M12" s="226" t="n"/>
      <c r="N12" s="223">
        <f>SUMPRODUCT(Tabla5237[[#This Row],[Paltas]:[Empanadas]],O$102:Z$102)</f>
        <v/>
      </c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>
        <f>SUM(Tabla5237[[#This Row],[Paltas]:[Empanadas]])</f>
        <v/>
      </c>
      <c r="AB12" s="227" t="n"/>
    </row>
    <row outlineLevel="1" r="13" s="199" spans="1:28">
      <c r="B13" s="222" t="s">
        <v>176</v>
      </c>
      <c r="C13" s="223" t="s">
        <v>61</v>
      </c>
      <c r="D13" s="223" t="s">
        <v>62</v>
      </c>
      <c r="E13" s="223" t="s">
        <v>63</v>
      </c>
      <c r="F13" s="223" t="s">
        <v>64</v>
      </c>
      <c r="G13" s="223" t="s">
        <v>99</v>
      </c>
      <c r="H13" s="223" t="s">
        <v>245</v>
      </c>
      <c r="I13" s="224" t="n">
        <v>56982328250</v>
      </c>
      <c r="J13" s="225" t="s">
        <v>246</v>
      </c>
      <c r="K13" s="225" t="s">
        <v>57</v>
      </c>
      <c r="L13" s="226" t="n"/>
      <c r="M13" s="226" t="n"/>
      <c r="N13" s="223">
        <f>SUMPRODUCT(Tabla5237[[#This Row],[Paltas]:[Empanadas]],O$102:Z$102)</f>
        <v/>
      </c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>
        <f>SUM(Tabla5237[[#This Row],[Paltas]:[Empanadas]])</f>
        <v/>
      </c>
      <c r="AB13" s="227" t="n"/>
    </row>
    <row outlineLevel="1" r="14" s="199" spans="1:28">
      <c r="B14" s="222" t="s">
        <v>60</v>
      </c>
      <c r="C14" s="223" t="s">
        <v>61</v>
      </c>
      <c r="D14" s="223" t="s">
        <v>62</v>
      </c>
      <c r="E14" s="223" t="s">
        <v>63</v>
      </c>
      <c r="F14" s="223" t="s">
        <v>64</v>
      </c>
      <c r="G14" s="223" t="s">
        <v>65</v>
      </c>
      <c r="H14" s="223" t="s">
        <v>55</v>
      </c>
      <c r="I14" s="224" t="n">
        <v>56982328251</v>
      </c>
      <c r="J14" s="225" t="s">
        <v>66</v>
      </c>
      <c r="K14" s="225" t="s">
        <v>57</v>
      </c>
      <c r="L14" s="226" t="n"/>
      <c r="M14" s="226" t="n"/>
      <c r="N14" s="223">
        <f>SUMPRODUCT(Tabla5237[[#This Row],[Paltas]:[Empanadas]],O$102:Z$102)</f>
        <v/>
      </c>
      <c r="O14" s="226" t="n">
        <v>1</v>
      </c>
      <c r="P14" s="226" t="n">
        <v>0</v>
      </c>
      <c r="Q14" s="226" t="n">
        <v>2</v>
      </c>
      <c r="R14" s="226" t="n">
        <v>0</v>
      </c>
      <c r="S14" s="226" t="n">
        <v>0</v>
      </c>
      <c r="T14" s="226" t="n">
        <v>0</v>
      </c>
      <c r="U14" s="226" t="n">
        <v>0</v>
      </c>
      <c r="V14" s="226" t="n">
        <v>0</v>
      </c>
      <c r="W14" s="226" t="n">
        <v>0</v>
      </c>
      <c r="X14" s="226" t="n">
        <v>0</v>
      </c>
      <c r="Y14" s="226" t="n">
        <v>0</v>
      </c>
      <c r="Z14" s="226" t="n">
        <v>0</v>
      </c>
      <c r="AA14" s="226">
        <f>SUM(Tabla5237[[#This Row],[Paltas]:[Empanadas]])</f>
        <v/>
      </c>
      <c r="AB14" s="227" t="n"/>
    </row>
    <row outlineLevel="1" r="15" s="199" spans="1:28">
      <c r="B15" s="222" t="s">
        <v>247</v>
      </c>
      <c r="C15" s="223" t="s">
        <v>248</v>
      </c>
      <c r="D15" s="223" t="s">
        <v>249</v>
      </c>
      <c r="E15" s="223" t="s">
        <v>90</v>
      </c>
      <c r="F15" s="223" t="s">
        <v>91</v>
      </c>
      <c r="G15" s="223" t="s">
        <v>70</v>
      </c>
      <c r="H15" s="223" t="s">
        <v>55</v>
      </c>
      <c r="I15" s="224" t="n">
        <v>56968348679</v>
      </c>
      <c r="J15" s="225" t="s">
        <v>250</v>
      </c>
      <c r="K15" s="225" t="s">
        <v>57</v>
      </c>
      <c r="L15" s="226" t="n"/>
      <c r="M15" s="226" t="n"/>
      <c r="N15" s="223">
        <f>SUMPRODUCT(Tabla5237[[#This Row],[Paltas]:[Empanadas]],O$102:Z$102)</f>
        <v/>
      </c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>
        <f>SUM(Tabla5237[[#This Row],[Paltas]:[Empanadas]])</f>
        <v/>
      </c>
      <c r="AB15" s="227" t="n"/>
    </row>
    <row outlineLevel="1" r="16" s="199" spans="1:28">
      <c r="B16" s="222" t="s">
        <v>251</v>
      </c>
      <c r="C16" s="223" t="s">
        <v>252</v>
      </c>
      <c r="D16" s="223" t="s">
        <v>253</v>
      </c>
      <c r="E16" s="223" t="s">
        <v>63</v>
      </c>
      <c r="F16" s="223" t="s">
        <v>64</v>
      </c>
      <c r="G16" s="223" t="n">
        <v>0</v>
      </c>
      <c r="H16" s="223" t="s">
        <v>55</v>
      </c>
      <c r="I16" s="224" t="n">
        <v>56944346775</v>
      </c>
      <c r="J16" s="225" t="s">
        <v>254</v>
      </c>
      <c r="K16" s="225" t="s">
        <v>115</v>
      </c>
      <c r="L16" s="226" t="n"/>
      <c r="M16" s="226" t="n"/>
      <c r="N16" s="223">
        <f>SUMPRODUCT(Tabla5237[[#This Row],[Paltas]:[Empanadas]],O$102:Z$102)</f>
        <v/>
      </c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>
        <f>SUM(Tabla5237[[#This Row],[Paltas]:[Empanadas]])</f>
        <v/>
      </c>
      <c r="AB16" s="227" t="n"/>
    </row>
    <row outlineLevel="1" r="17" s="199" spans="1:28">
      <c r="B17" s="222" t="s">
        <v>255</v>
      </c>
      <c r="C17" s="223" t="s">
        <v>256</v>
      </c>
      <c r="D17" s="223" t="s">
        <v>257</v>
      </c>
      <c r="E17" s="223" t="s">
        <v>52</v>
      </c>
      <c r="F17" s="223" t="s">
        <v>98</v>
      </c>
      <c r="G17" s="223" t="s">
        <v>258</v>
      </c>
      <c r="H17" s="223" t="s">
        <v>55</v>
      </c>
      <c r="I17" s="224" t="n">
        <v>56995346870</v>
      </c>
      <c r="J17" s="225" t="s">
        <v>259</v>
      </c>
      <c r="K17" s="225" t="s">
        <v>94</v>
      </c>
      <c r="L17" s="226" t="n"/>
      <c r="M17" s="226" t="n"/>
      <c r="N17" s="223">
        <f>SUMPRODUCT(Tabla5237[[#This Row],[Paltas]:[Empanadas]],O$102:Z$102)</f>
        <v/>
      </c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>
        <f>SUM(Tabla5237[[#This Row],[Paltas]:[Empanadas]])</f>
        <v/>
      </c>
      <c r="AB17" s="227" t="n"/>
    </row>
    <row outlineLevel="1" r="18" s="199" spans="1:28">
      <c r="B18" s="222" t="s">
        <v>95</v>
      </c>
      <c r="C18" s="223" t="s">
        <v>96</v>
      </c>
      <c r="D18" s="223" t="s">
        <v>97</v>
      </c>
      <c r="E18" s="223" t="s">
        <v>52</v>
      </c>
      <c r="F18" s="223" t="s">
        <v>98</v>
      </c>
      <c r="G18" s="223" t="s">
        <v>99</v>
      </c>
      <c r="H18" s="223" t="s">
        <v>55</v>
      </c>
      <c r="I18" s="224" t="n">
        <v>56963061299</v>
      </c>
      <c r="J18" s="225" t="s">
        <v>100</v>
      </c>
      <c r="K18" s="225" t="s">
        <v>94</v>
      </c>
      <c r="L18" s="226" t="n"/>
      <c r="M18" s="226" t="n"/>
      <c r="N18" s="223">
        <f>SUMPRODUCT(Tabla5237[[#This Row],[Paltas]:[Empanadas]],O$102:Z$102)</f>
        <v/>
      </c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>
        <f>SUM(Tabla5237[[#This Row],[Paltas]:[Empanadas]])</f>
        <v/>
      </c>
      <c r="AB18" s="227" t="n"/>
    </row>
    <row outlineLevel="1" r="19" s="199" spans="1:28">
      <c r="B19" s="222" t="s">
        <v>204</v>
      </c>
      <c r="C19" s="223" t="s">
        <v>205</v>
      </c>
      <c r="D19" s="223" t="s">
        <v>206</v>
      </c>
      <c r="E19" s="223" t="s">
        <v>154</v>
      </c>
      <c r="F19" s="223" t="s">
        <v>207</v>
      </c>
      <c r="G19" s="223" t="s">
        <v>208</v>
      </c>
      <c r="H19" s="223" t="s">
        <v>55</v>
      </c>
      <c r="I19" s="224" t="n">
        <v>56979987750</v>
      </c>
      <c r="J19" s="225" t="s">
        <v>209</v>
      </c>
      <c r="K19" s="225" t="s">
        <v>115</v>
      </c>
      <c r="L19" s="226" t="n"/>
      <c r="M19" s="226" t="n"/>
      <c r="N19" s="223">
        <f>SUMPRODUCT(Tabla5237[[#This Row],[Paltas]:[Empanadas]],O$102:Z$102)</f>
        <v/>
      </c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>
        <f>SUM(Tabla5237[[#This Row],[Paltas]:[Empanadas]])</f>
        <v/>
      </c>
      <c r="AB19" s="227" t="n"/>
    </row>
    <row outlineLevel="1" r="20" s="199" spans="1:28">
      <c r="B20" s="222" t="s">
        <v>260</v>
      </c>
      <c r="C20" s="223" t="s">
        <v>261</v>
      </c>
      <c r="D20" s="223" t="s">
        <v>262</v>
      </c>
      <c r="E20" s="223" t="s">
        <v>154</v>
      </c>
      <c r="F20" s="223" t="s">
        <v>53</v>
      </c>
      <c r="G20" s="223" t="s">
        <v>263</v>
      </c>
      <c r="H20" s="223" t="s">
        <v>55</v>
      </c>
      <c r="I20" s="224" t="n">
        <v>56974474437</v>
      </c>
      <c r="J20" s="225" t="s">
        <v>264</v>
      </c>
      <c r="K20" s="225" t="s">
        <v>57</v>
      </c>
      <c r="L20" s="226" t="n"/>
      <c r="M20" s="226" t="n"/>
      <c r="N20" s="223">
        <f>SUMPRODUCT(Tabla5237[[#This Row],[Paltas]:[Empanadas]],O$102:Z$102)</f>
        <v/>
      </c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>
        <f>SUM(Tabla5237[[#This Row],[Paltas]:[Empanadas]])</f>
        <v/>
      </c>
      <c r="AB20" s="227" t="n"/>
    </row>
    <row outlineLevel="1" r="21" s="199" spans="1:28">
      <c r="B21" s="222" t="s">
        <v>67</v>
      </c>
      <c r="C21" s="223" t="s">
        <v>68</v>
      </c>
      <c r="D21" s="223" t="s">
        <v>69</v>
      </c>
      <c r="E21" s="223" t="s">
        <v>52</v>
      </c>
      <c r="F21" s="223" t="s">
        <v>53</v>
      </c>
      <c r="G21" s="223" t="s">
        <v>70</v>
      </c>
      <c r="H21" s="223" t="s">
        <v>55</v>
      </c>
      <c r="I21" s="224" t="n">
        <v>56967289638</v>
      </c>
      <c r="J21" s="225" t="s">
        <v>71</v>
      </c>
      <c r="K21" s="225" t="s">
        <v>57</v>
      </c>
      <c r="L21" s="226" t="n"/>
      <c r="M21" s="226" t="n"/>
      <c r="N21" s="223">
        <f>SUMPRODUCT(Tabla5237[[#This Row],[Paltas]:[Empanadas]],O$102:Z$102)</f>
        <v/>
      </c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>
        <f>SUM(Tabla5237[[#This Row],[Paltas]:[Empanadas]])</f>
        <v/>
      </c>
      <c r="AB21" s="227" t="n"/>
    </row>
    <row outlineLevel="1" r="22" s="199" spans="1:28">
      <c r="B22" s="222" t="s">
        <v>265</v>
      </c>
      <c r="C22" s="223" t="s">
        <v>169</v>
      </c>
      <c r="D22" s="223" t="s">
        <v>266</v>
      </c>
      <c r="E22" s="223" t="s">
        <v>90</v>
      </c>
      <c r="F22" s="223" t="s">
        <v>119</v>
      </c>
      <c r="G22" s="223" t="s">
        <v>54</v>
      </c>
      <c r="H22" s="223" t="s">
        <v>55</v>
      </c>
      <c r="I22" s="224" t="n">
        <v>56998222891</v>
      </c>
      <c r="J22" s="225" t="s">
        <v>267</v>
      </c>
      <c r="K22" s="225" t="s">
        <v>57</v>
      </c>
      <c r="L22" s="226" t="n"/>
      <c r="M22" s="226" t="n"/>
      <c r="N22" s="223">
        <f>SUMPRODUCT(Tabla5237[[#This Row],[Paltas]:[Empanadas]],O$102:Z$102)</f>
        <v/>
      </c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>
        <f>SUM(Tabla5237[[#This Row],[Paltas]:[Empanadas]])</f>
        <v/>
      </c>
      <c r="AB22" s="227" t="n"/>
    </row>
    <row outlineLevel="1" r="23" s="199" spans="1:28">
      <c r="B23" s="222" t="s">
        <v>168</v>
      </c>
      <c r="C23" s="223" t="s">
        <v>169</v>
      </c>
      <c r="D23" s="223" t="s">
        <v>170</v>
      </c>
      <c r="E23" s="223" t="s">
        <v>63</v>
      </c>
      <c r="F23" s="223" t="s">
        <v>64</v>
      </c>
      <c r="G23" s="223" t="s">
        <v>99</v>
      </c>
      <c r="H23" s="223" t="s">
        <v>55</v>
      </c>
      <c r="I23" s="224" t="n">
        <v>56967898535</v>
      </c>
      <c r="J23" s="225" t="s">
        <v>171</v>
      </c>
      <c r="K23" s="225" t="s">
        <v>57</v>
      </c>
      <c r="L23" s="226" t="n"/>
      <c r="M23" s="226" t="n"/>
      <c r="N23" s="223">
        <f>SUMPRODUCT(Tabla5237[[#This Row],[Paltas]:[Empanadas]],O$102:Z$102)</f>
        <v/>
      </c>
      <c r="O23" s="226" t="n">
        <v>4</v>
      </c>
      <c r="P23" s="226" t="n">
        <v>0</v>
      </c>
      <c r="Q23" s="226" t="n">
        <v>1</v>
      </c>
      <c r="R23" s="226" t="n">
        <v>0</v>
      </c>
      <c r="S23" s="226" t="n">
        <v>1</v>
      </c>
      <c r="T23" s="226" t="n">
        <v>0</v>
      </c>
      <c r="U23" s="226" t="n">
        <v>0</v>
      </c>
      <c r="V23" s="226" t="n">
        <v>0</v>
      </c>
      <c r="W23" s="226" t="n">
        <v>0</v>
      </c>
      <c r="X23" s="226" t="n">
        <v>1</v>
      </c>
      <c r="Y23" s="226" t="n">
        <v>0</v>
      </c>
      <c r="Z23" s="226" t="n">
        <v>0</v>
      </c>
      <c r="AA23" s="226">
        <f>SUM(Tabla5237[[#This Row],[Paltas]:[Empanadas]])</f>
        <v/>
      </c>
      <c r="AB23" s="227" t="n"/>
    </row>
    <row outlineLevel="1" r="24" s="199" spans="1:28">
      <c r="B24" s="222" t="s">
        <v>268</v>
      </c>
      <c r="C24" s="223" t="s">
        <v>269</v>
      </c>
      <c r="D24" s="223" t="s">
        <v>270</v>
      </c>
      <c r="E24" s="223" t="s">
        <v>63</v>
      </c>
      <c r="F24" s="223" t="s">
        <v>80</v>
      </c>
      <c r="G24" s="223" t="s">
        <v>99</v>
      </c>
      <c r="H24" s="223" t="s">
        <v>55</v>
      </c>
      <c r="I24" s="224" t="n">
        <v>56991889995</v>
      </c>
      <c r="J24" s="225" t="s">
        <v>271</v>
      </c>
      <c r="K24" s="225" t="s">
        <v>57</v>
      </c>
      <c r="L24" s="226" t="n"/>
      <c r="M24" s="226" t="n"/>
      <c r="N24" s="223">
        <f>SUMPRODUCT(Tabla5237[[#This Row],[Paltas]:[Empanadas]],O$102:Z$102)</f>
        <v/>
      </c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>
        <f>SUM(Tabla5237[[#This Row],[Paltas]:[Empanadas]])</f>
        <v/>
      </c>
      <c r="AB24" s="227" t="n"/>
    </row>
    <row outlineLevel="1" r="25" s="199" spans="1:28">
      <c r="B25" s="222" t="s">
        <v>116</v>
      </c>
      <c r="C25" s="223" t="s">
        <v>117</v>
      </c>
      <c r="D25" s="223" t="s">
        <v>118</v>
      </c>
      <c r="E25" s="223" t="s">
        <v>52</v>
      </c>
      <c r="F25" s="223" t="s">
        <v>119</v>
      </c>
      <c r="G25" s="223" t="s">
        <v>92</v>
      </c>
      <c r="H25" s="223" t="s">
        <v>55</v>
      </c>
      <c r="I25" s="224" t="n">
        <v>56997267212</v>
      </c>
      <c r="J25" s="225" t="s">
        <v>120</v>
      </c>
      <c r="K25" s="225" t="s">
        <v>115</v>
      </c>
      <c r="L25" s="226" t="n"/>
      <c r="M25" s="226" t="n"/>
      <c r="N25" s="223">
        <f>SUMPRODUCT(Tabla5237[[#This Row],[Paltas]:[Empanadas]],O$102:Z$102)</f>
        <v/>
      </c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>
        <f>SUM(Tabla5237[[#This Row],[Paltas]:[Empanadas]])</f>
        <v/>
      </c>
      <c r="AB25" s="227" t="n"/>
    </row>
    <row outlineLevel="1" r="26" s="199" spans="1:28">
      <c r="B26" s="222" t="s">
        <v>272</v>
      </c>
      <c r="C26" s="223" t="s">
        <v>273</v>
      </c>
      <c r="D26" s="223" t="s">
        <v>274</v>
      </c>
      <c r="E26" s="223" t="s">
        <v>63</v>
      </c>
      <c r="F26" s="223" t="s">
        <v>64</v>
      </c>
      <c r="G26" s="223" t="s">
        <v>70</v>
      </c>
      <c r="H26" s="223" t="s">
        <v>55</v>
      </c>
      <c r="I26" s="224" t="n">
        <v>56983708702</v>
      </c>
      <c r="J26" s="225" t="s">
        <v>275</v>
      </c>
      <c r="K26" s="225" t="s">
        <v>94</v>
      </c>
      <c r="L26" s="226" t="n"/>
      <c r="M26" s="226" t="n"/>
      <c r="N26" s="223">
        <f>SUMPRODUCT(Tabla5237[[#This Row],[Paltas]:[Empanadas]],O$102:Z$102)</f>
        <v/>
      </c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  <c r="AA26" s="226">
        <f>SUM(Tabla5237[[#This Row],[Paltas]:[Empanadas]])</f>
        <v/>
      </c>
      <c r="AB26" s="227" t="n"/>
    </row>
    <row outlineLevel="1" r="27" s="199" spans="1:28">
      <c r="B27" s="222" t="s">
        <v>204</v>
      </c>
      <c r="C27" s="223" t="s">
        <v>276</v>
      </c>
      <c r="D27" s="223" t="s">
        <v>277</v>
      </c>
      <c r="E27" s="223" t="s">
        <v>52</v>
      </c>
      <c r="F27" s="223" t="s">
        <v>278</v>
      </c>
      <c r="G27" s="223" t="s">
        <v>99</v>
      </c>
      <c r="H27" s="223" t="s">
        <v>245</v>
      </c>
      <c r="I27" s="224" t="n">
        <v>56996324787</v>
      </c>
      <c r="J27" s="225" t="s">
        <v>279</v>
      </c>
      <c r="K27" s="225" t="s">
        <v>94</v>
      </c>
      <c r="L27" s="226" t="n"/>
      <c r="M27" s="226" t="n"/>
      <c r="N27" s="223">
        <f>SUMPRODUCT(Tabla5237[[#This Row],[Paltas]:[Empanadas]],O$102:Z$102)</f>
        <v/>
      </c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  <c r="AA27" s="226">
        <f>SUM(Tabla5237[[#This Row],[Paltas]:[Empanadas]])</f>
        <v/>
      </c>
      <c r="AB27" s="227" t="n"/>
    </row>
    <row outlineLevel="1" r="28" s="199" spans="1:28">
      <c r="B28" s="222" t="s">
        <v>280</v>
      </c>
      <c r="C28" s="223" t="s">
        <v>281</v>
      </c>
      <c r="D28" s="223" t="s">
        <v>282</v>
      </c>
      <c r="E28" s="223" t="s">
        <v>52</v>
      </c>
      <c r="F28" s="223" t="s">
        <v>119</v>
      </c>
      <c r="G28" s="223" t="s">
        <v>70</v>
      </c>
      <c r="H28" s="223" t="s">
        <v>55</v>
      </c>
      <c r="I28" s="224" t="n">
        <v>56958589916</v>
      </c>
      <c r="J28" s="225" t="s">
        <v>283</v>
      </c>
      <c r="K28" s="225" t="s">
        <v>115</v>
      </c>
      <c r="L28" s="226" t="n"/>
      <c r="M28" s="226" t="n"/>
      <c r="N28" s="223">
        <f>SUMPRODUCT(Tabla5237[[#This Row],[Paltas]:[Empanadas]],O$102:Z$102)</f>
        <v/>
      </c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>
        <f>SUM(Tabla5237[[#This Row],[Paltas]:[Empanadas]])</f>
        <v/>
      </c>
      <c r="AB28" s="227" t="n"/>
    </row>
    <row outlineLevel="1" r="29" s="199" spans="1:28">
      <c r="B29" s="222" t="s">
        <v>284</v>
      </c>
      <c r="C29" s="223" t="s">
        <v>285</v>
      </c>
      <c r="D29" s="223" t="s">
        <v>286</v>
      </c>
      <c r="E29" s="223" t="s">
        <v>90</v>
      </c>
      <c r="F29" s="223" t="s">
        <v>179</v>
      </c>
      <c r="G29" s="223" t="s">
        <v>70</v>
      </c>
      <c r="H29" s="223" t="s">
        <v>55</v>
      </c>
      <c r="I29" s="224" t="n">
        <v>56995483434</v>
      </c>
      <c r="J29" s="225" t="s">
        <v>287</v>
      </c>
      <c r="K29" s="225" t="s">
        <v>94</v>
      </c>
      <c r="L29" s="226" t="n"/>
      <c r="M29" s="226" t="n"/>
      <c r="N29" s="223">
        <f>SUMPRODUCT(Tabla5237[[#This Row],[Paltas]:[Empanadas]],O$102:Z$102)</f>
        <v/>
      </c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>
        <f>SUM(Tabla5237[[#This Row],[Paltas]:[Empanadas]])</f>
        <v/>
      </c>
      <c r="AB29" s="227" t="n"/>
    </row>
    <row outlineLevel="1" r="30" s="199" spans="1:28">
      <c r="B30" s="222" t="s">
        <v>101</v>
      </c>
      <c r="C30" s="223" t="s">
        <v>122</v>
      </c>
      <c r="D30" s="223" t="s">
        <v>288</v>
      </c>
      <c r="E30" s="223" t="s">
        <v>52</v>
      </c>
      <c r="F30" s="223" t="s">
        <v>98</v>
      </c>
      <c r="G30" s="223" t="s">
        <v>65</v>
      </c>
      <c r="H30" s="223" t="s">
        <v>55</v>
      </c>
      <c r="I30" s="224" t="n">
        <v>56997550244</v>
      </c>
      <c r="J30" s="225" t="s">
        <v>289</v>
      </c>
      <c r="K30" s="225" t="s">
        <v>94</v>
      </c>
      <c r="L30" s="226" t="n"/>
      <c r="M30" s="226" t="n"/>
      <c r="N30" s="223">
        <f>SUMPRODUCT(Tabla5237[[#This Row],[Paltas]:[Empanadas]],O$102:Z$102)</f>
        <v/>
      </c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>
        <f>SUM(Tabla5237[[#This Row],[Paltas]:[Empanadas]])</f>
        <v/>
      </c>
      <c r="AB30" s="227" t="n"/>
    </row>
    <row outlineLevel="1" r="31" s="199" spans="1:28">
      <c r="B31" s="222" t="s">
        <v>185</v>
      </c>
      <c r="C31" s="223" t="s">
        <v>122</v>
      </c>
      <c r="D31" s="223" t="s">
        <v>186</v>
      </c>
      <c r="E31" s="223" t="s">
        <v>90</v>
      </c>
      <c r="F31" s="223" t="s">
        <v>91</v>
      </c>
      <c r="G31" s="223" t="s">
        <v>54</v>
      </c>
      <c r="H31" s="223" t="s">
        <v>55</v>
      </c>
      <c r="I31" s="224" t="n">
        <v>56982978895</v>
      </c>
      <c r="J31" s="225" t="s">
        <v>187</v>
      </c>
      <c r="K31" s="225" t="s">
        <v>115</v>
      </c>
      <c r="L31" s="226" t="n"/>
      <c r="M31" s="226" t="n"/>
      <c r="N31" s="223">
        <f>SUMPRODUCT(Tabla5237[[#This Row],[Paltas]:[Empanadas]],O$102:Z$102)</f>
        <v/>
      </c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>
        <f>SUM(Tabla5237[[#This Row],[Paltas]:[Empanadas]])</f>
        <v/>
      </c>
      <c r="AB31" s="227" t="n"/>
    </row>
    <row outlineLevel="1" r="32" s="199" spans="1:28">
      <c r="B32" s="222" t="s">
        <v>121</v>
      </c>
      <c r="C32" s="223" t="s">
        <v>122</v>
      </c>
      <c r="D32" s="223" t="s">
        <v>123</v>
      </c>
      <c r="E32" s="223" t="s">
        <v>63</v>
      </c>
      <c r="F32" s="223" t="s">
        <v>64</v>
      </c>
      <c r="G32" s="223" t="s">
        <v>99</v>
      </c>
      <c r="H32" s="223" t="s">
        <v>55</v>
      </c>
      <c r="I32" s="224" t="n">
        <v>56986194003</v>
      </c>
      <c r="J32" s="225" t="s">
        <v>124</v>
      </c>
      <c r="K32" s="225" t="s">
        <v>115</v>
      </c>
      <c r="L32" s="226" t="n"/>
      <c r="M32" s="226" t="n"/>
      <c r="N32" s="223">
        <f>SUMPRODUCT(Tabla5237[[#This Row],[Paltas]:[Empanadas]],O$102:Z$102)</f>
        <v/>
      </c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>
        <f>SUM(Tabla5237[[#This Row],[Paltas]:[Empanadas]])</f>
        <v/>
      </c>
      <c r="AB32" s="227" t="n"/>
    </row>
    <row outlineLevel="1" r="33" s="199" spans="1:28">
      <c r="B33" s="222" t="s">
        <v>290</v>
      </c>
      <c r="C33" s="223" t="s">
        <v>122</v>
      </c>
      <c r="D33" s="223" t="s">
        <v>291</v>
      </c>
      <c r="E33" s="223" t="s">
        <v>154</v>
      </c>
      <c r="F33" s="223" t="s">
        <v>155</v>
      </c>
      <c r="G33" s="223" t="s">
        <v>263</v>
      </c>
      <c r="H33" s="223" t="s">
        <v>55</v>
      </c>
      <c r="I33" s="224" t="n">
        <v>56965542496</v>
      </c>
      <c r="J33" s="225" t="s">
        <v>292</v>
      </c>
      <c r="K33" s="225" t="s">
        <v>115</v>
      </c>
      <c r="L33" s="226" t="n"/>
      <c r="M33" s="226" t="n"/>
      <c r="N33" s="223">
        <f>SUMPRODUCT(Tabla5237[[#This Row],[Paltas]:[Empanadas]],O$102:Z$102)</f>
        <v/>
      </c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>
        <f>SUM(Tabla5237[[#This Row],[Paltas]:[Empanadas]])</f>
        <v/>
      </c>
      <c r="AB33" s="227" t="n"/>
    </row>
    <row outlineLevel="1" r="34" s="199" spans="1:28">
      <c r="B34" s="222" t="s">
        <v>293</v>
      </c>
      <c r="C34" s="223" t="s">
        <v>294</v>
      </c>
      <c r="D34" s="223" t="s">
        <v>295</v>
      </c>
      <c r="E34" s="223" t="s">
        <v>52</v>
      </c>
      <c r="F34" s="223" t="s">
        <v>98</v>
      </c>
      <c r="G34" s="223" t="n">
        <v>0</v>
      </c>
      <c r="H34" s="223" t="s">
        <v>55</v>
      </c>
      <c r="I34" s="224" t="n">
        <v>56979579233</v>
      </c>
      <c r="J34" s="225" t="s">
        <v>296</v>
      </c>
      <c r="K34" s="225" t="s">
        <v>94</v>
      </c>
      <c r="L34" s="226" t="n"/>
      <c r="M34" s="226" t="n"/>
      <c r="N34" s="223">
        <f>SUMPRODUCT(Tabla5237[[#This Row],[Paltas]:[Empanadas]],O$102:Z$102)</f>
        <v/>
      </c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>
        <f>SUM(Tabla5237[[#This Row],[Paltas]:[Empanadas]])</f>
        <v/>
      </c>
      <c r="AB34" s="227" t="n"/>
    </row>
    <row outlineLevel="1" r="35" s="199" spans="1:28">
      <c r="B35" s="222" t="s">
        <v>129</v>
      </c>
      <c r="C35" s="223" t="s">
        <v>297</v>
      </c>
      <c r="D35" s="223" t="s">
        <v>298</v>
      </c>
      <c r="E35" s="223" t="s">
        <v>154</v>
      </c>
      <c r="F35" s="223" t="s">
        <v>299</v>
      </c>
      <c r="G35" s="223" t="s">
        <v>70</v>
      </c>
      <c r="H35" s="223" t="s">
        <v>55</v>
      </c>
      <c r="I35" s="224" t="n">
        <v>56986351953</v>
      </c>
      <c r="J35" s="225" t="s">
        <v>300</v>
      </c>
      <c r="K35" s="225" t="s">
        <v>57</v>
      </c>
      <c r="L35" s="226" t="n"/>
      <c r="M35" s="226" t="n"/>
      <c r="N35" s="223">
        <f>SUMPRODUCT(Tabla5237[[#This Row],[Paltas]:[Empanadas]],O$102:Z$102)</f>
        <v/>
      </c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>
        <f>SUM(Tabla5237[[#This Row],[Paltas]:[Empanadas]])</f>
        <v/>
      </c>
      <c r="AB35" s="227" t="n"/>
    </row>
    <row outlineLevel="1" r="36" s="199" spans="1:28">
      <c r="B36" s="222" t="s">
        <v>301</v>
      </c>
      <c r="C36" s="223" t="s">
        <v>302</v>
      </c>
      <c r="D36" s="223" t="s">
        <v>303</v>
      </c>
      <c r="E36" s="223" t="s">
        <v>52</v>
      </c>
      <c r="F36" s="223" t="s">
        <v>98</v>
      </c>
      <c r="G36" s="223" t="s">
        <v>99</v>
      </c>
      <c r="H36" s="223" t="s">
        <v>55</v>
      </c>
      <c r="I36" s="224" t="n">
        <v>56982958975</v>
      </c>
      <c r="J36" s="225" t="s">
        <v>304</v>
      </c>
      <c r="K36" s="225" t="s">
        <v>57</v>
      </c>
      <c r="L36" s="226" t="n"/>
      <c r="M36" s="226" t="n"/>
      <c r="N36" s="223">
        <f>SUMPRODUCT(Tabla5237[[#This Row],[Paltas]:[Empanadas]],O$102:Z$102)</f>
        <v/>
      </c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>
        <f>SUM(Tabla5237[[#This Row],[Paltas]:[Empanadas]])</f>
        <v/>
      </c>
      <c r="AB36" s="227" t="n"/>
    </row>
    <row outlineLevel="1" r="37" s="199" spans="1:28">
      <c r="B37" s="222" t="s">
        <v>305</v>
      </c>
      <c r="C37" s="223" t="s">
        <v>306</v>
      </c>
      <c r="D37" s="223" t="s">
        <v>307</v>
      </c>
      <c r="E37" s="223" t="s">
        <v>308</v>
      </c>
      <c r="F37" s="223" t="s">
        <v>308</v>
      </c>
      <c r="G37" s="223" t="s">
        <v>54</v>
      </c>
      <c r="H37" s="223" t="s">
        <v>55</v>
      </c>
      <c r="I37" s="224" t="n">
        <v>56965951459</v>
      </c>
      <c r="J37" s="225" t="s">
        <v>309</v>
      </c>
      <c r="K37" s="225" t="s">
        <v>115</v>
      </c>
      <c r="L37" s="226" t="n"/>
      <c r="M37" s="226" t="n"/>
      <c r="N37" s="223">
        <f>SUMPRODUCT(Tabla5237[[#This Row],[Paltas]:[Empanadas]],O$102:Z$102)</f>
        <v/>
      </c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>
        <f>SUM(Tabla5237[[#This Row],[Paltas]:[Empanadas]])</f>
        <v/>
      </c>
      <c r="AB37" s="227" t="n"/>
    </row>
    <row outlineLevel="1" r="38" s="199" spans="1:28">
      <c r="B38" s="222" t="s">
        <v>125</v>
      </c>
      <c r="C38" s="223" t="s">
        <v>126</v>
      </c>
      <c r="D38" s="223" t="s">
        <v>127</v>
      </c>
      <c r="E38" s="223" t="s">
        <v>63</v>
      </c>
      <c r="F38" s="223" t="s">
        <v>64</v>
      </c>
      <c r="G38" s="223" t="s">
        <v>81</v>
      </c>
      <c r="H38" s="223" t="s">
        <v>55</v>
      </c>
      <c r="I38" s="224" t="n">
        <v>56979891544</v>
      </c>
      <c r="J38" s="225" t="s">
        <v>128</v>
      </c>
      <c r="K38" s="225" t="s">
        <v>115</v>
      </c>
      <c r="L38" s="226" t="n"/>
      <c r="M38" s="226" t="n"/>
      <c r="N38" s="223">
        <f>SUMPRODUCT(Tabla5237[[#This Row],[Paltas]:[Empanadas]],O$102:Z$102)</f>
        <v/>
      </c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>
        <f>SUM(Tabla5237[[#This Row],[Paltas]:[Empanadas]])</f>
        <v/>
      </c>
      <c r="AB38" s="227" t="n"/>
    </row>
    <row outlineLevel="1" r="39" s="199" spans="1:28">
      <c r="B39" s="222" t="s">
        <v>310</v>
      </c>
      <c r="C39" s="223" t="s">
        <v>311</v>
      </c>
      <c r="D39" s="223" t="s">
        <v>312</v>
      </c>
      <c r="E39" s="223" t="s">
        <v>52</v>
      </c>
      <c r="F39" s="223" t="s">
        <v>98</v>
      </c>
      <c r="G39" s="223" t="s">
        <v>313</v>
      </c>
      <c r="H39" s="223" t="s">
        <v>55</v>
      </c>
      <c r="I39" s="224" t="n">
        <v>56995952212</v>
      </c>
      <c r="J39" s="225" t="s">
        <v>314</v>
      </c>
      <c r="K39" s="225" t="s">
        <v>115</v>
      </c>
      <c r="L39" s="226" t="n"/>
      <c r="M39" s="226" t="n"/>
      <c r="N39" s="223">
        <f>SUMPRODUCT(Tabla5237[[#This Row],[Paltas]:[Empanadas]],O$102:Z$102)</f>
        <v/>
      </c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>
        <f>SUM(Tabla5237[[#This Row],[Paltas]:[Empanadas]])</f>
        <v/>
      </c>
      <c r="AB39" s="227" t="n"/>
    </row>
    <row outlineLevel="1" r="40" s="199" spans="1:28">
      <c r="B40" s="222" t="s">
        <v>315</v>
      </c>
      <c r="C40" s="223" t="s">
        <v>316</v>
      </c>
      <c r="D40" s="223" t="s">
        <v>317</v>
      </c>
      <c r="E40" s="223" t="s">
        <v>63</v>
      </c>
      <c r="F40" s="223" t="s">
        <v>64</v>
      </c>
      <c r="G40" s="223" t="n">
        <v>0</v>
      </c>
      <c r="H40" s="223" t="s">
        <v>55</v>
      </c>
      <c r="I40" s="224" t="n">
        <v>56963124612</v>
      </c>
      <c r="J40" s="225" t="s">
        <v>318</v>
      </c>
      <c r="K40" s="225" t="s">
        <v>115</v>
      </c>
      <c r="L40" s="226" t="n"/>
      <c r="M40" s="226" t="n"/>
      <c r="N40" s="223">
        <f>SUMPRODUCT(Tabla5237[[#This Row],[Paltas]:[Empanadas]],O$102:Z$102)</f>
        <v/>
      </c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>
        <f>SUM(Tabla5237[[#This Row],[Paltas]:[Empanadas]])</f>
        <v/>
      </c>
      <c r="AB40" s="227" t="n"/>
    </row>
    <row outlineLevel="1" r="41" s="199" spans="1:28">
      <c r="B41" s="222" t="s">
        <v>211</v>
      </c>
      <c r="C41" s="223" t="s">
        <v>212</v>
      </c>
      <c r="D41" s="223" t="s">
        <v>213</v>
      </c>
      <c r="E41" s="223" t="s">
        <v>63</v>
      </c>
      <c r="F41" s="223" t="s">
        <v>80</v>
      </c>
      <c r="G41" s="223" t="s">
        <v>65</v>
      </c>
      <c r="H41" s="223" t="s">
        <v>55</v>
      </c>
      <c r="I41" s="224" t="n">
        <v>56966477967</v>
      </c>
      <c r="J41" s="225" t="s">
        <v>214</v>
      </c>
      <c r="K41" s="225" t="s">
        <v>57</v>
      </c>
      <c r="L41" s="226" t="n"/>
      <c r="M41" s="226" t="n"/>
      <c r="N41" s="223">
        <f>SUMPRODUCT(Tabla5237[[#This Row],[Paltas]:[Empanadas]],O$102:Z$102)</f>
        <v/>
      </c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>
        <f>SUM(Tabla5237[[#This Row],[Paltas]:[Empanadas]])</f>
        <v/>
      </c>
      <c r="AB41" s="227" t="n"/>
    </row>
    <row outlineLevel="1" r="42" s="199" spans="1:28">
      <c r="B42" s="222" t="s">
        <v>129</v>
      </c>
      <c r="C42" s="223" t="s">
        <v>130</v>
      </c>
      <c r="D42" s="223" t="s">
        <v>131</v>
      </c>
      <c r="E42" s="223" t="s">
        <v>63</v>
      </c>
      <c r="F42" s="223" t="s">
        <v>80</v>
      </c>
      <c r="G42" s="223" t="s">
        <v>81</v>
      </c>
      <c r="H42" s="223" t="s">
        <v>55</v>
      </c>
      <c r="I42" s="224" t="n">
        <v>56988587944</v>
      </c>
      <c r="J42" s="225" t="s">
        <v>132</v>
      </c>
      <c r="K42" s="225" t="s">
        <v>115</v>
      </c>
      <c r="L42" s="226" t="n"/>
      <c r="M42" s="226" t="n"/>
      <c r="N42" s="223">
        <f>SUMPRODUCT(Tabla5237[[#This Row],[Paltas]:[Empanadas]],O$102:Z$102)</f>
        <v/>
      </c>
      <c r="O42" s="226" t="n">
        <v>0</v>
      </c>
      <c r="P42" s="226" t="n">
        <v>0</v>
      </c>
      <c r="Q42" s="226" t="n">
        <v>0</v>
      </c>
      <c r="R42" s="226" t="n">
        <v>0</v>
      </c>
      <c r="S42" s="226" t="n">
        <v>0</v>
      </c>
      <c r="T42" s="226" t="n">
        <v>0</v>
      </c>
      <c r="U42" s="226" t="n">
        <v>0</v>
      </c>
      <c r="V42" s="226" t="n">
        <v>0</v>
      </c>
      <c r="W42" s="226" t="n">
        <v>0</v>
      </c>
      <c r="X42" s="226" t="n">
        <v>10</v>
      </c>
      <c r="Y42" s="226" t="n">
        <v>0</v>
      </c>
      <c r="Z42" s="226" t="n">
        <v>0</v>
      </c>
      <c r="AA42" s="226">
        <f>SUM(Tabla5237[[#This Row],[Paltas]:[Empanadas]])</f>
        <v/>
      </c>
      <c r="AB42" s="227" t="n"/>
    </row>
    <row outlineLevel="1" r="43" s="199" spans="1:28">
      <c r="B43" s="222" t="s">
        <v>319</v>
      </c>
      <c r="C43" s="223" t="s">
        <v>320</v>
      </c>
      <c r="D43" s="223" t="s">
        <v>321</v>
      </c>
      <c r="E43" s="223" t="s">
        <v>90</v>
      </c>
      <c r="F43" s="223" t="s">
        <v>179</v>
      </c>
      <c r="G43" s="223" t="s">
        <v>65</v>
      </c>
      <c r="H43" s="223" t="s">
        <v>55</v>
      </c>
      <c r="I43" s="224" t="n">
        <v>56977684576</v>
      </c>
      <c r="J43" s="225" t="s">
        <v>322</v>
      </c>
      <c r="K43" s="225" t="s">
        <v>94</v>
      </c>
      <c r="L43" s="226" t="n"/>
      <c r="M43" s="226" t="n"/>
      <c r="N43" s="223">
        <f>SUMPRODUCT(Tabla5237[[#This Row],[Paltas]:[Empanadas]],O$102:Z$102)</f>
        <v/>
      </c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>
        <f>SUM(Tabla5237[[#This Row],[Paltas]:[Empanadas]])</f>
        <v/>
      </c>
      <c r="AB43" s="227" t="n"/>
    </row>
    <row outlineLevel="1" r="44" s="199" spans="1:28">
      <c r="B44" s="222" t="s">
        <v>323</v>
      </c>
      <c r="C44" s="223" t="s">
        <v>324</v>
      </c>
      <c r="D44" s="223" t="s">
        <v>325</v>
      </c>
      <c r="E44" s="223" t="s">
        <v>52</v>
      </c>
      <c r="F44" s="223" t="s">
        <v>98</v>
      </c>
      <c r="G44" s="223" t="s">
        <v>99</v>
      </c>
      <c r="H44" s="223" t="s">
        <v>55</v>
      </c>
      <c r="I44" s="224" t="n">
        <v>56978785698</v>
      </c>
      <c r="J44" s="225" t="s">
        <v>326</v>
      </c>
      <c r="K44" s="225" t="s">
        <v>94</v>
      </c>
      <c r="L44" s="226" t="n"/>
      <c r="M44" s="226" t="n"/>
      <c r="N44" s="223">
        <f>SUMPRODUCT(Tabla5237[[#This Row],[Paltas]:[Empanadas]],O$102:Z$102)</f>
        <v/>
      </c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>
        <f>SUM(Tabla5237[[#This Row],[Paltas]:[Empanadas]])</f>
        <v/>
      </c>
      <c r="AB44" s="227" t="n"/>
    </row>
    <row outlineLevel="1" r="45" s="199" spans="1:28">
      <c r="B45" s="222" t="s">
        <v>327</v>
      </c>
      <c r="C45" s="223" t="s">
        <v>328</v>
      </c>
      <c r="D45" s="223" t="s">
        <v>329</v>
      </c>
      <c r="E45" s="223" t="s">
        <v>52</v>
      </c>
      <c r="F45" s="223" t="s">
        <v>198</v>
      </c>
      <c r="G45" s="223" t="s">
        <v>99</v>
      </c>
      <c r="H45" s="223" t="s">
        <v>55</v>
      </c>
      <c r="I45" s="224" t="n">
        <v>56979878976</v>
      </c>
      <c r="J45" s="225" t="s">
        <v>330</v>
      </c>
      <c r="K45" s="225" t="s">
        <v>94</v>
      </c>
      <c r="L45" s="226" t="n"/>
      <c r="M45" s="226" t="n"/>
      <c r="N45" s="223">
        <f>SUMPRODUCT(Tabla5237[[#This Row],[Paltas]:[Empanadas]],O$102:Z$102)</f>
        <v/>
      </c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>
        <f>SUM(Tabla5237[[#This Row],[Paltas]:[Empanadas]])</f>
        <v/>
      </c>
      <c r="AB45" s="227" t="n"/>
    </row>
    <row outlineLevel="1" r="46" s="199" spans="1:28">
      <c r="B46" s="222" t="s">
        <v>331</v>
      </c>
      <c r="C46" s="223" t="s">
        <v>332</v>
      </c>
      <c r="D46" s="223" t="s">
        <v>333</v>
      </c>
      <c r="E46" s="223" t="s">
        <v>63</v>
      </c>
      <c r="F46" s="223" t="s">
        <v>64</v>
      </c>
      <c r="G46" s="223" t="s">
        <v>141</v>
      </c>
      <c r="H46" s="223" t="s">
        <v>55</v>
      </c>
      <c r="I46" s="224" t="n">
        <v>56978189115</v>
      </c>
      <c r="J46" s="225" t="s">
        <v>334</v>
      </c>
      <c r="K46" s="225" t="s">
        <v>115</v>
      </c>
      <c r="L46" s="226" t="n"/>
      <c r="M46" s="226" t="n"/>
      <c r="N46" s="223">
        <f>SUMPRODUCT(Tabla5237[[#This Row],[Paltas]:[Empanadas]],O$102:Z$102)</f>
        <v/>
      </c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>
        <f>SUM(Tabla5237[[#This Row],[Paltas]:[Empanadas]])</f>
        <v/>
      </c>
      <c r="AB46" s="227" t="n"/>
    </row>
    <row outlineLevel="1" r="47" s="199" spans="1:28">
      <c r="B47" s="222" t="s">
        <v>335</v>
      </c>
      <c r="C47" s="223" t="s">
        <v>336</v>
      </c>
      <c r="D47" s="223" t="s">
        <v>337</v>
      </c>
      <c r="E47" s="223" t="s">
        <v>63</v>
      </c>
      <c r="F47" s="223" t="s">
        <v>64</v>
      </c>
      <c r="G47" s="223" t="s">
        <v>338</v>
      </c>
      <c r="H47" s="223" t="s">
        <v>55</v>
      </c>
      <c r="I47" s="224" t="n">
        <v>56971837517</v>
      </c>
      <c r="J47" s="225" t="s">
        <v>339</v>
      </c>
      <c r="K47" s="225" t="s">
        <v>94</v>
      </c>
      <c r="L47" s="226" t="n"/>
      <c r="M47" s="226" t="n"/>
      <c r="N47" s="223">
        <f>SUMPRODUCT(Tabla5237[[#This Row],[Paltas]:[Empanadas]],O$102:Z$102)</f>
        <v/>
      </c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  <c r="AA47" s="226">
        <f>SUM(Tabla5237[[#This Row],[Paltas]:[Empanadas]])</f>
        <v/>
      </c>
      <c r="AB47" s="227" t="n"/>
    </row>
    <row outlineLevel="1" r="48" s="199" spans="1:28">
      <c r="B48" s="222" t="s">
        <v>176</v>
      </c>
      <c r="C48" s="223" t="s">
        <v>177</v>
      </c>
      <c r="D48" s="223" t="s">
        <v>178</v>
      </c>
      <c r="E48" s="223" t="s">
        <v>52</v>
      </c>
      <c r="F48" s="223" t="s">
        <v>179</v>
      </c>
      <c r="G48" s="223" t="n">
        <v>0</v>
      </c>
      <c r="H48" s="223" t="s">
        <v>55</v>
      </c>
      <c r="I48" s="224" t="n">
        <v>56954243532</v>
      </c>
      <c r="J48" s="225" t="s">
        <v>180</v>
      </c>
      <c r="K48" s="225" t="s">
        <v>94</v>
      </c>
      <c r="L48" s="226" t="n"/>
      <c r="M48" s="226" t="n"/>
      <c r="N48" s="223">
        <f>SUMPRODUCT(Tabla5237[[#This Row],[Paltas]:[Empanadas]],O$102:Z$102)</f>
        <v/>
      </c>
      <c r="O48" s="226" t="n">
        <v>1</v>
      </c>
      <c r="P48" s="226" t="n">
        <v>0</v>
      </c>
      <c r="Q48" s="226" t="n">
        <v>1</v>
      </c>
      <c r="R48" s="226" t="n">
        <v>0</v>
      </c>
      <c r="S48" s="226" t="n">
        <v>0</v>
      </c>
      <c r="T48" s="226" t="n">
        <v>0</v>
      </c>
      <c r="U48" s="226" t="n">
        <v>0</v>
      </c>
      <c r="V48" s="226" t="n">
        <v>0</v>
      </c>
      <c r="W48" s="226" t="n">
        <v>0</v>
      </c>
      <c r="X48" s="226" t="n">
        <v>0</v>
      </c>
      <c r="Y48" s="226" t="n">
        <v>0</v>
      </c>
      <c r="Z48" s="226" t="n">
        <v>1</v>
      </c>
      <c r="AA48" s="226">
        <f>SUM(Tabla5237[[#This Row],[Paltas]:[Empanadas]])</f>
        <v/>
      </c>
      <c r="AB48" s="227" t="n"/>
    </row>
    <row outlineLevel="1" r="49" s="199" spans="1:28">
      <c r="B49" s="222" t="s">
        <v>176</v>
      </c>
      <c r="C49" s="223" t="s">
        <v>133</v>
      </c>
      <c r="D49" s="223" t="s">
        <v>340</v>
      </c>
      <c r="E49" s="223" t="s">
        <v>52</v>
      </c>
      <c r="F49" s="223" t="s">
        <v>341</v>
      </c>
      <c r="G49" s="223" t="s">
        <v>99</v>
      </c>
      <c r="H49" s="223" t="s">
        <v>55</v>
      </c>
      <c r="I49" s="224" t="n">
        <v>56993024442</v>
      </c>
      <c r="J49" s="225" t="s">
        <v>342</v>
      </c>
      <c r="K49" s="225" t="s">
        <v>115</v>
      </c>
      <c r="L49" s="226" t="n"/>
      <c r="M49" s="226" t="n"/>
      <c r="N49" s="223">
        <f>SUMPRODUCT(Tabla5237[[#This Row],[Paltas]:[Empanadas]],O$102:Z$102)</f>
        <v/>
      </c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  <c r="AA49" s="226">
        <f>SUM(Tabla5237[[#This Row],[Paltas]:[Empanadas]])</f>
        <v/>
      </c>
      <c r="AB49" s="227" t="n"/>
    </row>
    <row outlineLevel="1" r="50" s="199" spans="1:28">
      <c r="B50" s="222" t="s">
        <v>121</v>
      </c>
      <c r="C50" s="223" t="s">
        <v>133</v>
      </c>
      <c r="D50" s="223" t="s">
        <v>134</v>
      </c>
      <c r="E50" s="223" t="s">
        <v>63</v>
      </c>
      <c r="F50" s="223" t="s">
        <v>64</v>
      </c>
      <c r="G50" s="223" t="s">
        <v>70</v>
      </c>
      <c r="H50" s="223" t="s">
        <v>55</v>
      </c>
      <c r="I50" s="224" t="n">
        <v>56975684552</v>
      </c>
      <c r="J50" s="225" t="s">
        <v>135</v>
      </c>
      <c r="K50" s="225" t="s">
        <v>115</v>
      </c>
      <c r="L50" s="226" t="n"/>
      <c r="M50" s="226" t="n"/>
      <c r="N50" s="223">
        <f>SUMPRODUCT(Tabla5237[[#This Row],[Paltas]:[Empanadas]],O$102:Z$102)</f>
        <v/>
      </c>
      <c r="O50" s="226" t="n"/>
      <c r="P50" s="226" t="n"/>
      <c r="Q50" s="226" t="n"/>
      <c r="R50" s="226" t="n"/>
      <c r="S50" s="226" t="n"/>
      <c r="T50" s="226" t="n"/>
      <c r="U50" s="226" t="n"/>
      <c r="V50" s="226" t="n"/>
      <c r="W50" s="226" t="n"/>
      <c r="X50" s="226" t="n"/>
      <c r="Y50" s="226" t="n"/>
      <c r="Z50" s="226" t="n"/>
      <c r="AA50" s="226">
        <f>SUM(Tabla5237[[#This Row],[Paltas]:[Empanadas]])</f>
        <v/>
      </c>
      <c r="AB50" s="227" t="n"/>
    </row>
    <row outlineLevel="1" r="51" s="199" spans="1:28">
      <c r="B51" s="222" t="s">
        <v>343</v>
      </c>
      <c r="C51" s="223" t="s">
        <v>344</v>
      </c>
      <c r="D51" s="223" t="s">
        <v>345</v>
      </c>
      <c r="E51" s="223" t="s">
        <v>63</v>
      </c>
      <c r="F51" s="223" t="s">
        <v>80</v>
      </c>
      <c r="G51" s="223" t="s">
        <v>109</v>
      </c>
      <c r="H51" s="223" t="s">
        <v>55</v>
      </c>
      <c r="I51" s="224" t="n">
        <v>56998246537</v>
      </c>
      <c r="J51" s="225" t="s">
        <v>346</v>
      </c>
      <c r="K51" s="225" t="s">
        <v>115</v>
      </c>
      <c r="L51" s="226" t="n"/>
      <c r="M51" s="226" t="n"/>
      <c r="N51" s="223">
        <f>SUMPRODUCT(Tabla5237[[#This Row],[Paltas]:[Empanadas]],O$102:Z$102)</f>
        <v/>
      </c>
      <c r="O51" s="226" t="n"/>
      <c r="P51" s="226" t="n"/>
      <c r="Q51" s="226" t="n"/>
      <c r="R51" s="226" t="n"/>
      <c r="S51" s="226" t="n"/>
      <c r="T51" s="226" t="n"/>
      <c r="U51" s="226" t="n"/>
      <c r="V51" s="226" t="n"/>
      <c r="W51" s="226" t="n"/>
      <c r="X51" s="226" t="n"/>
      <c r="Y51" s="226" t="n"/>
      <c r="Z51" s="226" t="n"/>
      <c r="AA51" s="226">
        <f>SUM(Tabla5237[[#This Row],[Paltas]:[Empanadas]])</f>
        <v/>
      </c>
      <c r="AB51" s="227" t="n"/>
    </row>
    <row outlineLevel="1" r="52" s="199" spans="1:28">
      <c r="B52" s="222" t="s">
        <v>138</v>
      </c>
      <c r="C52" s="223" t="s">
        <v>139</v>
      </c>
      <c r="D52" s="223" t="s">
        <v>140</v>
      </c>
      <c r="E52" s="223" t="s">
        <v>63</v>
      </c>
      <c r="F52" s="223" t="s">
        <v>64</v>
      </c>
      <c r="G52" s="223" t="s">
        <v>141</v>
      </c>
      <c r="H52" s="223" t="s">
        <v>55</v>
      </c>
      <c r="I52" s="224" t="n">
        <v>56952304675</v>
      </c>
      <c r="J52" s="225" t="s">
        <v>142</v>
      </c>
      <c r="K52" s="225" t="s">
        <v>115</v>
      </c>
      <c r="L52" s="226" t="n"/>
      <c r="M52" s="226" t="n"/>
      <c r="N52" s="223">
        <f>SUMPRODUCT(Tabla5237[[#This Row],[Paltas]:[Empanadas]],O$102:Z$102)</f>
        <v/>
      </c>
      <c r="O52" s="226" t="n"/>
      <c r="P52" s="226" t="n"/>
      <c r="Q52" s="226" t="n"/>
      <c r="R52" s="226" t="n"/>
      <c r="S52" s="226" t="n"/>
      <c r="T52" s="226" t="n"/>
      <c r="U52" s="226" t="n"/>
      <c r="V52" s="226" t="n"/>
      <c r="W52" s="226" t="n"/>
      <c r="X52" s="226" t="n"/>
      <c r="Y52" s="226" t="n"/>
      <c r="Z52" s="226" t="n"/>
      <c r="AA52" s="226">
        <f>SUM(Tabla5237[[#This Row],[Paltas]:[Empanadas]])</f>
        <v/>
      </c>
      <c r="AB52" s="227" t="n"/>
    </row>
    <row outlineLevel="1" r="53" s="199" spans="1:28">
      <c r="B53" s="222" t="s">
        <v>331</v>
      </c>
      <c r="C53" s="223" t="s">
        <v>139</v>
      </c>
      <c r="D53" s="223" t="s">
        <v>140</v>
      </c>
      <c r="E53" s="223" t="s">
        <v>63</v>
      </c>
      <c r="F53" s="223" t="s">
        <v>64</v>
      </c>
      <c r="G53" s="223" t="s">
        <v>141</v>
      </c>
      <c r="H53" s="223" t="s">
        <v>55</v>
      </c>
      <c r="I53" s="224" t="n">
        <v>56994178481</v>
      </c>
      <c r="J53" s="225" t="s">
        <v>347</v>
      </c>
      <c r="K53" s="225" t="s">
        <v>115</v>
      </c>
      <c r="L53" s="226" t="n"/>
      <c r="M53" s="226" t="n"/>
      <c r="N53" s="223">
        <f>SUMPRODUCT(Tabla5237[[#This Row],[Paltas]:[Empanadas]],O$102:Z$102)</f>
        <v/>
      </c>
      <c r="O53" s="226" t="n"/>
      <c r="P53" s="226" t="n"/>
      <c r="Q53" s="226" t="n"/>
      <c r="R53" s="226" t="n"/>
      <c r="S53" s="226" t="n"/>
      <c r="T53" s="226" t="n"/>
      <c r="U53" s="226" t="n"/>
      <c r="V53" s="226" t="n"/>
      <c r="W53" s="226" t="n"/>
      <c r="X53" s="226" t="n"/>
      <c r="Y53" s="226" t="n"/>
      <c r="Z53" s="226" t="n"/>
      <c r="AA53" s="226">
        <f>SUM(Tabla5237[[#This Row],[Paltas]:[Empanadas]])</f>
        <v/>
      </c>
      <c r="AB53" s="227" t="n"/>
    </row>
    <row outlineLevel="1" r="54" s="199" spans="1:28">
      <c r="B54" s="222" t="s">
        <v>72</v>
      </c>
      <c r="C54" s="223" t="s">
        <v>348</v>
      </c>
      <c r="D54" s="223" t="s">
        <v>349</v>
      </c>
      <c r="E54" s="223" t="s">
        <v>90</v>
      </c>
      <c r="F54" s="223" t="s">
        <v>53</v>
      </c>
      <c r="G54" s="223" t="n">
        <v>0</v>
      </c>
      <c r="H54" s="223" t="s">
        <v>55</v>
      </c>
      <c r="I54" s="224" t="n">
        <v>56978647106</v>
      </c>
      <c r="J54" s="225" t="s">
        <v>350</v>
      </c>
      <c r="K54" s="225" t="s">
        <v>57</v>
      </c>
      <c r="L54" s="226" t="n"/>
      <c r="M54" s="226" t="n"/>
      <c r="N54" s="223">
        <f>SUMPRODUCT(Tabla5237[[#This Row],[Paltas]:[Empanadas]],O$102:Z$102)</f>
        <v/>
      </c>
      <c r="O54" s="226" t="n"/>
      <c r="P54" s="226" t="n"/>
      <c r="Q54" s="226" t="n"/>
      <c r="R54" s="226" t="n"/>
      <c r="S54" s="226" t="n"/>
      <c r="T54" s="226" t="n"/>
      <c r="U54" s="226" t="n"/>
      <c r="V54" s="226" t="n"/>
      <c r="W54" s="226" t="n"/>
      <c r="X54" s="226" t="n"/>
      <c r="Y54" s="226" t="n"/>
      <c r="Z54" s="226" t="n"/>
      <c r="AA54" s="226">
        <f>SUM(Tabla5237[[#This Row],[Paltas]:[Empanadas]])</f>
        <v/>
      </c>
      <c r="AB54" s="227" t="n"/>
    </row>
    <row outlineLevel="1" r="55" s="199" spans="1:28">
      <c r="B55" s="222" t="s">
        <v>143</v>
      </c>
      <c r="C55" s="223" t="s">
        <v>144</v>
      </c>
      <c r="D55" s="223" t="s">
        <v>145</v>
      </c>
      <c r="E55" s="223" t="s">
        <v>63</v>
      </c>
      <c r="F55" s="223" t="s">
        <v>64</v>
      </c>
      <c r="G55" s="223" t="s">
        <v>70</v>
      </c>
      <c r="H55" s="223" t="s">
        <v>55</v>
      </c>
      <c r="I55" s="224" t="n">
        <v>56987143347</v>
      </c>
      <c r="J55" s="225" t="s">
        <v>146</v>
      </c>
      <c r="K55" s="225" t="s">
        <v>115</v>
      </c>
      <c r="L55" s="226" t="n"/>
      <c r="M55" s="226" t="n"/>
      <c r="N55" s="223">
        <f>SUMPRODUCT(Tabla5237[[#This Row],[Paltas]:[Empanadas]],O$102:Z$102)</f>
        <v/>
      </c>
      <c r="O55" s="226" t="n"/>
      <c r="P55" s="226" t="n"/>
      <c r="Q55" s="226" t="n"/>
      <c r="R55" s="226" t="n"/>
      <c r="S55" s="226" t="n"/>
      <c r="T55" s="226" t="n"/>
      <c r="U55" s="226" t="n"/>
      <c r="V55" s="226" t="n"/>
      <c r="W55" s="226" t="n"/>
      <c r="X55" s="226" t="n"/>
      <c r="Y55" s="226" t="n"/>
      <c r="Z55" s="226" t="n"/>
      <c r="AA55" s="226">
        <f>SUM(Tabla5237[[#This Row],[Paltas]:[Empanadas]])</f>
        <v/>
      </c>
      <c r="AB55" s="227" t="n"/>
    </row>
    <row outlineLevel="1" r="56" s="199" spans="1:28">
      <c r="B56" s="222" t="s">
        <v>351</v>
      </c>
      <c r="C56" s="223" t="s">
        <v>352</v>
      </c>
      <c r="D56" s="223" t="s">
        <v>353</v>
      </c>
      <c r="E56" s="223" t="s">
        <v>154</v>
      </c>
      <c r="F56" s="223" t="s">
        <v>207</v>
      </c>
      <c r="G56" s="223" t="s">
        <v>70</v>
      </c>
      <c r="H56" s="223" t="s">
        <v>55</v>
      </c>
      <c r="I56" s="224" t="n">
        <v>56984695829</v>
      </c>
      <c r="J56" s="225" t="s">
        <v>354</v>
      </c>
      <c r="K56" s="225" t="s">
        <v>115</v>
      </c>
      <c r="L56" s="226" t="n"/>
      <c r="M56" s="226" t="n"/>
      <c r="N56" s="223">
        <f>SUMPRODUCT(Tabla5237[[#This Row],[Paltas]:[Empanadas]],O$102:Z$102)</f>
        <v/>
      </c>
      <c r="O56" s="226" t="n"/>
      <c r="P56" s="226" t="n"/>
      <c r="Q56" s="226" t="n"/>
      <c r="R56" s="226" t="n"/>
      <c r="S56" s="226" t="n"/>
      <c r="T56" s="226" t="n"/>
      <c r="U56" s="226" t="n"/>
      <c r="V56" s="226" t="n"/>
      <c r="W56" s="226" t="n"/>
      <c r="X56" s="226" t="n"/>
      <c r="Y56" s="226" t="n"/>
      <c r="Z56" s="226" t="n"/>
      <c r="AA56" s="226">
        <f>SUM(Tabla5237[[#This Row],[Paltas]:[Empanadas]])</f>
        <v/>
      </c>
      <c r="AB56" s="227" t="n"/>
    </row>
    <row outlineLevel="1" r="57" s="199" spans="1:28">
      <c r="B57" s="222" t="s">
        <v>72</v>
      </c>
      <c r="C57" s="223" t="s">
        <v>73</v>
      </c>
      <c r="D57" s="223" t="s">
        <v>74</v>
      </c>
      <c r="E57" s="223" t="s">
        <v>63</v>
      </c>
      <c r="F57" s="223" t="s">
        <v>64</v>
      </c>
      <c r="G57" s="223" t="s">
        <v>75</v>
      </c>
      <c r="H57" s="223" t="s">
        <v>55</v>
      </c>
      <c r="I57" s="224" t="n">
        <v>56968320616</v>
      </c>
      <c r="J57" s="225" t="s">
        <v>76</v>
      </c>
      <c r="K57" s="225" t="s">
        <v>57</v>
      </c>
      <c r="L57" s="226" t="n"/>
      <c r="M57" s="226" t="n"/>
      <c r="N57" s="223">
        <f>SUMPRODUCT(Tabla5237[[#This Row],[Paltas]:[Empanadas]],O$102:Z$102)</f>
        <v/>
      </c>
      <c r="O57" s="226" t="n">
        <v>1</v>
      </c>
      <c r="P57" s="226" t="n">
        <v>0</v>
      </c>
      <c r="Q57" s="226" t="n">
        <v>5</v>
      </c>
      <c r="R57" s="226" t="n">
        <v>0</v>
      </c>
      <c r="S57" s="226" t="n">
        <v>0</v>
      </c>
      <c r="T57" s="226" t="n">
        <v>0</v>
      </c>
      <c r="U57" s="226" t="n">
        <v>0</v>
      </c>
      <c r="V57" s="226" t="n">
        <v>0</v>
      </c>
      <c r="W57" s="226" t="n">
        <v>0</v>
      </c>
      <c r="X57" s="226" t="n">
        <v>0</v>
      </c>
      <c r="Y57" s="226" t="n">
        <v>0</v>
      </c>
      <c r="Z57" s="226" t="n">
        <v>0</v>
      </c>
      <c r="AA57" s="226">
        <f>SUM(Tabla5237[[#This Row],[Paltas]:[Empanadas]])</f>
        <v/>
      </c>
      <c r="AB57" s="227" t="n"/>
    </row>
    <row outlineLevel="1" r="58" s="199" spans="1:28">
      <c r="B58" s="222" t="s">
        <v>355</v>
      </c>
      <c r="C58" s="223" t="s">
        <v>356</v>
      </c>
      <c r="D58" s="223" t="s">
        <v>357</v>
      </c>
      <c r="E58" s="223" t="s">
        <v>90</v>
      </c>
      <c r="F58" s="223" t="s">
        <v>91</v>
      </c>
      <c r="G58" s="223" t="s">
        <v>358</v>
      </c>
      <c r="H58" s="223" t="s">
        <v>55</v>
      </c>
      <c r="I58" s="224" t="n">
        <v>56991997991</v>
      </c>
      <c r="J58" s="225" t="s">
        <v>359</v>
      </c>
      <c r="K58" s="225" t="s">
        <v>115</v>
      </c>
      <c r="L58" s="226" t="n"/>
      <c r="M58" s="226" t="n"/>
      <c r="N58" s="223">
        <f>SUMPRODUCT(Tabla5237[[#This Row],[Paltas]:[Empanadas]],O$102:Z$102)</f>
        <v/>
      </c>
      <c r="O58" s="226" t="n"/>
      <c r="P58" s="226" t="n"/>
      <c r="Q58" s="226" t="n"/>
      <c r="R58" s="226" t="n"/>
      <c r="S58" s="226" t="n"/>
      <c r="T58" s="226" t="n"/>
      <c r="U58" s="226" t="n"/>
      <c r="V58" s="226" t="n"/>
      <c r="W58" s="226" t="n"/>
      <c r="X58" s="226" t="n"/>
      <c r="Y58" s="226" t="n"/>
      <c r="Z58" s="226" t="n"/>
      <c r="AA58" s="226">
        <f>SUM(Tabla5237[[#This Row],[Paltas]:[Empanadas]])</f>
        <v/>
      </c>
      <c r="AB58" s="227" t="n"/>
    </row>
    <row outlineLevel="1" r="59" s="199" spans="1:28">
      <c r="B59" s="222" t="s">
        <v>301</v>
      </c>
      <c r="C59" s="223" t="s">
        <v>360</v>
      </c>
      <c r="D59" s="223" t="s">
        <v>361</v>
      </c>
      <c r="E59" s="223" t="s">
        <v>63</v>
      </c>
      <c r="F59" s="223" t="s">
        <v>80</v>
      </c>
      <c r="G59" s="223" t="s">
        <v>362</v>
      </c>
      <c r="H59" s="223" t="s">
        <v>55</v>
      </c>
      <c r="I59" s="224" t="n">
        <v>56974529859</v>
      </c>
      <c r="J59" s="225" t="s">
        <v>363</v>
      </c>
      <c r="K59" s="225" t="s">
        <v>57</v>
      </c>
      <c r="L59" s="226" t="n"/>
      <c r="M59" s="226" t="n"/>
      <c r="N59" s="223">
        <f>SUMPRODUCT(Tabla5237[[#This Row],[Paltas]:[Empanadas]],O$102:Z$102)</f>
        <v/>
      </c>
      <c r="O59" s="226" t="n"/>
      <c r="P59" s="226" t="n"/>
      <c r="Q59" s="226" t="n"/>
      <c r="R59" s="226" t="n"/>
      <c r="S59" s="226" t="n"/>
      <c r="T59" s="226" t="n"/>
      <c r="U59" s="226" t="n"/>
      <c r="V59" s="226" t="n"/>
      <c r="W59" s="226" t="n"/>
      <c r="X59" s="226" t="n"/>
      <c r="Y59" s="226" t="n"/>
      <c r="Z59" s="226" t="n"/>
      <c r="AA59" s="226">
        <f>SUM(Tabla5237[[#This Row],[Paltas]:[Empanadas]])</f>
        <v/>
      </c>
      <c r="AB59" s="227" t="n"/>
    </row>
    <row outlineLevel="1" r="60" s="199" spans="1:28">
      <c r="B60" s="222" t="s">
        <v>364</v>
      </c>
      <c r="C60" s="223" t="s">
        <v>365</v>
      </c>
      <c r="D60" s="223" t="s">
        <v>366</v>
      </c>
      <c r="E60" s="223" t="s">
        <v>63</v>
      </c>
      <c r="F60" s="223" t="s">
        <v>64</v>
      </c>
      <c r="G60" s="223" t="s">
        <v>99</v>
      </c>
      <c r="H60" s="223" t="s">
        <v>245</v>
      </c>
      <c r="I60" s="224" t="n">
        <v>56987217393</v>
      </c>
      <c r="J60" s="225" t="s">
        <v>367</v>
      </c>
      <c r="K60" s="225" t="s">
        <v>115</v>
      </c>
      <c r="L60" s="226" t="n"/>
      <c r="M60" s="226" t="n"/>
      <c r="N60" s="223">
        <f>SUMPRODUCT(Tabla5237[[#This Row],[Paltas]:[Empanadas]],O$102:Z$102)</f>
        <v/>
      </c>
      <c r="O60" s="226" t="n"/>
      <c r="P60" s="226" t="n"/>
      <c r="Q60" s="226" t="n"/>
      <c r="R60" s="226" t="n"/>
      <c r="S60" s="226" t="n"/>
      <c r="T60" s="226" t="n"/>
      <c r="U60" s="226" t="n"/>
      <c r="V60" s="226" t="n"/>
      <c r="W60" s="226" t="n"/>
      <c r="X60" s="226" t="n"/>
      <c r="Y60" s="226" t="n"/>
      <c r="Z60" s="226" t="n"/>
      <c r="AA60" s="226">
        <f>SUM(Tabla5237[[#This Row],[Paltas]:[Empanadas]])</f>
        <v/>
      </c>
      <c r="AB60" s="227" t="n"/>
    </row>
    <row outlineLevel="1" r="61" s="199" spans="1:28">
      <c r="B61" s="222" t="s">
        <v>343</v>
      </c>
      <c r="C61" s="223" t="s">
        <v>368</v>
      </c>
      <c r="D61" s="223" t="s">
        <v>369</v>
      </c>
      <c r="E61" s="223" t="s">
        <v>52</v>
      </c>
      <c r="F61" s="223" t="s">
        <v>98</v>
      </c>
      <c r="G61" s="223" t="s">
        <v>99</v>
      </c>
      <c r="H61" s="223" t="s">
        <v>55</v>
      </c>
      <c r="I61" s="224" t="n">
        <v>56981207671</v>
      </c>
      <c r="J61" s="225" t="s">
        <v>370</v>
      </c>
      <c r="K61" s="225" t="s">
        <v>57</v>
      </c>
      <c r="L61" s="226" t="n"/>
      <c r="M61" s="226" t="n"/>
      <c r="N61" s="223">
        <f>SUMPRODUCT(Tabla5237[[#This Row],[Paltas]:[Empanadas]],O$102:Z$102)</f>
        <v/>
      </c>
      <c r="O61" s="226" t="n"/>
      <c r="P61" s="226" t="n"/>
      <c r="Q61" s="226" t="n"/>
      <c r="R61" s="226" t="n"/>
      <c r="S61" s="226" t="n"/>
      <c r="T61" s="226" t="n"/>
      <c r="U61" s="226" t="n"/>
      <c r="V61" s="226" t="n"/>
      <c r="W61" s="226" t="n"/>
      <c r="X61" s="226" t="n"/>
      <c r="Y61" s="226" t="n"/>
      <c r="Z61" s="226" t="n"/>
      <c r="AA61" s="226">
        <f>SUM(Tabla5237[[#This Row],[Paltas]:[Empanadas]])</f>
        <v/>
      </c>
      <c r="AB61" s="227" t="n"/>
    </row>
    <row outlineLevel="1" r="62" s="199" spans="1:28">
      <c r="B62" s="222" t="s">
        <v>371</v>
      </c>
      <c r="C62" s="223" t="s">
        <v>368</v>
      </c>
      <c r="D62" s="223" t="s">
        <v>369</v>
      </c>
      <c r="E62" s="223" t="s">
        <v>52</v>
      </c>
      <c r="F62" s="223" t="s">
        <v>98</v>
      </c>
      <c r="G62" s="223" t="s">
        <v>372</v>
      </c>
      <c r="H62" s="223" t="s">
        <v>55</v>
      </c>
      <c r="I62" s="224" t="n">
        <v>56995408498</v>
      </c>
      <c r="J62" s="225" t="s">
        <v>373</v>
      </c>
      <c r="K62" s="225" t="s">
        <v>57</v>
      </c>
      <c r="L62" s="226" t="n"/>
      <c r="M62" s="226" t="n"/>
      <c r="N62" s="223">
        <f>SUMPRODUCT(Tabla5237[[#This Row],[Paltas]:[Empanadas]],O$102:Z$102)</f>
        <v/>
      </c>
      <c r="O62" s="226" t="n"/>
      <c r="P62" s="226" t="n"/>
      <c r="Q62" s="226" t="n"/>
      <c r="R62" s="226" t="n"/>
      <c r="S62" s="226" t="n"/>
      <c r="T62" s="226" t="n"/>
      <c r="U62" s="226" t="n"/>
      <c r="V62" s="226" t="n"/>
      <c r="W62" s="226" t="n"/>
      <c r="X62" s="226" t="n"/>
      <c r="Y62" s="226" t="n"/>
      <c r="Z62" s="226" t="n"/>
      <c r="AA62" s="226">
        <f>SUM(Tabla5237[[#This Row],[Paltas]:[Empanadas]])</f>
        <v/>
      </c>
      <c r="AB62" s="227" t="n"/>
    </row>
    <row outlineLevel="1" r="63" s="199" spans="1:28">
      <c r="B63" s="222" t="s">
        <v>147</v>
      </c>
      <c r="C63" s="223" t="s">
        <v>148</v>
      </c>
      <c r="D63" s="223" t="s">
        <v>149</v>
      </c>
      <c r="E63" s="223" t="s">
        <v>90</v>
      </c>
      <c r="F63" s="223" t="s">
        <v>91</v>
      </c>
      <c r="G63" s="223" t="s">
        <v>92</v>
      </c>
      <c r="H63" s="223" t="s">
        <v>55</v>
      </c>
      <c r="I63" s="224" t="n">
        <v>56956481962</v>
      </c>
      <c r="J63" s="225" t="s">
        <v>150</v>
      </c>
      <c r="K63" s="225" t="s">
        <v>115</v>
      </c>
      <c r="L63" s="226" t="n"/>
      <c r="M63" s="226" t="n"/>
      <c r="N63" s="223">
        <f>SUMPRODUCT(Tabla5237[[#This Row],[Paltas]:[Empanadas]],O$102:Z$102)</f>
        <v/>
      </c>
      <c r="O63" s="226" t="n"/>
      <c r="P63" s="226" t="n"/>
      <c r="Q63" s="226" t="n"/>
      <c r="R63" s="226" t="n"/>
      <c r="S63" s="226" t="n"/>
      <c r="T63" s="226" t="n"/>
      <c r="U63" s="226" t="n"/>
      <c r="V63" s="226" t="n"/>
      <c r="W63" s="226" t="n"/>
      <c r="X63" s="226" t="n"/>
      <c r="Y63" s="226" t="n"/>
      <c r="Z63" s="226" t="n"/>
      <c r="AA63" s="226">
        <f>SUM(Tabla5237[[#This Row],[Paltas]:[Empanadas]])</f>
        <v/>
      </c>
      <c r="AB63" s="227" t="n"/>
    </row>
    <row outlineLevel="1" r="64" s="199" spans="1:28">
      <c r="B64" s="222" t="s">
        <v>374</v>
      </c>
      <c r="C64" s="223" t="s">
        <v>375</v>
      </c>
      <c r="D64" s="223" t="s">
        <v>376</v>
      </c>
      <c r="E64" s="223" t="s">
        <v>90</v>
      </c>
      <c r="F64" s="223" t="s">
        <v>119</v>
      </c>
      <c r="G64" s="223" t="s">
        <v>92</v>
      </c>
      <c r="H64" s="223" t="s">
        <v>55</v>
      </c>
      <c r="I64" s="224" t="n">
        <v>56979980568</v>
      </c>
      <c r="J64" s="225" t="s">
        <v>377</v>
      </c>
      <c r="K64" s="225" t="s">
        <v>115</v>
      </c>
      <c r="L64" s="226" t="n"/>
      <c r="M64" s="226" t="n"/>
      <c r="N64" s="223">
        <f>SUMPRODUCT(Tabla5237[[#This Row],[Paltas]:[Empanadas]],O$102:Z$102)</f>
        <v/>
      </c>
      <c r="O64" s="226" t="n"/>
      <c r="P64" s="226" t="n"/>
      <c r="Q64" s="226" t="n"/>
      <c r="R64" s="226" t="n"/>
      <c r="S64" s="226" t="n"/>
      <c r="T64" s="226" t="n"/>
      <c r="U64" s="226" t="n"/>
      <c r="V64" s="226" t="n"/>
      <c r="W64" s="226" t="n"/>
      <c r="X64" s="226" t="n"/>
      <c r="Y64" s="226" t="n"/>
      <c r="Z64" s="226" t="n"/>
      <c r="AA64" s="226">
        <f>SUM(Tabla5237[[#This Row],[Paltas]:[Empanadas]])</f>
        <v/>
      </c>
      <c r="AB64" s="227" t="n"/>
    </row>
    <row outlineLevel="1" r="65" s="199" spans="1:28">
      <c r="B65" s="222" t="s">
        <v>378</v>
      </c>
      <c r="C65" s="223" t="s">
        <v>379</v>
      </c>
      <c r="D65" s="223" t="s">
        <v>380</v>
      </c>
      <c r="E65" s="223" t="s">
        <v>90</v>
      </c>
      <c r="F65" s="223" t="s">
        <v>119</v>
      </c>
      <c r="G65" s="223" t="s">
        <v>81</v>
      </c>
      <c r="H65" s="223" t="s">
        <v>55</v>
      </c>
      <c r="I65" s="224" t="n">
        <v>56998263560</v>
      </c>
      <c r="J65" s="225" t="s">
        <v>381</v>
      </c>
      <c r="K65" s="225" t="s">
        <v>57</v>
      </c>
      <c r="L65" s="226" t="n"/>
      <c r="M65" s="226" t="n"/>
      <c r="N65" s="223">
        <f>SUMPRODUCT(Tabla5237[[#This Row],[Paltas]:[Empanadas]],O$102:Z$102)</f>
        <v/>
      </c>
      <c r="O65" s="226" t="n"/>
      <c r="P65" s="226" t="n"/>
      <c r="Q65" s="226" t="n"/>
      <c r="R65" s="226" t="n"/>
      <c r="S65" s="226" t="n"/>
      <c r="T65" s="226" t="n"/>
      <c r="U65" s="226" t="n"/>
      <c r="V65" s="226" t="n"/>
      <c r="W65" s="226" t="n"/>
      <c r="X65" s="226" t="n"/>
      <c r="Y65" s="226" t="n"/>
      <c r="Z65" s="226" t="n"/>
      <c r="AA65" s="226">
        <f>SUM(Tabla5237[[#This Row],[Paltas]:[Empanadas]])</f>
        <v/>
      </c>
      <c r="AB65" s="227" t="n"/>
    </row>
    <row outlineLevel="1" r="66" s="199" spans="1:28">
      <c r="B66" s="222" t="s">
        <v>310</v>
      </c>
      <c r="C66" s="223" t="s">
        <v>382</v>
      </c>
      <c r="D66" s="223" t="s">
        <v>383</v>
      </c>
      <c r="E66" s="223" t="s">
        <v>90</v>
      </c>
      <c r="F66" s="223" t="s">
        <v>53</v>
      </c>
      <c r="G66" s="223" t="s">
        <v>99</v>
      </c>
      <c r="H66" s="223" t="s">
        <v>55</v>
      </c>
      <c r="I66" s="224" t="n">
        <v>56942723186</v>
      </c>
      <c r="J66" s="225" t="s">
        <v>384</v>
      </c>
      <c r="K66" s="225" t="s">
        <v>94</v>
      </c>
      <c r="L66" s="226" t="n"/>
      <c r="M66" s="226" t="n"/>
      <c r="N66" s="223">
        <f>SUMPRODUCT(Tabla5237[[#This Row],[Paltas]:[Empanadas]],O$102:Z$102)</f>
        <v/>
      </c>
      <c r="O66" s="226" t="n"/>
      <c r="P66" s="226" t="n"/>
      <c r="Q66" s="226" t="n"/>
      <c r="R66" s="226" t="n"/>
      <c r="S66" s="226" t="n"/>
      <c r="T66" s="226" t="n"/>
      <c r="U66" s="226" t="n"/>
      <c r="V66" s="226" t="n"/>
      <c r="W66" s="226" t="n"/>
      <c r="X66" s="226" t="n"/>
      <c r="Y66" s="226" t="n"/>
      <c r="Z66" s="226" t="n"/>
      <c r="AA66" s="226">
        <f>SUM(Tabla5237[[#This Row],[Paltas]:[Empanadas]])</f>
        <v/>
      </c>
      <c r="AB66" s="227" t="n"/>
    </row>
    <row outlineLevel="1" r="67" s="199" spans="1:28">
      <c r="B67" s="222" t="s">
        <v>385</v>
      </c>
      <c r="C67" s="223" t="s">
        <v>386</v>
      </c>
      <c r="D67" s="223" t="s">
        <v>387</v>
      </c>
      <c r="E67" s="223" t="s">
        <v>154</v>
      </c>
      <c r="F67" s="223" t="s">
        <v>207</v>
      </c>
      <c r="G67" s="223" t="s">
        <v>70</v>
      </c>
      <c r="H67" s="223" t="s">
        <v>55</v>
      </c>
      <c r="I67" s="224" t="n">
        <v>56996310424</v>
      </c>
      <c r="J67" s="225" t="s">
        <v>388</v>
      </c>
      <c r="K67" s="225" t="s">
        <v>115</v>
      </c>
      <c r="L67" s="226" t="n"/>
      <c r="M67" s="226" t="n"/>
      <c r="N67" s="223">
        <f>SUMPRODUCT(Tabla5237[[#This Row],[Paltas]:[Empanadas]],O$102:Z$102)</f>
        <v/>
      </c>
      <c r="O67" s="226" t="n"/>
      <c r="P67" s="226" t="n"/>
      <c r="Q67" s="226" t="n"/>
      <c r="R67" s="226" t="n"/>
      <c r="S67" s="226" t="n"/>
      <c r="T67" s="226" t="n"/>
      <c r="U67" s="226" t="n"/>
      <c r="V67" s="226" t="n"/>
      <c r="W67" s="226" t="n"/>
      <c r="X67" s="226" t="n"/>
      <c r="Y67" s="226" t="n"/>
      <c r="Z67" s="226" t="n"/>
      <c r="AA67" s="226">
        <f>SUM(Tabla5237[[#This Row],[Paltas]:[Empanadas]])</f>
        <v/>
      </c>
      <c r="AB67" s="227" t="n"/>
    </row>
    <row outlineLevel="1" r="68" s="199" spans="1:28">
      <c r="B68" s="222" t="s">
        <v>83</v>
      </c>
      <c r="C68" s="223" t="s">
        <v>84</v>
      </c>
      <c r="D68" s="59" t="s">
        <v>85</v>
      </c>
      <c r="E68" s="59" t="s">
        <v>63</v>
      </c>
      <c r="F68" s="59" t="s">
        <v>64</v>
      </c>
      <c r="G68" s="59" t="s">
        <v>65</v>
      </c>
      <c r="H68" s="59" t="s">
        <v>55</v>
      </c>
      <c r="I68" s="60" t="n">
        <v>56974397201</v>
      </c>
      <c r="J68" s="225" t="s">
        <v>86</v>
      </c>
      <c r="K68" s="225" t="s">
        <v>57</v>
      </c>
      <c r="L68" s="226" t="n"/>
      <c r="M68" s="226" t="n"/>
      <c r="N68" s="223">
        <f>SUMPRODUCT(Tabla5237[[#This Row],[Paltas]:[Empanadas]],O$102:Z$102)</f>
        <v/>
      </c>
      <c r="O68" s="226" t="n"/>
      <c r="P68" s="226" t="n"/>
      <c r="Q68" s="226" t="n"/>
      <c r="R68" s="226" t="n"/>
      <c r="S68" s="226" t="n"/>
      <c r="T68" s="226" t="n"/>
      <c r="U68" s="226" t="n"/>
      <c r="V68" s="226" t="n"/>
      <c r="W68" s="226" t="n"/>
      <c r="X68" s="226" t="n"/>
      <c r="Y68" s="226" t="n"/>
      <c r="Z68" s="226" t="n"/>
      <c r="AA68" s="226">
        <f>SUM(Tabla5237[[#This Row],[Paltas]:[Empanadas]])</f>
        <v/>
      </c>
      <c r="AB68" s="227" t="n"/>
    </row>
    <row outlineLevel="1" r="69" s="199" spans="1:28">
      <c r="B69" s="222" t="s">
        <v>160</v>
      </c>
      <c r="C69" s="223" t="s">
        <v>161</v>
      </c>
      <c r="D69" s="59" t="s">
        <v>162</v>
      </c>
      <c r="E69" s="59" t="s">
        <v>63</v>
      </c>
      <c r="F69" s="59" t="s">
        <v>64</v>
      </c>
      <c r="G69" s="59" t="s">
        <v>163</v>
      </c>
      <c r="H69" s="59" t="s">
        <v>55</v>
      </c>
      <c r="I69" s="60" t="n">
        <v>56964829508</v>
      </c>
      <c r="J69" s="225" t="s">
        <v>164</v>
      </c>
      <c r="K69" s="225" t="s">
        <v>115</v>
      </c>
      <c r="L69" s="226" t="n"/>
      <c r="M69" s="226" t="n"/>
      <c r="N69" s="223">
        <f>SUMPRODUCT(Tabla5237[[#This Row],[Paltas]:[Empanadas]],O$102:Z$102)</f>
        <v/>
      </c>
      <c r="O69" s="226" t="n"/>
      <c r="P69" s="226" t="n"/>
      <c r="Q69" s="226" t="n"/>
      <c r="R69" s="226" t="n"/>
      <c r="S69" s="226" t="n"/>
      <c r="T69" s="226" t="n"/>
      <c r="U69" s="226" t="n"/>
      <c r="V69" s="226" t="n"/>
      <c r="W69" s="226" t="n"/>
      <c r="X69" s="226" t="n"/>
      <c r="Y69" s="226" t="n"/>
      <c r="Z69" s="226" t="n"/>
      <c r="AA69" s="226">
        <f>SUM(Tabla5237[[#This Row],[Paltas]:[Empanadas]])</f>
        <v/>
      </c>
      <c r="AB69" s="227" t="n"/>
    </row>
    <row outlineLevel="1" r="70" s="199" spans="1:28">
      <c r="B70" s="222" t="s">
        <v>251</v>
      </c>
      <c r="C70" s="223" t="s">
        <v>389</v>
      </c>
      <c r="D70" s="59" t="s">
        <v>390</v>
      </c>
      <c r="E70" s="59" t="s">
        <v>154</v>
      </c>
      <c r="F70" s="59" t="s">
        <v>207</v>
      </c>
      <c r="G70" s="59" t="s">
        <v>65</v>
      </c>
      <c r="H70" s="59" t="s">
        <v>55</v>
      </c>
      <c r="I70" s="60" t="n">
        <v>56979769748</v>
      </c>
      <c r="J70" s="225" t="s">
        <v>391</v>
      </c>
      <c r="K70" s="225" t="s">
        <v>94</v>
      </c>
      <c r="L70" s="226" t="n"/>
      <c r="M70" s="226" t="n"/>
      <c r="N70" s="223">
        <f>SUMPRODUCT(Tabla5237[[#This Row],[Paltas]:[Empanadas]],O$102:Z$102)</f>
        <v/>
      </c>
      <c r="O70" s="226" t="n"/>
      <c r="P70" s="226" t="n"/>
      <c r="Q70" s="226" t="n"/>
      <c r="R70" s="226" t="n"/>
      <c r="S70" s="226" t="n"/>
      <c r="T70" s="226" t="n"/>
      <c r="U70" s="226" t="n"/>
      <c r="V70" s="226" t="n"/>
      <c r="W70" s="226" t="n"/>
      <c r="X70" s="226" t="n"/>
      <c r="Y70" s="226" t="n"/>
      <c r="Z70" s="226" t="n"/>
      <c r="AA70" s="226">
        <f>SUM(Tabla5237[[#This Row],[Paltas]:[Empanadas]])</f>
        <v/>
      </c>
      <c r="AB70" s="227" t="n"/>
    </row>
    <row outlineLevel="1" r="71" s="199" spans="1:28">
      <c r="B71" s="222" t="s">
        <v>335</v>
      </c>
      <c r="C71" s="223" t="s">
        <v>392</v>
      </c>
      <c r="D71" s="59" t="s">
        <v>393</v>
      </c>
      <c r="E71" s="59" t="s">
        <v>52</v>
      </c>
      <c r="F71" s="59" t="s">
        <v>278</v>
      </c>
      <c r="G71" s="59" t="s">
        <v>99</v>
      </c>
      <c r="H71" s="59" t="s">
        <v>55</v>
      </c>
      <c r="I71" s="60" t="n">
        <v>56999699652</v>
      </c>
      <c r="J71" s="225" t="s">
        <v>394</v>
      </c>
      <c r="K71" s="225" t="s">
        <v>94</v>
      </c>
      <c r="L71" s="226" t="n"/>
      <c r="M71" s="226" t="n"/>
      <c r="N71" s="223">
        <f>SUMPRODUCT(Tabla5237[[#This Row],[Paltas]:[Empanadas]],O$102:Z$102)</f>
        <v/>
      </c>
      <c r="O71" s="226" t="n"/>
      <c r="P71" s="226" t="n"/>
      <c r="Q71" s="226" t="n"/>
      <c r="R71" s="226" t="n"/>
      <c r="S71" s="226" t="n"/>
      <c r="T71" s="226" t="n"/>
      <c r="U71" s="226" t="n"/>
      <c r="V71" s="226" t="n"/>
      <c r="W71" s="226" t="n"/>
      <c r="X71" s="226" t="n"/>
      <c r="Y71" s="226" t="n"/>
      <c r="Z71" s="226" t="n"/>
      <c r="AA71" s="226">
        <f>SUM(Tabla5237[[#This Row],[Paltas]:[Empanadas]])</f>
        <v/>
      </c>
      <c r="AB71" s="227" t="n"/>
    </row>
    <row outlineLevel="1" r="72" s="199" spans="1:28">
      <c r="B72" s="222" t="s">
        <v>395</v>
      </c>
      <c r="C72" s="223" t="s">
        <v>189</v>
      </c>
      <c r="D72" s="59" t="s">
        <v>396</v>
      </c>
      <c r="E72" s="59" t="s">
        <v>52</v>
      </c>
      <c r="F72" s="59" t="s">
        <v>341</v>
      </c>
      <c r="G72" s="59" t="s">
        <v>70</v>
      </c>
      <c r="H72" s="59" t="s">
        <v>55</v>
      </c>
      <c r="I72" s="60" t="n">
        <v>56957230044</v>
      </c>
      <c r="J72" s="225" t="s">
        <v>397</v>
      </c>
      <c r="K72" s="225" t="s">
        <v>94</v>
      </c>
      <c r="L72" s="226" t="n"/>
      <c r="M72" s="226" t="n"/>
      <c r="N72" s="223">
        <f>SUMPRODUCT(Tabla5237[[#This Row],[Paltas]:[Empanadas]],O$102:Z$102)</f>
        <v/>
      </c>
      <c r="O72" s="226" t="n"/>
      <c r="P72" s="226" t="n"/>
      <c r="Q72" s="226" t="n"/>
      <c r="R72" s="226" t="n"/>
      <c r="S72" s="226" t="n"/>
      <c r="T72" s="226" t="n"/>
      <c r="U72" s="226" t="n"/>
      <c r="V72" s="226" t="n"/>
      <c r="W72" s="226" t="n"/>
      <c r="X72" s="226" t="n"/>
      <c r="Y72" s="226" t="n"/>
      <c r="Z72" s="226" t="n"/>
      <c r="AA72" s="226">
        <f>SUM(Tabla5237[[#This Row],[Paltas]:[Empanadas]])</f>
        <v/>
      </c>
      <c r="AB72" s="227" t="n"/>
    </row>
    <row outlineLevel="1" r="73" s="199" spans="1:28">
      <c r="B73" s="222" t="s">
        <v>188</v>
      </c>
      <c r="C73" s="223" t="s">
        <v>189</v>
      </c>
      <c r="D73" s="59" t="s">
        <v>190</v>
      </c>
      <c r="E73" s="59" t="s">
        <v>63</v>
      </c>
      <c r="F73" s="59" t="s">
        <v>64</v>
      </c>
      <c r="G73" s="59" t="s">
        <v>141</v>
      </c>
      <c r="H73" s="59" t="s">
        <v>55</v>
      </c>
      <c r="I73" s="60" t="n">
        <v>56966640363</v>
      </c>
      <c r="J73" s="225" t="s">
        <v>191</v>
      </c>
      <c r="K73" s="225" t="s">
        <v>115</v>
      </c>
      <c r="L73" s="226" t="n"/>
      <c r="M73" s="226" t="n"/>
      <c r="N73" s="228">
        <f>SUMPRODUCT(Tabla5237[[#This Row],[Paltas]:[Empanadas]],O$102:Z$102)</f>
        <v/>
      </c>
      <c r="O73" s="226" t="n"/>
      <c r="P73" s="226" t="n"/>
      <c r="Q73" s="226" t="n"/>
      <c r="R73" s="226" t="n"/>
      <c r="S73" s="226" t="n"/>
      <c r="T73" s="226" t="n"/>
      <c r="U73" s="226" t="n"/>
      <c r="V73" s="226" t="n"/>
      <c r="W73" s="226" t="n"/>
      <c r="X73" s="226" t="n"/>
      <c r="Y73" s="226" t="n"/>
      <c r="Z73" s="226" t="n"/>
      <c r="AA73" s="226">
        <f>SUM(Tabla5237[[#This Row],[Paltas]:[Empanadas]])</f>
        <v/>
      </c>
      <c r="AB73" s="227" t="n"/>
    </row>
    <row outlineLevel="1" r="74" s="199" spans="1:28">
      <c r="B74" s="222" t="s">
        <v>229</v>
      </c>
      <c r="C74" s="223" t="s">
        <v>398</v>
      </c>
      <c r="D74" s="59" t="s">
        <v>399</v>
      </c>
      <c r="E74" s="59" t="s">
        <v>52</v>
      </c>
      <c r="F74" s="59" t="s">
        <v>198</v>
      </c>
      <c r="G74" s="59" t="s">
        <v>400</v>
      </c>
      <c r="H74" s="59" t="s">
        <v>55</v>
      </c>
      <c r="I74" s="60" t="n">
        <v>56973979384</v>
      </c>
      <c r="J74" s="225" t="s">
        <v>401</v>
      </c>
      <c r="K74" s="225" t="s">
        <v>115</v>
      </c>
      <c r="L74" s="226" t="n"/>
      <c r="M74" s="226" t="n"/>
      <c r="N74" s="228">
        <f>SUMPRODUCT(Tabla5237[[#This Row],[Paltas]:[Empanadas]],O$102:Z$102)</f>
        <v/>
      </c>
      <c r="O74" s="226" t="n"/>
      <c r="P74" s="226" t="n"/>
      <c r="Q74" s="226" t="n"/>
      <c r="R74" s="226" t="n"/>
      <c r="S74" s="226" t="n"/>
      <c r="T74" s="226" t="n"/>
      <c r="U74" s="226" t="n"/>
      <c r="V74" s="226" t="n"/>
      <c r="W74" s="226" t="n"/>
      <c r="X74" s="226" t="n"/>
      <c r="Y74" s="226" t="n"/>
      <c r="Z74" s="226" t="n"/>
      <c r="AA74" s="226">
        <f>SUM(Tabla5237[[#This Row],[Paltas]:[Empanadas]])</f>
        <v/>
      </c>
      <c r="AB74" s="227" t="n"/>
    </row>
    <row outlineLevel="1" r="75" s="199" spans="1:28">
      <c r="B75" s="222" t="s">
        <v>402</v>
      </c>
      <c r="C75" s="223" t="s">
        <v>398</v>
      </c>
      <c r="D75" s="59" t="s">
        <v>403</v>
      </c>
      <c r="E75" s="59" t="s">
        <v>52</v>
      </c>
      <c r="F75" s="59" t="s">
        <v>98</v>
      </c>
      <c r="G75" s="59" t="n">
        <v>0</v>
      </c>
      <c r="H75" s="59" t="s">
        <v>55</v>
      </c>
      <c r="I75" s="60" t="n">
        <v>56957850035</v>
      </c>
      <c r="J75" s="225" t="s">
        <v>404</v>
      </c>
      <c r="K75" s="225" t="s">
        <v>94</v>
      </c>
      <c r="L75" s="226" t="n"/>
      <c r="M75" s="226" t="n"/>
      <c r="N75" s="228">
        <f>SUMPRODUCT(Tabla5237[[#This Row],[Paltas]:[Empanadas]],O$102:Z$102)</f>
        <v/>
      </c>
      <c r="O75" s="226" t="n"/>
      <c r="P75" s="226" t="n"/>
      <c r="Q75" s="226" t="n"/>
      <c r="R75" s="226" t="n"/>
      <c r="S75" s="226" t="n"/>
      <c r="T75" s="226" t="n"/>
      <c r="U75" s="226" t="n"/>
      <c r="V75" s="226" t="n"/>
      <c r="W75" s="226" t="n"/>
      <c r="X75" s="226" t="n"/>
      <c r="Y75" s="226" t="n"/>
      <c r="Z75" s="226" t="n"/>
      <c r="AA75" s="226">
        <f>SUM(Tabla5237[[#This Row],[Paltas]:[Empanadas]])</f>
        <v/>
      </c>
      <c r="AB75" s="227" t="n"/>
    </row>
    <row outlineLevel="1" r="76" s="199" spans="1:28">
      <c r="B76" s="222" t="s">
        <v>87</v>
      </c>
      <c r="C76" s="223" t="s">
        <v>88</v>
      </c>
      <c r="D76" s="59" t="s">
        <v>89</v>
      </c>
      <c r="E76" s="59" t="s">
        <v>90</v>
      </c>
      <c r="F76" s="59" t="s">
        <v>91</v>
      </c>
      <c r="G76" s="59" t="s">
        <v>92</v>
      </c>
      <c r="H76" s="59" t="s">
        <v>55</v>
      </c>
      <c r="I76" s="60" t="n">
        <v>56975580528</v>
      </c>
      <c r="J76" s="225" t="s">
        <v>93</v>
      </c>
      <c r="K76" s="225" t="s">
        <v>94</v>
      </c>
      <c r="L76" s="226" t="n"/>
      <c r="M76" s="226" t="n"/>
      <c r="N76" s="228">
        <f>SUMPRODUCT(Tabla5237[[#This Row],[Paltas]:[Empanadas]],O$102:Z$102)</f>
        <v/>
      </c>
      <c r="O76" s="226" t="n"/>
      <c r="P76" s="226" t="n"/>
      <c r="Q76" s="226" t="n"/>
      <c r="R76" s="226" t="n"/>
      <c r="S76" s="226" t="n"/>
      <c r="T76" s="226" t="n"/>
      <c r="U76" s="226" t="n"/>
      <c r="V76" s="226" t="n"/>
      <c r="W76" s="226" t="n"/>
      <c r="X76" s="226" t="n"/>
      <c r="Y76" s="226" t="n"/>
      <c r="Z76" s="226" t="n"/>
      <c r="AA76" s="226">
        <f>SUM(Tabla5237[[#This Row],[Paltas]:[Empanadas]])</f>
        <v/>
      </c>
      <c r="AB76" s="227" t="n"/>
    </row>
    <row outlineLevel="1" r="77" s="199" spans="1:28">
      <c r="B77" s="222" t="s">
        <v>151</v>
      </c>
      <c r="C77" s="223" t="s">
        <v>144</v>
      </c>
      <c r="D77" s="59" t="n">
        <v>0</v>
      </c>
      <c r="E77" s="59" t="n">
        <v>0</v>
      </c>
      <c r="F77" s="59" t="n">
        <v>0</v>
      </c>
      <c r="G77" s="59" t="n">
        <v>0</v>
      </c>
      <c r="H77" s="59" t="s">
        <v>55</v>
      </c>
      <c r="I77" s="60" t="n">
        <v>0</v>
      </c>
      <c r="J77" s="225" t="n">
        <v>0</v>
      </c>
      <c r="K77" s="225" t="s">
        <v>115</v>
      </c>
      <c r="L77" s="226" t="n"/>
      <c r="M77" s="226" t="n"/>
      <c r="N77" s="228">
        <f>SUMPRODUCT(Tabla5237[[#This Row],[Paltas]:[Empanadas]],O$102:Z$102)</f>
        <v/>
      </c>
      <c r="O77" s="226" t="n"/>
      <c r="P77" s="226" t="n"/>
      <c r="Q77" s="226" t="n"/>
      <c r="R77" s="226" t="n"/>
      <c r="S77" s="226" t="n"/>
      <c r="T77" s="226" t="n"/>
      <c r="U77" s="226" t="n"/>
      <c r="V77" s="226" t="n"/>
      <c r="W77" s="226" t="n"/>
      <c r="X77" s="226" t="n"/>
      <c r="Y77" s="226" t="n"/>
      <c r="Z77" s="226" t="n"/>
      <c r="AA77" s="226">
        <f>SUM(Tabla5237[[#This Row],[Paltas]:[Empanadas]])</f>
        <v/>
      </c>
      <c r="AB77" s="227" t="n"/>
    </row>
    <row outlineLevel="1" r="78" s="199" spans="1:28">
      <c r="B78" s="222" t="s">
        <v>111</v>
      </c>
      <c r="C78" s="223" t="s">
        <v>112</v>
      </c>
      <c r="D78" s="59" t="s">
        <v>113</v>
      </c>
      <c r="E78" s="59" t="s">
        <v>52</v>
      </c>
      <c r="F78" s="59" t="s">
        <v>98</v>
      </c>
      <c r="G78" s="59" t="s">
        <v>99</v>
      </c>
      <c r="H78" s="59" t="s">
        <v>55</v>
      </c>
      <c r="I78" s="60" t="n">
        <v>56997792386</v>
      </c>
      <c r="J78" s="225" t="s">
        <v>114</v>
      </c>
      <c r="K78" s="225" t="s">
        <v>94</v>
      </c>
      <c r="L78" s="226" t="n"/>
      <c r="M78" s="226" t="n"/>
      <c r="N78" s="228">
        <f>SUMPRODUCT(Tabla5237[[#This Row],[Paltas]:[Empanadas]],O$102:Z$102)</f>
        <v/>
      </c>
      <c r="O78" s="226" t="n">
        <v>0</v>
      </c>
      <c r="P78" s="226" t="n">
        <v>0</v>
      </c>
      <c r="Q78" s="226" t="n">
        <v>0</v>
      </c>
      <c r="R78" s="226" t="n">
        <v>0</v>
      </c>
      <c r="S78" s="226" t="n">
        <v>0</v>
      </c>
      <c r="T78" s="226" t="n">
        <v>0</v>
      </c>
      <c r="U78" s="226" t="n">
        <v>0</v>
      </c>
      <c r="V78" s="226" t="n">
        <v>0</v>
      </c>
      <c r="W78" s="226" t="n">
        <v>0</v>
      </c>
      <c r="X78" s="226" t="n">
        <v>5</v>
      </c>
      <c r="Y78" s="226" t="n">
        <v>0</v>
      </c>
      <c r="Z78" s="226" t="n">
        <v>0</v>
      </c>
      <c r="AA78" s="226">
        <f>SUM(Tabla5237[[#This Row],[Paltas]:[Empanadas]])</f>
        <v/>
      </c>
      <c r="AB78" s="227" t="n"/>
    </row>
    <row outlineLevel="1" r="79" s="199" spans="1:28">
      <c r="B79" s="222" t="s">
        <v>49</v>
      </c>
      <c r="C79" s="223" t="s">
        <v>50</v>
      </c>
      <c r="D79" s="59" t="s">
        <v>51</v>
      </c>
      <c r="E79" s="59" t="s">
        <v>52</v>
      </c>
      <c r="F79" s="59" t="s">
        <v>53</v>
      </c>
      <c r="G79" s="59" t="s">
        <v>54</v>
      </c>
      <c r="H79" s="59" t="s">
        <v>55</v>
      </c>
      <c r="I79" s="60" t="n">
        <v>56994792301</v>
      </c>
      <c r="J79" s="225" t="s">
        <v>56</v>
      </c>
      <c r="K79" s="225" t="s">
        <v>57</v>
      </c>
      <c r="L79" s="226" t="n"/>
      <c r="M79" s="226" t="n"/>
      <c r="N79" s="228">
        <f>SUMPRODUCT(Tabla5237[[#This Row],[Paltas]:[Empanadas]],O$102:Z$102)</f>
        <v/>
      </c>
      <c r="O79" s="226" t="n"/>
      <c r="P79" s="226" t="n"/>
      <c r="Q79" s="226" t="n"/>
      <c r="R79" s="226" t="n"/>
      <c r="S79" s="226" t="n"/>
      <c r="T79" s="226" t="n"/>
      <c r="U79" s="226" t="n"/>
      <c r="V79" s="226" t="n"/>
      <c r="W79" s="226" t="n"/>
      <c r="X79" s="226" t="n"/>
      <c r="Y79" s="226" t="n"/>
      <c r="Z79" s="226" t="n"/>
      <c r="AA79" s="226">
        <f>SUM(Tabla5237[[#This Row],[Paltas]:[Empanadas]])</f>
        <v/>
      </c>
      <c r="AB79" s="227" t="n"/>
    </row>
    <row outlineLevel="1" r="80" s="199" spans="1:28">
      <c r="B80" s="222" t="s">
        <v>106</v>
      </c>
      <c r="C80" s="223" t="s">
        <v>107</v>
      </c>
      <c r="D80" s="59" t="s">
        <v>108</v>
      </c>
      <c r="E80" s="59" t="s">
        <v>63</v>
      </c>
      <c r="F80" s="59" t="s">
        <v>80</v>
      </c>
      <c r="G80" s="59" t="s">
        <v>109</v>
      </c>
      <c r="H80" s="59" t="s">
        <v>55</v>
      </c>
      <c r="I80" s="60" t="n">
        <v>56991592586</v>
      </c>
      <c r="J80" s="225" t="s">
        <v>110</v>
      </c>
      <c r="K80" s="225" t="s">
        <v>94</v>
      </c>
      <c r="L80" s="226" t="n"/>
      <c r="M80" s="226" t="n"/>
      <c r="N80" s="228">
        <f>SUMPRODUCT(Tabla5237[[#This Row],[Paltas]:[Empanadas]],O$102:Z$102)</f>
        <v/>
      </c>
      <c r="O80" s="226" t="n"/>
      <c r="P80" s="226" t="n"/>
      <c r="Q80" s="226" t="n"/>
      <c r="R80" s="226" t="n"/>
      <c r="S80" s="226" t="n"/>
      <c r="T80" s="226" t="n"/>
      <c r="U80" s="226" t="n"/>
      <c r="V80" s="226" t="n"/>
      <c r="W80" s="226" t="n"/>
      <c r="X80" s="226" t="n"/>
      <c r="Y80" s="226" t="n"/>
      <c r="Z80" s="226" t="n"/>
      <c r="AA80" s="226">
        <f>SUM(Tabla5237[[#This Row],[Paltas]:[Empanadas]])</f>
        <v/>
      </c>
      <c r="AB80" s="227" t="n"/>
    </row>
    <row outlineLevel="1" r="81" s="199" spans="1:28">
      <c r="B81" s="222" t="s">
        <v>77</v>
      </c>
      <c r="C81" s="223" t="s">
        <v>78</v>
      </c>
      <c r="D81" s="59" t="s">
        <v>79</v>
      </c>
      <c r="E81" s="59" t="s">
        <v>63</v>
      </c>
      <c r="F81" s="59" t="s">
        <v>80</v>
      </c>
      <c r="G81" s="59" t="s">
        <v>81</v>
      </c>
      <c r="H81" s="59" t="s">
        <v>55</v>
      </c>
      <c r="I81" s="60" t="n">
        <v>56992704205</v>
      </c>
      <c r="J81" s="225" t="s">
        <v>82</v>
      </c>
      <c r="K81" s="225" t="s">
        <v>57</v>
      </c>
      <c r="L81" s="226" t="n"/>
      <c r="M81" s="226" t="n"/>
      <c r="N81" s="228">
        <f>SUMPRODUCT(Tabla5237[[#This Row],[Paltas]:[Empanadas]],O$102:Z$102)</f>
        <v/>
      </c>
      <c r="O81" s="226" t="n"/>
      <c r="P81" s="226" t="n"/>
      <c r="Q81" s="226" t="n"/>
      <c r="R81" s="226" t="n"/>
      <c r="S81" s="226" t="n"/>
      <c r="T81" s="226" t="n"/>
      <c r="U81" s="226" t="n"/>
      <c r="V81" s="226" t="n"/>
      <c r="W81" s="226" t="n"/>
      <c r="X81" s="226" t="n"/>
      <c r="Y81" s="226" t="n"/>
      <c r="Z81" s="226" t="n"/>
      <c r="AA81" s="226">
        <f>SUM(Tabla5237[[#This Row],[Paltas]:[Empanadas]])</f>
        <v/>
      </c>
      <c r="AB81" s="227" t="n"/>
    </row>
    <row outlineLevel="1" r="82" s="199" spans="1:28">
      <c r="B82" s="222" t="s">
        <v>72</v>
      </c>
      <c r="C82" s="223" t="s">
        <v>157</v>
      </c>
      <c r="D82" s="59" t="s">
        <v>158</v>
      </c>
      <c r="E82" s="59" t="s">
        <v>63</v>
      </c>
      <c r="F82" s="59" t="s">
        <v>64</v>
      </c>
      <c r="G82" s="59" t="s">
        <v>99</v>
      </c>
      <c r="H82" s="59" t="s">
        <v>55</v>
      </c>
      <c r="I82" s="60" t="n">
        <v>56997594184</v>
      </c>
      <c r="J82" s="225" t="s">
        <v>159</v>
      </c>
      <c r="K82" s="225" t="s">
        <v>115</v>
      </c>
      <c r="L82" s="226" t="n"/>
      <c r="M82" s="226" t="n"/>
      <c r="N82" s="228">
        <f>SUMPRODUCT(Tabla5237[[#This Row],[Paltas]:[Empanadas]],O$102:Z$102)</f>
        <v/>
      </c>
      <c r="O82" s="226" t="n">
        <v>7</v>
      </c>
      <c r="P82" s="226" t="n">
        <v>0</v>
      </c>
      <c r="Q82" s="226" t="n">
        <v>5</v>
      </c>
      <c r="R82" s="226" t="n">
        <v>0</v>
      </c>
      <c r="S82" s="226" t="n">
        <v>0</v>
      </c>
      <c r="T82" s="226" t="n">
        <v>0</v>
      </c>
      <c r="U82" s="226" t="n">
        <v>0</v>
      </c>
      <c r="V82" s="226" t="n">
        <v>0</v>
      </c>
      <c r="W82" s="226" t="n">
        <v>0</v>
      </c>
      <c r="X82" s="226" t="n">
        <v>0</v>
      </c>
      <c r="Y82" s="226" t="n">
        <v>0</v>
      </c>
      <c r="Z82" s="226" t="n">
        <v>0</v>
      </c>
      <c r="AA82" s="226">
        <f>SUM(Tabla5237[[#This Row],[Paltas]:[Empanadas]])</f>
        <v/>
      </c>
      <c r="AB82" s="227" t="n"/>
    </row>
    <row outlineLevel="1" r="83" s="199" spans="1:28">
      <c r="B83" s="222" t="s">
        <v>405</v>
      </c>
      <c r="C83" s="223" t="s">
        <v>406</v>
      </c>
      <c r="D83" s="59" t="s">
        <v>407</v>
      </c>
      <c r="E83" s="59" t="s">
        <v>63</v>
      </c>
      <c r="F83" s="59" t="s">
        <v>80</v>
      </c>
      <c r="G83" s="59" t="n">
        <v>0</v>
      </c>
      <c r="H83" s="59" t="s">
        <v>55</v>
      </c>
      <c r="I83" s="60" t="n">
        <v>56966082903</v>
      </c>
      <c r="J83" s="225" t="s">
        <v>408</v>
      </c>
      <c r="K83" s="225" t="s">
        <v>57</v>
      </c>
      <c r="L83" s="226" t="n"/>
      <c r="M83" s="226" t="n"/>
      <c r="N83" s="228">
        <f>SUMPRODUCT(Tabla5237[[#This Row],[Paltas]:[Empanadas]],O$102:Z$102)</f>
        <v/>
      </c>
      <c r="O83" s="226" t="n"/>
      <c r="P83" s="226" t="n"/>
      <c r="Q83" s="226" t="n"/>
      <c r="R83" s="226" t="n"/>
      <c r="S83" s="226" t="n"/>
      <c r="T83" s="226" t="n"/>
      <c r="U83" s="226" t="n"/>
      <c r="V83" s="226" t="n"/>
      <c r="W83" s="226" t="n"/>
      <c r="X83" s="226" t="n"/>
      <c r="Y83" s="226" t="n"/>
      <c r="Z83" s="226" t="n"/>
      <c r="AA83" s="226">
        <f>SUM(Tabla5237[[#This Row],[Paltas]:[Empanadas]])</f>
        <v/>
      </c>
      <c r="AB83" s="227" t="n"/>
    </row>
    <row outlineLevel="1" r="84" s="199" spans="1:28">
      <c r="B84" s="222" t="s">
        <v>151</v>
      </c>
      <c r="C84" s="223" t="s">
        <v>152</v>
      </c>
      <c r="D84" s="59" t="s">
        <v>153</v>
      </c>
      <c r="E84" s="59" t="s">
        <v>154</v>
      </c>
      <c r="F84" s="59" t="s">
        <v>155</v>
      </c>
      <c r="G84" s="59" t="s">
        <v>99</v>
      </c>
      <c r="H84" s="59" t="s">
        <v>55</v>
      </c>
      <c r="I84" s="60" t="n">
        <v>56979312762</v>
      </c>
      <c r="J84" s="225" t="s">
        <v>156</v>
      </c>
      <c r="K84" s="225" t="s">
        <v>115</v>
      </c>
      <c r="L84" s="226" t="n"/>
      <c r="M84" s="226" t="n"/>
      <c r="N84" s="228">
        <f>SUMPRODUCT(Tabla5237[[#This Row],[Paltas]:[Empanadas]],O$102:Z$102)</f>
        <v/>
      </c>
      <c r="O84" s="226" t="n">
        <v>3</v>
      </c>
      <c r="P84" s="226" t="n">
        <v>0</v>
      </c>
      <c r="Q84" s="226" t="n">
        <v>4</v>
      </c>
      <c r="R84" s="226" t="n">
        <v>0</v>
      </c>
      <c r="S84" s="226" t="n">
        <v>0</v>
      </c>
      <c r="T84" s="226" t="n">
        <v>0</v>
      </c>
      <c r="U84" s="226" t="n">
        <v>0</v>
      </c>
      <c r="V84" s="226" t="n">
        <v>0</v>
      </c>
      <c r="W84" s="226" t="n">
        <v>0</v>
      </c>
      <c r="X84" s="226" t="n">
        <v>6</v>
      </c>
      <c r="Y84" s="226" t="n">
        <v>1</v>
      </c>
      <c r="Z84" s="226" t="n">
        <v>24</v>
      </c>
      <c r="AA84" s="226">
        <f>SUM(Tabla5237[[#This Row],[Paltas]:[Empanadas]])</f>
        <v/>
      </c>
      <c r="AB84" s="227" t="n"/>
    </row>
    <row outlineLevel="1" r="85" s="199" spans="1:28">
      <c r="B85" s="222" t="s">
        <v>125</v>
      </c>
      <c r="C85" s="223" t="s">
        <v>409</v>
      </c>
      <c r="D85" s="59" t="s">
        <v>410</v>
      </c>
      <c r="E85" s="59" t="s">
        <v>90</v>
      </c>
      <c r="F85" s="59" t="n">
        <v>0</v>
      </c>
      <c r="G85" s="59" t="s">
        <v>70</v>
      </c>
      <c r="H85" s="59" t="s">
        <v>55</v>
      </c>
      <c r="I85" s="60" t="n">
        <v>56982930856</v>
      </c>
      <c r="J85" s="225" t="s">
        <v>411</v>
      </c>
      <c r="K85" s="225" t="s">
        <v>94</v>
      </c>
      <c r="L85" s="226" t="n"/>
      <c r="M85" s="226" t="n"/>
      <c r="N85" s="228">
        <f>SUMPRODUCT(Tabla5237[[#This Row],[Paltas]:[Empanadas]],O$102:Z$102)</f>
        <v/>
      </c>
      <c r="O85" s="226" t="n"/>
      <c r="P85" s="226" t="n"/>
      <c r="Q85" s="226" t="n"/>
      <c r="R85" s="226" t="n"/>
      <c r="S85" s="226" t="n"/>
      <c r="T85" s="226" t="n"/>
      <c r="U85" s="226" t="n"/>
      <c r="V85" s="226" t="n"/>
      <c r="W85" s="226" t="n"/>
      <c r="X85" s="226" t="n"/>
      <c r="Y85" s="226" t="n"/>
      <c r="Z85" s="226" t="n"/>
      <c r="AA85" s="226">
        <f>SUM(Tabla5237[[#This Row],[Paltas]:[Empanadas]])</f>
        <v/>
      </c>
      <c r="AB85" s="227" t="n"/>
    </row>
    <row outlineLevel="1" r="86" s="199" spans="1:28">
      <c r="B86" s="222" t="s">
        <v>101</v>
      </c>
      <c r="C86" s="223" t="s">
        <v>102</v>
      </c>
      <c r="D86" s="59" t="s">
        <v>194</v>
      </c>
      <c r="E86" s="59" t="s">
        <v>90</v>
      </c>
      <c r="F86" s="59" t="s">
        <v>91</v>
      </c>
      <c r="G86" s="59" t="s">
        <v>104</v>
      </c>
      <c r="H86" s="59" t="s">
        <v>55</v>
      </c>
      <c r="I86" s="60" t="n">
        <v>56999194650</v>
      </c>
      <c r="J86" s="225" t="s">
        <v>105</v>
      </c>
      <c r="K86" s="225" t="s">
        <v>94</v>
      </c>
      <c r="L86" s="226" t="n"/>
      <c r="M86" s="226" t="n"/>
      <c r="N86" s="228">
        <f>SUMPRODUCT(Tabla5237[[#This Row],[Paltas]:[Empanadas]],O$102:Z$102)</f>
        <v/>
      </c>
      <c r="O86" s="226" t="n"/>
      <c r="P86" s="226" t="n"/>
      <c r="Q86" s="226" t="n"/>
      <c r="R86" s="226" t="n"/>
      <c r="S86" s="226" t="n"/>
      <c r="T86" s="226" t="n"/>
      <c r="U86" s="226" t="n"/>
      <c r="V86" s="226" t="n"/>
      <c r="W86" s="226" t="n"/>
      <c r="X86" s="226" t="n"/>
      <c r="Y86" s="226" t="n"/>
      <c r="Z86" s="226" t="n"/>
      <c r="AA86" s="226">
        <f>SUM(Tabla5237[[#This Row],[Paltas]:[Empanadas]])</f>
        <v/>
      </c>
      <c r="AB86" s="227" t="n"/>
    </row>
    <row outlineLevel="1" r="87" s="199" spans="1:28">
      <c r="B87" s="222" t="s">
        <v>181</v>
      </c>
      <c r="C87" s="223" t="s">
        <v>182</v>
      </c>
      <c r="D87" s="59" t="s">
        <v>183</v>
      </c>
      <c r="E87" s="59" t="s">
        <v>52</v>
      </c>
      <c r="F87" s="59" t="s">
        <v>98</v>
      </c>
      <c r="G87" s="59" t="s">
        <v>99</v>
      </c>
      <c r="H87" s="59" t="s">
        <v>55</v>
      </c>
      <c r="I87" s="60" t="n">
        <v>56966685970</v>
      </c>
      <c r="J87" s="225" t="s">
        <v>184</v>
      </c>
      <c r="K87" s="225" t="s">
        <v>94</v>
      </c>
      <c r="L87" s="226" t="n"/>
      <c r="M87" s="226" t="n"/>
      <c r="N87" s="228">
        <f>SUMPRODUCT(Tabla5237[[#This Row],[Paltas]:[Empanadas]],O$102:Z$102)</f>
        <v/>
      </c>
      <c r="O87" s="226" t="n">
        <v>0</v>
      </c>
      <c r="P87" s="226" t="n">
        <v>5</v>
      </c>
      <c r="Q87" s="226" t="n">
        <v>0</v>
      </c>
      <c r="R87" s="226" t="n">
        <v>0</v>
      </c>
      <c r="S87" s="226" t="n">
        <v>0</v>
      </c>
      <c r="T87" s="226" t="n">
        <v>0</v>
      </c>
      <c r="U87" s="226" t="n">
        <v>0</v>
      </c>
      <c r="V87" s="226" t="n">
        <v>0</v>
      </c>
      <c r="W87" s="226" t="n">
        <v>0</v>
      </c>
      <c r="X87" s="226" t="n">
        <v>0</v>
      </c>
      <c r="Y87" s="226" t="n">
        <v>0</v>
      </c>
      <c r="Z87" s="226" t="n">
        <v>7</v>
      </c>
      <c r="AA87" s="226">
        <f>SUM(Tabla5237[[#This Row],[Paltas]:[Empanadas]])</f>
        <v/>
      </c>
      <c r="AB87" s="227" t="n"/>
    </row>
    <row outlineLevel="1" r="88" s="199" spans="1:28">
      <c r="B88" s="222" t="s">
        <v>129</v>
      </c>
      <c r="C88" s="223" t="s">
        <v>136</v>
      </c>
      <c r="D88" s="59" t="s">
        <v>200</v>
      </c>
      <c r="E88" s="59" t="s">
        <v>52</v>
      </c>
      <c r="F88" s="59" t="s">
        <v>98</v>
      </c>
      <c r="G88" s="59" t="s">
        <v>92</v>
      </c>
      <c r="H88" s="59" t="s">
        <v>55</v>
      </c>
      <c r="I88" s="60" t="n">
        <v>56990163951</v>
      </c>
      <c r="J88" s="225" t="s">
        <v>137</v>
      </c>
      <c r="K88" s="225" t="s">
        <v>115</v>
      </c>
      <c r="L88" s="226" t="n"/>
      <c r="M88" s="226" t="n"/>
      <c r="N88" s="228">
        <f>SUMPRODUCT(Tabla5237[[#This Row],[Paltas]:[Empanadas]],O$102:Z$102)</f>
        <v/>
      </c>
      <c r="O88" s="226" t="n"/>
      <c r="P88" s="226" t="n"/>
      <c r="Q88" s="226" t="n"/>
      <c r="R88" s="226" t="n"/>
      <c r="S88" s="226" t="n"/>
      <c r="T88" s="226" t="n"/>
      <c r="U88" s="226" t="n"/>
      <c r="V88" s="226" t="n"/>
      <c r="W88" s="226" t="n"/>
      <c r="X88" s="226" t="n"/>
      <c r="Y88" s="226" t="n"/>
      <c r="Z88" s="226" t="n"/>
      <c r="AA88" s="226">
        <f>SUM(Tabla5237[[#This Row],[Paltas]:[Empanadas]])</f>
        <v/>
      </c>
      <c r="AB88" s="227" t="n"/>
    </row>
    <row outlineLevel="1" r="89" s="199" spans="1:28">
      <c r="B89" s="222" t="s">
        <v>165</v>
      </c>
      <c r="C89" s="223" t="s">
        <v>148</v>
      </c>
      <c r="D89" s="59" t="s">
        <v>166</v>
      </c>
      <c r="E89" s="59" t="s">
        <v>52</v>
      </c>
      <c r="F89" s="59" t="s">
        <v>98</v>
      </c>
      <c r="G89" s="59" t="n">
        <v>0</v>
      </c>
      <c r="H89" s="59" t="s">
        <v>55</v>
      </c>
      <c r="I89" s="60" t="n">
        <v>56978945335</v>
      </c>
      <c r="J89" s="225" t="s">
        <v>412</v>
      </c>
      <c r="K89" s="225" t="s">
        <v>115</v>
      </c>
      <c r="L89" s="226" t="n"/>
      <c r="M89" s="226" t="n"/>
      <c r="N89" s="228">
        <f>SUMPRODUCT(Tabla5237[[#This Row],[Paltas]:[Empanadas]],O$102:Z$102)</f>
        <v/>
      </c>
      <c r="O89" s="226" t="n">
        <v>7</v>
      </c>
      <c r="P89" s="226" t="n">
        <v>0</v>
      </c>
      <c r="Q89" s="226" t="n">
        <v>1</v>
      </c>
      <c r="R89" s="226" t="n">
        <v>0</v>
      </c>
      <c r="S89" s="226" t="n">
        <v>0</v>
      </c>
      <c r="T89" s="226" t="n">
        <v>0</v>
      </c>
      <c r="U89" s="226" t="n">
        <v>0</v>
      </c>
      <c r="V89" s="226" t="n">
        <v>0</v>
      </c>
      <c r="W89" s="226" t="n">
        <v>0</v>
      </c>
      <c r="X89" s="226" t="n">
        <v>2</v>
      </c>
      <c r="Y89" s="226" t="n">
        <v>1</v>
      </c>
      <c r="Z89" s="226" t="n">
        <v>2</v>
      </c>
      <c r="AA89" s="226">
        <f>SUM(Tabla5237[[#This Row],[Paltas]:[Empanadas]])</f>
        <v/>
      </c>
      <c r="AB89" s="227" t="n"/>
    </row>
    <row outlineLevel="1" r="90" s="199" spans="1:28">
      <c r="B90" s="222" t="s">
        <v>192</v>
      </c>
      <c r="C90" s="223" t="s">
        <v>193</v>
      </c>
      <c r="D90" s="59" t="n">
        <v>0</v>
      </c>
      <c r="E90" s="59" t="n">
        <v>0</v>
      </c>
      <c r="F90" s="59" t="n">
        <v>0</v>
      </c>
      <c r="G90" s="59" t="n">
        <v>0</v>
      </c>
      <c r="H90" s="59" t="n">
        <v>0</v>
      </c>
      <c r="I90" s="60" t="n">
        <v>0</v>
      </c>
      <c r="J90" s="225" t="n">
        <v>0</v>
      </c>
      <c r="K90" s="225" t="s">
        <v>94</v>
      </c>
      <c r="L90" s="226" t="n"/>
      <c r="M90" s="226" t="n"/>
      <c r="N90" s="228">
        <f>SUMPRODUCT(Tabla5237[[#This Row],[Paltas]:[Empanadas]],O$102:Z$102)</f>
        <v/>
      </c>
      <c r="O90" s="226" t="n"/>
      <c r="P90" s="226" t="n"/>
      <c r="Q90" s="226" t="n"/>
      <c r="R90" s="226" t="n"/>
      <c r="S90" s="226" t="n"/>
      <c r="T90" s="226" t="n"/>
      <c r="U90" s="226" t="n"/>
      <c r="V90" s="226" t="n"/>
      <c r="W90" s="226" t="n"/>
      <c r="X90" s="226" t="n"/>
      <c r="Y90" s="226" t="n"/>
      <c r="Z90" s="226" t="n"/>
      <c r="AA90" s="226">
        <f>SUM(Tabla5237[[#This Row],[Paltas]:[Empanadas]])</f>
        <v/>
      </c>
      <c r="AB90" s="227" t="n"/>
    </row>
    <row outlineLevel="1" r="91" s="199" spans="1:28">
      <c r="B91" s="222" t="s">
        <v>101</v>
      </c>
      <c r="C91" s="223" t="s">
        <v>201</v>
      </c>
      <c r="D91" s="59" t="s">
        <v>202</v>
      </c>
      <c r="E91" s="59" t="s">
        <v>63</v>
      </c>
      <c r="F91" s="59" t="s">
        <v>64</v>
      </c>
      <c r="G91" s="59" t="s">
        <v>81</v>
      </c>
      <c r="H91" s="59" t="s">
        <v>55</v>
      </c>
      <c r="I91" s="60" t="n">
        <v>56976994719</v>
      </c>
      <c r="J91" s="225" t="s">
        <v>203</v>
      </c>
      <c r="K91" s="225" t="s">
        <v>115</v>
      </c>
      <c r="L91" s="226" t="n"/>
      <c r="M91" s="226" t="n"/>
      <c r="N91" s="228">
        <f>SUMPRODUCT(Tabla5237[[#This Row],[Paltas]:[Empanadas]],O$102:Z$102)</f>
        <v/>
      </c>
      <c r="O91" s="226" t="n"/>
      <c r="P91" s="226" t="n"/>
      <c r="Q91" s="226" t="n"/>
      <c r="R91" s="226" t="n"/>
      <c r="S91" s="226" t="n"/>
      <c r="T91" s="226" t="n"/>
      <c r="U91" s="226" t="n"/>
      <c r="V91" s="226" t="n"/>
      <c r="W91" s="226" t="n"/>
      <c r="X91" s="226" t="n"/>
      <c r="Y91" s="226" t="n"/>
      <c r="Z91" s="226" t="n"/>
      <c r="AA91" s="226">
        <f>SUM(Tabla5237[[#This Row],[Paltas]:[Empanadas]])</f>
        <v/>
      </c>
      <c r="AB91" s="227" t="n"/>
    </row>
    <row customHeight="1" ht="15.75" outlineLevel="1" r="92" s="199" spans="1:28" thickBot="1">
      <c r="B92" s="229" t="s">
        <v>215</v>
      </c>
      <c r="C92" s="230" t="s">
        <v>216</v>
      </c>
      <c r="D92" s="65" t="s">
        <v>413</v>
      </c>
      <c r="E92" s="65" t="s">
        <v>52</v>
      </c>
      <c r="F92" s="65" t="n">
        <v>0</v>
      </c>
      <c r="G92" s="65" t="n">
        <v>0</v>
      </c>
      <c r="H92" s="65" t="s">
        <v>55</v>
      </c>
      <c r="I92" s="66" t="n">
        <v>56977895588</v>
      </c>
      <c r="J92" s="231" t="s">
        <v>218</v>
      </c>
      <c r="K92" s="231" t="s">
        <v>115</v>
      </c>
      <c r="L92" s="232" t="n"/>
      <c r="M92" s="232" t="n"/>
      <c r="N92" s="233">
        <f>SUMPRODUCT(Tabla5237[[#This Row],[Paltas]:[Empanadas]],O$102:Z$102)</f>
        <v/>
      </c>
      <c r="O92" s="232" t="n">
        <v>0</v>
      </c>
      <c r="P92" s="232" t="n">
        <v>0</v>
      </c>
      <c r="Q92" s="232" t="n">
        <v>0</v>
      </c>
      <c r="R92" s="232" t="n">
        <v>0</v>
      </c>
      <c r="S92" s="232" t="n">
        <v>0</v>
      </c>
      <c r="T92" s="232" t="n">
        <v>0</v>
      </c>
      <c r="U92" s="232" t="n">
        <v>0</v>
      </c>
      <c r="V92" s="232" t="n">
        <v>0</v>
      </c>
      <c r="W92" s="232" t="n">
        <v>0</v>
      </c>
      <c r="X92" s="232" t="n">
        <v>1</v>
      </c>
      <c r="Y92" s="232" t="n">
        <v>1</v>
      </c>
      <c r="Z92" s="232" t="n">
        <v>0</v>
      </c>
      <c r="AA92" s="232">
        <f>SUM(Tabla5237[[#This Row],[Paltas]:[Empanadas]])</f>
        <v/>
      </c>
      <c r="AB92" s="234" t="n"/>
    </row>
    <row outlineLevel="1" r="93" s="199" spans="1:28">
      <c r="A93" s="235" t="n"/>
      <c r="B93" s="236" t="n"/>
      <c r="C93" s="236" t="n"/>
      <c r="D93" s="236" t="n"/>
      <c r="E93" s="236" t="n"/>
      <c r="F93" s="236" t="n"/>
      <c r="G93" s="236" t="n"/>
      <c r="H93" s="236" t="n"/>
      <c r="I93" s="237" t="n"/>
      <c r="J93" s="238" t="n"/>
      <c r="K93" s="238" t="n"/>
      <c r="L93" s="239" t="n"/>
      <c r="M93" s="239" t="n"/>
      <c r="N93" s="239" t="n"/>
      <c r="O93" s="239" t="n"/>
      <c r="P93" s="239" t="n"/>
      <c r="Q93" s="239" t="n"/>
      <c r="R93" s="239" t="n"/>
      <c r="S93" s="239" t="n"/>
      <c r="T93" s="239" t="n"/>
      <c r="U93" s="239" t="n"/>
      <c r="V93" s="239" t="n"/>
      <c r="W93" s="239" t="n"/>
      <c r="X93" s="239" t="n"/>
      <c r="Y93" s="239" t="n"/>
      <c r="Z93" s="239" t="n"/>
      <c r="AA93" s="239" t="n"/>
    </row>
    <row customHeight="1" ht="15.75" r="94" s="199" spans="1:28" thickBot="1"/>
    <row customHeight="1" ht="14.65" r="95" s="199" spans="1:28" thickBot="1">
      <c r="A95" s="240" t="s">
        <v>30</v>
      </c>
      <c r="B95" s="241" t="s">
        <v>31</v>
      </c>
      <c r="N95" s="242" t="s">
        <v>32</v>
      </c>
      <c r="O95" s="243">
        <f>SUM(Tabla5237[Paltas])</f>
        <v/>
      </c>
      <c r="P95" s="220">
        <f>SUM(Tabla5237[Quesos])</f>
        <v/>
      </c>
      <c r="Q95" s="220">
        <f>SUM(Tabla5237[Frutillas])</f>
        <v/>
      </c>
      <c r="R95" s="220">
        <f>SUM(Tabla5237[Tomate Cherry])</f>
        <v/>
      </c>
      <c r="S95" s="220">
        <f>SUM(Tabla5237[Nueces])</f>
        <v/>
      </c>
      <c r="T95" s="220">
        <f>SUM(Tabla5237[Mani])</f>
        <v/>
      </c>
      <c r="U95" s="220">
        <f>SUM(Tabla5237[Pistachos])</f>
        <v/>
      </c>
      <c r="V95" s="220">
        <f>SUM(Tabla5237[Caju])</f>
        <v/>
      </c>
      <c r="W95" s="220">
        <f>SUM(Tabla5237[Almendras])</f>
        <v/>
      </c>
      <c r="X95" s="220">
        <f>SUM(Tabla5237[Cerezas])</f>
        <v/>
      </c>
      <c r="Y95" s="220">
        <f>SUM(Tabla5237[Arandanos])</f>
        <v/>
      </c>
      <c r="Z95" s="244">
        <f>SUM(Tabla5237[Empanadas])</f>
        <v/>
      </c>
    </row>
    <row customHeight="1" ht="14.65" r="96" s="199" spans="1:28" thickBot="1">
      <c r="N96" s="242" t="s">
        <v>33</v>
      </c>
      <c r="O96" s="245" t="n">
        <v>5</v>
      </c>
      <c r="P96" s="226" t="n">
        <v>4</v>
      </c>
      <c r="Q96" s="226" t="n">
        <v>2</v>
      </c>
      <c r="R96" s="246" t="n">
        <v>1</v>
      </c>
      <c r="S96" s="247" t="n">
        <v>0.5</v>
      </c>
      <c r="T96" s="247" t="n">
        <v>1</v>
      </c>
      <c r="U96" s="247" t="n">
        <v>0.5</v>
      </c>
      <c r="V96" s="247" t="n">
        <v>0.4</v>
      </c>
      <c r="W96" s="247" t="n">
        <v>0.5</v>
      </c>
      <c r="X96" s="247" t="n">
        <v>5</v>
      </c>
      <c r="Y96" s="247" t="n">
        <v>0.5</v>
      </c>
      <c r="Z96" s="248" t="n">
        <v>12</v>
      </c>
    </row>
    <row customHeight="1" ht="14.65" r="97" s="199" spans="1:28" thickBot="1">
      <c r="N97" s="242" t="s">
        <v>34</v>
      </c>
      <c r="O97" s="245">
        <f>O96*O95</f>
        <v/>
      </c>
      <c r="P97" s="226">
        <f>P96*P95</f>
        <v/>
      </c>
      <c r="Q97" s="226">
        <f>Q96*Q95</f>
        <v/>
      </c>
      <c r="R97" s="226">
        <f>R96*R95</f>
        <v/>
      </c>
      <c r="S97" s="226">
        <f>S96*S95</f>
        <v/>
      </c>
      <c r="T97" s="226">
        <f>T96*T95</f>
        <v/>
      </c>
      <c r="U97" s="226">
        <f>U96*U95</f>
        <v/>
      </c>
      <c r="V97" s="226">
        <f>V96*V95</f>
        <v/>
      </c>
      <c r="W97" s="226">
        <f>W96*W95</f>
        <v/>
      </c>
      <c r="X97" s="226">
        <f>X96*X95</f>
        <v/>
      </c>
      <c r="Y97" s="226">
        <f>Y96*Y95</f>
        <v/>
      </c>
      <c r="Z97" s="249">
        <f>Z96*Z95</f>
        <v/>
      </c>
    </row>
    <row customHeight="1" ht="15.75" r="98" s="199" spans="1:28" thickBot="1">
      <c r="N98" s="242" t="s">
        <v>35</v>
      </c>
      <c r="O98" s="250" t="n"/>
      <c r="P98" s="232" t="n"/>
      <c r="Q98" s="232" t="n"/>
      <c r="R98" s="232" t="n"/>
      <c r="S98" s="232" t="n"/>
      <c r="T98" s="232" t="n"/>
      <c r="U98" s="232" t="n"/>
      <c r="V98" s="232" t="n"/>
      <c r="W98" s="232" t="n"/>
      <c r="X98" s="232" t="n"/>
      <c r="Y98" s="232" t="n"/>
      <c r="Z98" s="251" t="n"/>
    </row>
    <row customHeight="1" ht="15.75" r="99" s="199" spans="1:28" thickBot="1">
      <c r="B99" s="252" t="n"/>
      <c r="C99" s="236" t="n"/>
      <c r="D99" s="253" t="n"/>
      <c r="E99" s="254" t="n"/>
      <c r="F99" s="254" t="n"/>
      <c r="G99" s="254" t="n"/>
      <c r="H99" s="254" t="n"/>
      <c r="I99" s="254" t="n"/>
      <c r="J99" s="254" t="n"/>
      <c r="K99" s="255" t="n"/>
      <c r="N99" s="256" t="n"/>
    </row>
    <row customHeight="1" ht="15.75" r="100" s="199" spans="1:28" thickBot="1">
      <c r="B100" s="241" t="s">
        <v>36</v>
      </c>
      <c r="N100" s="242" t="s">
        <v>37</v>
      </c>
      <c r="O100" s="257" t="n">
        <v>3100</v>
      </c>
      <c r="P100" s="217" t="n">
        <v>6716</v>
      </c>
      <c r="Q100" s="217" t="n">
        <v>2600</v>
      </c>
      <c r="R100" s="217" t="n">
        <v>2300</v>
      </c>
      <c r="S100" s="217">
        <f>S101*S96</f>
        <v/>
      </c>
      <c r="T100" s="217">
        <f>T101*T96</f>
        <v/>
      </c>
      <c r="U100" s="217">
        <f>U101*U96</f>
        <v/>
      </c>
      <c r="V100" s="217">
        <f>V101*V96</f>
        <v/>
      </c>
      <c r="W100" s="217">
        <f>W101*W96</f>
        <v/>
      </c>
      <c r="X100" s="217">
        <f>X101*X96</f>
        <v/>
      </c>
      <c r="Y100" s="217">
        <f>Y101*Y96</f>
        <v/>
      </c>
      <c r="Z100" s="258">
        <f>Z101*Z96</f>
        <v/>
      </c>
    </row>
    <row customHeight="1" ht="15.75" r="101" s="199" spans="1:28" thickBot="1">
      <c r="N101" s="242" t="s">
        <v>34</v>
      </c>
      <c r="O101" s="259" t="n">
        <v>1550</v>
      </c>
      <c r="P101" s="260" t="n">
        <v>6716</v>
      </c>
      <c r="Q101" s="260" t="n">
        <v>1300</v>
      </c>
      <c r="R101" s="260" t="n">
        <v>2300</v>
      </c>
      <c r="S101" s="260" t="n">
        <v>7500</v>
      </c>
      <c r="T101" s="260" t="n">
        <v>3500</v>
      </c>
      <c r="U101" s="260" t="n">
        <v>14100</v>
      </c>
      <c r="V101" s="260" t="n">
        <v>13300</v>
      </c>
      <c r="W101" s="260" t="n">
        <v>10700</v>
      </c>
      <c r="X101" s="260">
        <f>6000/5</f>
        <v/>
      </c>
      <c r="Y101" s="260">
        <f>6000/5</f>
        <v/>
      </c>
      <c r="Z101" s="261" t="n">
        <v>1000</v>
      </c>
    </row>
    <row customHeight="1" ht="15.75" r="102" s="199" spans="1:28" thickBot="1">
      <c r="N102" s="242" t="s">
        <v>38</v>
      </c>
      <c r="O102" s="262" t="n">
        <v>4500</v>
      </c>
      <c r="P102" s="263" t="n">
        <v>7500</v>
      </c>
      <c r="Q102" s="263" t="n">
        <v>4500</v>
      </c>
      <c r="R102" s="263" t="n">
        <v>4500</v>
      </c>
      <c r="S102" s="263" t="n">
        <v>5500</v>
      </c>
      <c r="T102" s="263" t="n">
        <v>4500</v>
      </c>
      <c r="U102" s="263" t="n">
        <v>8500</v>
      </c>
      <c r="V102" s="263" t="n">
        <v>7500</v>
      </c>
      <c r="W102" s="263" t="n">
        <v>7500</v>
      </c>
      <c r="X102" s="263" t="n">
        <v>7500</v>
      </c>
      <c r="Y102" s="263" t="n">
        <v>4500</v>
      </c>
      <c r="Z102" s="264" t="n">
        <v>17500</v>
      </c>
    </row>
    <row customHeight="1" ht="15.75" r="103" s="199" spans="1:28" thickBot="1">
      <c r="B103" s="252" t="n"/>
      <c r="C103" s="236" t="n"/>
      <c r="D103" s="253" t="n"/>
      <c r="E103" s="254" t="n"/>
      <c r="F103" s="254" t="n"/>
      <c r="G103" s="254" t="n"/>
      <c r="H103" s="254" t="n"/>
      <c r="I103" s="254" t="n"/>
      <c r="J103" s="254" t="n"/>
      <c r="K103" s="255" t="n"/>
      <c r="N103" s="256" t="n"/>
    </row>
    <row customHeight="1" ht="14.65" r="104" s="199" spans="1:28" thickBot="1">
      <c r="B104" s="241" t="s">
        <v>39</v>
      </c>
      <c r="N104" s="242" t="s">
        <v>40</v>
      </c>
      <c r="O104" s="257">
        <f>O95*O100</f>
        <v/>
      </c>
      <c r="P104" s="217">
        <f>P95*P100</f>
        <v/>
      </c>
      <c r="Q104" s="217">
        <f>Q95*Q100</f>
        <v/>
      </c>
      <c r="R104" s="265">
        <f>R95*R100</f>
        <v/>
      </c>
      <c r="S104" s="217">
        <f>S95*S100</f>
        <v/>
      </c>
      <c r="T104" s="217">
        <f>T95*T100</f>
        <v/>
      </c>
      <c r="U104" s="217">
        <f>U95*U100</f>
        <v/>
      </c>
      <c r="V104" s="217">
        <f>V95*V100</f>
        <v/>
      </c>
      <c r="W104" s="217">
        <f>W95*W100</f>
        <v/>
      </c>
      <c r="X104" s="217">
        <f>X95*X100</f>
        <v/>
      </c>
      <c r="Y104" s="217">
        <f>Y95*Y100</f>
        <v/>
      </c>
      <c r="Z104" s="258">
        <f>Z95*Z100</f>
        <v/>
      </c>
    </row>
    <row customHeight="1" ht="15.75" r="105" s="199" spans="1:28" thickBot="1">
      <c r="N105" s="242" t="s">
        <v>27</v>
      </c>
      <c r="O105" s="266">
        <f>SUM(O104:Z104)</f>
        <v/>
      </c>
    </row>
    <row customHeight="1" ht="15.75" r="106" s="199" spans="1:28" thickBot="1">
      <c r="B106" s="241" t="s">
        <v>41</v>
      </c>
      <c r="N106" s="242" t="s">
        <v>40</v>
      </c>
      <c r="O106" s="267">
        <f>O102*O95</f>
        <v/>
      </c>
      <c r="P106" s="223">
        <f>P102*P95</f>
        <v/>
      </c>
      <c r="Q106" s="223">
        <f>Q102*Q95</f>
        <v/>
      </c>
      <c r="R106" s="223">
        <f>R102*R95</f>
        <v/>
      </c>
      <c r="S106" s="223">
        <f>S102*S95</f>
        <v/>
      </c>
      <c r="T106" s="223">
        <f>T102*T95</f>
        <v/>
      </c>
      <c r="U106" s="223">
        <f>U102*U95</f>
        <v/>
      </c>
      <c r="V106" s="223">
        <f>V102*V95</f>
        <v/>
      </c>
      <c r="W106" s="223">
        <f>W102*W95</f>
        <v/>
      </c>
      <c r="X106" s="223">
        <f>X102*X95</f>
        <v/>
      </c>
      <c r="Y106" s="223">
        <f>Y102*Y95</f>
        <v/>
      </c>
      <c r="Z106" s="268">
        <f>Z102*Z95</f>
        <v/>
      </c>
    </row>
    <row customHeight="1" ht="15.75" r="107" s="199" spans="1:28" thickBot="1">
      <c r="N107" s="242" t="s">
        <v>27</v>
      </c>
      <c r="O107" s="266">
        <f>SUM(O106:Z106)</f>
        <v/>
      </c>
    </row>
    <row customHeight="1" ht="14.65" r="108" s="199" spans="1:28" thickBot="1">
      <c r="B108" s="241" t="s">
        <v>42</v>
      </c>
      <c r="N108" s="242" t="s">
        <v>40</v>
      </c>
      <c r="O108" s="267">
        <f>O106-O104</f>
        <v/>
      </c>
      <c r="P108" s="223">
        <f>P106-P104</f>
        <v/>
      </c>
      <c r="Q108" s="223">
        <f>Q106-Q104</f>
        <v/>
      </c>
      <c r="R108" s="223">
        <f>R106-R104</f>
        <v/>
      </c>
      <c r="S108" s="223">
        <f>S106-S104</f>
        <v/>
      </c>
      <c r="T108" s="223">
        <f>T106-T104</f>
        <v/>
      </c>
      <c r="U108" s="223">
        <f>U106-U104</f>
        <v/>
      </c>
      <c r="V108" s="223">
        <f>V106-V104</f>
        <v/>
      </c>
      <c r="W108" s="223">
        <f>W106-W104</f>
        <v/>
      </c>
      <c r="X108" s="223">
        <f>X106-X104</f>
        <v/>
      </c>
      <c r="Y108" s="223">
        <f>Y106-Y104</f>
        <v/>
      </c>
      <c r="Z108" s="268">
        <f>Z106-Z104</f>
        <v/>
      </c>
    </row>
    <row customHeight="1" ht="29.65" r="109" s="199" spans="1:28" thickBot="1">
      <c r="N109" s="242" t="s">
        <v>43</v>
      </c>
      <c r="O109" s="269">
        <f>O107-O105</f>
        <v/>
      </c>
    </row>
    <row customHeight="1" ht="15.75" r="110" s="199" spans="1:28" thickBot="1"/>
    <row customHeight="1" ht="14.65" r="111" s="199" spans="1:28" thickBot="1">
      <c r="B111" s="270" t="s">
        <v>44</v>
      </c>
      <c r="O111" s="271" t="s">
        <v>45</v>
      </c>
      <c r="R111" s="272" t="s">
        <v>46</v>
      </c>
      <c r="S111" s="256" t="n"/>
      <c r="T111" s="256" t="n"/>
      <c r="U111" s="256" t="n"/>
      <c r="V111" s="256" t="n"/>
      <c r="W111" s="256" t="n"/>
      <c r="X111" s="256" t="n"/>
      <c r="Y111" s="256" t="n"/>
      <c r="Z111" s="256" t="n"/>
    </row>
    <row customHeight="1" ht="15" r="112" s="199" spans="1:28">
      <c r="O112" s="273" t="n"/>
      <c r="R112" s="274" t="n"/>
      <c r="S112" s="236" t="n"/>
      <c r="T112" s="236" t="n"/>
      <c r="U112" s="236" t="n"/>
      <c r="V112" s="236" t="n"/>
      <c r="W112" s="236" t="n"/>
      <c r="X112" s="236" t="n"/>
      <c r="Y112" s="236" t="n"/>
      <c r="Z112" s="236" t="n"/>
    </row>
    <row customHeight="1" ht="15" r="113" s="199" spans="1:28">
      <c r="O113" s="275" t="n"/>
      <c r="R113" s="276" t="n"/>
      <c r="S113" s="236" t="n"/>
      <c r="T113" s="236" t="n"/>
      <c r="U113" s="236" t="n"/>
      <c r="V113" s="236" t="n"/>
      <c r="W113" s="236" t="n"/>
      <c r="X113" s="236" t="n"/>
      <c r="Y113" s="236" t="n"/>
      <c r="Z113" s="236" t="n"/>
    </row>
    <row customHeight="1" ht="15" r="114" s="199" spans="1:28">
      <c r="O114" s="275" t="n"/>
      <c r="R114" s="276" t="n"/>
      <c r="S114" s="236" t="n"/>
      <c r="T114" s="236" t="n"/>
      <c r="U114" s="236" t="n"/>
      <c r="V114" s="236" t="n"/>
      <c r="W114" s="236" t="n"/>
      <c r="X114" s="236" t="n"/>
      <c r="Y114" s="236" t="n"/>
      <c r="Z114" s="236" t="n"/>
    </row>
    <row customHeight="1" ht="15" r="115" s="199" spans="1:28">
      <c r="O115" s="275" t="n"/>
      <c r="R115" s="276" t="n"/>
      <c r="S115" s="236" t="n"/>
      <c r="T115" s="236" t="n"/>
      <c r="U115" s="236" t="n"/>
      <c r="V115" s="236" t="n"/>
      <c r="W115" s="236" t="n"/>
      <c r="X115" s="236" t="n"/>
      <c r="Y115" s="236" t="n"/>
      <c r="Z115" s="236" t="n"/>
    </row>
    <row customHeight="1" ht="15" r="116" s="199" spans="1:28">
      <c r="O116" s="275" t="n"/>
      <c r="R116" s="276" t="n"/>
      <c r="S116" s="236" t="n"/>
      <c r="T116" s="236" t="n"/>
      <c r="U116" s="236" t="n"/>
      <c r="V116" s="236" t="n"/>
      <c r="W116" s="236" t="n"/>
      <c r="X116" s="236" t="n"/>
      <c r="Y116" s="236" t="n"/>
      <c r="Z116" s="236" t="n"/>
    </row>
    <row customHeight="1" ht="15" r="117" s="199" spans="1:28">
      <c r="O117" s="275" t="n"/>
      <c r="R117" s="276" t="n"/>
      <c r="S117" s="236" t="n"/>
      <c r="T117" s="236" t="n"/>
      <c r="U117" s="236" t="n"/>
      <c r="V117" s="236" t="n"/>
      <c r="W117" s="236" t="n"/>
      <c r="X117" s="236" t="n"/>
      <c r="Y117" s="236" t="n"/>
      <c r="Z117" s="236" t="n"/>
    </row>
    <row customHeight="1" ht="15" r="118" s="199" spans="1:28" thickBot="1">
      <c r="O118" s="277" t="n"/>
      <c r="R118" s="276" t="n"/>
      <c r="S118" s="236" t="n"/>
      <c r="T118" s="236" t="n"/>
      <c r="U118" s="236" t="n"/>
      <c r="V118" s="236" t="n"/>
      <c r="W118" s="236" t="n"/>
      <c r="X118" s="236" t="n"/>
      <c r="Y118" s="236" t="n"/>
      <c r="Z118" s="236" t="n"/>
    </row>
    <row customHeight="1" ht="15.75" r="119" s="199" spans="1:28" thickBot="1">
      <c r="O119" s="278" t="s">
        <v>27</v>
      </c>
      <c r="R119" s="279">
        <f>SUM(R112:R118)</f>
        <v/>
      </c>
      <c r="S119" s="236" t="n"/>
      <c r="T119" s="236" t="n"/>
      <c r="U119" s="236" t="n"/>
      <c r="V119" s="236" t="n"/>
      <c r="W119" s="236" t="n"/>
      <c r="X119" s="236" t="n"/>
      <c r="Y119" s="236" t="n"/>
      <c r="Z119" s="236" t="n"/>
    </row>
    <row customHeight="1" ht="15.75" r="120" s="199" spans="1:28" thickBot="1"/>
    <row customHeight="1" ht="51.75" r="121" s="199" spans="1:28" thickBot="1">
      <c r="B121" s="271" t="s">
        <v>42</v>
      </c>
      <c r="M121" s="242" t="n"/>
      <c r="N121" s="271" t="s">
        <v>27</v>
      </c>
      <c r="O121" s="280">
        <f>O109-SUM(R112:R118)</f>
        <v/>
      </c>
      <c r="T121" s="281" t="n"/>
      <c r="U121" s="281" t="n"/>
      <c r="V121" s="281" t="n"/>
      <c r="W121" s="281" t="n"/>
      <c r="X121" s="281" t="n"/>
      <c r="Y121" s="281" t="n"/>
      <c r="Z121" s="281" t="n"/>
    </row>
    <row customHeight="1" ht="15.75" r="122" s="199" spans="1:28">
      <c r="A122" s="282" t="n"/>
      <c r="P122" s="236" t="n"/>
      <c r="Q122" s="236" t="n"/>
      <c r="R122" s="236" t="n"/>
      <c r="S122" s="256" t="n"/>
      <c r="T122" s="256" t="n"/>
      <c r="U122" s="256" t="n"/>
      <c r="V122" s="256" t="n"/>
      <c r="W122" s="256" t="n"/>
      <c r="X122" s="256" t="n"/>
      <c r="Y122" s="256" t="n"/>
      <c r="Z122" s="256" t="n"/>
    </row>
    <row customHeight="1" ht="15" r="123" s="199" spans="1:28">
      <c r="A123" s="282" t="n"/>
      <c r="P123" s="236" t="n"/>
      <c r="Q123" s="236" t="n"/>
      <c r="R123" s="236" t="n"/>
      <c r="S123" s="203" t="n"/>
      <c r="T123" s="203" t="n"/>
      <c r="U123" s="203" t="n"/>
      <c r="V123" s="203" t="n"/>
      <c r="W123" s="203" t="n"/>
      <c r="X123" s="203" t="n"/>
      <c r="Y123" s="203" t="n"/>
      <c r="Z123" s="203" t="n"/>
    </row>
    <row customHeight="1" ht="15" r="124" s="199" spans="1:28">
      <c r="P124" s="236" t="n"/>
      <c r="Q124" s="236" t="n"/>
      <c r="R124" s="236" t="n"/>
      <c r="S124" s="203" t="n"/>
      <c r="T124" s="203" t="n"/>
      <c r="U124" s="203" t="n"/>
      <c r="V124" s="203" t="n"/>
      <c r="W124" s="203" t="n"/>
      <c r="X124" s="203" t="n"/>
      <c r="Y124" s="203" t="n"/>
      <c r="Z124" s="203" t="n"/>
    </row>
    <row customHeight="1" ht="15" r="125" s="199" spans="1:28">
      <c r="P125" s="236" t="n"/>
      <c r="Q125" s="236" t="n"/>
      <c r="R125" s="236" t="n"/>
      <c r="S125" s="203" t="n"/>
      <c r="T125" s="203" t="n"/>
      <c r="U125" s="203" t="n"/>
      <c r="V125" s="203" t="n"/>
      <c r="W125" s="203" t="n"/>
      <c r="X125" s="203" t="n"/>
      <c r="Y125" s="203" t="n"/>
      <c r="Z125" s="203" t="n"/>
    </row>
    <row customHeight="1" ht="15" r="126" s="199" spans="1:28">
      <c r="P126" s="236" t="n"/>
      <c r="Q126" s="236" t="n"/>
      <c r="R126" s="236" t="n"/>
      <c r="S126" s="203" t="n"/>
      <c r="T126" s="203" t="n"/>
      <c r="U126" s="203" t="n"/>
      <c r="V126" s="203" t="n"/>
      <c r="W126" s="203" t="n"/>
      <c r="X126" s="203" t="n"/>
      <c r="Y126" s="203" t="n"/>
      <c r="Z126" s="203" t="n"/>
    </row>
    <row customHeight="1" ht="15" r="127" s="199" spans="1:28">
      <c r="P127" s="236" t="n"/>
      <c r="Q127" s="236" t="n"/>
      <c r="R127" s="236" t="n"/>
      <c r="S127" s="203" t="n"/>
      <c r="T127" s="203" t="n"/>
      <c r="U127" s="203" t="n"/>
      <c r="V127" s="203" t="n"/>
      <c r="W127" s="203" t="n"/>
      <c r="X127" s="203" t="n"/>
      <c r="Y127" s="203" t="n"/>
      <c r="Z127" s="203" t="n"/>
    </row>
    <row customHeight="1" ht="15" r="128" s="199" spans="1:28">
      <c r="P128" s="236" t="n"/>
      <c r="Q128" s="236" t="n"/>
      <c r="R128" s="236" t="n"/>
      <c r="S128" s="203" t="n"/>
      <c r="T128" s="203" t="n"/>
      <c r="U128" s="203" t="n"/>
      <c r="V128" s="203" t="n"/>
      <c r="W128" s="203" t="n"/>
      <c r="X128" s="203" t="n"/>
      <c r="Y128" s="203" t="n"/>
      <c r="Z128" s="203" t="n"/>
    </row>
    <row customHeight="1" ht="15" r="129" s="199" spans="1:28">
      <c r="P129" s="236" t="n"/>
      <c r="Q129" s="236" t="n"/>
      <c r="R129" s="236" t="n"/>
      <c r="S129" s="203" t="n"/>
      <c r="T129" s="203" t="n"/>
      <c r="U129" s="203" t="n"/>
      <c r="V129" s="203" t="n"/>
      <c r="W129" s="203" t="n"/>
      <c r="X129" s="203" t="n"/>
      <c r="Y129" s="203" t="n"/>
      <c r="Z129" s="203" t="n"/>
    </row>
    <row customHeight="1" ht="15.75" r="130" s="199" spans="1:28">
      <c r="P130" s="236" t="n"/>
      <c r="Q130" s="236" t="n"/>
      <c r="R130" s="236" t="n"/>
      <c r="S130" s="203" t="n"/>
      <c r="T130" s="203" t="n"/>
      <c r="U130" s="203" t="n"/>
      <c r="V130" s="203" t="n"/>
      <c r="W130" s="203" t="n"/>
      <c r="X130" s="203" t="n"/>
      <c r="Y130" s="203" t="n"/>
      <c r="Z130" s="203" t="n"/>
    </row>
  </sheetData>
  <mergeCells count="24">
    <mergeCell ref="O118:Q118"/>
    <mergeCell ref="O119:Q119"/>
    <mergeCell ref="B121:L121"/>
    <mergeCell ref="O121:S121"/>
    <mergeCell ref="A5:A92"/>
    <mergeCell ref="B108:M109"/>
    <mergeCell ref="O109:Z109"/>
    <mergeCell ref="B111:N119"/>
    <mergeCell ref="O111:Q111"/>
    <mergeCell ref="O112:Q112"/>
    <mergeCell ref="O113:Q113"/>
    <mergeCell ref="O114:Q114"/>
    <mergeCell ref="O115:Q115"/>
    <mergeCell ref="O116:Q116"/>
    <mergeCell ref="O117:Q117"/>
    <mergeCell ref="B2:N2"/>
    <mergeCell ref="O2:Z2"/>
    <mergeCell ref="A95:A121"/>
    <mergeCell ref="B95:M98"/>
    <mergeCell ref="B100:M102"/>
    <mergeCell ref="B104:M105"/>
    <mergeCell ref="O105:Z105"/>
    <mergeCell ref="B106:M107"/>
    <mergeCell ref="O107:Z107"/>
  </mergeCells>
  <conditionalFormatting sqref="AA5:AA92">
    <cfRule dxfId="85" operator="lessThan" priority="1" type="cellIs">
      <formula>20</formula>
    </cfRule>
    <cfRule dxfId="84" operator="between" priority="2" type="cellIs">
      <formula>20</formula>
      <formula>29</formula>
    </cfRule>
    <cfRule dxfId="83" operator="greaterThan" priority="3" type="cellIs">
      <formula>29</formula>
    </cfRule>
  </conditionalFormatting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Lukas Quense</dc:creator>
  <dcterms:created xsi:type="dcterms:W3CDTF">2016-12-06T19:08:35Z</dcterms:created>
  <dcterms:modified xsi:type="dcterms:W3CDTF">2017-12-15T02:40:28Z</dcterms:modified>
  <cp:lastModifiedBy>Nacho Castaneda</cp:lastModifiedBy>
  <cp:lastPrinted>2017-10-03T20:13:30Z</cp:lastPrinted>
</cp:coreProperties>
</file>